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1280" windowHeight="4695" activeTab="0"/>
  </bookViews>
  <sheets>
    <sheet name="Footing 2 pile" sheetId="1" r:id="rId1"/>
    <sheet name="Piles (&lt;=25)(metric) (2)" sheetId="2" state="hidden" r:id="rId2"/>
    <sheet name="Sheet3" sheetId="3" r:id="rId3"/>
    <sheet name="Sheet2" sheetId="4" r:id="rId4"/>
  </sheets>
  <definedNames>
    <definedName name="case">'Footing 2 pile'!#REF!</definedName>
    <definedName name="IND1">#REF!</definedName>
    <definedName name="_xlnm.Print_Area" localSheetId="0">'Footing 2 pile'!$B$2:$V$169</definedName>
    <definedName name="_xlnm.Print_Area" localSheetId="1">'Piles (&lt;=25)(metric) (2)'!$A$54:$I$103</definedName>
    <definedName name="Shape">#REF!</definedName>
  </definedNames>
  <calcPr fullCalcOnLoad="1"/>
</workbook>
</file>

<file path=xl/comments1.xml><?xml version="1.0" encoding="utf-8"?>
<comments xmlns="http://schemas.openxmlformats.org/spreadsheetml/2006/main">
  <authors>
    <author>ATOMANOV</author>
    <author>IT</author>
  </authors>
  <commentList>
    <comment ref="H26" authorId="0">
      <text>
        <r>
          <rPr>
            <sz val="8"/>
            <rFont val="Tahoma"/>
            <family val="2"/>
          </rPr>
          <t>'Pz' is the vertical (Z-axis) load to be applied at the pier location.
Sign convention: - = upward (out of page)
                            +  = downward (into page) for gravity loads</t>
        </r>
      </text>
    </comment>
    <comment ref="H27" authorId="0">
      <text>
        <r>
          <rPr>
            <sz val="8"/>
            <rFont val="Tahoma"/>
            <family val="2"/>
          </rPr>
          <t>'Mx' is the X-axis moment to be applied at the pier location.
Sign convention: + = by "Right-Hand-Rule" about +X-axis</t>
        </r>
      </text>
    </comment>
    <comment ref="H28" authorId="0">
      <text>
        <r>
          <rPr>
            <sz val="8"/>
            <rFont val="Tahoma"/>
            <family val="2"/>
          </rPr>
          <t>'My' is the Y-axis moment to be applied at the pier location.
Sign convention: + = by "Right-Hand-Rule" about +Y-axis</t>
        </r>
      </text>
    </comment>
    <comment ref="J74" authorId="0">
      <text>
        <r>
          <rPr>
            <sz val="8"/>
            <rFont val="Tahoma"/>
            <family val="2"/>
          </rPr>
          <t xml:space="preserve">use Asmin 14/fy*b*d because Mmax x-x = 0 </t>
        </r>
      </text>
    </comment>
    <comment ref="C60" authorId="1">
      <text>
        <r>
          <rPr>
            <b/>
            <sz val="8"/>
            <color indexed="9"/>
            <rFont val="Tahoma"/>
            <family val="2"/>
          </rPr>
          <t>if x&lt; -15 , P' = 0
if x &gt;= 15 , P' = P
if -15&lt; x&lt;0 , P' = 1/30 *(x+15)*P
if  0&lt;x&lt;=15 , P' = 1/30 *(x+15)*P</t>
        </r>
        <r>
          <rPr>
            <sz val="8"/>
            <rFont val="Tahoma"/>
            <family val="2"/>
          </rPr>
          <t xml:space="preserve">
</t>
        </r>
      </text>
    </comment>
    <comment ref="C68" authorId="1">
      <text>
        <r>
          <rPr>
            <b/>
            <sz val="8"/>
            <color indexed="9"/>
            <rFont val="Tahoma"/>
            <family val="2"/>
          </rPr>
          <t>if x&lt; -15 , P' = 0
if x &gt;= 15 , P' = P
if -15&lt; x&lt;0 , P' = 1/30 *(x+15)*P
if  0&lt;x&lt;=15 , P' = 1/30 *(x+15)*P</t>
        </r>
        <r>
          <rPr>
            <sz val="8"/>
            <rFont val="Tahoma"/>
            <family val="2"/>
          </rPr>
          <t xml:space="preserve">
</t>
        </r>
      </text>
    </comment>
  </commentList>
</comments>
</file>

<file path=xl/comments2.xml><?xml version="1.0" encoding="utf-8"?>
<comments xmlns="http://schemas.openxmlformats.org/spreadsheetml/2006/main">
  <authors>
    <author>Bob Dalpiaz</author>
    <author>4892</author>
    <author>ATOMANOV</author>
    <author>O'Neal User</author>
  </authors>
  <commentList>
    <comment ref="AA1" authorId="0">
      <text>
        <r>
          <rPr>
            <sz val="8"/>
            <rFont val="Tahoma"/>
            <family val="2"/>
          </rPr>
          <t xml:space="preserve">              "</t>
        </r>
        <r>
          <rPr>
            <b/>
            <sz val="8"/>
            <rFont val="Tahoma"/>
            <family val="2"/>
          </rPr>
          <t>PILEGRP.xls</t>
        </r>
        <r>
          <rPr>
            <sz val="8"/>
            <rFont val="Tahoma"/>
            <family val="2"/>
          </rPr>
          <t>"
written by:  Alex Tomanovich, P.E.</t>
        </r>
      </text>
    </comment>
    <comment ref="H30" authorId="1">
      <text>
        <r>
          <rPr>
            <sz val="8"/>
            <rFont val="Tahoma"/>
            <family val="2"/>
          </rPr>
          <t xml:space="preserve">The location of the centroidal Y-axis from the origin Y-axis is calculated as follows:
   Xc = </t>
        </r>
        <r>
          <rPr>
            <sz val="8"/>
            <rFont val="Symbol"/>
            <family val="1"/>
          </rPr>
          <t>S</t>
        </r>
        <r>
          <rPr>
            <sz val="8"/>
            <rFont val="Tahoma"/>
            <family val="2"/>
          </rPr>
          <t xml:space="preserve"> (Xo)/Np
where:
   Np = total number of piles in group</t>
        </r>
      </text>
    </comment>
    <comment ref="H31" authorId="1">
      <text>
        <r>
          <rPr>
            <sz val="8"/>
            <rFont val="Tahoma"/>
            <family val="2"/>
          </rPr>
          <t xml:space="preserve">The location of the centroidal X-axis from the origin X-axis is calculated as follows:
   Yc = </t>
        </r>
        <r>
          <rPr>
            <sz val="8"/>
            <rFont val="Symbol"/>
            <family val="1"/>
          </rPr>
          <t>S</t>
        </r>
        <r>
          <rPr>
            <sz val="8"/>
            <rFont val="Tahoma"/>
            <family val="2"/>
          </rPr>
          <t xml:space="preserve"> (Yo)/Np
where:
   Np = total number of piles in group</t>
        </r>
      </text>
    </comment>
    <comment ref="H36" authorId="1">
      <text>
        <r>
          <rPr>
            <sz val="8"/>
            <rFont val="Tahoma"/>
            <family val="2"/>
          </rPr>
          <t>The orientation of the principal axes, is defined by the rotation angle, '</t>
        </r>
        <r>
          <rPr>
            <sz val="8"/>
            <rFont val="Symbol"/>
            <family val="1"/>
          </rPr>
          <t xml:space="preserve">q </t>
        </r>
        <r>
          <rPr>
            <sz val="8"/>
            <rFont val="Tahoma"/>
            <family val="2"/>
          </rPr>
          <t xml:space="preserve">', from the centroidal axes and is calculated as follows:
   </t>
        </r>
        <r>
          <rPr>
            <sz val="8"/>
            <rFont val="Symbol"/>
            <family val="1"/>
          </rPr>
          <t>q</t>
        </r>
        <r>
          <rPr>
            <sz val="8"/>
            <rFont val="Tahoma"/>
            <family val="2"/>
          </rPr>
          <t xml:space="preserve"> = (ATAN(-2*Ixy/(Ix-Iy)))/2
Note: sign convention is positive (+) ccw.
           '</t>
        </r>
        <r>
          <rPr>
            <sz val="8"/>
            <rFont val="Symbol"/>
            <family val="1"/>
          </rPr>
          <t xml:space="preserve">q </t>
        </r>
        <r>
          <rPr>
            <sz val="8"/>
            <rFont val="Tahoma"/>
            <family val="2"/>
          </rPr>
          <t>' = 0  for a pile group with at least one
          axis of symmetry.</t>
        </r>
      </text>
    </comment>
    <comment ref="B40" authorId="2">
      <text>
        <r>
          <rPr>
            <sz val="8"/>
            <rFont val="Tahoma"/>
            <family val="2"/>
          </rPr>
          <t xml:space="preserve">All piers must be located in the positive 1st quadrant.  That is, all pier X, Y coordinate values must be &gt;= 0.
</t>
        </r>
        <r>
          <rPr>
            <b/>
            <sz val="8"/>
            <rFont val="Tahoma"/>
            <family val="2"/>
          </rPr>
          <t>Note: The user should make sure to either clear the contents of all cells that are not used for input of pier coordinates, or those cell values should be input = 0.</t>
        </r>
      </text>
    </comment>
    <comment ref="B41" authorId="2">
      <text>
        <r>
          <rPr>
            <sz val="8"/>
            <rFont val="Tahoma"/>
            <family val="2"/>
          </rPr>
          <t>The 'X' coordinate is the x-distance from the origin axis to a particular pier/loading.</t>
        </r>
      </text>
    </comment>
    <comment ref="B42" authorId="2">
      <text>
        <r>
          <rPr>
            <sz val="8"/>
            <rFont val="Tahoma"/>
            <family val="2"/>
          </rPr>
          <t>The 'Y' coordinate is the y-distance from the origin axis to a particular pier/loading.</t>
        </r>
      </text>
    </comment>
    <comment ref="B43" authorId="2">
      <text>
        <r>
          <rPr>
            <sz val="8"/>
            <rFont val="Tahoma"/>
            <family val="2"/>
          </rPr>
          <t>The vertical distance, 'h',  from the point of application of any horizontal loads (Hx, Hy) to the top of the piles. This 'h' distance should always be a positive number, but it may be input = 0 if there are no horizontal loads at that pier.  The 'h' distance is used in conjunction with the horizontal loads to obtain any additional moments (Mx, My) that are to be eventually summed with the applied moments.</t>
        </r>
      </text>
    </comment>
    <comment ref="B44" authorId="2">
      <text>
        <r>
          <rPr>
            <sz val="8"/>
            <rFont val="Tahoma"/>
            <family val="2"/>
          </rPr>
          <t>'Pz' is the vertical (Z-axis) load to be applied at the pier location.
Sign convention: + = upward (out of page)
                            -  = downward (into page) for gravity loads</t>
        </r>
      </text>
    </comment>
    <comment ref="B45" authorId="2">
      <text>
        <r>
          <rPr>
            <sz val="8"/>
            <rFont val="Tahoma"/>
            <family val="2"/>
          </rPr>
          <t>'Hx' is the horizontal (X-axis) load to be applied at the pier location.
Sign convention: + = to right</t>
        </r>
      </text>
    </comment>
    <comment ref="B46" authorId="2">
      <text>
        <r>
          <rPr>
            <sz val="8"/>
            <rFont val="Tahoma"/>
            <family val="2"/>
          </rPr>
          <t>'Hy' is the horizontal (Y-axis) load to be applied at the pier location.
Sign convention: + = up the page</t>
        </r>
      </text>
    </comment>
    <comment ref="B47" authorId="2">
      <text>
        <r>
          <rPr>
            <sz val="8"/>
            <rFont val="Tahoma"/>
            <family val="2"/>
          </rPr>
          <t>'Mx' is the X-axis moment to be applied at the pier location.
Sign convention: + = by "Right-Hand-Rule" about +X-axis</t>
        </r>
      </text>
    </comment>
    <comment ref="B48" authorId="2">
      <text>
        <r>
          <rPr>
            <sz val="8"/>
            <rFont val="Tahoma"/>
            <family val="2"/>
          </rPr>
          <t>'My' is the Y-axis moment to be applied at the pier location.
Sign convention: + = by "Right-Hand-Rule" about +Y-axis</t>
        </r>
      </text>
    </comment>
    <comment ref="B49" authorId="2">
      <text>
        <r>
          <rPr>
            <sz val="8"/>
            <rFont val="Tahoma"/>
            <family val="2"/>
          </rPr>
          <t>'Mz' is the Z-axis moment to be applied at the pier location.
Sign convention: + = by "Right-Hand-Rule" about +Z-axis</t>
        </r>
      </text>
    </comment>
    <comment ref="H39" authorId="2">
      <text>
        <r>
          <rPr>
            <sz val="8"/>
            <rFont val="Symbol"/>
            <family val="1"/>
          </rPr>
          <t xml:space="preserve">S </t>
        </r>
        <r>
          <rPr>
            <sz val="8"/>
            <rFont val="Tahoma"/>
            <family val="2"/>
          </rPr>
          <t xml:space="preserve"> Pz = sum of all applied vertical (Z-axis) loads translated to the centroid of the pile group.
Sign convention: positive in +Z-axis direction</t>
        </r>
      </text>
    </comment>
    <comment ref="H40" authorId="2">
      <text>
        <r>
          <rPr>
            <sz val="8"/>
            <rFont val="Symbol"/>
            <family val="1"/>
          </rPr>
          <t xml:space="preserve">S </t>
        </r>
        <r>
          <rPr>
            <sz val="8"/>
            <rFont val="Tahoma"/>
            <family val="2"/>
          </rPr>
          <t xml:space="preserve"> Hx = sum of all applied horizontal (X-axis) loads translated to the centroid of the pile group.
Sign convention: positive in +X-axis direction</t>
        </r>
      </text>
    </comment>
    <comment ref="H41" authorId="2">
      <text>
        <r>
          <rPr>
            <sz val="8"/>
            <rFont val="Symbol"/>
            <family val="1"/>
          </rPr>
          <t xml:space="preserve">S </t>
        </r>
        <r>
          <rPr>
            <sz val="8"/>
            <rFont val="Tahoma"/>
            <family val="2"/>
          </rPr>
          <t xml:space="preserve"> Hy = sum of all applied horizontal (Y-axis) loads translated to the centroid of the pile group.
Sign convention: positive in +Y-axis direction</t>
        </r>
      </text>
    </comment>
    <comment ref="H42" authorId="2">
      <text>
        <r>
          <rPr>
            <sz val="8"/>
            <rFont val="Symbol"/>
            <family val="1"/>
          </rPr>
          <t xml:space="preserve">S </t>
        </r>
        <r>
          <rPr>
            <sz val="8"/>
            <rFont val="Tahoma"/>
            <family val="2"/>
          </rPr>
          <t xml:space="preserve"> Mx = sum of all applied X-axis moments calculated at the top of the piles and  translated to the centroid of the pile group.
Sign convention: positive by "Right-Hand-Rule"
                            about +X-axis</t>
        </r>
      </text>
    </comment>
    <comment ref="H43" authorId="2">
      <text>
        <r>
          <rPr>
            <sz val="8"/>
            <rFont val="Symbol"/>
            <family val="1"/>
          </rPr>
          <t xml:space="preserve">S </t>
        </r>
        <r>
          <rPr>
            <sz val="8"/>
            <rFont val="Tahoma"/>
            <family val="2"/>
          </rPr>
          <t xml:space="preserve"> My = sum of all applied Y-axis moments calculated at the top of the piles and  translated to the centroid of the pile group.
Sign convention: positive by "Right-Hand-Rule"
                            about +Y-axis</t>
        </r>
      </text>
    </comment>
    <comment ref="H44" authorId="2">
      <text>
        <r>
          <rPr>
            <sz val="8"/>
            <rFont val="Symbol"/>
            <family val="1"/>
          </rPr>
          <t xml:space="preserve">S </t>
        </r>
        <r>
          <rPr>
            <sz val="8"/>
            <rFont val="Tahoma"/>
            <family val="2"/>
          </rPr>
          <t xml:space="preserve"> Mz = sum of all applied Z-axis moments translated to the centroid of the pile group.
Sign convention: positive by "Right-Hand-Rule" 
                           about +Z-axis</t>
        </r>
      </text>
    </comment>
    <comment ref="E11" authorId="1">
      <text>
        <r>
          <rPr>
            <sz val="8"/>
            <rFont val="Tahoma"/>
            <family val="2"/>
          </rPr>
          <t>The Vertical Pile Reaction, 'Rz', at each pile is calculated as follows:
   Rz = (-</t>
        </r>
        <r>
          <rPr>
            <sz val="8"/>
            <rFont val="Symbol"/>
            <family val="1"/>
          </rPr>
          <t>S</t>
        </r>
        <r>
          <rPr>
            <sz val="8"/>
            <rFont val="Tahoma"/>
            <family val="2"/>
          </rPr>
          <t xml:space="preserve"> Pz)/Np +</t>
        </r>
        <r>
          <rPr>
            <sz val="8"/>
            <rFont val="Symbol"/>
            <family val="1"/>
          </rPr>
          <t xml:space="preserve"> ((S</t>
        </r>
        <r>
          <rPr>
            <sz val="8"/>
            <rFont val="Tahoma"/>
            <family val="2"/>
          </rPr>
          <t xml:space="preserve"> My)*Ix-(-</t>
        </r>
        <r>
          <rPr>
            <sz val="8"/>
            <rFont val="Symbol"/>
            <family val="1"/>
          </rPr>
          <t>S</t>
        </r>
        <r>
          <rPr>
            <sz val="8"/>
            <rFont val="Tahoma"/>
            <family val="2"/>
          </rPr>
          <t xml:space="preserve"> Mx)*Ixy)/(Ix*Iy-Ixy^2)*Xp + ((</t>
        </r>
        <r>
          <rPr>
            <sz val="8"/>
            <rFont val="Symbol"/>
            <family val="1"/>
          </rPr>
          <t>S</t>
        </r>
        <r>
          <rPr>
            <sz val="8"/>
            <rFont val="Tahoma"/>
            <family val="2"/>
          </rPr>
          <t xml:space="preserve"> Mx)*Iy-(</t>
        </r>
        <r>
          <rPr>
            <sz val="8"/>
            <rFont val="Symbol"/>
            <family val="1"/>
          </rPr>
          <t>S</t>
        </r>
        <r>
          <rPr>
            <sz val="8"/>
            <rFont val="Tahoma"/>
            <family val="2"/>
          </rPr>
          <t xml:space="preserve"> My)*Ixy)/(Ix*Iy-Ixy^2)*Yp
where:
   Xp = x-distance of pile from centroidal Y-axis
   Yp = y-distance of pile from centroidal X-axis
Sign convention for 'Rz' is as follows:
   positive (+) = compression pile reaction
   negative (-) = tension (uplift) pile reaction</t>
        </r>
      </text>
    </comment>
    <comment ref="F11" authorId="1">
      <text>
        <r>
          <rPr>
            <sz val="8"/>
            <rFont val="Tahoma"/>
            <family val="2"/>
          </rPr>
          <t>The Horizontal Pile Reaction, 'Rh', at each pile is calculated as follows:
   Rh = (((</t>
        </r>
        <r>
          <rPr>
            <sz val="8"/>
            <rFont val="Symbol"/>
            <family val="1"/>
          </rPr>
          <t>S</t>
        </r>
        <r>
          <rPr>
            <sz val="8"/>
            <rFont val="Tahoma"/>
            <family val="2"/>
          </rPr>
          <t xml:space="preserve"> Hx)/Np +</t>
        </r>
        <r>
          <rPr>
            <sz val="8"/>
            <rFont val="Symbol"/>
            <family val="1"/>
          </rPr>
          <t xml:space="preserve"> (S</t>
        </r>
        <r>
          <rPr>
            <sz val="8"/>
            <rFont val="Tahoma"/>
            <family val="2"/>
          </rPr>
          <t xml:space="preserve"> Mz)*Yp/J)^2 + ((</t>
        </r>
        <r>
          <rPr>
            <sz val="8"/>
            <rFont val="Symbol"/>
            <family val="1"/>
          </rPr>
          <t>S</t>
        </r>
        <r>
          <rPr>
            <sz val="8"/>
            <rFont val="Tahoma"/>
            <family val="2"/>
          </rPr>
          <t xml:space="preserve"> Hy)/Np + (</t>
        </r>
        <r>
          <rPr>
            <sz val="8"/>
            <rFont val="Symbol"/>
            <family val="1"/>
          </rPr>
          <t>S</t>
        </r>
        <r>
          <rPr>
            <sz val="8"/>
            <rFont val="Tahoma"/>
            <family val="2"/>
          </rPr>
          <t xml:space="preserve"> Mz)*Xp/J)^2)^(1/2)
where:
   Xp = x-distance of pile from centroidal Y-axis
   Yp = y-distance of pile from centroidal X-axis
Note: 'Rh' is an "absolute" value with no particular sign convention, thus no
          directional sense.</t>
        </r>
      </text>
    </comment>
    <comment ref="C10" authorId="2">
      <text>
        <r>
          <rPr>
            <sz val="8"/>
            <rFont val="Tahoma"/>
            <family val="2"/>
          </rPr>
          <t xml:space="preserve">All piles must be located in the positive 1st quadrant.  That is, all pile Xo, Yo coordinate values must be &gt;= 0.
</t>
        </r>
        <r>
          <rPr>
            <b/>
            <sz val="8"/>
            <rFont val="Tahoma"/>
            <family val="2"/>
          </rPr>
          <t>Note: The user should make sure to either clear the contents of all cells that are not used for input of pile coordinates, or those cell values should be input = 0.</t>
        </r>
      </text>
    </comment>
    <comment ref="B11" authorId="2">
      <text>
        <r>
          <rPr>
            <sz val="8"/>
            <rFont val="Tahoma"/>
            <family val="2"/>
          </rPr>
          <t>The 'Xo' coordinate is the x-distance from the origin axis to a particular pile.</t>
        </r>
      </text>
    </comment>
    <comment ref="C11" authorId="2">
      <text>
        <r>
          <rPr>
            <sz val="8"/>
            <rFont val="Tahoma"/>
            <family val="2"/>
          </rPr>
          <t>The 'Yo' coordinate is the y-distance from the origin axis to a particular pile.</t>
        </r>
      </text>
    </comment>
    <comment ref="H47" authorId="1">
      <text>
        <r>
          <rPr>
            <sz val="8"/>
            <rFont val="Tahoma"/>
            <family val="2"/>
          </rPr>
          <t>Sign convention for 'Rz(max)' is as follows:
   positive (+) = compression pile reaction
   negative (-) = tension (uplift) pile reaction</t>
        </r>
      </text>
    </comment>
    <comment ref="H48" authorId="1">
      <text>
        <r>
          <rPr>
            <sz val="8"/>
            <rFont val="Tahoma"/>
            <family val="2"/>
          </rPr>
          <t>Sign convention for 'Rz(min)' is as follows:
   positive (+) = compression pile reaction
   negative (-) = tension (uplift) pile reaction</t>
        </r>
      </text>
    </comment>
    <comment ref="H49" authorId="1">
      <text>
        <r>
          <rPr>
            <sz val="8"/>
            <rFont val="Tahoma"/>
            <family val="2"/>
          </rPr>
          <t>Note: 'Rh(max)' is an "absolute" value
          with no particular sign convention,
          thus no directional sense.</t>
        </r>
      </text>
    </comment>
    <comment ref="AC2" authorId="3">
      <text>
        <r>
          <rPr>
            <sz val="8"/>
            <rFont val="Tahoma"/>
            <family val="2"/>
          </rPr>
          <t>The user may manually adjust the scaling of the plotted pile group by adjusting the "X" and "Y" plot scale factors below.  The object is to try to equalize the maximum X-axis and Y-axis values which are shown.</t>
        </r>
      </text>
    </comment>
    <comment ref="C9" authorId="2">
      <text>
        <r>
          <rPr>
            <b/>
            <sz val="8"/>
            <rFont val="Tahoma"/>
            <family val="2"/>
          </rPr>
          <t>The minimum number of piles = 2.
The maximum number of piles = 25.</t>
        </r>
      </text>
    </comment>
    <comment ref="AG58" authorId="2">
      <text>
        <r>
          <rPr>
            <b/>
            <sz val="8"/>
            <rFont val="Tahoma"/>
            <family val="2"/>
          </rPr>
          <t>The minimum number of piles = 3.
The maximum number of piles = 25.</t>
        </r>
      </text>
    </comment>
    <comment ref="H32" authorId="1">
      <text>
        <r>
          <rPr>
            <sz val="8"/>
            <rFont val="Tahoma"/>
            <family val="2"/>
          </rPr>
          <t>The X-axis Moment of Inertia, 'Ix',  for the pile group is calculated as follows:
   Ix = Ap*</t>
        </r>
        <r>
          <rPr>
            <sz val="8"/>
            <rFont val="Symbol"/>
            <family val="1"/>
          </rPr>
          <t>S</t>
        </r>
        <r>
          <rPr>
            <sz val="8"/>
            <rFont val="Tahoma"/>
            <family val="2"/>
          </rPr>
          <t xml:space="preserve"> (dy)^2
where:
   Ap = Area of pile assumed = unity (1) 
   dy = y-distance of each pile from
               centroidal X-axis </t>
        </r>
      </text>
    </comment>
    <comment ref="H33" authorId="1">
      <text>
        <r>
          <rPr>
            <sz val="8"/>
            <rFont val="Tahoma"/>
            <family val="2"/>
          </rPr>
          <t>The Y-axis Moment of Inertia, 'Iy',  for the pile group is calculated as follows:
   Iy = Ap*</t>
        </r>
        <r>
          <rPr>
            <sz val="8"/>
            <rFont val="Symbol"/>
            <family val="1"/>
          </rPr>
          <t>S</t>
        </r>
        <r>
          <rPr>
            <sz val="8"/>
            <rFont val="Tahoma"/>
            <family val="2"/>
          </rPr>
          <t xml:space="preserve"> (dx)^2
where:
   Ap = Area of pile assumed = unity (1)  
   dx = x-distance of each pile from
               centroidal Y-axis </t>
        </r>
      </text>
    </comment>
    <comment ref="H34" authorId="1">
      <text>
        <r>
          <rPr>
            <sz val="8"/>
            <rFont val="Tahoma"/>
            <family val="2"/>
          </rPr>
          <t>The Polar Moment of Inertia for the pile group is calculated as follows:
   J = Ix+Iy</t>
        </r>
      </text>
    </comment>
    <comment ref="H35" authorId="1">
      <text>
        <r>
          <rPr>
            <sz val="8"/>
            <rFont val="Tahoma"/>
            <family val="2"/>
          </rPr>
          <t>The Product Moment of Inertia, 'Ixy', for the pile group is calculated as follows:
   Ixy = Ap*</t>
        </r>
        <r>
          <rPr>
            <sz val="8"/>
            <rFont val="Symbol"/>
            <family val="1"/>
          </rPr>
          <t>S</t>
        </r>
        <r>
          <rPr>
            <sz val="8"/>
            <rFont val="Tahoma"/>
            <family val="2"/>
          </rPr>
          <t xml:space="preserve"> (dx*dy)
where:
   Ap = Area of pile assumed = unity (1) 
   dx = x-distance of each pile from
               centroidal Y-axis
   dy = y-distance of each pile from
               centroidal X-axis
Note:  'Ixy' = 0  for a pile group with at
           least one axis of symmetry.</t>
        </r>
      </text>
    </comment>
    <comment ref="C63" authorId="2">
      <text>
        <r>
          <rPr>
            <sz val="8"/>
            <rFont val="Tahoma"/>
            <family val="2"/>
          </rPr>
          <t xml:space="preserve">All piles must be located in the positive 1st quadrant.  That is, all pile Xo, Yo coordinate values must be &gt;= 0.
</t>
        </r>
        <r>
          <rPr>
            <b/>
            <sz val="8"/>
            <rFont val="Tahoma"/>
            <family val="2"/>
          </rPr>
          <t>Note: The user should make sure to either clear the contents of all cells that are not used for input of pile coordinates, or those cell values should be input = 0.</t>
        </r>
      </text>
    </comment>
    <comment ref="B64" authorId="2">
      <text>
        <r>
          <rPr>
            <sz val="8"/>
            <rFont val="Tahoma"/>
            <family val="2"/>
          </rPr>
          <t>The 'Xo' coordinate is the x-distance from the origin axis to a particular pile.</t>
        </r>
      </text>
    </comment>
    <comment ref="C64" authorId="2">
      <text>
        <r>
          <rPr>
            <sz val="8"/>
            <rFont val="Tahoma"/>
            <family val="2"/>
          </rPr>
          <t>The 'Yo' coordinate is the y-distance from the origin axis to a particular pile.</t>
        </r>
      </text>
    </comment>
    <comment ref="E64" authorId="1">
      <text>
        <r>
          <rPr>
            <sz val="8"/>
            <rFont val="Tahoma"/>
            <family val="2"/>
          </rPr>
          <t>The Vertical Pile Reaction, 'Rz', at each pile is calculated as follows:
   Rz = (-</t>
        </r>
        <r>
          <rPr>
            <sz val="8"/>
            <rFont val="Symbol"/>
            <family val="1"/>
          </rPr>
          <t>S</t>
        </r>
        <r>
          <rPr>
            <sz val="8"/>
            <rFont val="Tahoma"/>
            <family val="2"/>
          </rPr>
          <t xml:space="preserve"> Pz)/Np +</t>
        </r>
        <r>
          <rPr>
            <sz val="8"/>
            <rFont val="Symbol"/>
            <family val="1"/>
          </rPr>
          <t xml:space="preserve"> ((S</t>
        </r>
        <r>
          <rPr>
            <sz val="8"/>
            <rFont val="Tahoma"/>
            <family val="2"/>
          </rPr>
          <t xml:space="preserve"> My)*Ix-(-</t>
        </r>
        <r>
          <rPr>
            <sz val="8"/>
            <rFont val="Symbol"/>
            <family val="1"/>
          </rPr>
          <t>S</t>
        </r>
        <r>
          <rPr>
            <sz val="8"/>
            <rFont val="Tahoma"/>
            <family val="2"/>
          </rPr>
          <t xml:space="preserve"> Mx)*Ixy)/(Ix*Iy-Ixy^2)*Xp + ((</t>
        </r>
        <r>
          <rPr>
            <sz val="8"/>
            <rFont val="Symbol"/>
            <family val="1"/>
          </rPr>
          <t>S</t>
        </r>
        <r>
          <rPr>
            <sz val="8"/>
            <rFont val="Tahoma"/>
            <family val="2"/>
          </rPr>
          <t xml:space="preserve"> Mx)*Iy-(</t>
        </r>
        <r>
          <rPr>
            <sz val="8"/>
            <rFont val="Symbol"/>
            <family val="1"/>
          </rPr>
          <t>S</t>
        </r>
        <r>
          <rPr>
            <sz val="8"/>
            <rFont val="Tahoma"/>
            <family val="2"/>
          </rPr>
          <t xml:space="preserve"> My)*Ixy)/(Ix*Iy-Ixy^2)*Yp
where:
   Xp = x-distance of pile from centroidal Y-axis
   Yp = y-distance of pile from centroidal X-axis
Sign convention for 'Rz' is as follows:
   positive (+) = compression pile reaction
   negative (-) = tension (uplift) pile reaction</t>
        </r>
      </text>
    </comment>
    <comment ref="F64" authorId="1">
      <text>
        <r>
          <rPr>
            <sz val="8"/>
            <rFont val="Tahoma"/>
            <family val="2"/>
          </rPr>
          <t>The Horizontal Pile Reaction, 'Rh', at each pile is calculated as follows:
   Rh = (((</t>
        </r>
        <r>
          <rPr>
            <sz val="8"/>
            <rFont val="Symbol"/>
            <family val="1"/>
          </rPr>
          <t>S</t>
        </r>
        <r>
          <rPr>
            <sz val="8"/>
            <rFont val="Tahoma"/>
            <family val="2"/>
          </rPr>
          <t xml:space="preserve"> Hx)/Np +</t>
        </r>
        <r>
          <rPr>
            <sz val="8"/>
            <rFont val="Symbol"/>
            <family val="1"/>
          </rPr>
          <t xml:space="preserve"> (S</t>
        </r>
        <r>
          <rPr>
            <sz val="8"/>
            <rFont val="Tahoma"/>
            <family val="2"/>
          </rPr>
          <t xml:space="preserve"> Mz)*Yp/J)^2 + ((</t>
        </r>
        <r>
          <rPr>
            <sz val="8"/>
            <rFont val="Symbol"/>
            <family val="1"/>
          </rPr>
          <t>S</t>
        </r>
        <r>
          <rPr>
            <sz val="8"/>
            <rFont val="Tahoma"/>
            <family val="2"/>
          </rPr>
          <t xml:space="preserve"> Hy)/Np + (</t>
        </r>
        <r>
          <rPr>
            <sz val="8"/>
            <rFont val="Symbol"/>
            <family val="1"/>
          </rPr>
          <t>S</t>
        </r>
        <r>
          <rPr>
            <sz val="8"/>
            <rFont val="Tahoma"/>
            <family val="2"/>
          </rPr>
          <t xml:space="preserve"> Mz)*Xp/J)^2)^(1/2)
where:
   Xp = x-distance of pile from centroidal Y-axis
   Yp = y-distance of pile from centroidal X-axis
Note: 'Rh' is an "absolute" value with no particular sign convention, thus no
          directional sense.</t>
        </r>
      </text>
    </comment>
    <comment ref="H83" authorId="1">
      <text>
        <r>
          <rPr>
            <sz val="8"/>
            <rFont val="Tahoma"/>
            <family val="2"/>
          </rPr>
          <t xml:space="preserve">The location of the centroidal Y-axis from the origin Y-axis is calculated as follows:
   Xc = </t>
        </r>
        <r>
          <rPr>
            <sz val="8"/>
            <rFont val="Symbol"/>
            <family val="1"/>
          </rPr>
          <t>S</t>
        </r>
        <r>
          <rPr>
            <sz val="8"/>
            <rFont val="Tahoma"/>
            <family val="2"/>
          </rPr>
          <t xml:space="preserve"> (Xo)/Np
where:
   Np = total number of piles in group</t>
        </r>
      </text>
    </comment>
    <comment ref="H84" authorId="1">
      <text>
        <r>
          <rPr>
            <sz val="8"/>
            <rFont val="Tahoma"/>
            <family val="2"/>
          </rPr>
          <t xml:space="preserve">The location of the centroidal X-axis from the origin X-axis is calculated as follows:
   Yc = </t>
        </r>
        <r>
          <rPr>
            <sz val="8"/>
            <rFont val="Symbol"/>
            <family val="1"/>
          </rPr>
          <t>S</t>
        </r>
        <r>
          <rPr>
            <sz val="8"/>
            <rFont val="Tahoma"/>
            <family val="2"/>
          </rPr>
          <t xml:space="preserve"> (Yo)/Np
where:
   Np = total number of piles in group</t>
        </r>
      </text>
    </comment>
    <comment ref="H85" authorId="1">
      <text>
        <r>
          <rPr>
            <sz val="8"/>
            <rFont val="Tahoma"/>
            <family val="2"/>
          </rPr>
          <t>The X-axis Moment of Inertia, 'Ix',  for the pile group is calculated as follows:
   Ix = Ap*</t>
        </r>
        <r>
          <rPr>
            <sz val="8"/>
            <rFont val="Symbol"/>
            <family val="1"/>
          </rPr>
          <t>S</t>
        </r>
        <r>
          <rPr>
            <sz val="8"/>
            <rFont val="Tahoma"/>
            <family val="2"/>
          </rPr>
          <t xml:space="preserve"> (dy)^2
where:
   Ap = Area of pile assumed = unity (1) 
   dy = y-distance of each pile from
               centroidal X-axis </t>
        </r>
      </text>
    </comment>
    <comment ref="H86" authorId="1">
      <text>
        <r>
          <rPr>
            <sz val="8"/>
            <rFont val="Tahoma"/>
            <family val="2"/>
          </rPr>
          <t>The Y-axis Moment of Inertia, 'Iy',  for the pile group is calculated as follows:
   Iy = Ap*</t>
        </r>
        <r>
          <rPr>
            <sz val="8"/>
            <rFont val="Symbol"/>
            <family val="1"/>
          </rPr>
          <t>S</t>
        </r>
        <r>
          <rPr>
            <sz val="8"/>
            <rFont val="Tahoma"/>
            <family val="2"/>
          </rPr>
          <t xml:space="preserve"> (dx)^2
where:
   Ap = Area of pile assumed = unity (1)  
   dx = x-distance of each pile from
               centroidal Y-axis </t>
        </r>
      </text>
    </comment>
    <comment ref="H87" authorId="1">
      <text>
        <r>
          <rPr>
            <sz val="8"/>
            <rFont val="Tahoma"/>
            <family val="2"/>
          </rPr>
          <t>The Polar Moment of Inertia for the pile group is calculated as follows:
   J = Ix+Iy</t>
        </r>
      </text>
    </comment>
    <comment ref="H88" authorId="1">
      <text>
        <r>
          <rPr>
            <sz val="8"/>
            <rFont val="Tahoma"/>
            <family val="2"/>
          </rPr>
          <t>The Product Moment of Inertia, 'Ixy', for the pile group is calculated as follows:
   Ixy = Ap*</t>
        </r>
        <r>
          <rPr>
            <sz val="8"/>
            <rFont val="Symbol"/>
            <family val="1"/>
          </rPr>
          <t>S</t>
        </r>
        <r>
          <rPr>
            <sz val="8"/>
            <rFont val="Tahoma"/>
            <family val="2"/>
          </rPr>
          <t xml:space="preserve"> (dx*dy)
where:
   Ap = Area of pile assumed = unity (1) 
   dx = x-distance of each pile from
               centroidal Y-axis
   dy = y-distance of each pile from
               centroidal X-axis
Note:  'Ixy' = 0  for a pile group with at
           least one axis of symmetry.</t>
        </r>
      </text>
    </comment>
    <comment ref="H89" authorId="1">
      <text>
        <r>
          <rPr>
            <sz val="8"/>
            <rFont val="Tahoma"/>
            <family val="2"/>
          </rPr>
          <t>The orientation of the principal axes, is defined by the rotation angle, '</t>
        </r>
        <r>
          <rPr>
            <sz val="8"/>
            <rFont val="Symbol"/>
            <family val="1"/>
          </rPr>
          <t xml:space="preserve">q </t>
        </r>
        <r>
          <rPr>
            <sz val="8"/>
            <rFont val="Tahoma"/>
            <family val="2"/>
          </rPr>
          <t xml:space="preserve">', from the centroidal axes and is calculated as follows:
   </t>
        </r>
        <r>
          <rPr>
            <sz val="8"/>
            <rFont val="Symbol"/>
            <family val="1"/>
          </rPr>
          <t>q</t>
        </r>
        <r>
          <rPr>
            <sz val="8"/>
            <rFont val="Tahoma"/>
            <family val="2"/>
          </rPr>
          <t xml:space="preserve"> = (ATAN(-2*Ixy/(Ix-Iy)))/2
Note: sign convention is positive (+) ccw.
           '</t>
        </r>
        <r>
          <rPr>
            <sz val="8"/>
            <rFont val="Symbol"/>
            <family val="1"/>
          </rPr>
          <t xml:space="preserve">q </t>
        </r>
        <r>
          <rPr>
            <sz val="8"/>
            <rFont val="Tahoma"/>
            <family val="2"/>
          </rPr>
          <t>' = 0  for a pile group with at least one
          axis of symmetry.</t>
        </r>
      </text>
    </comment>
    <comment ref="H92" authorId="2">
      <text>
        <r>
          <rPr>
            <sz val="8"/>
            <rFont val="Symbol"/>
            <family val="1"/>
          </rPr>
          <t xml:space="preserve">S </t>
        </r>
        <r>
          <rPr>
            <sz val="8"/>
            <rFont val="Tahoma"/>
            <family val="2"/>
          </rPr>
          <t xml:space="preserve"> Pz = sum of all applied vertical (Z-axis) loads translated to the centroid of the pile group.
Sign convention: positive in +Z-axis direction</t>
        </r>
      </text>
    </comment>
    <comment ref="H93" authorId="2">
      <text>
        <r>
          <rPr>
            <sz val="8"/>
            <rFont val="Symbol"/>
            <family val="1"/>
          </rPr>
          <t xml:space="preserve">S </t>
        </r>
        <r>
          <rPr>
            <sz val="8"/>
            <rFont val="Tahoma"/>
            <family val="2"/>
          </rPr>
          <t xml:space="preserve"> Hx = sum of all applied horizontal (X-axis) loads translated to the centroid of the pile group.
Sign convention: positive in +X-axis direction</t>
        </r>
      </text>
    </comment>
    <comment ref="B94" authorId="2">
      <text>
        <r>
          <rPr>
            <sz val="8"/>
            <rFont val="Tahoma"/>
            <family val="2"/>
          </rPr>
          <t>The 'X' coordinate is the x-distance from the origin axis to a particular pier/loading.</t>
        </r>
      </text>
    </comment>
    <comment ref="H94" authorId="2">
      <text>
        <r>
          <rPr>
            <sz val="8"/>
            <rFont val="Symbol"/>
            <family val="1"/>
          </rPr>
          <t xml:space="preserve">S </t>
        </r>
        <r>
          <rPr>
            <sz val="8"/>
            <rFont val="Tahoma"/>
            <family val="2"/>
          </rPr>
          <t xml:space="preserve"> Hy = sum of all applied horizontal (Y-axis) loads translated to the centroid of the pile group.
Sign convention: positive in +Y-axis direction</t>
        </r>
      </text>
    </comment>
    <comment ref="B95" authorId="2">
      <text>
        <r>
          <rPr>
            <sz val="8"/>
            <rFont val="Tahoma"/>
            <family val="2"/>
          </rPr>
          <t>The 'Y' coordinate is the y-distance from the origin axis to a particular pier/loading.</t>
        </r>
      </text>
    </comment>
    <comment ref="H95" authorId="2">
      <text>
        <r>
          <rPr>
            <sz val="8"/>
            <rFont val="Symbol"/>
            <family val="1"/>
          </rPr>
          <t xml:space="preserve">S </t>
        </r>
        <r>
          <rPr>
            <sz val="8"/>
            <rFont val="Tahoma"/>
            <family val="2"/>
          </rPr>
          <t xml:space="preserve"> Mx = sum of all applied X-axis moments calculated at the top of the piles and  translated to the centroid of the pile group.
Sign convention: positive by "Right-Hand-Rule"
                            about +X-axis</t>
        </r>
      </text>
    </comment>
    <comment ref="B96" authorId="2">
      <text>
        <r>
          <rPr>
            <sz val="8"/>
            <rFont val="Tahoma"/>
            <family val="2"/>
          </rPr>
          <t>The vertical distance, 'h',  from the point of application of any horizontal loads (Hx, Hy) to the top of the piles. This 'h' distance should always be a positive number, but it may be input = 0 if there are no horizontal loads at that pier.  The 'h' distance is used in conjunction with the horizontal loads to obtain any additional moments (Mx, My) that are to be eventually summed with the applied moments.</t>
        </r>
      </text>
    </comment>
    <comment ref="H96" authorId="2">
      <text>
        <r>
          <rPr>
            <sz val="8"/>
            <rFont val="Symbol"/>
            <family val="1"/>
          </rPr>
          <t xml:space="preserve">S </t>
        </r>
        <r>
          <rPr>
            <sz val="8"/>
            <rFont val="Tahoma"/>
            <family val="2"/>
          </rPr>
          <t xml:space="preserve"> My = sum of all applied Y-axis moments calculated at the top of the piles and  translated to the centroid of the pile group.
Sign convention: positive by "Right-Hand-Rule"
                            about +Y-axis</t>
        </r>
      </text>
    </comment>
    <comment ref="B97" authorId="2">
      <text>
        <r>
          <rPr>
            <sz val="8"/>
            <rFont val="Tahoma"/>
            <family val="2"/>
          </rPr>
          <t>'Pz' is the vertical (Z-axis) load to be applied at the pier location.
Sign convention: + = upward (out of page)
                            -  = downward (into page) for gravity loads</t>
        </r>
      </text>
    </comment>
    <comment ref="H97" authorId="2">
      <text>
        <r>
          <rPr>
            <sz val="8"/>
            <rFont val="Symbol"/>
            <family val="1"/>
          </rPr>
          <t xml:space="preserve">S </t>
        </r>
        <r>
          <rPr>
            <sz val="8"/>
            <rFont val="Tahoma"/>
            <family val="2"/>
          </rPr>
          <t xml:space="preserve"> Mz = sum of all applied Z-axis moments translated to the centroid of the pile group.
Sign convention: positive by "Right-Hand-Rule" 
                           about +Z-axis</t>
        </r>
      </text>
    </comment>
    <comment ref="B98" authorId="2">
      <text>
        <r>
          <rPr>
            <sz val="8"/>
            <rFont val="Tahoma"/>
            <family val="2"/>
          </rPr>
          <t>'Hx' is the horizontal (X-axis) load to be applied at the pier location.
Sign convention: + = to right</t>
        </r>
      </text>
    </comment>
    <comment ref="B99" authorId="2">
      <text>
        <r>
          <rPr>
            <sz val="8"/>
            <rFont val="Tahoma"/>
            <family val="2"/>
          </rPr>
          <t>'Hy' is the horizontal (Y-axis) load to be applied at the pier location.
Sign convention: + = up the page</t>
        </r>
      </text>
    </comment>
    <comment ref="B100" authorId="2">
      <text>
        <r>
          <rPr>
            <sz val="8"/>
            <rFont val="Tahoma"/>
            <family val="2"/>
          </rPr>
          <t>'Mx' is the X-axis moment to be applied at the pier location.
Sign convention: + = by "Right-Hand-Rule" about +X-axis</t>
        </r>
      </text>
    </comment>
    <comment ref="H100" authorId="1">
      <text>
        <r>
          <rPr>
            <sz val="8"/>
            <rFont val="Tahoma"/>
            <family val="2"/>
          </rPr>
          <t>Sign convention for 'Rz(max)' is as follows:
   positive (+) = compression pile reaction
   negative (-) = tension (uplift) pile reaction</t>
        </r>
      </text>
    </comment>
    <comment ref="B101" authorId="2">
      <text>
        <r>
          <rPr>
            <sz val="8"/>
            <rFont val="Tahoma"/>
            <family val="2"/>
          </rPr>
          <t>'My' is the Y-axis moment to be applied at the pier location.
Sign convention: + = by "Right-Hand-Rule" about +Y-axis</t>
        </r>
      </text>
    </comment>
    <comment ref="H101" authorId="1">
      <text>
        <r>
          <rPr>
            <sz val="8"/>
            <rFont val="Tahoma"/>
            <family val="2"/>
          </rPr>
          <t>Sign convention for 'Rz(min)' is as follows:
   positive (+) = compression pile reaction
   negative (-) = tension (uplift) pile reaction</t>
        </r>
      </text>
    </comment>
    <comment ref="B102" authorId="2">
      <text>
        <r>
          <rPr>
            <sz val="8"/>
            <rFont val="Tahoma"/>
            <family val="2"/>
          </rPr>
          <t>'Mz' is the Z-axis moment to be applied at the pier location.
Sign convention: + = by "Right-Hand-Rule" about +Z-axis</t>
        </r>
      </text>
    </comment>
    <comment ref="H102" authorId="1">
      <text>
        <r>
          <rPr>
            <sz val="8"/>
            <rFont val="Tahoma"/>
            <family val="2"/>
          </rPr>
          <t>Note: 'Rh(max)' is an "absolute" value
          with no particular sign convention,
          thus no directional sense.</t>
        </r>
      </text>
    </comment>
  </commentList>
</comments>
</file>

<file path=xl/sharedStrings.xml><?xml version="1.0" encoding="utf-8"?>
<sst xmlns="http://schemas.openxmlformats.org/spreadsheetml/2006/main" count="563" uniqueCount="332">
  <si>
    <t>n</t>
  </si>
  <si>
    <t>k</t>
  </si>
  <si>
    <t>R</t>
  </si>
  <si>
    <t xml:space="preserve"> Es/Ec</t>
  </si>
  <si>
    <t>=</t>
  </si>
  <si>
    <t xml:space="preserve"> 1/[1+fs/(n fc)]</t>
  </si>
  <si>
    <t xml:space="preserve"> 1 - k/3</t>
  </si>
  <si>
    <t>fc j k / 2</t>
  </si>
  <si>
    <t>A:</t>
  </si>
  <si>
    <t>B:</t>
  </si>
  <si>
    <t>C:</t>
  </si>
  <si>
    <t>D:</t>
  </si>
  <si>
    <t>of</t>
  </si>
  <si>
    <t>kg.</t>
  </si>
  <si>
    <t>P</t>
  </si>
  <si>
    <t>Mx</t>
  </si>
  <si>
    <t>My</t>
  </si>
  <si>
    <t>Ix</t>
  </si>
  <si>
    <t>Iy</t>
  </si>
  <si>
    <t>b</t>
  </si>
  <si>
    <t>Sx</t>
  </si>
  <si>
    <t>Sy</t>
  </si>
  <si>
    <t>Msx, Fbx*Sx</t>
  </si>
  <si>
    <t>Msy, Fby*Sy</t>
  </si>
  <si>
    <t>ebx</t>
  </si>
  <si>
    <t>eax</t>
  </si>
  <si>
    <t>eay</t>
  </si>
  <si>
    <t>eby</t>
  </si>
  <si>
    <r>
      <t>r</t>
    </r>
    <r>
      <rPr>
        <sz val="8.8"/>
        <color indexed="8"/>
        <rFont val="Times New Roman"/>
        <family val="1"/>
      </rPr>
      <t>g, Ast/Ag</t>
    </r>
  </si>
  <si>
    <t>(0.67*rg</t>
  </si>
  <si>
    <t>m</t>
  </si>
  <si>
    <t>kg.-m.</t>
  </si>
  <si>
    <t>E:</t>
  </si>
  <si>
    <t>F:</t>
  </si>
  <si>
    <t>x</t>
  </si>
  <si>
    <t>y</t>
  </si>
  <si>
    <t>G:</t>
  </si>
  <si>
    <t>f'c</t>
  </si>
  <si>
    <t>fc</t>
  </si>
  <si>
    <t>Ec</t>
  </si>
  <si>
    <t>fy</t>
  </si>
  <si>
    <t>j</t>
  </si>
  <si>
    <t>no.</t>
  </si>
  <si>
    <t>x-x</t>
  </si>
  <si>
    <t>y-y</t>
  </si>
  <si>
    <t>y1</t>
  </si>
  <si>
    <t>y2</t>
  </si>
  <si>
    <t>x1</t>
  </si>
  <si>
    <t>x2</t>
  </si>
  <si>
    <t>Df</t>
  </si>
  <si>
    <t>Lx</t>
  </si>
  <si>
    <t>Ly</t>
  </si>
  <si>
    <t>a</t>
  </si>
  <si>
    <t>PILE GROUP ANALYSIS FOR RIGID PILE CAP</t>
  </si>
  <si>
    <t>CALCULATIONS:</t>
  </si>
  <si>
    <t>Version 3.5</t>
  </si>
  <si>
    <t>Using the Elastic Method for up to 25 Total Piles</t>
  </si>
  <si>
    <t>Plot Scale Factors</t>
  </si>
  <si>
    <t>(For Metric Units)</t>
  </si>
  <si>
    <t>Pile Dist. to X,Y axis:</t>
  </si>
  <si>
    <t>Moments of Inertia:</t>
  </si>
  <si>
    <t>Pile Dist. to C.G.:</t>
  </si>
  <si>
    <t>Pile Reactions:</t>
  </si>
  <si>
    <t>X-axis</t>
  </si>
  <si>
    <t>Y-axis</t>
  </si>
  <si>
    <t>Job Name:</t>
  </si>
  <si>
    <t>Subject:</t>
  </si>
  <si>
    <t>Pile No.:</t>
  </si>
  <si>
    <t>dy</t>
  </si>
  <si>
    <t>dx</t>
  </si>
  <si>
    <t>Ixy</t>
  </si>
  <si>
    <t>Xp</t>
  </si>
  <si>
    <t>Yp</t>
  </si>
  <si>
    <t>Vert. Rz</t>
  </si>
  <si>
    <t>Horiz. Rh</t>
  </si>
  <si>
    <t>Job Number:</t>
  </si>
  <si>
    <t>Originator:</t>
  </si>
  <si>
    <t>Checker:</t>
  </si>
  <si>
    <t>below from Metric to English Units, and use</t>
  </si>
  <si>
    <t>Input Data:</t>
  </si>
  <si>
    <t>"Paste Special, Values" function to paste into</t>
  </si>
  <si>
    <t>Results:</t>
  </si>
  <si>
    <t>appropriate input cells in English worksheet.</t>
  </si>
  <si>
    <t>Number of Piles, Np =</t>
  </si>
  <si>
    <t xml:space="preserve"> </t>
  </si>
  <si>
    <t>Pile Coordinates:</t>
  </si>
  <si>
    <t>English Units Pile Coordinates:</t>
  </si>
  <si>
    <t>Pile Group Properties:</t>
  </si>
  <si>
    <t>Xc =</t>
  </si>
  <si>
    <t>Yc =</t>
  </si>
  <si>
    <t>Pier Data and Loads:</t>
  </si>
  <si>
    <t>Ix =</t>
  </si>
  <si>
    <t>m^2</t>
  </si>
  <si>
    <t>Pier #1</t>
  </si>
  <si>
    <t>Pier #2</t>
  </si>
  <si>
    <t>Pier #3</t>
  </si>
  <si>
    <t>Pier #4</t>
  </si>
  <si>
    <t>Iy =</t>
  </si>
  <si>
    <t>J =</t>
  </si>
  <si>
    <t>Ixy =</t>
  </si>
  <si>
    <t>Mx(Pz)</t>
  </si>
  <si>
    <t>deg.</t>
  </si>
  <si>
    <t>My(Pz)</t>
  </si>
  <si>
    <t>Mx(Hy)</t>
  </si>
  <si>
    <t>Number of Piers, N =</t>
  </si>
  <si>
    <t>My(Hx)</t>
  </si>
  <si>
    <t>kN</t>
  </si>
  <si>
    <t>Mz(Hx)</t>
  </si>
  <si>
    <t>Pier/Loading Data:</t>
  </si>
  <si>
    <t>Mz(Hy)</t>
  </si>
  <si>
    <t>English Units Pier/Loading Data:</t>
  </si>
  <si>
    <t>kN-m</t>
  </si>
  <si>
    <t>Pile Reaction Summary:</t>
  </si>
  <si>
    <t>Kn-m</t>
  </si>
  <si>
    <t>Rz(max) =</t>
  </si>
  <si>
    <t>Rz(min) =</t>
  </si>
  <si>
    <t>Rh(max) =</t>
  </si>
  <si>
    <t>Circular Pile Pattern:</t>
  </si>
  <si>
    <t xml:space="preserve">          of pile coordinates for a circular pattern:</t>
  </si>
  <si>
    <t>Input (Metric Units):</t>
  </si>
  <si>
    <t>No. of Piles, Np =</t>
  </si>
  <si>
    <t>Pile Circle, Dc =</t>
  </si>
  <si>
    <t>Center of Circle, Xo =</t>
  </si>
  <si>
    <t>Center of Circle, Yo =</t>
  </si>
  <si>
    <t>Xo (m)</t>
  </si>
  <si>
    <t>Yo (m)</t>
  </si>
  <si>
    <t>Input which can be copied</t>
  </si>
  <si>
    <t>(See notes below)</t>
  </si>
  <si>
    <t xml:space="preserve">            3. When modeling multiple pile circles, remember to always use the center coordinates of the </t>
  </si>
  <si>
    <t xml:space="preserve">                largest pile circle for all the other smaller pile circles.</t>
  </si>
  <si>
    <r>
      <t>Note:</t>
    </r>
    <r>
      <rPr>
        <b/>
        <i/>
        <sz val="10"/>
        <color indexed="10"/>
        <rFont val="Arial"/>
        <family val="2"/>
      </rPr>
      <t xml:space="preserve">  User may copy the values converted </t>
    </r>
  </si>
  <si>
    <r>
      <t xml:space="preserve">Pile Reactions </t>
    </r>
    <r>
      <rPr>
        <b/>
        <sz val="8"/>
        <rFont val="Arial"/>
        <family val="2"/>
      </rPr>
      <t>(kN)</t>
    </r>
  </si>
  <si>
    <r>
      <t xml:space="preserve">Xo </t>
    </r>
    <r>
      <rPr>
        <sz val="8"/>
        <rFont val="Arial"/>
        <family val="2"/>
      </rPr>
      <t>(m)</t>
    </r>
  </si>
  <si>
    <r>
      <t xml:space="preserve">Yo </t>
    </r>
    <r>
      <rPr>
        <sz val="8"/>
        <rFont val="Arial"/>
        <family val="2"/>
      </rPr>
      <t>(m)</t>
    </r>
  </si>
  <si>
    <r>
      <t xml:space="preserve">Xo </t>
    </r>
    <r>
      <rPr>
        <sz val="8"/>
        <color indexed="12"/>
        <rFont val="Arial"/>
        <family val="2"/>
      </rPr>
      <t>(ft.)</t>
    </r>
  </si>
  <si>
    <r>
      <t xml:space="preserve">Yo </t>
    </r>
    <r>
      <rPr>
        <sz val="8"/>
        <color indexed="12"/>
        <rFont val="Arial"/>
        <family val="2"/>
      </rPr>
      <t>(ft.)</t>
    </r>
  </si>
  <si>
    <r>
      <t>S</t>
    </r>
    <r>
      <rPr>
        <sz val="10"/>
        <color indexed="12"/>
        <rFont val="Arial"/>
        <family val="2"/>
      </rPr>
      <t xml:space="preserve"> Xo =</t>
    </r>
  </si>
  <si>
    <r>
      <t>S</t>
    </r>
    <r>
      <rPr>
        <sz val="10"/>
        <color indexed="12"/>
        <rFont val="Arial"/>
        <family val="2"/>
      </rPr>
      <t xml:space="preserve"> Yo =</t>
    </r>
  </si>
  <si>
    <r>
      <t>q</t>
    </r>
    <r>
      <rPr>
        <sz val="10"/>
        <color indexed="8"/>
        <rFont val="Arial"/>
        <family val="2"/>
      </rPr>
      <t xml:space="preserve"> =</t>
    </r>
  </si>
  <si>
    <r>
      <t>S</t>
    </r>
    <r>
      <rPr>
        <b/>
        <u val="single"/>
        <sz val="10"/>
        <color indexed="8"/>
        <rFont val="Arial"/>
        <family val="2"/>
      </rPr>
      <t xml:space="preserve"> Pier Loads @ C.G. of Group:</t>
    </r>
  </si>
  <si>
    <r>
      <t>S</t>
    </r>
    <r>
      <rPr>
        <sz val="10"/>
        <color indexed="8"/>
        <rFont val="Arial"/>
        <family val="2"/>
      </rPr>
      <t xml:space="preserve"> Pz =</t>
    </r>
  </si>
  <si>
    <r>
      <t>S</t>
    </r>
    <r>
      <rPr>
        <sz val="10"/>
        <color indexed="8"/>
        <rFont val="Arial"/>
        <family val="2"/>
      </rPr>
      <t xml:space="preserve"> Hx =</t>
    </r>
  </si>
  <si>
    <r>
      <t>q</t>
    </r>
    <r>
      <rPr>
        <sz val="10"/>
        <color indexed="12"/>
        <rFont val="Arial"/>
        <family val="2"/>
      </rPr>
      <t xml:space="preserve"> =</t>
    </r>
  </si>
  <si>
    <r>
      <t xml:space="preserve">X-Coordinate </t>
    </r>
    <r>
      <rPr>
        <sz val="8"/>
        <rFont val="Arial"/>
        <family val="2"/>
      </rPr>
      <t>(m)</t>
    </r>
    <r>
      <rPr>
        <sz val="10"/>
        <rFont val="Arial"/>
        <family val="2"/>
      </rPr>
      <t xml:space="preserve"> =</t>
    </r>
  </si>
  <si>
    <r>
      <t>S</t>
    </r>
    <r>
      <rPr>
        <sz val="10"/>
        <color indexed="8"/>
        <rFont val="Arial"/>
        <family val="2"/>
      </rPr>
      <t xml:space="preserve"> Hy =</t>
    </r>
  </si>
  <si>
    <r>
      <t xml:space="preserve">X-Coordinate </t>
    </r>
    <r>
      <rPr>
        <sz val="8"/>
        <color indexed="12"/>
        <rFont val="Arial"/>
        <family val="2"/>
      </rPr>
      <t>(ft.)</t>
    </r>
    <r>
      <rPr>
        <sz val="10"/>
        <color indexed="12"/>
        <rFont val="Arial"/>
        <family val="2"/>
      </rPr>
      <t xml:space="preserve"> =</t>
    </r>
  </si>
  <si>
    <r>
      <t xml:space="preserve">Y-Coordinate </t>
    </r>
    <r>
      <rPr>
        <sz val="8"/>
        <rFont val="Arial"/>
        <family val="2"/>
      </rPr>
      <t>(m)</t>
    </r>
    <r>
      <rPr>
        <sz val="10"/>
        <rFont val="Arial"/>
        <family val="2"/>
      </rPr>
      <t xml:space="preserve"> =</t>
    </r>
  </si>
  <si>
    <r>
      <t>S</t>
    </r>
    <r>
      <rPr>
        <sz val="10"/>
        <color indexed="8"/>
        <rFont val="Arial"/>
        <family val="2"/>
      </rPr>
      <t xml:space="preserve"> Mx =</t>
    </r>
  </si>
  <si>
    <r>
      <t>S</t>
    </r>
    <r>
      <rPr>
        <u val="single"/>
        <sz val="10"/>
        <color indexed="12"/>
        <rFont val="Arial"/>
        <family val="2"/>
      </rPr>
      <t xml:space="preserve"> Pier Loads @ C.G. of Pile Group:</t>
    </r>
  </si>
  <si>
    <r>
      <t xml:space="preserve">Y-Coordinate </t>
    </r>
    <r>
      <rPr>
        <sz val="8"/>
        <color indexed="12"/>
        <rFont val="Arial"/>
        <family val="2"/>
      </rPr>
      <t>(ft.)</t>
    </r>
    <r>
      <rPr>
        <sz val="10"/>
        <color indexed="12"/>
        <rFont val="Arial"/>
        <family val="2"/>
      </rPr>
      <t xml:space="preserve"> =</t>
    </r>
  </si>
  <si>
    <r>
      <t xml:space="preserve">Dist. to T/Piles, h </t>
    </r>
    <r>
      <rPr>
        <sz val="8"/>
        <rFont val="Arial"/>
        <family val="2"/>
      </rPr>
      <t>(m)</t>
    </r>
    <r>
      <rPr>
        <sz val="10"/>
        <rFont val="Arial"/>
        <family val="2"/>
      </rPr>
      <t xml:space="preserve"> =</t>
    </r>
  </si>
  <si>
    <r>
      <t>S</t>
    </r>
    <r>
      <rPr>
        <sz val="10"/>
        <color indexed="8"/>
        <rFont val="Arial"/>
        <family val="2"/>
      </rPr>
      <t xml:space="preserve"> My =</t>
    </r>
  </si>
  <si>
    <r>
      <t>S</t>
    </r>
    <r>
      <rPr>
        <sz val="10"/>
        <color indexed="12"/>
        <rFont val="Arial"/>
        <family val="2"/>
      </rPr>
      <t xml:space="preserve"> Pz =</t>
    </r>
  </si>
  <si>
    <r>
      <t xml:space="preserve">Dist. to T/Piles, h </t>
    </r>
    <r>
      <rPr>
        <sz val="8"/>
        <color indexed="12"/>
        <rFont val="Arial"/>
        <family val="2"/>
      </rPr>
      <t>(ft.)</t>
    </r>
    <r>
      <rPr>
        <sz val="10"/>
        <color indexed="12"/>
        <rFont val="Arial"/>
        <family val="2"/>
      </rPr>
      <t xml:space="preserve"> =</t>
    </r>
  </si>
  <si>
    <r>
      <t xml:space="preserve">Vertical Load, Pz </t>
    </r>
    <r>
      <rPr>
        <sz val="8"/>
        <rFont val="Arial"/>
        <family val="2"/>
      </rPr>
      <t>(kN)</t>
    </r>
    <r>
      <rPr>
        <sz val="10"/>
        <rFont val="Arial"/>
        <family val="2"/>
      </rPr>
      <t xml:space="preserve"> =</t>
    </r>
  </si>
  <si>
    <r>
      <t>S</t>
    </r>
    <r>
      <rPr>
        <sz val="10"/>
        <color indexed="8"/>
        <rFont val="Arial"/>
        <family val="2"/>
      </rPr>
      <t xml:space="preserve"> Mz =</t>
    </r>
  </si>
  <si>
    <r>
      <t>S</t>
    </r>
    <r>
      <rPr>
        <sz val="10"/>
        <color indexed="12"/>
        <rFont val="Arial"/>
        <family val="2"/>
      </rPr>
      <t xml:space="preserve"> Hx =</t>
    </r>
  </si>
  <si>
    <r>
      <t xml:space="preserve">Vertical Load, Pz </t>
    </r>
    <r>
      <rPr>
        <sz val="8"/>
        <color indexed="12"/>
        <rFont val="Arial"/>
        <family val="2"/>
      </rPr>
      <t>(k)</t>
    </r>
    <r>
      <rPr>
        <sz val="10"/>
        <color indexed="12"/>
        <rFont val="Arial"/>
        <family val="2"/>
      </rPr>
      <t xml:space="preserve"> =</t>
    </r>
  </si>
  <si>
    <r>
      <t xml:space="preserve">Horiz. Load, Hx </t>
    </r>
    <r>
      <rPr>
        <sz val="8"/>
        <rFont val="Arial"/>
        <family val="2"/>
      </rPr>
      <t>(kN)</t>
    </r>
    <r>
      <rPr>
        <sz val="10"/>
        <rFont val="Arial"/>
        <family val="2"/>
      </rPr>
      <t xml:space="preserve"> =</t>
    </r>
  </si>
  <si>
    <r>
      <t>S</t>
    </r>
    <r>
      <rPr>
        <sz val="10"/>
        <color indexed="12"/>
        <rFont val="Arial"/>
        <family val="2"/>
      </rPr>
      <t xml:space="preserve"> Hy =</t>
    </r>
  </si>
  <si>
    <r>
      <t xml:space="preserve">Horiz. Load, Hx </t>
    </r>
    <r>
      <rPr>
        <sz val="8"/>
        <color indexed="12"/>
        <rFont val="Arial"/>
        <family val="2"/>
      </rPr>
      <t>(k)</t>
    </r>
    <r>
      <rPr>
        <sz val="10"/>
        <color indexed="12"/>
        <rFont val="Arial"/>
        <family val="2"/>
      </rPr>
      <t xml:space="preserve"> =</t>
    </r>
  </si>
  <si>
    <r>
      <t xml:space="preserve">Horiz. Load, Hy </t>
    </r>
    <r>
      <rPr>
        <sz val="8"/>
        <rFont val="Arial"/>
        <family val="2"/>
      </rPr>
      <t>(kN)</t>
    </r>
    <r>
      <rPr>
        <sz val="10"/>
        <rFont val="Arial"/>
        <family val="2"/>
      </rPr>
      <t xml:space="preserve"> =</t>
    </r>
  </si>
  <si>
    <r>
      <t>S</t>
    </r>
    <r>
      <rPr>
        <sz val="10"/>
        <color indexed="12"/>
        <rFont val="Arial"/>
        <family val="2"/>
      </rPr>
      <t xml:space="preserve"> Mx =</t>
    </r>
  </si>
  <si>
    <r>
      <t xml:space="preserve">Horiz. Load, Hy </t>
    </r>
    <r>
      <rPr>
        <sz val="8"/>
        <color indexed="12"/>
        <rFont val="Arial"/>
        <family val="2"/>
      </rPr>
      <t>(k)</t>
    </r>
    <r>
      <rPr>
        <sz val="10"/>
        <color indexed="12"/>
        <rFont val="Arial"/>
        <family val="2"/>
      </rPr>
      <t xml:space="preserve"> =</t>
    </r>
  </si>
  <si>
    <r>
      <t xml:space="preserve">Moment, Mx </t>
    </r>
    <r>
      <rPr>
        <sz val="8"/>
        <rFont val="Arial"/>
        <family val="2"/>
      </rPr>
      <t>(kN-m)</t>
    </r>
    <r>
      <rPr>
        <sz val="10"/>
        <rFont val="Arial"/>
        <family val="2"/>
      </rPr>
      <t xml:space="preserve"> =</t>
    </r>
  </si>
  <si>
    <r>
      <t>S</t>
    </r>
    <r>
      <rPr>
        <sz val="10"/>
        <color indexed="12"/>
        <rFont val="Arial"/>
        <family val="2"/>
      </rPr>
      <t xml:space="preserve"> My =</t>
    </r>
  </si>
  <si>
    <r>
      <t xml:space="preserve">Moment, Mx </t>
    </r>
    <r>
      <rPr>
        <sz val="8"/>
        <color indexed="12"/>
        <rFont val="Arial"/>
        <family val="2"/>
      </rPr>
      <t>(ft-k)</t>
    </r>
    <r>
      <rPr>
        <sz val="10"/>
        <color indexed="12"/>
        <rFont val="Arial"/>
        <family val="2"/>
      </rPr>
      <t xml:space="preserve"> =</t>
    </r>
  </si>
  <si>
    <r>
      <t xml:space="preserve">Moment, My </t>
    </r>
    <r>
      <rPr>
        <sz val="8"/>
        <rFont val="Arial"/>
        <family val="2"/>
      </rPr>
      <t>(kN-m)</t>
    </r>
    <r>
      <rPr>
        <sz val="10"/>
        <rFont val="Arial"/>
        <family val="2"/>
      </rPr>
      <t xml:space="preserve"> =</t>
    </r>
  </si>
  <si>
    <r>
      <t>S</t>
    </r>
    <r>
      <rPr>
        <sz val="10"/>
        <color indexed="12"/>
        <rFont val="Arial"/>
        <family val="2"/>
      </rPr>
      <t xml:space="preserve"> Mz =</t>
    </r>
  </si>
  <si>
    <r>
      <t xml:space="preserve">Moment, My </t>
    </r>
    <r>
      <rPr>
        <sz val="8"/>
        <color indexed="12"/>
        <rFont val="Arial"/>
        <family val="2"/>
      </rPr>
      <t>(ft-k)</t>
    </r>
    <r>
      <rPr>
        <sz val="10"/>
        <color indexed="12"/>
        <rFont val="Arial"/>
        <family val="2"/>
      </rPr>
      <t xml:space="preserve"> =</t>
    </r>
  </si>
  <si>
    <r>
      <t xml:space="preserve">Moment, Mz </t>
    </r>
    <r>
      <rPr>
        <sz val="8"/>
        <rFont val="Arial"/>
        <family val="2"/>
      </rPr>
      <t>(kN-m)</t>
    </r>
    <r>
      <rPr>
        <sz val="10"/>
        <rFont val="Arial"/>
        <family val="2"/>
      </rPr>
      <t xml:space="preserve"> =</t>
    </r>
  </si>
  <si>
    <r>
      <t xml:space="preserve">Moment, Mz </t>
    </r>
    <r>
      <rPr>
        <sz val="8"/>
        <color indexed="12"/>
        <rFont val="Arial"/>
        <family val="2"/>
      </rPr>
      <t>(ft-k)</t>
    </r>
    <r>
      <rPr>
        <sz val="10"/>
        <color indexed="12"/>
        <rFont val="Arial"/>
        <family val="2"/>
      </rPr>
      <t xml:space="preserve"> =</t>
    </r>
  </si>
  <si>
    <r>
      <t>Note:</t>
    </r>
    <r>
      <rPr>
        <b/>
        <sz val="10"/>
        <color indexed="12"/>
        <rFont val="Arial"/>
        <family val="2"/>
      </rPr>
      <t xml:space="preserve">  The following may be used to facilitate input </t>
    </r>
  </si>
  <si>
    <r>
      <t xml:space="preserve">Angle to Pile #1, </t>
    </r>
    <r>
      <rPr>
        <sz val="10"/>
        <color indexed="12"/>
        <rFont val="Symbol"/>
        <family val="1"/>
      </rPr>
      <t>q</t>
    </r>
    <r>
      <rPr>
        <sz val="10"/>
        <color indexed="12"/>
        <rFont val="Arial"/>
        <family val="2"/>
      </rPr>
      <t>1 =</t>
    </r>
  </si>
  <si>
    <r>
      <t xml:space="preserve">Pile Reactions </t>
    </r>
    <r>
      <rPr>
        <b/>
        <sz val="8"/>
        <rFont val="Arial"/>
        <family val="2"/>
      </rPr>
      <t>(kg)</t>
    </r>
  </si>
  <si>
    <r>
      <t>Notes:</t>
    </r>
    <r>
      <rPr>
        <sz val="10"/>
        <color indexed="12"/>
        <rFont val="Arial"/>
        <family val="2"/>
      </rPr>
      <t xml:space="preserve">  1. Copy only the block of cells from </t>
    </r>
    <r>
      <rPr>
        <b/>
        <sz val="10"/>
        <color indexed="12"/>
        <rFont val="Arial"/>
        <family val="2"/>
      </rPr>
      <t>AF66</t>
    </r>
    <r>
      <rPr>
        <sz val="10"/>
        <color indexed="12"/>
        <rFont val="Arial"/>
        <family val="2"/>
      </rPr>
      <t xml:space="preserve"> to </t>
    </r>
    <r>
      <rPr>
        <b/>
        <sz val="10"/>
        <color indexed="12"/>
        <rFont val="Arial"/>
        <family val="2"/>
      </rPr>
      <t>AG90</t>
    </r>
    <r>
      <rPr>
        <sz val="10"/>
        <color indexed="12"/>
        <rFont val="Arial"/>
        <family val="2"/>
      </rPr>
      <t xml:space="preserve"> above, and "Paste Special" only their "values"</t>
    </r>
  </si>
  <si>
    <r>
      <t xml:space="preserve">                in the appropriate position, starting at cell </t>
    </r>
    <r>
      <rPr>
        <b/>
        <sz val="10"/>
        <color indexed="12"/>
        <rFont val="Arial"/>
        <family val="2"/>
      </rPr>
      <t>B12</t>
    </r>
    <r>
      <rPr>
        <sz val="10"/>
        <color indexed="12"/>
        <rFont val="Arial"/>
        <family val="2"/>
      </rPr>
      <t xml:space="preserve"> on the input page. </t>
    </r>
  </si>
  <si>
    <r>
      <t xml:space="preserve">            2. Remember to account for the correct total number of piles in cell </t>
    </r>
    <r>
      <rPr>
        <b/>
        <sz val="10"/>
        <color indexed="12"/>
        <rFont val="Arial"/>
        <family val="2"/>
      </rPr>
      <t>C9</t>
    </r>
    <r>
      <rPr>
        <sz val="10"/>
        <color indexed="12"/>
        <rFont val="Arial"/>
        <family val="2"/>
      </rPr>
      <t xml:space="preserve"> on the input page.</t>
    </r>
  </si>
  <si>
    <r>
      <t xml:space="preserve">Vertical Load, Pz </t>
    </r>
    <r>
      <rPr>
        <sz val="8"/>
        <rFont val="Arial"/>
        <family val="2"/>
      </rPr>
      <t>(kg.)</t>
    </r>
    <r>
      <rPr>
        <sz val="10"/>
        <rFont val="Arial"/>
        <family val="2"/>
      </rPr>
      <t xml:space="preserve"> =</t>
    </r>
  </si>
  <si>
    <r>
      <t xml:space="preserve">Horiz. Load, Hx </t>
    </r>
    <r>
      <rPr>
        <sz val="8"/>
        <rFont val="Arial"/>
        <family val="2"/>
      </rPr>
      <t>(kg.)</t>
    </r>
    <r>
      <rPr>
        <sz val="10"/>
        <rFont val="Arial"/>
        <family val="2"/>
      </rPr>
      <t xml:space="preserve"> =</t>
    </r>
  </si>
  <si>
    <r>
      <t xml:space="preserve">Horiz. Load, Hy </t>
    </r>
    <r>
      <rPr>
        <sz val="8"/>
        <rFont val="Arial"/>
        <family val="2"/>
      </rPr>
      <t>(kg.)</t>
    </r>
    <r>
      <rPr>
        <sz val="10"/>
        <rFont val="Arial"/>
        <family val="2"/>
      </rPr>
      <t xml:space="preserve"> =</t>
    </r>
  </si>
  <si>
    <r>
      <t xml:space="preserve">Moment, Mx </t>
    </r>
    <r>
      <rPr>
        <sz val="8"/>
        <rFont val="Arial"/>
        <family val="2"/>
      </rPr>
      <t>(kg.-m.)</t>
    </r>
    <r>
      <rPr>
        <sz val="10"/>
        <rFont val="Arial"/>
        <family val="2"/>
      </rPr>
      <t xml:space="preserve"> =</t>
    </r>
  </si>
  <si>
    <r>
      <t xml:space="preserve">Moment, My </t>
    </r>
    <r>
      <rPr>
        <sz val="8"/>
        <rFont val="Arial"/>
        <family val="2"/>
      </rPr>
      <t>(kg-m)</t>
    </r>
    <r>
      <rPr>
        <sz val="10"/>
        <rFont val="Arial"/>
        <family val="2"/>
      </rPr>
      <t xml:space="preserve"> =</t>
    </r>
  </si>
  <si>
    <r>
      <t xml:space="preserve">Moment, Mz </t>
    </r>
    <r>
      <rPr>
        <sz val="8"/>
        <rFont val="Arial"/>
        <family val="2"/>
      </rPr>
      <t>(kg-m)</t>
    </r>
    <r>
      <rPr>
        <sz val="10"/>
        <rFont val="Arial"/>
        <family val="2"/>
      </rPr>
      <t xml:space="preserve"> =</t>
    </r>
  </si>
  <si>
    <t>Pmax</t>
  </si>
  <si>
    <t>d</t>
  </si>
  <si>
    <t>D</t>
  </si>
  <si>
    <t>d/2</t>
  </si>
  <si>
    <t>H:</t>
  </si>
  <si>
    <t>status</t>
  </si>
  <si>
    <t xml:space="preserve">As req'd </t>
  </si>
  <si>
    <t>Mmax/(fs*j*d)</t>
  </si>
  <si>
    <r>
      <t>cm</t>
    </r>
    <r>
      <rPr>
        <vertAlign val="superscript"/>
        <sz val="8"/>
        <color indexed="8"/>
        <rFont val="Times New Roman"/>
        <family val="1"/>
      </rPr>
      <t>2</t>
    </r>
  </si>
  <si>
    <t>As min</t>
  </si>
  <si>
    <t>(14/fy)*b*d</t>
  </si>
  <si>
    <t>No.</t>
  </si>
  <si>
    <t>I:</t>
  </si>
  <si>
    <r>
      <t>∑</t>
    </r>
    <r>
      <rPr>
        <sz val="8"/>
        <color indexed="8"/>
        <rFont val="Times New Roman"/>
        <family val="1"/>
      </rPr>
      <t>o req'd , v / (</t>
    </r>
    <r>
      <rPr>
        <sz val="8"/>
        <color indexed="8"/>
        <rFont val="Arial"/>
        <family val="2"/>
      </rPr>
      <t>µ*j*d)</t>
    </r>
  </si>
  <si>
    <t>vy</t>
  </si>
  <si>
    <t>vx</t>
  </si>
  <si>
    <t>J:</t>
  </si>
  <si>
    <t>K:</t>
  </si>
  <si>
    <t>RB</t>
  </si>
  <si>
    <t>I-22x22</t>
  </si>
  <si>
    <t>Xo</t>
  </si>
  <si>
    <t>F2</t>
  </si>
  <si>
    <t>0,0,0</t>
  </si>
  <si>
    <t>P1</t>
  </si>
  <si>
    <t>P2</t>
  </si>
  <si>
    <t>Pile reaction</t>
  </si>
  <si>
    <t>bo</t>
  </si>
  <si>
    <t>(use vy)</t>
  </si>
  <si>
    <t>-x</t>
  </si>
  <si>
    <t>+x</t>
  </si>
  <si>
    <t>critical section</t>
  </si>
  <si>
    <r>
      <t>x</t>
    </r>
    <r>
      <rPr>
        <sz val="8"/>
        <color indexed="8"/>
        <rFont val="Arial"/>
        <family val="2"/>
      </rPr>
      <t>≤</t>
    </r>
    <r>
      <rPr>
        <sz val="8"/>
        <color indexed="8"/>
        <rFont val="Times New Roman"/>
        <family val="1"/>
      </rPr>
      <t>-</t>
    </r>
    <r>
      <rPr>
        <sz val="8"/>
        <color indexed="8"/>
        <rFont val="Times New Roman"/>
        <family val="1"/>
      </rPr>
      <t>15</t>
    </r>
  </si>
  <si>
    <r>
      <t>x</t>
    </r>
    <r>
      <rPr>
        <sz val="8"/>
        <color indexed="8"/>
        <rFont val="Arial"/>
        <family val="2"/>
      </rPr>
      <t>≥</t>
    </r>
    <r>
      <rPr>
        <sz val="8"/>
        <color indexed="8"/>
        <rFont val="Times New Roman"/>
        <family val="1"/>
      </rPr>
      <t>15</t>
    </r>
  </si>
  <si>
    <t>P'=0</t>
  </si>
  <si>
    <t>P'</t>
  </si>
  <si>
    <t>P'=P/2</t>
  </si>
  <si>
    <t>P' = P</t>
  </si>
  <si>
    <t>P' = P/30 *(x+15)</t>
  </si>
  <si>
    <t>โครงการ :</t>
  </si>
  <si>
    <t>อาคารคอนกรีตเสริมเหล็ก 2 ชั้น</t>
  </si>
  <si>
    <t>รายการ :</t>
  </si>
  <si>
    <t>หน้า</t>
  </si>
  <si>
    <t>เจ้าของ :</t>
  </si>
  <si>
    <t>นาย สุธีร์   แก้วคำ</t>
  </si>
  <si>
    <t>วิศวกรโครงสร้าง :</t>
  </si>
  <si>
    <t>ของ</t>
  </si>
  <si>
    <t>ที่ตั้ง :</t>
  </si>
  <si>
    <t>กรุงเทพ</t>
  </si>
  <si>
    <t>วันที่:</t>
  </si>
  <si>
    <t>คุณสมบัติของวัสดุ</t>
  </si>
  <si>
    <t>คอนกรีต</t>
  </si>
  <si>
    <t>กำลังอัดประลัย</t>
  </si>
  <si>
    <t>หน่วยแรงอัดที่ยอมให้</t>
  </si>
  <si>
    <t>ตัวคูณลดกำลัง</t>
  </si>
  <si>
    <t>โมดูลัสยืดหยุ่น , 15210√f'c</t>
  </si>
  <si>
    <t>เหล็กเสริม</t>
  </si>
  <si>
    <t>ชั้นคุณภาพ   ("SD-xx or" SR-xx)</t>
  </si>
  <si>
    <t>กำลังคราก</t>
  </si>
  <si>
    <t>หน่วยแรงดึงที่ยอมให้</t>
  </si>
  <si>
    <t>โมดูลัสยืดหยุ่น</t>
  </si>
  <si>
    <t>fs</t>
  </si>
  <si>
    <t>Es</t>
  </si>
  <si>
    <t>พารามิเตอร์</t>
  </si>
  <si>
    <t>ออกแบบเสาเข็ม</t>
  </si>
  <si>
    <t>ชนิดเสาเข็ม</t>
  </si>
  <si>
    <t>น้ำหนักบรรทุกปลอดภัยแนวดิ่ง</t>
  </si>
  <si>
    <t>แรงดึงปลอดภัย</t>
  </si>
  <si>
    <t>แรงทางด้านข้างปลอดภัย</t>
  </si>
  <si>
    <t>โมเมนต์ดัดรอบแกน x-x</t>
  </si>
  <si>
    <t>โมเมนต์ดัดรอบแกน y-y</t>
  </si>
  <si>
    <t>น้ำหนัก ฐานราก+ตอม่อ+ดินถม,wf+wp+ws</t>
  </si>
  <si>
    <t>แรงตามแนว</t>
  </si>
  <si>
    <t>แรงแนวดิ่งทั้งหมดที่ถ่ายลงฐานราก</t>
  </si>
  <si>
    <t>ระยะดินถมถึงใต้ฐานราก</t>
  </si>
  <si>
    <t>ขนาดฐานรากด้านยาว x-x</t>
  </si>
  <si>
    <t>ขนาดฐานรากด้านลึก y-t</t>
  </si>
  <si>
    <t>ขนาดตอม่อด้านยาว x-x</t>
  </si>
  <si>
    <t>ขนาดตอม่อด้านลึก y-y</t>
  </si>
  <si>
    <t>แรงปฎิกริยาที่เสาเข็ม</t>
  </si>
  <si>
    <t xml:space="preserve">พิกัดเสาตอม่อ </t>
  </si>
  <si>
    <t>พิกัดเสาเข็ม Pile1</t>
  </si>
  <si>
    <t>พิกัดเสาเข็ม Pile2</t>
  </si>
  <si>
    <t>แรงปฎิกิริยาที่เสาเข็ม Pile1</t>
  </si>
  <si>
    <t>แรงปฎิกิริยาที่เสาเข็ม Pile2</t>
  </si>
  <si>
    <t>กรณี 1 เสาเข็มรับแรงอัด</t>
  </si>
  <si>
    <t>กรณี 2 เสาเข็มรับแรงดึง</t>
  </si>
  <si>
    <t>ค่าแรงอัดสูงสุดที่เกิดขึ้น</t>
  </si>
  <si>
    <t>ค่าแรงดึงสูงสุดที่เกิดขึ้น</t>
  </si>
  <si>
    <t>ตรวจสอบโมเมนต์ดัดที่ขอบของเสาตอม่อ</t>
  </si>
  <si>
    <t>พิกัดเสาเข็มถึงศูนย์กลางตอม่อ , L</t>
  </si>
  <si>
    <t>โมเมนต์ดัดรอบแกน y-y คิดที่ขอบเสาตอม่อ</t>
  </si>
  <si>
    <t>ความลึกประสิทธิผลที่ออกแบบ</t>
  </si>
  <si>
    <t>ความหนาของฐานรากที่ออกแบบ</t>
  </si>
  <si>
    <t>ตรวจสอบแรงเฉือนแบบคานที่ระยะ d</t>
  </si>
  <si>
    <t>ความลึกประสิทธิผล,√Mmax/Rb ,d req'd</t>
  </si>
  <si>
    <t>ระยะ d Pile1,2</t>
  </si>
  <si>
    <t>พิกัดเสาเข็มถึงขอบเสาตอม่อ</t>
  </si>
  <si>
    <t>แรงปฎิกิริยาที่เสาเข็ม</t>
  </si>
  <si>
    <r>
      <t>แรงเฉือนที่ยอมให้,Vc=0.29</t>
    </r>
    <r>
      <rPr>
        <sz val="8"/>
        <color indexed="8"/>
        <rFont val="Arial"/>
        <family val="2"/>
      </rPr>
      <t>√</t>
    </r>
    <r>
      <rPr>
        <sz val="8"/>
        <color indexed="8"/>
        <rFont val="Times New Roman"/>
        <family val="1"/>
      </rPr>
      <t>fc'*Ly*d</t>
    </r>
  </si>
  <si>
    <t>ตรวจสอบแรงเฉือนเจาะทะลุที่ระยะ d/2</t>
  </si>
  <si>
    <t>ระยะ d/2, Pile1,2</t>
  </si>
  <si>
    <t>พิกัดเสาเข็มถึงระยะ d</t>
  </si>
  <si>
    <t>พิกัดเสาเข็มถึงระยะ d/2 Pile1,2</t>
  </si>
  <si>
    <r>
      <t>แรงเฉือนเจาะทะลุที่ยอมให้,Vc=0.53</t>
    </r>
    <r>
      <rPr>
        <sz val="7"/>
        <color indexed="8"/>
        <rFont val="Arial"/>
        <family val="2"/>
      </rPr>
      <t>√</t>
    </r>
    <r>
      <rPr>
        <sz val="7"/>
        <color indexed="8"/>
        <rFont val="Times New Roman"/>
        <family val="1"/>
      </rPr>
      <t>fc'*bo*d</t>
    </r>
  </si>
  <si>
    <t>แรงเฉือน,v รอบแกน y-y , vpx</t>
  </si>
  <si>
    <t>แรงเฉือนรอบแกน y-y,vpx (Max P1,P2)</t>
  </si>
  <si>
    <t>ออกแบบเหล็กเสริม</t>
  </si>
  <si>
    <t xml:space="preserve">ด้านขนานแกน x-x </t>
  </si>
  <si>
    <t>ด้านขนานแกน y-y</t>
  </si>
  <si>
    <t>รายการ</t>
  </si>
  <si>
    <t>หน่วย</t>
  </si>
  <si>
    <t>จำนวนเหล็กเสริมที่ต้องการ</t>
  </si>
  <si>
    <t>ขนาดเหล็กเสริม</t>
  </si>
  <si>
    <t>เหล็กรัดรอบ</t>
  </si>
  <si>
    <t>ต้องการ</t>
  </si>
  <si>
    <t>ออกแบบ</t>
  </si>
  <si>
    <t>ตรวจสอบแรงยึดเหนี่ยว</t>
  </si>
  <si>
    <t xml:space="preserve">แรงเฉือนสูงสุดรอบแกน y-y </t>
  </si>
  <si>
    <t>แรงเฉือนสูงสุดรอบแกน x-x</t>
  </si>
  <si>
    <t>รายละเอียดฐานราก</t>
  </si>
  <si>
    <t>ระดับดินถม</t>
  </si>
  <si>
    <t>คอนกรีตหยาบ 1:3:5</t>
  </si>
  <si>
    <t>ทิศทางเหล็กเสริม</t>
  </si>
  <si>
    <t>ทรายหยาบอัดแน่น</t>
  </si>
  <si>
    <t>SD-30</t>
  </si>
  <si>
    <t>กก./ตร.ซม.</t>
  </si>
  <si>
    <t>ตัน</t>
  </si>
  <si>
    <t>ตัน ( น้ำหนักดิน1900 กก./ลบ.ม. )</t>
  </si>
  <si>
    <t>ตัน-ม.</t>
  </si>
  <si>
    <t>ม.</t>
  </si>
  <si>
    <t>Xo,ม.</t>
  </si>
  <si>
    <t>Yo,ม.</t>
  </si>
  <si>
    <t>X1,ม.</t>
  </si>
  <si>
    <t>Y1,ม.</t>
  </si>
  <si>
    <t>X2,ม.</t>
  </si>
  <si>
    <t>กก.-ม.</t>
  </si>
  <si>
    <t>ซม.</t>
  </si>
  <si>
    <t>มม.</t>
  </si>
  <si>
    <t>กก.</t>
  </si>
  <si>
    <t>± 0.00 ม.</t>
  </si>
  <si>
    <t>0.10 ม.</t>
  </si>
  <si>
    <t>0.05 ม.</t>
  </si>
  <si>
    <t>ขอบล่างถึงศูนย์ถ่วงของกลุ่มเหล็กเสริม d'</t>
  </si>
  <si>
    <t>ออกแบบฐานรากคอนกรีตเสริมเหล็ก วางบนเข็ม  2 ต้น - วิธีหน่วยแรงใช้งาน</t>
  </si>
  <si>
    <t>ออกแบบขนาดฐานราก</t>
  </si>
  <si>
    <t>นาย สุธีร์     แก้วคำ  สย.9698</t>
  </si>
  <si>
    <t>รายการคำนวณออกแบบ</t>
  </si>
  <si>
    <t>คอนกรีตเสริมเหล็ก</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</si>
</sst>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 #,##0_);_(* \(#,##0\);_(* &quot;-&quot;_);_(@_)"/>
    <numFmt numFmtId="193" formatCode="_(&quot;$&quot;* #,##0.00_);_(&quot;$&quot;* \(#,##0.00\);_(&quot;$&quot;* &quot;-&quot;??_);_(@_)"/>
    <numFmt numFmtId="194" formatCode="_(* #,##0.00_);_(* \(#,##0.00\);_(* &quot;-&quot;??_);_(@_)"/>
    <numFmt numFmtId="195" formatCode="t&quot;$&quot;#,##0_);\(t&quot;$&quot;#,##0\)"/>
    <numFmt numFmtId="196" formatCode="t&quot;$&quot;#,##0_);[Red]\(t&quot;$&quot;#,##0\)"/>
    <numFmt numFmtId="197" formatCode="t&quot;$&quot;#,##0.00_);\(t&quot;$&quot;#,##0.00\)"/>
    <numFmt numFmtId="198" formatCode="t&quot;$&quot;#,##0.00_);[Red]\(t&quot;$&quot;#,##0.00\)"/>
    <numFmt numFmtId="199" formatCode="m/d"/>
    <numFmt numFmtId="200" formatCode="[$-1010409]d\ mmmm\ yyyy;@"/>
    <numFmt numFmtId="201" formatCode="0.000"/>
    <numFmt numFmtId="202" formatCode="0.0"/>
    <numFmt numFmtId="203" formatCode="0.00_ ;\-0.00\ "/>
    <numFmt numFmtId="204" formatCode="[$-1070000]d/mm/yyyy;@"/>
    <numFmt numFmtId="205" formatCode="0.0000"/>
    <numFmt numFmtId="206" formatCode="0.000E+00"/>
    <numFmt numFmtId="207" formatCode="&quot;$&quot;#,##0\ ;\(&quot;$&quot;#,##0\)"/>
    <numFmt numFmtId="208" formatCode="#,##0.00&quot; m.&quot;"/>
    <numFmt numFmtId="209" formatCode="#,##0.0&quot; m.&quot;"/>
    <numFmt numFmtId="210" formatCode="[$-101041E]d\ mmmm\ yyyy;@"/>
    <numFmt numFmtId="211" formatCode="#,##0.00&quot; ม.&quot;"/>
  </numFmts>
  <fonts count="102">
    <font>
      <sz val="16"/>
      <color theme="1"/>
      <name val="AngsanaUPC"/>
      <family val="2"/>
    </font>
    <font>
      <sz val="16"/>
      <color indexed="8"/>
      <name val="AngsanaUPC"/>
      <family val="2"/>
    </font>
    <font>
      <sz val="9"/>
      <name val="Times New Roman"/>
      <family val="1"/>
    </font>
    <font>
      <b/>
      <sz val="8"/>
      <name val="Times New Roman"/>
      <family val="1"/>
    </font>
    <font>
      <sz val="8"/>
      <name val="Times New Roman"/>
      <family val="1"/>
    </font>
    <font>
      <sz val="8"/>
      <color indexed="12"/>
      <name val="Times New Roman"/>
      <family val="1"/>
    </font>
    <font>
      <sz val="8"/>
      <color indexed="8"/>
      <name val="Times New Roman"/>
      <family val="1"/>
    </font>
    <font>
      <sz val="8"/>
      <color indexed="8"/>
      <name val="Symbol"/>
      <family val="1"/>
    </font>
    <font>
      <sz val="8.8"/>
      <color indexed="8"/>
      <name val="Times New Roman"/>
      <family val="1"/>
    </font>
    <font>
      <b/>
      <sz val="8"/>
      <color indexed="8"/>
      <name val="Times New Roman"/>
      <family val="1"/>
    </font>
    <font>
      <sz val="10"/>
      <color indexed="8"/>
      <name val="Times New Roman"/>
      <family val="1"/>
    </font>
    <font>
      <b/>
      <sz val="8"/>
      <color indexed="14"/>
      <name val="Times New Roman"/>
      <family val="1"/>
    </font>
    <font>
      <b/>
      <i/>
      <sz val="8"/>
      <color indexed="8"/>
      <name val="Times New Roman"/>
      <family val="1"/>
    </font>
    <font>
      <b/>
      <sz val="8"/>
      <color indexed="12"/>
      <name val="Times New Roman"/>
      <family val="1"/>
    </font>
    <font>
      <sz val="8"/>
      <color indexed="8"/>
      <name val="Calibri"/>
      <family val="2"/>
    </font>
    <font>
      <b/>
      <sz val="10"/>
      <color indexed="8"/>
      <name val="Times New Roman"/>
      <family val="1"/>
    </font>
    <font>
      <sz val="8"/>
      <name val="AngsanaUPC"/>
      <family val="2"/>
    </font>
    <font>
      <u val="single"/>
      <sz val="16.8"/>
      <color indexed="12"/>
      <name val="AngsanaUPC"/>
      <family val="2"/>
    </font>
    <font>
      <u val="single"/>
      <sz val="16.8"/>
      <color indexed="36"/>
      <name val="AngsanaUPC"/>
      <family val="2"/>
    </font>
    <font>
      <vertAlign val="superscript"/>
      <sz val="8"/>
      <color indexed="8"/>
      <name val="Times New Roman"/>
      <family val="1"/>
    </font>
    <font>
      <sz val="10"/>
      <name val="Arial"/>
      <family val="2"/>
    </font>
    <font>
      <sz val="10"/>
      <color indexed="24"/>
      <name val="Arial"/>
      <family val="2"/>
    </font>
    <font>
      <sz val="8"/>
      <name val="Arial"/>
      <family val="2"/>
    </font>
    <font>
      <b/>
      <sz val="12"/>
      <name val="Arial"/>
      <family val="2"/>
    </font>
    <font>
      <b/>
      <sz val="10"/>
      <name val="Arial"/>
      <family val="2"/>
    </font>
    <font>
      <u val="single"/>
      <sz val="10"/>
      <color indexed="12"/>
      <name val="Arial"/>
      <family val="2"/>
    </font>
    <font>
      <sz val="8"/>
      <color indexed="12"/>
      <name val="Arial"/>
      <family val="2"/>
    </font>
    <font>
      <sz val="10"/>
      <color indexed="12"/>
      <name val="Arial"/>
      <family val="2"/>
    </font>
    <font>
      <b/>
      <sz val="10"/>
      <color indexed="10"/>
      <name val="Arial"/>
      <family val="2"/>
    </font>
    <font>
      <b/>
      <sz val="10"/>
      <color indexed="8"/>
      <name val="Arial"/>
      <family val="2"/>
    </font>
    <font>
      <sz val="10"/>
      <color indexed="8"/>
      <name val="Arial"/>
      <family val="2"/>
    </font>
    <font>
      <b/>
      <sz val="10"/>
      <color indexed="12"/>
      <name val="Arial"/>
      <family val="2"/>
    </font>
    <font>
      <sz val="9"/>
      <color indexed="8"/>
      <name val="Arial"/>
      <family val="2"/>
    </font>
    <font>
      <b/>
      <i/>
      <sz val="10"/>
      <color indexed="10"/>
      <name val="Arial"/>
      <family val="2"/>
    </font>
    <font>
      <b/>
      <i/>
      <u val="single"/>
      <sz val="10"/>
      <color indexed="10"/>
      <name val="Arial"/>
      <family val="2"/>
    </font>
    <font>
      <b/>
      <u val="single"/>
      <sz val="10"/>
      <name val="Arial"/>
      <family val="2"/>
    </font>
    <font>
      <b/>
      <u val="single"/>
      <sz val="10"/>
      <color indexed="8"/>
      <name val="Arial"/>
      <family val="2"/>
    </font>
    <font>
      <b/>
      <sz val="8"/>
      <name val="Arial"/>
      <family val="2"/>
    </font>
    <font>
      <b/>
      <u val="single"/>
      <sz val="10"/>
      <color indexed="12"/>
      <name val="Arial"/>
      <family val="2"/>
    </font>
    <font>
      <sz val="8"/>
      <color indexed="8"/>
      <name val="Arial"/>
      <family val="2"/>
    </font>
    <font>
      <sz val="10"/>
      <color indexed="12"/>
      <name val="Symbol"/>
      <family val="1"/>
    </font>
    <font>
      <sz val="10"/>
      <color indexed="8"/>
      <name val="Symbol"/>
      <family val="1"/>
    </font>
    <font>
      <b/>
      <u val="single"/>
      <sz val="10"/>
      <color indexed="8"/>
      <name val="Symbol"/>
      <family val="1"/>
    </font>
    <font>
      <u val="single"/>
      <sz val="10"/>
      <color indexed="12"/>
      <name val="Symbol"/>
      <family val="1"/>
    </font>
    <font>
      <u val="single"/>
      <sz val="10"/>
      <name val="Arial"/>
      <family val="2"/>
    </font>
    <font>
      <sz val="9"/>
      <color indexed="12"/>
      <name val="Arial"/>
      <family val="2"/>
    </font>
    <font>
      <sz val="8"/>
      <name val="Tahoma"/>
      <family val="2"/>
    </font>
    <font>
      <b/>
      <sz val="8"/>
      <name val="Tahoma"/>
      <family val="2"/>
    </font>
    <font>
      <sz val="8"/>
      <name val="Symbol"/>
      <family val="1"/>
    </font>
    <font>
      <b/>
      <sz val="8"/>
      <color indexed="9"/>
      <name val="Times New Roman"/>
      <family val="1"/>
    </font>
    <font>
      <b/>
      <sz val="8"/>
      <color indexed="9"/>
      <name val="Tahoma"/>
      <family val="2"/>
    </font>
    <font>
      <sz val="7"/>
      <color indexed="8"/>
      <name val="Times New Roman"/>
      <family val="1"/>
    </font>
    <font>
      <sz val="7.5"/>
      <color indexed="8"/>
      <name val="Times New Roman"/>
      <family val="1"/>
    </font>
    <font>
      <sz val="7"/>
      <color indexed="8"/>
      <name val="Arial"/>
      <family val="2"/>
    </font>
    <font>
      <sz val="7.5"/>
      <name val="Times New Roman"/>
      <family val="1"/>
    </font>
    <font>
      <b/>
      <sz val="9"/>
      <name val="Times New Roman"/>
      <family val="1"/>
    </font>
    <font>
      <sz val="10"/>
      <color indexed="8"/>
      <name val="Tahoma"/>
      <family val="2"/>
    </font>
    <font>
      <sz val="4.25"/>
      <color indexed="8"/>
      <name val="Arial"/>
      <family val="2"/>
    </font>
    <font>
      <sz val="6"/>
      <color indexed="8"/>
      <name val="Arial"/>
      <family val="2"/>
    </font>
    <font>
      <b/>
      <sz val="11"/>
      <name val="Times New Roman"/>
      <family val="1"/>
    </font>
    <font>
      <sz val="16"/>
      <color indexed="9"/>
      <name val="AngsanaUPC"/>
      <family val="2"/>
    </font>
    <font>
      <sz val="16"/>
      <color indexed="20"/>
      <name val="AngsanaUPC"/>
      <family val="2"/>
    </font>
    <font>
      <b/>
      <sz val="16"/>
      <color indexed="52"/>
      <name val="AngsanaUPC"/>
      <family val="2"/>
    </font>
    <font>
      <b/>
      <sz val="16"/>
      <color indexed="9"/>
      <name val="AngsanaUPC"/>
      <family val="2"/>
    </font>
    <font>
      <i/>
      <sz val="16"/>
      <color indexed="23"/>
      <name val="AngsanaUPC"/>
      <family val="2"/>
    </font>
    <font>
      <sz val="16"/>
      <color indexed="17"/>
      <name val="AngsanaUPC"/>
      <family val="2"/>
    </font>
    <font>
      <b/>
      <sz val="15"/>
      <color indexed="56"/>
      <name val="AngsanaUPC"/>
      <family val="2"/>
    </font>
    <font>
      <b/>
      <sz val="13"/>
      <color indexed="56"/>
      <name val="AngsanaUPC"/>
      <family val="2"/>
    </font>
    <font>
      <b/>
      <sz val="11"/>
      <color indexed="56"/>
      <name val="AngsanaUPC"/>
      <family val="2"/>
    </font>
    <font>
      <sz val="16"/>
      <color indexed="62"/>
      <name val="AngsanaUPC"/>
      <family val="2"/>
    </font>
    <font>
      <sz val="16"/>
      <color indexed="52"/>
      <name val="AngsanaUPC"/>
      <family val="2"/>
    </font>
    <font>
      <sz val="16"/>
      <color indexed="60"/>
      <name val="AngsanaUPC"/>
      <family val="2"/>
    </font>
    <font>
      <b/>
      <sz val="16"/>
      <color indexed="63"/>
      <name val="AngsanaUPC"/>
      <family val="2"/>
    </font>
    <font>
      <b/>
      <sz val="18"/>
      <color indexed="56"/>
      <name val="Tahoma"/>
      <family val="2"/>
    </font>
    <font>
      <b/>
      <sz val="16"/>
      <color indexed="8"/>
      <name val="AngsanaUPC"/>
      <family val="2"/>
    </font>
    <font>
      <sz val="16"/>
      <color indexed="10"/>
      <name val="AngsanaUPC"/>
      <family val="2"/>
    </font>
    <font>
      <sz val="12"/>
      <color indexed="8"/>
      <name val="AngsanaUPC"/>
      <family val="1"/>
    </font>
    <font>
      <b/>
      <sz val="12"/>
      <color indexed="8"/>
      <name val="AngsanaUPC"/>
      <family val="1"/>
    </font>
    <font>
      <b/>
      <sz val="8"/>
      <color indexed="8"/>
      <name val="Arial"/>
      <family val="2"/>
    </font>
    <font>
      <b/>
      <u val="single"/>
      <sz val="8"/>
      <color indexed="8"/>
      <name val="Arial"/>
      <family val="2"/>
    </font>
    <font>
      <b/>
      <sz val="9"/>
      <color indexed="12"/>
      <name val="Arial"/>
      <family val="2"/>
    </font>
    <font>
      <b/>
      <sz val="8"/>
      <color indexed="12"/>
      <name val="Arial"/>
      <family val="2"/>
    </font>
    <font>
      <sz val="16"/>
      <color theme="0"/>
      <name val="AngsanaUPC"/>
      <family val="2"/>
    </font>
    <font>
      <sz val="16"/>
      <color rgb="FF9C0006"/>
      <name val="AngsanaUPC"/>
      <family val="2"/>
    </font>
    <font>
      <b/>
      <sz val="16"/>
      <color rgb="FFFA7D00"/>
      <name val="AngsanaUPC"/>
      <family val="2"/>
    </font>
    <font>
      <b/>
      <sz val="16"/>
      <color theme="0"/>
      <name val="AngsanaUPC"/>
      <family val="2"/>
    </font>
    <font>
      <i/>
      <sz val="16"/>
      <color rgb="FF7F7F7F"/>
      <name val="AngsanaUPC"/>
      <family val="2"/>
    </font>
    <font>
      <sz val="16"/>
      <color rgb="FF006100"/>
      <name val="AngsanaUPC"/>
      <family val="2"/>
    </font>
    <font>
      <b/>
      <sz val="15"/>
      <color theme="3"/>
      <name val="AngsanaUPC"/>
      <family val="2"/>
    </font>
    <font>
      <b/>
      <sz val="13"/>
      <color theme="3"/>
      <name val="AngsanaUPC"/>
      <family val="2"/>
    </font>
    <font>
      <b/>
      <sz val="11"/>
      <color theme="3"/>
      <name val="AngsanaUPC"/>
      <family val="2"/>
    </font>
    <font>
      <sz val="16"/>
      <color rgb="FF3F3F76"/>
      <name val="AngsanaUPC"/>
      <family val="2"/>
    </font>
    <font>
      <sz val="16"/>
      <color rgb="FFFA7D00"/>
      <name val="AngsanaUPC"/>
      <family val="2"/>
    </font>
    <font>
      <sz val="16"/>
      <color rgb="FF9C6500"/>
      <name val="AngsanaUPC"/>
      <family val="2"/>
    </font>
    <font>
      <b/>
      <sz val="16"/>
      <color rgb="FF3F3F3F"/>
      <name val="AngsanaUPC"/>
      <family val="2"/>
    </font>
    <font>
      <b/>
      <sz val="18"/>
      <color theme="3"/>
      <name val="Cambria"/>
      <family val="2"/>
    </font>
    <font>
      <b/>
      <sz val="16"/>
      <color theme="1"/>
      <name val="AngsanaUPC"/>
      <family val="2"/>
    </font>
    <font>
      <sz val="16"/>
      <color rgb="FFFF0000"/>
      <name val="AngsanaUPC"/>
      <family val="2"/>
    </font>
    <font>
      <sz val="8"/>
      <color theme="1"/>
      <name val="Times New Roman"/>
      <family val="1"/>
    </font>
    <font>
      <b/>
      <sz val="8"/>
      <color rgb="FF2504EC"/>
      <name val="Times New Roman"/>
      <family val="1"/>
    </font>
    <font>
      <b/>
      <sz val="8"/>
      <color theme="1"/>
      <name val="Times New Roman"/>
      <family val="1"/>
    </font>
    <font>
      <b/>
      <sz val="8"/>
      <name val="AngsanaUPC"/>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2"/>
        <bgColor indexed="64"/>
      </patternFill>
    </fill>
    <fill>
      <patternFill patternType="solid">
        <fgColor indexed="13"/>
        <bgColor indexed="64"/>
      </patternFill>
    </fill>
    <fill>
      <patternFill patternType="solid">
        <fgColor indexed="29"/>
        <bgColor indexed="64"/>
      </patternFill>
    </fill>
    <fill>
      <patternFill patternType="solid">
        <fgColor indexed="40"/>
        <bgColor indexed="64"/>
      </patternFill>
    </fill>
    <fill>
      <patternFill patternType="solid">
        <fgColor indexed="49"/>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theme="0"/>
        <bgColor indexed="64"/>
      </patternFill>
    </fill>
    <fill>
      <patternFill patternType="solid">
        <fgColor rgb="FFCCFFFF"/>
        <bgColor indexed="64"/>
      </patternFill>
    </fill>
    <fill>
      <patternFill patternType="solid">
        <fgColor rgb="FFFFFF99"/>
        <bgColor indexed="64"/>
      </patternFill>
    </fill>
    <fill>
      <patternFill patternType="solid">
        <fgColor indexed="53"/>
        <bgColor indexed="64"/>
      </patternFill>
    </fill>
    <fill>
      <patternFill patternType="solid">
        <fgColor indexed="12"/>
        <bgColor indexed="64"/>
      </patternFill>
    </fill>
    <fill>
      <patternFill patternType="solid">
        <fgColor indexed="44"/>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style="medium"/>
      <top/>
      <bottom/>
    </border>
    <border>
      <left/>
      <right/>
      <top/>
      <bottom style="medium"/>
    </border>
    <border>
      <left/>
      <right style="medium"/>
      <top/>
      <bottom style="medium"/>
    </border>
    <border>
      <left style="thin"/>
      <right style="thin"/>
      <top style="thin"/>
      <bottom style="thin"/>
    </border>
    <border>
      <left style="mediumDashed">
        <color indexed="10"/>
      </left>
      <right/>
      <top/>
      <bottom/>
    </border>
    <border>
      <left/>
      <right style="mediumDashed">
        <color indexed="10"/>
      </right>
      <top/>
      <bottom/>
    </border>
    <border>
      <left style="mediumDashed">
        <color indexed="10"/>
      </left>
      <right/>
      <top/>
      <bottom style="mediumDashed">
        <color indexed="10"/>
      </bottom>
    </border>
    <border>
      <left/>
      <right/>
      <top/>
      <bottom style="mediumDashed">
        <color indexed="10"/>
      </bottom>
    </border>
    <border>
      <left/>
      <right style="mediumDashed">
        <color indexed="10"/>
      </right>
      <top/>
      <bottom style="mediumDashed">
        <color indexed="10"/>
      </bottom>
    </border>
    <border>
      <left/>
      <right style="medium"/>
      <top style="medium"/>
      <bottom/>
    </border>
    <border>
      <left style="medium"/>
      <right/>
      <top/>
      <bottom/>
    </border>
    <border>
      <left style="medium"/>
      <right/>
      <top/>
      <bottom style="medium"/>
    </border>
    <border>
      <left>
        <color indexed="63"/>
      </left>
      <right>
        <color indexed="63"/>
      </right>
      <top>
        <color indexed="63"/>
      </top>
      <bottom style="dotted"/>
    </border>
    <border>
      <left style="hair"/>
      <right style="hair"/>
      <top style="hair"/>
      <bottom style="hair"/>
    </border>
    <border>
      <left style="hair"/>
      <right style="thin"/>
      <top style="hair"/>
      <bottom style="hair"/>
    </border>
    <border>
      <left>
        <color indexed="63"/>
      </left>
      <right>
        <color indexed="63"/>
      </right>
      <top style="dashDot"/>
      <bottom>
        <color indexed="63"/>
      </bottom>
    </border>
    <border>
      <left>
        <color indexed="63"/>
      </left>
      <right>
        <color indexed="63"/>
      </right>
      <top style="dashDot"/>
      <bottom style="dashDot"/>
    </border>
    <border>
      <left>
        <color indexed="63"/>
      </left>
      <right>
        <color indexed="63"/>
      </right>
      <top>
        <color indexed="63"/>
      </top>
      <bottom style="dashDot"/>
    </border>
    <border>
      <left>
        <color indexed="63"/>
      </left>
      <right>
        <color indexed="63"/>
      </right>
      <top>
        <color indexed="63"/>
      </top>
      <bottom style="mediumDashed">
        <color indexed="12"/>
      </bottom>
    </border>
    <border>
      <left style="medium"/>
      <right/>
      <top style="medium"/>
      <bottom/>
    </border>
    <border>
      <left>
        <color indexed="63"/>
      </left>
      <right style="medium"/>
      <top style="dashDot"/>
      <bottom>
        <color indexed="63"/>
      </bottom>
    </border>
    <border>
      <left>
        <color indexed="63"/>
      </left>
      <right style="medium"/>
      <top>
        <color indexed="63"/>
      </top>
      <bottom style="dashDot"/>
    </border>
    <border>
      <left style="dashDot"/>
      <right>
        <color indexed="63"/>
      </right>
      <top>
        <color indexed="63"/>
      </top>
      <bottom>
        <color indexed="63"/>
      </bottom>
    </border>
    <border>
      <left style="dashDot"/>
      <right>
        <color indexed="63"/>
      </right>
      <top>
        <color indexed="63"/>
      </top>
      <bottom style="medium"/>
    </border>
    <border>
      <left>
        <color indexed="63"/>
      </left>
      <right style="dashDot"/>
      <top>
        <color indexed="63"/>
      </top>
      <bottom>
        <color indexed="63"/>
      </bottom>
    </border>
    <border>
      <left>
        <color indexed="63"/>
      </left>
      <right style="dashDo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hair"/>
      <top style="thin"/>
      <bottom style="hair"/>
    </border>
    <border>
      <left style="hair"/>
      <right style="thin"/>
      <top style="thin"/>
      <bottom style="hair"/>
    </border>
    <border>
      <left style="thin"/>
      <right style="thin"/>
      <top style="thin"/>
      <bottom style="thin">
        <color indexed="22"/>
      </bottom>
    </border>
    <border>
      <left>
        <color indexed="63"/>
      </left>
      <right style="thin"/>
      <top style="thin"/>
      <bottom style="thin">
        <color indexed="22"/>
      </bottom>
    </border>
    <border>
      <left style="thin"/>
      <right style="hair"/>
      <top style="hair"/>
      <bottom style="hair"/>
    </border>
    <border>
      <left style="thin"/>
      <right style="thin"/>
      <top style="thin">
        <color indexed="22"/>
      </top>
      <bottom style="thin">
        <color indexed="22"/>
      </bottom>
    </border>
    <border>
      <left>
        <color indexed="63"/>
      </left>
      <right style="thin"/>
      <top style="thin">
        <color indexed="22"/>
      </top>
      <bottom style="thin">
        <color indexed="22"/>
      </bottom>
    </border>
    <border>
      <left style="thin"/>
      <right style="hair"/>
      <top style="hair"/>
      <bottom style="thin"/>
    </border>
    <border>
      <left style="hair"/>
      <right style="thin"/>
      <top style="hair"/>
      <bottom style="thin"/>
    </border>
    <border>
      <left style="thin"/>
      <right style="thin"/>
      <top style="thin">
        <color indexed="22"/>
      </top>
      <bottom style="thin"/>
    </border>
    <border>
      <left>
        <color indexed="63"/>
      </left>
      <right style="thin"/>
      <top style="thin">
        <color indexed="22"/>
      </top>
      <bottom style="thin"/>
    </border>
    <border>
      <left style="thin"/>
      <right style="thin"/>
      <top style="thin"/>
      <bottom style="hair"/>
    </border>
    <border>
      <left>
        <color indexed="63"/>
      </left>
      <right>
        <color indexed="63"/>
      </right>
      <top style="thin"/>
      <bottom style="thin">
        <color indexed="22"/>
      </bottom>
    </border>
    <border>
      <left style="thin"/>
      <right style="thin"/>
      <top style="hair"/>
      <bottom style="hair"/>
    </border>
    <border>
      <left>
        <color indexed="63"/>
      </left>
      <right>
        <color indexed="63"/>
      </right>
      <top style="thin">
        <color indexed="22"/>
      </top>
      <bottom style="thin">
        <color indexed="22"/>
      </bottom>
    </border>
    <border>
      <left style="thin"/>
      <right style="thin"/>
      <top style="hair"/>
      <bottom style="thin"/>
    </border>
    <border>
      <left>
        <color indexed="63"/>
      </left>
      <right>
        <color indexed="63"/>
      </right>
      <top style="thin">
        <color indexed="22"/>
      </top>
      <bottom style="thin"/>
    </border>
    <border>
      <left style="thin"/>
      <right style="thin"/>
      <top>
        <color indexed="63"/>
      </top>
      <bottom>
        <color indexed="63"/>
      </bottom>
    </border>
    <border>
      <left style="thin"/>
      <right style="thin"/>
      <top>
        <color indexed="63"/>
      </top>
      <bottom style="thin">
        <color indexed="22"/>
      </bottom>
    </border>
    <border>
      <left style="medium"/>
      <right>
        <color indexed="63"/>
      </right>
      <top style="dashDot"/>
      <bottom>
        <color indexed="63"/>
      </bottom>
    </border>
    <border>
      <left style="medium"/>
      <right>
        <color indexed="63"/>
      </right>
      <top>
        <color indexed="63"/>
      </top>
      <bottom style="dashDot"/>
    </border>
    <border>
      <left style="dashDot"/>
      <right>
        <color indexed="63"/>
      </right>
      <top style="medium"/>
      <bottom>
        <color indexed="63"/>
      </bottom>
    </border>
    <border>
      <left>
        <color indexed="63"/>
      </left>
      <right style="dashDot"/>
      <top style="medium"/>
      <bottom>
        <color indexed="63"/>
      </bottom>
    </border>
    <border>
      <left style="thick">
        <color indexed="53"/>
      </left>
      <right>
        <color indexed="63"/>
      </right>
      <top style="thick">
        <color indexed="12"/>
      </top>
      <bottom>
        <color indexed="63"/>
      </bottom>
    </border>
    <border>
      <left style="thick">
        <color indexed="53"/>
      </left>
      <right>
        <color indexed="63"/>
      </right>
      <top>
        <color indexed="63"/>
      </top>
      <bottom>
        <color indexed="63"/>
      </bottom>
    </border>
    <border>
      <left style="mediumDashed">
        <color indexed="10"/>
      </left>
      <right>
        <color indexed="63"/>
      </right>
      <top style="mediumDashed">
        <color indexed="10"/>
      </top>
      <bottom>
        <color indexed="63"/>
      </bottom>
    </border>
    <border>
      <left>
        <color indexed="63"/>
      </left>
      <right>
        <color indexed="63"/>
      </right>
      <top style="mediumDashed">
        <color indexed="10"/>
      </top>
      <bottom>
        <color indexed="63"/>
      </bottom>
    </border>
    <border>
      <left>
        <color indexed="63"/>
      </left>
      <right style="mediumDashed">
        <color indexed="10"/>
      </right>
      <top style="mediumDashed">
        <color indexed="10"/>
      </top>
      <bottom>
        <color indexed="63"/>
      </bottom>
    </border>
    <border>
      <left>
        <color indexed="63"/>
      </left>
      <right>
        <color indexed="63"/>
      </right>
      <top style="mediumDashed"/>
      <bottom>
        <color indexed="63"/>
      </bottom>
    </border>
    <border>
      <left style="medium"/>
      <right style="medium"/>
      <top style="mediumDashed"/>
      <bottom>
        <color indexed="63"/>
      </bottom>
    </border>
    <border>
      <left style="medium"/>
      <right style="medium"/>
      <top>
        <color indexed="63"/>
      </top>
      <bottom>
        <color indexed="63"/>
      </bottom>
    </border>
    <border>
      <left style="mediumDashed"/>
      <right>
        <color indexed="63"/>
      </right>
      <top>
        <color indexed="63"/>
      </top>
      <bottom>
        <color indexed="63"/>
      </bottom>
    </border>
    <border>
      <left style="mediumDashed"/>
      <right>
        <color indexed="63"/>
      </right>
      <top style="medium"/>
      <bottom>
        <color indexed="63"/>
      </bottom>
    </border>
    <border>
      <left style="mediumDashed"/>
      <right>
        <color indexed="63"/>
      </right>
      <top>
        <color indexed="63"/>
      </top>
      <bottom style="medium"/>
    </border>
    <border>
      <left style="mediumDashed">
        <color indexed="10"/>
      </left>
      <right>
        <color indexed="63"/>
      </right>
      <top style="dashDot"/>
      <bottom>
        <color indexed="63"/>
      </bottom>
    </border>
    <border>
      <left style="medium"/>
      <right style="medium"/>
      <top/>
      <bottom style="medium"/>
    </border>
    <border>
      <left style="medium"/>
      <right style="medium"/>
      <top style="medium"/>
      <bottom/>
    </border>
    <border>
      <left style="thick">
        <color indexed="53"/>
      </left>
      <right>
        <color indexed="63"/>
      </right>
      <top>
        <color indexed="63"/>
      </top>
      <bottom style="thick">
        <color indexed="12"/>
      </bottom>
    </border>
    <border>
      <left>
        <color indexed="63"/>
      </left>
      <right>
        <color indexed="63"/>
      </right>
      <top>
        <color indexed="63"/>
      </top>
      <bottom style="thick">
        <color indexed="12"/>
      </bottom>
    </border>
    <border>
      <left style="medium"/>
      <right/>
      <top style="medium"/>
      <bottom style="medium"/>
    </border>
    <border>
      <left/>
      <right/>
      <top style="medium"/>
      <bottom style="medium"/>
    </border>
    <border>
      <left/>
      <right style="medium"/>
      <top style="medium"/>
      <bottom style="medium"/>
    </border>
  </borders>
  <cellStyleXfs count="6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26" borderId="0" applyNumberFormat="0" applyBorder="0" applyAlignment="0" applyProtection="0"/>
    <xf numFmtId="0" fontId="84" fillId="27" borderId="1" applyNumberFormat="0" applyAlignment="0" applyProtection="0"/>
    <xf numFmtId="0" fontId="8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3" fontId="2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7" fontId="21" fillId="0" borderId="0" applyFont="0" applyFill="0" applyBorder="0" applyAlignment="0" applyProtection="0"/>
    <xf numFmtId="0" fontId="21" fillId="0" borderId="0" applyFont="0" applyFill="0" applyBorder="0" applyAlignment="0" applyProtection="0"/>
    <xf numFmtId="0" fontId="86" fillId="0" borderId="0" applyNumberFormat="0" applyFill="0" applyBorder="0" applyAlignment="0" applyProtection="0"/>
    <xf numFmtId="2" fontId="21" fillId="0" borderId="0" applyFont="0" applyFill="0" applyBorder="0" applyAlignment="0" applyProtection="0"/>
    <xf numFmtId="0" fontId="18" fillId="0" borderId="0" applyNumberFormat="0" applyFill="0" applyBorder="0" applyAlignment="0" applyProtection="0"/>
    <xf numFmtId="0" fontId="87" fillId="29" borderId="0" applyNumberFormat="0" applyBorder="0" applyAlignment="0" applyProtection="0"/>
    <xf numFmtId="0" fontId="88" fillId="0" borderId="3" applyNumberFormat="0" applyFill="0" applyAlignment="0" applyProtection="0"/>
    <xf numFmtId="0" fontId="89" fillId="0" borderId="4" applyNumberFormat="0" applyFill="0" applyAlignment="0" applyProtection="0"/>
    <xf numFmtId="0" fontId="90" fillId="0" borderId="5" applyNumberFormat="0" applyFill="0" applyAlignment="0" applyProtection="0"/>
    <xf numFmtId="0" fontId="90" fillId="0" borderId="0" applyNumberFormat="0" applyFill="0" applyBorder="0" applyAlignment="0" applyProtection="0"/>
    <xf numFmtId="0" fontId="17" fillId="0" borderId="0" applyNumberFormat="0" applyFill="0" applyBorder="0" applyAlignment="0" applyProtection="0"/>
    <xf numFmtId="0" fontId="91" fillId="30" borderId="1" applyNumberFormat="0" applyAlignment="0" applyProtection="0"/>
    <xf numFmtId="0" fontId="92" fillId="0" borderId="6" applyNumberFormat="0" applyFill="0" applyAlignment="0" applyProtection="0"/>
    <xf numFmtId="0" fontId="93" fillId="31" borderId="0" applyNumberFormat="0" applyBorder="0" applyAlignment="0" applyProtection="0"/>
    <xf numFmtId="0" fontId="20" fillId="0" borderId="0">
      <alignment/>
      <protection/>
    </xf>
    <xf numFmtId="0" fontId="1" fillId="32" borderId="7" applyNumberFormat="0" applyFont="0" applyAlignment="0" applyProtection="0"/>
    <xf numFmtId="0" fontId="94" fillId="27" borderId="8" applyNumberFormat="0" applyAlignment="0" applyProtection="0"/>
    <xf numFmtId="9" fontId="1" fillId="0" borderId="0" applyFont="0" applyFill="0" applyBorder="0" applyAlignment="0" applyProtection="0"/>
    <xf numFmtId="0" fontId="95" fillId="0" borderId="0" applyNumberFormat="0" applyFill="0" applyBorder="0" applyAlignment="0" applyProtection="0"/>
    <xf numFmtId="0" fontId="96" fillId="0" borderId="9" applyNumberFormat="0" applyFill="0" applyAlignment="0" applyProtection="0"/>
    <xf numFmtId="0" fontId="97" fillId="0" borderId="0" applyNumberFormat="0" applyFill="0" applyBorder="0" applyAlignment="0" applyProtection="0"/>
    <xf numFmtId="0" fontId="2" fillId="0" borderId="0">
      <alignment/>
      <protection/>
    </xf>
  </cellStyleXfs>
  <cellXfs count="534">
    <xf numFmtId="0" fontId="0" fillId="0" borderId="0" xfId="0" applyAlignment="1">
      <alignment/>
    </xf>
    <xf numFmtId="14" fontId="5" fillId="0" borderId="0" xfId="68" applyNumberFormat="1" applyFont="1" applyFill="1" applyBorder="1" applyAlignment="1" applyProtection="1">
      <alignment/>
      <protection/>
    </xf>
    <xf numFmtId="0" fontId="5" fillId="0" borderId="0" xfId="68" applyNumberFormat="1" applyFont="1" applyFill="1" applyBorder="1" applyAlignment="1" applyProtection="1">
      <alignment/>
      <protection/>
    </xf>
    <xf numFmtId="0" fontId="6" fillId="0" borderId="0" xfId="0" applyFont="1" applyFill="1" applyBorder="1" applyAlignment="1" applyProtection="1">
      <alignment/>
      <protection/>
    </xf>
    <xf numFmtId="0" fontId="6" fillId="33" borderId="0" xfId="0" applyFont="1" applyFill="1" applyAlignment="1" applyProtection="1">
      <alignment vertical="center"/>
      <protection/>
    </xf>
    <xf numFmtId="0" fontId="4" fillId="0" borderId="0" xfId="0" applyFont="1" applyFill="1" applyBorder="1" applyAlignment="1" applyProtection="1">
      <alignment/>
      <protection/>
    </xf>
    <xf numFmtId="0" fontId="5" fillId="0" borderId="0" xfId="0" applyFont="1" applyFill="1" applyBorder="1" applyAlignment="1" applyProtection="1">
      <alignment/>
      <protection/>
    </xf>
    <xf numFmtId="0" fontId="6" fillId="0" borderId="0" xfId="0" applyFont="1" applyFill="1" applyAlignment="1" applyProtection="1">
      <alignment horizontal="center"/>
      <protection/>
    </xf>
    <xf numFmtId="2" fontId="6" fillId="0" borderId="0" xfId="0" applyNumberFormat="1" applyFont="1" applyFill="1" applyBorder="1" applyAlignment="1" applyProtection="1">
      <alignment/>
      <protection/>
    </xf>
    <xf numFmtId="0" fontId="6" fillId="0" borderId="0" xfId="0" applyFont="1" applyFill="1" applyAlignment="1" applyProtection="1">
      <alignment/>
      <protection/>
    </xf>
    <xf numFmtId="0" fontId="4" fillId="0" borderId="10" xfId="68" applyFont="1" applyFill="1" applyBorder="1" applyAlignment="1" applyProtection="1">
      <alignment/>
      <protection/>
    </xf>
    <xf numFmtId="199" fontId="5" fillId="0" borderId="10" xfId="68" applyNumberFormat="1" applyFont="1" applyFill="1" applyBorder="1" applyAlignment="1" applyProtection="1">
      <alignment/>
      <protection/>
    </xf>
    <xf numFmtId="0" fontId="5" fillId="0" borderId="10" xfId="68" applyFont="1" applyFill="1" applyBorder="1" applyAlignment="1" applyProtection="1">
      <alignment/>
      <protection/>
    </xf>
    <xf numFmtId="0" fontId="6" fillId="0" borderId="10" xfId="0" applyFont="1" applyFill="1" applyBorder="1" applyAlignment="1" applyProtection="1">
      <alignment/>
      <protection/>
    </xf>
    <xf numFmtId="0" fontId="6" fillId="33" borderId="0" xfId="0" applyFont="1" applyFill="1" applyAlignment="1" applyProtection="1">
      <alignment/>
      <protection/>
    </xf>
    <xf numFmtId="0" fontId="4" fillId="0" borderId="0" xfId="68" applyFont="1" applyFill="1" applyBorder="1" applyAlignment="1" applyProtection="1">
      <alignment/>
      <protection/>
    </xf>
    <xf numFmtId="199" fontId="5" fillId="0" borderId="0" xfId="68" applyNumberFormat="1" applyFont="1" applyFill="1" applyBorder="1" applyAlignment="1" applyProtection="1">
      <alignment/>
      <protection/>
    </xf>
    <xf numFmtId="0" fontId="5" fillId="0" borderId="0" xfId="68" applyFont="1" applyFill="1" applyBorder="1" applyAlignment="1" applyProtection="1">
      <alignment/>
      <protection/>
    </xf>
    <xf numFmtId="0" fontId="6" fillId="0" borderId="11" xfId="0" applyFont="1" applyFill="1" applyBorder="1" applyAlignment="1" applyProtection="1">
      <alignment/>
      <protection/>
    </xf>
    <xf numFmtId="0" fontId="6" fillId="0" borderId="0" xfId="0" applyFont="1" applyFill="1" applyBorder="1" applyAlignment="1" applyProtection="1">
      <alignment shrinkToFit="1"/>
      <protection/>
    </xf>
    <xf numFmtId="0" fontId="6" fillId="0" borderId="12" xfId="0" applyFont="1" applyFill="1" applyBorder="1" applyAlignment="1" applyProtection="1">
      <alignment/>
      <protection/>
    </xf>
    <xf numFmtId="0" fontId="6" fillId="0" borderId="13" xfId="0" applyFont="1" applyFill="1" applyBorder="1" applyAlignment="1" applyProtection="1">
      <alignment/>
      <protection/>
    </xf>
    <xf numFmtId="0" fontId="10" fillId="0" borderId="0" xfId="0" applyFont="1" applyFill="1" applyBorder="1" applyAlignment="1" applyProtection="1">
      <alignment/>
      <protection/>
    </xf>
    <xf numFmtId="2" fontId="6" fillId="0" borderId="0" xfId="0" applyNumberFormat="1" applyFont="1" applyFill="1" applyAlignment="1" applyProtection="1">
      <alignment horizontal="center" vertical="center"/>
      <protection/>
    </xf>
    <xf numFmtId="1" fontId="6" fillId="0" borderId="0" xfId="0" applyNumberFormat="1" applyFont="1" applyFill="1" applyAlignment="1" applyProtection="1">
      <alignment horizontal="center" vertical="center"/>
      <protection/>
    </xf>
    <xf numFmtId="201" fontId="6" fillId="0" borderId="0" xfId="0" applyNumberFormat="1" applyFont="1" applyFill="1" applyAlignment="1" applyProtection="1">
      <alignment horizontal="center"/>
      <protection/>
    </xf>
    <xf numFmtId="0" fontId="7" fillId="0" borderId="0" xfId="0" applyFont="1" applyAlignment="1">
      <alignment/>
    </xf>
    <xf numFmtId="2" fontId="6" fillId="0" borderId="0" xfId="0" applyNumberFormat="1" applyFont="1" applyFill="1" applyAlignment="1" applyProtection="1">
      <alignment horizontal="center"/>
      <protection/>
    </xf>
    <xf numFmtId="0" fontId="9" fillId="0" borderId="0" xfId="0" applyFont="1" applyFill="1" applyAlignment="1" applyProtection="1">
      <alignment/>
      <protection/>
    </xf>
    <xf numFmtId="0" fontId="6"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6" fillId="0" borderId="14" xfId="0" applyFont="1" applyFill="1" applyBorder="1" applyAlignment="1" applyProtection="1">
      <alignment horizontal="center" vertical="center"/>
      <protection/>
    </xf>
    <xf numFmtId="2" fontId="6" fillId="0" borderId="0" xfId="0" applyNumberFormat="1" applyFont="1" applyFill="1" applyAlignment="1" applyProtection="1">
      <alignment/>
      <protection/>
    </xf>
    <xf numFmtId="0" fontId="11" fillId="0" borderId="0" xfId="0" applyFont="1" applyFill="1" applyBorder="1" applyAlignment="1" applyProtection="1">
      <alignment horizontal="center" vertical="center"/>
      <protection/>
    </xf>
    <xf numFmtId="0" fontId="6" fillId="33" borderId="0" xfId="0" applyFont="1" applyFill="1" applyBorder="1" applyAlignment="1" applyProtection="1">
      <alignment horizontal="center"/>
      <protection/>
    </xf>
    <xf numFmtId="0" fontId="6" fillId="33" borderId="0" xfId="0" applyFont="1" applyFill="1" applyBorder="1" applyAlignment="1" applyProtection="1">
      <alignment horizontal="center" vertical="center"/>
      <protection/>
    </xf>
    <xf numFmtId="1" fontId="6" fillId="33" borderId="0" xfId="0" applyNumberFormat="1" applyFont="1" applyFill="1" applyBorder="1" applyAlignment="1" applyProtection="1">
      <alignment horizontal="center" vertical="center"/>
      <protection/>
    </xf>
    <xf numFmtId="1" fontId="6" fillId="33" borderId="0" xfId="0" applyNumberFormat="1" applyFont="1" applyFill="1" applyBorder="1" applyAlignment="1" applyProtection="1">
      <alignment horizontal="center"/>
      <protection/>
    </xf>
    <xf numFmtId="0" fontId="6" fillId="33" borderId="0" xfId="0" applyFont="1" applyFill="1" applyAlignment="1" applyProtection="1">
      <alignment horizontal="center"/>
      <protection/>
    </xf>
    <xf numFmtId="0" fontId="9" fillId="0" borderId="0" xfId="0" applyFont="1" applyFill="1" applyBorder="1" applyAlignment="1" applyProtection="1">
      <alignment/>
      <protection/>
    </xf>
    <xf numFmtId="0" fontId="6" fillId="0" borderId="0" xfId="0" applyFont="1" applyFill="1" applyBorder="1" applyAlignment="1" applyProtection="1">
      <alignment horizontal="center"/>
      <protection/>
    </xf>
    <xf numFmtId="0" fontId="7" fillId="0" borderId="0" xfId="0" applyFont="1" applyFill="1" applyAlignment="1" applyProtection="1">
      <alignment/>
      <protection/>
    </xf>
    <xf numFmtId="0" fontId="6" fillId="0" borderId="15" xfId="0" applyFont="1" applyFill="1" applyBorder="1" applyAlignment="1" applyProtection="1">
      <alignment/>
      <protection/>
    </xf>
    <xf numFmtId="0" fontId="6" fillId="0" borderId="16" xfId="0" applyFont="1" applyFill="1" applyBorder="1" applyAlignment="1" applyProtection="1">
      <alignment/>
      <protection/>
    </xf>
    <xf numFmtId="0" fontId="6" fillId="0" borderId="17" xfId="0" applyFont="1" applyFill="1" applyBorder="1" applyAlignment="1" applyProtection="1">
      <alignment/>
      <protection/>
    </xf>
    <xf numFmtId="0" fontId="6" fillId="0" borderId="18" xfId="0" applyFont="1" applyFill="1" applyBorder="1" applyAlignment="1" applyProtection="1">
      <alignment/>
      <protection/>
    </xf>
    <xf numFmtId="0" fontId="6" fillId="0" borderId="19" xfId="0" applyFont="1" applyFill="1" applyBorder="1" applyAlignment="1" applyProtection="1">
      <alignment/>
      <protection/>
    </xf>
    <xf numFmtId="0" fontId="3" fillId="0" borderId="0" xfId="0" applyFont="1" applyFill="1" applyBorder="1" applyAlignment="1" applyProtection="1">
      <alignment/>
      <protection/>
    </xf>
    <xf numFmtId="2" fontId="6" fillId="0" borderId="0" xfId="0" applyNumberFormat="1" applyFont="1" applyFill="1" applyBorder="1" applyAlignment="1" applyProtection="1">
      <alignment horizontal="center"/>
      <protection/>
    </xf>
    <xf numFmtId="0" fontId="3" fillId="0" borderId="10" xfId="68" applyFont="1" applyFill="1" applyBorder="1" applyAlignment="1" applyProtection="1">
      <alignment/>
      <protection/>
    </xf>
    <xf numFmtId="0" fontId="3" fillId="0" borderId="0" xfId="68" applyFont="1" applyFill="1" applyBorder="1" applyAlignment="1" applyProtection="1">
      <alignment/>
      <protection/>
    </xf>
    <xf numFmtId="0" fontId="3" fillId="0" borderId="12" xfId="68" applyFont="1" applyFill="1" applyBorder="1" applyAlignment="1" applyProtection="1">
      <alignment/>
      <protection/>
    </xf>
    <xf numFmtId="200" fontId="3" fillId="0" borderId="12" xfId="0" applyNumberFormat="1" applyFont="1" applyFill="1" applyBorder="1" applyAlignment="1" applyProtection="1">
      <alignment horizontal="left"/>
      <protection/>
    </xf>
    <xf numFmtId="0" fontId="4" fillId="0" borderId="12" xfId="68" applyFont="1" applyFill="1" applyBorder="1" applyAlignment="1" applyProtection="1">
      <alignment/>
      <protection/>
    </xf>
    <xf numFmtId="14" fontId="5" fillId="0" borderId="12" xfId="68" applyNumberFormat="1" applyFont="1" applyFill="1" applyBorder="1" applyAlignment="1" applyProtection="1">
      <alignment/>
      <protection/>
    </xf>
    <xf numFmtId="0" fontId="5" fillId="0" borderId="12" xfId="68" applyNumberFormat="1" applyFont="1" applyFill="1" applyBorder="1" applyAlignment="1" applyProtection="1">
      <alignment/>
      <protection/>
    </xf>
    <xf numFmtId="0" fontId="9" fillId="0" borderId="12" xfId="0" applyFont="1" applyFill="1" applyBorder="1" applyAlignment="1" applyProtection="1">
      <alignment/>
      <protection/>
    </xf>
    <xf numFmtId="0" fontId="4" fillId="0" borderId="12" xfId="0"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3" fillId="0" borderId="20"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6" fillId="0" borderId="20" xfId="0" applyFont="1" applyFill="1" applyBorder="1" applyAlignment="1" applyProtection="1">
      <alignment/>
      <protection/>
    </xf>
    <xf numFmtId="0" fontId="3" fillId="0" borderId="21" xfId="68" applyFont="1" applyFill="1" applyBorder="1" applyAlignment="1" applyProtection="1">
      <alignment/>
      <protection/>
    </xf>
    <xf numFmtId="0" fontId="3" fillId="0" borderId="22" xfId="68" applyFont="1" applyFill="1" applyBorder="1" applyAlignment="1" applyProtection="1">
      <alignment/>
      <protection/>
    </xf>
    <xf numFmtId="0" fontId="6" fillId="0" borderId="23" xfId="0" applyFont="1" applyFill="1" applyBorder="1" applyAlignment="1" applyProtection="1">
      <alignment/>
      <protection/>
    </xf>
    <xf numFmtId="0" fontId="6" fillId="33" borderId="0" xfId="0" applyFont="1" applyFill="1" applyAlignment="1" applyProtection="1">
      <alignment horizontal="center" vertical="center"/>
      <protection/>
    </xf>
    <xf numFmtId="0" fontId="9" fillId="33" borderId="0" xfId="0" applyFont="1" applyFill="1" applyAlignment="1" applyProtection="1">
      <alignment horizontal="center" vertical="center"/>
      <protection/>
    </xf>
    <xf numFmtId="0" fontId="6" fillId="34" borderId="14" xfId="0" applyFont="1" applyFill="1" applyBorder="1" applyAlignment="1" applyProtection="1">
      <alignment horizontal="center" vertical="center"/>
      <protection/>
    </xf>
    <xf numFmtId="0" fontId="6" fillId="35" borderId="14" xfId="0" applyFont="1" applyFill="1" applyBorder="1" applyAlignment="1" applyProtection="1">
      <alignment horizontal="center" vertical="center"/>
      <protection/>
    </xf>
    <xf numFmtId="0" fontId="6" fillId="36" borderId="14" xfId="0" applyFont="1" applyFill="1" applyBorder="1" applyAlignment="1" applyProtection="1">
      <alignment horizontal="center" vertical="center"/>
      <protection/>
    </xf>
    <xf numFmtId="1" fontId="6" fillId="33" borderId="14" xfId="0" applyNumberFormat="1" applyFont="1" applyFill="1" applyBorder="1" applyAlignment="1" applyProtection="1">
      <alignment horizontal="center" vertical="center"/>
      <protection/>
    </xf>
    <xf numFmtId="0" fontId="6" fillId="37" borderId="24" xfId="0" applyFont="1" applyFill="1" applyBorder="1" applyAlignment="1" applyProtection="1">
      <alignment horizontal="center" vertical="center"/>
      <protection/>
    </xf>
    <xf numFmtId="0" fontId="6" fillId="37" borderId="2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protection/>
    </xf>
    <xf numFmtId="0" fontId="6" fillId="35"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12" xfId="0" applyFont="1" applyFill="1" applyBorder="1" applyAlignment="1" applyProtection="1">
      <alignment horizontal="center"/>
      <protection/>
    </xf>
    <xf numFmtId="1" fontId="6" fillId="0" borderId="12" xfId="0" applyNumberFormat="1" applyFont="1" applyFill="1" applyBorder="1" applyAlignment="1" applyProtection="1">
      <alignment horizontal="center" vertical="center"/>
      <protection/>
    </xf>
    <xf numFmtId="0" fontId="6" fillId="0" borderId="12" xfId="0" applyFont="1" applyFill="1" applyBorder="1" applyAlignment="1" applyProtection="1">
      <alignment shrinkToFit="1"/>
      <protection/>
    </xf>
    <xf numFmtId="0" fontId="6" fillId="0" borderId="26" xfId="0" applyFont="1" applyFill="1" applyBorder="1" applyAlignment="1" applyProtection="1">
      <alignment/>
      <protection/>
    </xf>
    <xf numFmtId="0" fontId="6" fillId="0" borderId="27" xfId="0" applyFont="1" applyFill="1" applyBorder="1" applyAlignment="1" applyProtection="1">
      <alignment/>
      <protection/>
    </xf>
    <xf numFmtId="0" fontId="6" fillId="0" borderId="28" xfId="0" applyFont="1" applyFill="1" applyBorder="1" applyAlignment="1" applyProtection="1">
      <alignment/>
      <protection/>
    </xf>
    <xf numFmtId="0" fontId="14" fillId="0" borderId="0" xfId="0" applyFont="1" applyFill="1" applyBorder="1" applyAlignment="1" applyProtection="1">
      <alignment vertical="center"/>
      <protection/>
    </xf>
    <xf numFmtId="202" fontId="9" fillId="0" borderId="0" xfId="0" applyNumberFormat="1" applyFont="1" applyFill="1" applyBorder="1" applyAlignment="1" applyProtection="1">
      <alignment vertical="center"/>
      <protection/>
    </xf>
    <xf numFmtId="0" fontId="15" fillId="0" borderId="0" xfId="0" applyFont="1" applyFill="1" applyBorder="1" applyAlignment="1" applyProtection="1">
      <alignment vertical="center"/>
      <protection/>
    </xf>
    <xf numFmtId="1" fontId="13" fillId="0" borderId="0" xfId="0" applyNumberFormat="1" applyFont="1" applyFill="1" applyBorder="1" applyAlignment="1" applyProtection="1">
      <alignment/>
      <protection/>
    </xf>
    <xf numFmtId="1" fontId="13" fillId="0" borderId="0" xfId="0" applyNumberFormat="1" applyFont="1" applyFill="1" applyBorder="1" applyAlignment="1" applyProtection="1">
      <alignment vertical="center"/>
      <protection/>
    </xf>
    <xf numFmtId="1" fontId="13" fillId="0" borderId="0" xfId="0" applyNumberFormat="1" applyFont="1" applyFill="1" applyBorder="1" applyAlignment="1" applyProtection="1">
      <alignment horizontal="center" vertical="center"/>
      <protection/>
    </xf>
    <xf numFmtId="1" fontId="9" fillId="0" borderId="0" xfId="0" applyNumberFormat="1" applyFont="1" applyFill="1" applyAlignment="1" applyProtection="1">
      <alignment/>
      <protection/>
    </xf>
    <xf numFmtId="1" fontId="9" fillId="0" borderId="0" xfId="0" applyNumberFormat="1" applyFont="1" applyFill="1" applyBorder="1" applyAlignment="1" applyProtection="1">
      <alignment/>
      <protection/>
    </xf>
    <xf numFmtId="0" fontId="6" fillId="0" borderId="29" xfId="0" applyFont="1" applyFill="1" applyBorder="1" applyAlignment="1" applyProtection="1">
      <alignment/>
      <protection/>
    </xf>
    <xf numFmtId="0" fontId="9" fillId="0" borderId="0" xfId="0" applyFont="1" applyFill="1" applyBorder="1" applyAlignment="1" applyProtection="1">
      <alignment horizontal="center" vertical="center"/>
      <protection/>
    </xf>
    <xf numFmtId="0" fontId="6" fillId="33" borderId="0" xfId="0" applyFont="1" applyFill="1" applyBorder="1" applyAlignment="1" applyProtection="1">
      <alignment/>
      <protection/>
    </xf>
    <xf numFmtId="0" fontId="4" fillId="33" borderId="0" xfId="0" applyFont="1" applyFill="1" applyBorder="1" applyAlignment="1" applyProtection="1">
      <alignment horizontal="center" vertical="center"/>
      <protection/>
    </xf>
    <xf numFmtId="0" fontId="4" fillId="33" borderId="0" xfId="0" applyFont="1" applyFill="1" applyBorder="1" applyAlignment="1" applyProtection="1">
      <alignment/>
      <protection/>
    </xf>
    <xf numFmtId="1" fontId="4" fillId="33" borderId="0" xfId="0" applyNumberFormat="1" applyFont="1" applyFill="1" applyBorder="1" applyAlignment="1" applyProtection="1">
      <alignment horizontal="center" vertical="center"/>
      <protection/>
    </xf>
    <xf numFmtId="0" fontId="4" fillId="33" borderId="0" xfId="0" applyFont="1" applyFill="1" applyBorder="1" applyAlignment="1" applyProtection="1">
      <alignment horizontal="center"/>
      <protection/>
    </xf>
    <xf numFmtId="0" fontId="4" fillId="33" borderId="0" xfId="0" applyFont="1" applyFill="1" applyBorder="1" applyAlignment="1" applyProtection="1">
      <alignment horizontal="left" vertical="center"/>
      <protection/>
    </xf>
    <xf numFmtId="1" fontId="4" fillId="33" borderId="0" xfId="0" applyNumberFormat="1" applyFont="1" applyFill="1" applyBorder="1" applyAlignment="1" applyProtection="1">
      <alignment horizontal="center"/>
      <protection/>
    </xf>
    <xf numFmtId="0" fontId="9" fillId="33" borderId="0" xfId="0" applyFont="1" applyFill="1" applyBorder="1" applyAlignment="1" applyProtection="1">
      <alignment horizontal="center"/>
      <protection/>
    </xf>
    <xf numFmtId="0" fontId="9" fillId="33" borderId="0" xfId="0" applyFont="1" applyFill="1" applyBorder="1" applyAlignment="1" applyProtection="1">
      <alignment/>
      <protection/>
    </xf>
    <xf numFmtId="0" fontId="9" fillId="33" borderId="0" xfId="0" applyFont="1" applyFill="1" applyBorder="1" applyAlignment="1" applyProtection="1">
      <alignment horizontal="left"/>
      <protection/>
    </xf>
    <xf numFmtId="0" fontId="9" fillId="33" borderId="0" xfId="0" applyFont="1" applyFill="1" applyBorder="1" applyAlignment="1" applyProtection="1">
      <alignment horizontal="center" vertical="center"/>
      <protection/>
    </xf>
    <xf numFmtId="2" fontId="9" fillId="33" borderId="0" xfId="0" applyNumberFormat="1" applyFont="1" applyFill="1" applyBorder="1" applyAlignment="1" applyProtection="1">
      <alignment/>
      <protection/>
    </xf>
    <xf numFmtId="0" fontId="13" fillId="33" borderId="0" xfId="0" applyFont="1" applyFill="1" applyBorder="1" applyAlignment="1" applyProtection="1">
      <alignment/>
      <protection/>
    </xf>
    <xf numFmtId="0" fontId="5" fillId="0" borderId="11" xfId="0" applyFont="1" applyFill="1" applyBorder="1" applyAlignment="1" applyProtection="1">
      <alignment/>
      <protection/>
    </xf>
    <xf numFmtId="1" fontId="5" fillId="0" borderId="11" xfId="0" applyNumberFormat="1" applyFont="1" applyFill="1" applyBorder="1" applyAlignment="1" applyProtection="1">
      <alignment/>
      <protection/>
    </xf>
    <xf numFmtId="0" fontId="6" fillId="0" borderId="30" xfId="0" applyFont="1" applyFill="1" applyBorder="1" applyAlignment="1" applyProtection="1">
      <alignment/>
      <protection/>
    </xf>
    <xf numFmtId="0" fontId="6" fillId="0" borderId="21" xfId="0" applyFont="1" applyFill="1" applyBorder="1" applyAlignment="1" applyProtection="1">
      <alignment/>
      <protection/>
    </xf>
    <xf numFmtId="0" fontId="6" fillId="0" borderId="22" xfId="0" applyFont="1" applyFill="1" applyBorder="1" applyAlignment="1" applyProtection="1">
      <alignment/>
      <protection/>
    </xf>
    <xf numFmtId="0" fontId="6" fillId="0" borderId="31" xfId="0" applyFont="1" applyFill="1" applyBorder="1" applyAlignment="1" applyProtection="1">
      <alignment/>
      <protection/>
    </xf>
    <xf numFmtId="0" fontId="6" fillId="0" borderId="32" xfId="0" applyFont="1" applyFill="1" applyBorder="1" applyAlignment="1" applyProtection="1">
      <alignment/>
      <protection/>
    </xf>
    <xf numFmtId="0" fontId="6" fillId="0" borderId="33" xfId="0" applyFont="1" applyFill="1" applyBorder="1" applyAlignment="1" applyProtection="1">
      <alignment/>
      <protection/>
    </xf>
    <xf numFmtId="0" fontId="6" fillId="0" borderId="34" xfId="0" applyFont="1" applyFill="1" applyBorder="1" applyAlignment="1" applyProtection="1">
      <alignment/>
      <protection/>
    </xf>
    <xf numFmtId="0" fontId="6" fillId="0" borderId="35" xfId="0" applyFont="1" applyFill="1" applyBorder="1" applyAlignment="1" applyProtection="1">
      <alignment/>
      <protection/>
    </xf>
    <xf numFmtId="0" fontId="6" fillId="0" borderId="36" xfId="0" applyFont="1" applyFill="1" applyBorder="1" applyAlignment="1" applyProtection="1">
      <alignment/>
      <protection/>
    </xf>
    <xf numFmtId="0" fontId="11" fillId="0" borderId="0" xfId="0" applyFont="1" applyFill="1" applyAlignment="1" applyProtection="1">
      <alignment vertical="center"/>
      <protection/>
    </xf>
    <xf numFmtId="0" fontId="13" fillId="0" borderId="0" xfId="0" applyFont="1" applyFill="1" applyBorder="1" applyAlignment="1" applyProtection="1">
      <alignment/>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1" fontId="4" fillId="0" borderId="0" xfId="0" applyNumberFormat="1" applyFont="1" applyFill="1" applyBorder="1" applyAlignment="1" applyProtection="1">
      <alignment horizontal="center"/>
      <protection/>
    </xf>
    <xf numFmtId="0" fontId="23" fillId="38" borderId="37" xfId="61" applyFont="1" applyFill="1" applyBorder="1" applyAlignment="1" applyProtection="1">
      <alignment horizontal="centerContinuous"/>
      <protection hidden="1"/>
    </xf>
    <xf numFmtId="0" fontId="20" fillId="38" borderId="38" xfId="61" applyFill="1" applyBorder="1" applyAlignment="1" applyProtection="1">
      <alignment horizontal="centerContinuous"/>
      <protection hidden="1"/>
    </xf>
    <xf numFmtId="0" fontId="24" fillId="38" borderId="38" xfId="61" applyFont="1" applyFill="1" applyBorder="1" applyAlignment="1" applyProtection="1">
      <alignment horizontal="centerContinuous"/>
      <protection hidden="1"/>
    </xf>
    <xf numFmtId="0" fontId="20" fillId="38" borderId="39" xfId="61" applyFill="1" applyBorder="1" applyAlignment="1" applyProtection="1">
      <alignment horizontal="centerContinuous"/>
      <protection hidden="1"/>
    </xf>
    <xf numFmtId="0" fontId="20" fillId="39" borderId="0" xfId="61" applyFill="1" applyBorder="1">
      <alignment/>
      <protection/>
    </xf>
    <xf numFmtId="0" fontId="25" fillId="39" borderId="0" xfId="61" applyFont="1" applyFill="1" applyBorder="1">
      <alignment/>
      <protection/>
    </xf>
    <xf numFmtId="0" fontId="20" fillId="39" borderId="0" xfId="61" applyFill="1">
      <alignment/>
      <protection/>
    </xf>
    <xf numFmtId="0" fontId="26" fillId="0" borderId="14" xfId="61" applyFont="1" applyBorder="1" applyAlignment="1" applyProtection="1">
      <alignment horizontal="center"/>
      <protection hidden="1"/>
    </xf>
    <xf numFmtId="0" fontId="27" fillId="39" borderId="0" xfId="61" applyFont="1" applyFill="1" applyAlignment="1">
      <alignment horizontal="center"/>
      <protection/>
    </xf>
    <xf numFmtId="0" fontId="28" fillId="38" borderId="40" xfId="61" applyFont="1" applyFill="1" applyBorder="1" applyAlignment="1" applyProtection="1">
      <alignment horizontal="centerContinuous"/>
      <protection hidden="1"/>
    </xf>
    <xf numFmtId="0" fontId="24" fillId="38" borderId="0" xfId="61" applyFont="1" applyFill="1" applyBorder="1" applyAlignment="1" applyProtection="1">
      <alignment horizontal="centerContinuous"/>
      <protection hidden="1"/>
    </xf>
    <xf numFmtId="0" fontId="28" fillId="38" borderId="0" xfId="61" applyFont="1" applyFill="1" applyBorder="1" applyAlignment="1" applyProtection="1">
      <alignment horizontal="centerContinuous"/>
      <protection hidden="1"/>
    </xf>
    <xf numFmtId="0" fontId="20" fillId="38" borderId="0" xfId="61" applyFill="1" applyBorder="1" applyAlignment="1" applyProtection="1">
      <alignment horizontal="centerContinuous"/>
      <protection hidden="1"/>
    </xf>
    <xf numFmtId="0" fontId="20" fillId="38" borderId="41" xfId="61" applyFill="1" applyBorder="1" applyAlignment="1" applyProtection="1">
      <alignment horizontal="centerContinuous"/>
      <protection hidden="1"/>
    </xf>
    <xf numFmtId="0" fontId="29" fillId="38" borderId="42" xfId="61" applyFont="1" applyFill="1" applyBorder="1" applyAlignment="1" applyProtection="1">
      <alignment horizontal="centerContinuous" vertical="justify"/>
      <protection hidden="1"/>
    </xf>
    <xf numFmtId="0" fontId="30" fillId="38" borderId="39" xfId="61" applyFont="1" applyFill="1" applyBorder="1" applyAlignment="1" applyProtection="1">
      <alignment horizontal="centerContinuous" vertical="justify"/>
      <protection hidden="1"/>
    </xf>
    <xf numFmtId="0" fontId="28" fillId="38" borderId="43" xfId="61" applyFont="1" applyFill="1" applyBorder="1" applyAlignment="1" applyProtection="1">
      <alignment horizontal="centerContinuous"/>
      <protection hidden="1"/>
    </xf>
    <xf numFmtId="0" fontId="24" fillId="38" borderId="44" xfId="61" applyFont="1" applyFill="1" applyBorder="1" applyAlignment="1" applyProtection="1">
      <alignment horizontal="centerContinuous"/>
      <protection hidden="1"/>
    </xf>
    <xf numFmtId="0" fontId="20" fillId="38" borderId="44" xfId="61" applyFill="1" applyBorder="1" applyAlignment="1" applyProtection="1">
      <alignment horizontal="centerContinuous"/>
      <protection hidden="1"/>
    </xf>
    <xf numFmtId="0" fontId="20" fillId="38" borderId="45" xfId="61" applyFill="1" applyBorder="1" applyAlignment="1" applyProtection="1">
      <alignment horizontal="centerContinuous"/>
      <protection hidden="1"/>
    </xf>
    <xf numFmtId="0" fontId="25" fillId="39" borderId="0" xfId="61" applyFont="1" applyFill="1" applyAlignment="1">
      <alignment horizontal="centerContinuous"/>
      <protection/>
    </xf>
    <xf numFmtId="0" fontId="20" fillId="39" borderId="0" xfId="61" applyFill="1" applyAlignment="1">
      <alignment horizontal="centerContinuous"/>
      <protection/>
    </xf>
    <xf numFmtId="0" fontId="20" fillId="39" borderId="0" xfId="61" applyFill="1" applyBorder="1" applyAlignment="1">
      <alignment horizontal="centerContinuous"/>
      <protection/>
    </xf>
    <xf numFmtId="0" fontId="27" fillId="39" borderId="0" xfId="61" applyFont="1" applyFill="1" applyAlignment="1">
      <alignment horizontal="centerContinuous"/>
      <protection/>
    </xf>
    <xf numFmtId="0" fontId="30" fillId="38" borderId="14" xfId="61" applyFont="1" applyFill="1" applyBorder="1" applyAlignment="1" applyProtection="1">
      <alignment horizontal="center"/>
      <protection hidden="1"/>
    </xf>
    <xf numFmtId="0" fontId="20" fillId="39" borderId="46" xfId="61" applyFill="1" applyBorder="1" applyAlignment="1" applyProtection="1">
      <alignment horizontal="right"/>
      <protection hidden="1"/>
    </xf>
    <xf numFmtId="49" fontId="27" fillId="39" borderId="37" xfId="61" applyNumberFormat="1" applyFont="1" applyFill="1" applyBorder="1" applyAlignment="1" applyProtection="1">
      <alignment horizontal="left"/>
      <protection locked="0"/>
    </xf>
    <xf numFmtId="49" fontId="31" fillId="39" borderId="38" xfId="61" applyNumberFormat="1" applyFont="1" applyFill="1" applyBorder="1" applyProtection="1">
      <alignment/>
      <protection locked="0"/>
    </xf>
    <xf numFmtId="0" fontId="30" fillId="39" borderId="14" xfId="61" applyFont="1" applyFill="1" applyBorder="1" applyAlignment="1" applyProtection="1">
      <alignment horizontal="center"/>
      <protection hidden="1"/>
    </xf>
    <xf numFmtId="49" fontId="27" fillId="39" borderId="47" xfId="61" applyNumberFormat="1" applyFont="1" applyFill="1" applyBorder="1" applyAlignment="1" applyProtection="1">
      <alignment horizontal="left"/>
      <protection locked="0"/>
    </xf>
    <xf numFmtId="49" fontId="27" fillId="39" borderId="47" xfId="61" applyNumberFormat="1" applyFont="1" applyFill="1" applyBorder="1" applyProtection="1">
      <alignment/>
      <protection locked="0"/>
    </xf>
    <xf numFmtId="49" fontId="27" fillId="39" borderId="48" xfId="61" applyNumberFormat="1" applyFont="1" applyFill="1" applyBorder="1" applyProtection="1">
      <alignment/>
      <protection locked="0"/>
    </xf>
    <xf numFmtId="0" fontId="27" fillId="39" borderId="0" xfId="61" applyFont="1" applyFill="1" applyBorder="1">
      <alignment/>
      <protection/>
    </xf>
    <xf numFmtId="0" fontId="27" fillId="39" borderId="0" xfId="61" applyFont="1" applyFill="1" applyBorder="1" applyAlignment="1" applyProtection="1">
      <alignment horizontal="right"/>
      <protection/>
    </xf>
    <xf numFmtId="0" fontId="27" fillId="39" borderId="0" xfId="61" applyFont="1" applyFill="1" applyBorder="1" applyAlignment="1">
      <alignment horizontal="center"/>
      <protection/>
    </xf>
    <xf numFmtId="0" fontId="27" fillId="39" borderId="0" xfId="61" applyFont="1" applyFill="1" applyBorder="1" applyAlignment="1">
      <alignment horizontal="center"/>
      <protection/>
    </xf>
    <xf numFmtId="0" fontId="27" fillId="39" borderId="0" xfId="61" applyFont="1" applyFill="1" applyAlignment="1">
      <alignment horizontal="center"/>
      <protection/>
    </xf>
    <xf numFmtId="0" fontId="27" fillId="40" borderId="14" xfId="61" applyFont="1" applyFill="1" applyBorder="1" applyAlignment="1" applyProtection="1">
      <alignment horizontal="center"/>
      <protection locked="0"/>
    </xf>
    <xf numFmtId="0" fontId="27" fillId="40" borderId="45" xfId="61" applyFont="1" applyFill="1" applyBorder="1" applyAlignment="1" applyProtection="1">
      <alignment horizontal="center"/>
      <protection locked="0"/>
    </xf>
    <xf numFmtId="49" fontId="27" fillId="39" borderId="49" xfId="61" applyNumberFormat="1" applyFont="1" applyFill="1" applyBorder="1" applyAlignment="1" applyProtection="1" quotePrefix="1">
      <alignment horizontal="left"/>
      <protection locked="0"/>
    </xf>
    <xf numFmtId="0" fontId="30" fillId="39" borderId="46" xfId="61" applyFont="1" applyFill="1" applyBorder="1" applyAlignment="1" applyProtection="1">
      <alignment horizontal="center"/>
      <protection hidden="1"/>
    </xf>
    <xf numFmtId="49" fontId="27" fillId="39" borderId="14" xfId="61" applyNumberFormat="1" applyFont="1" applyFill="1" applyBorder="1" applyAlignment="1" applyProtection="1">
      <alignment horizontal="left"/>
      <protection locked="0"/>
    </xf>
    <xf numFmtId="0" fontId="32" fillId="39" borderId="14" xfId="61" applyFont="1" applyFill="1" applyBorder="1" applyAlignment="1" applyProtection="1">
      <alignment horizontal="center"/>
      <protection hidden="1"/>
    </xf>
    <xf numFmtId="49" fontId="27" fillId="39" borderId="14" xfId="61" applyNumberFormat="1" applyFont="1" applyFill="1" applyBorder="1" applyProtection="1">
      <alignment/>
      <protection locked="0"/>
    </xf>
    <xf numFmtId="201" fontId="27" fillId="39" borderId="0" xfId="61" applyNumberFormat="1" applyFont="1" applyFill="1" applyBorder="1" applyAlignment="1">
      <alignment horizontal="center"/>
      <protection/>
    </xf>
    <xf numFmtId="2" fontId="27" fillId="39" borderId="0" xfId="61" applyNumberFormat="1" applyFont="1" applyFill="1" applyBorder="1" applyAlignment="1">
      <alignment horizontal="center"/>
      <protection/>
    </xf>
    <xf numFmtId="201" fontId="27" fillId="39" borderId="0" xfId="61" applyNumberFormat="1" applyFont="1" applyFill="1" applyAlignment="1">
      <alignment horizontal="center"/>
      <protection/>
    </xf>
    <xf numFmtId="2" fontId="27" fillId="39" borderId="0" xfId="61" applyNumberFormat="1" applyFont="1" applyFill="1" applyAlignment="1">
      <alignment horizontal="center"/>
      <protection/>
    </xf>
    <xf numFmtId="0" fontId="34" fillId="39" borderId="0" xfId="61" applyFont="1" applyFill="1">
      <alignment/>
      <protection/>
    </xf>
    <xf numFmtId="0" fontId="33" fillId="39" borderId="0" xfId="61" applyFont="1" applyFill="1">
      <alignment/>
      <protection/>
    </xf>
    <xf numFmtId="0" fontId="20" fillId="39" borderId="40" xfId="61" applyFill="1" applyBorder="1" applyAlignment="1" applyProtection="1">
      <alignment horizontal="right"/>
      <protection hidden="1"/>
    </xf>
    <xf numFmtId="0" fontId="27" fillId="39" borderId="0" xfId="61" applyFont="1" applyFill="1" applyBorder="1" applyProtection="1">
      <alignment/>
      <protection locked="0"/>
    </xf>
    <xf numFmtId="0" fontId="27" fillId="39" borderId="0" xfId="61" applyFont="1" applyFill="1" applyBorder="1" applyAlignment="1" applyProtection="1">
      <alignment horizontal="center"/>
      <protection locked="0"/>
    </xf>
    <xf numFmtId="14" fontId="27" fillId="39" borderId="41" xfId="61" applyNumberFormat="1" applyFont="1" applyFill="1" applyBorder="1" applyAlignment="1" applyProtection="1">
      <alignment horizontal="center"/>
      <protection locked="0"/>
    </xf>
    <xf numFmtId="0" fontId="35" fillId="39" borderId="40" xfId="61" applyFont="1" applyFill="1" applyBorder="1" applyProtection="1">
      <alignment/>
      <protection hidden="1"/>
    </xf>
    <xf numFmtId="0" fontId="31" fillId="39" borderId="0" xfId="61" applyFont="1" applyFill="1" applyBorder="1" applyProtection="1">
      <alignment/>
      <protection locked="0"/>
    </xf>
    <xf numFmtId="18" fontId="27" fillId="39" borderId="41" xfId="61" applyNumberFormat="1" applyFont="1" applyFill="1" applyBorder="1" applyAlignment="1" applyProtection="1">
      <alignment horizontal="center"/>
      <protection locked="0"/>
    </xf>
    <xf numFmtId="0" fontId="20" fillId="39" borderId="40" xfId="61" applyFill="1" applyBorder="1" applyProtection="1">
      <alignment/>
      <protection hidden="1"/>
    </xf>
    <xf numFmtId="0" fontId="31" fillId="39" borderId="0" xfId="61" applyFont="1" applyFill="1" applyBorder="1" applyAlignment="1" applyProtection="1">
      <alignment horizontal="left"/>
      <protection locked="0"/>
    </xf>
    <xf numFmtId="0" fontId="36" fillId="39" borderId="0" xfId="61" applyFont="1" applyFill="1" applyBorder="1" applyAlignment="1" applyProtection="1">
      <alignment horizontal="centerContinuous"/>
      <protection hidden="1"/>
    </xf>
    <xf numFmtId="0" fontId="20" fillId="39" borderId="0" xfId="61" applyFill="1" applyBorder="1" applyAlignment="1" applyProtection="1">
      <alignment horizontal="centerContinuous"/>
      <protection hidden="1"/>
    </xf>
    <xf numFmtId="0" fontId="30" fillId="39" borderId="0" xfId="61" applyFont="1" applyFill="1" applyBorder="1" applyAlignment="1" applyProtection="1">
      <alignment/>
      <protection hidden="1"/>
    </xf>
    <xf numFmtId="0" fontId="20" fillId="39" borderId="0" xfId="61" applyFill="1" applyBorder="1" applyAlignment="1" applyProtection="1">
      <alignment horizontal="center"/>
      <protection hidden="1"/>
    </xf>
    <xf numFmtId="0" fontId="27" fillId="39" borderId="41" xfId="61" applyFont="1" applyFill="1" applyBorder="1" applyAlignment="1" applyProtection="1">
      <alignment horizontal="center"/>
      <protection locked="0"/>
    </xf>
    <xf numFmtId="0" fontId="24" fillId="39" borderId="0" xfId="61" applyFont="1" applyFill="1" applyBorder="1" applyAlignment="1" applyProtection="1">
      <alignment horizontal="right"/>
      <protection hidden="1"/>
    </xf>
    <xf numFmtId="0" fontId="27" fillId="41" borderId="14" xfId="61" applyFont="1" applyFill="1" applyBorder="1" applyAlignment="1" applyProtection="1">
      <alignment horizontal="center"/>
      <protection locked="0"/>
    </xf>
    <xf numFmtId="0" fontId="28" fillId="39" borderId="0" xfId="61" applyFont="1" applyFill="1" applyBorder="1" applyProtection="1">
      <alignment/>
      <protection hidden="1"/>
    </xf>
    <xf numFmtId="0" fontId="35" fillId="39" borderId="0" xfId="61" applyFont="1" applyFill="1" applyBorder="1" applyAlignment="1" applyProtection="1">
      <alignment horizontal="centerContinuous"/>
      <protection hidden="1"/>
    </xf>
    <xf numFmtId="0" fontId="20" fillId="39" borderId="0" xfId="61" applyFill="1" applyBorder="1" applyProtection="1">
      <alignment/>
      <protection hidden="1"/>
    </xf>
    <xf numFmtId="0" fontId="20" fillId="39" borderId="41" xfId="61" applyFill="1" applyBorder="1" applyProtection="1">
      <alignment/>
      <protection hidden="1"/>
    </xf>
    <xf numFmtId="0" fontId="24" fillId="39" borderId="0" xfId="61" applyFont="1" applyFill="1" applyBorder="1" applyAlignment="1" applyProtection="1">
      <alignment horizontal="centerContinuous"/>
      <protection hidden="1"/>
    </xf>
    <xf numFmtId="0" fontId="20" fillId="39" borderId="40" xfId="61" applyFill="1" applyBorder="1" applyAlignment="1" applyProtection="1">
      <alignment horizontal="centerContinuous"/>
      <protection hidden="1"/>
    </xf>
    <xf numFmtId="0" fontId="24" fillId="38" borderId="49" xfId="61" applyFont="1" applyFill="1" applyBorder="1" applyAlignment="1" applyProtection="1">
      <alignment horizontal="centerContinuous"/>
      <protection hidden="1"/>
    </xf>
    <xf numFmtId="0" fontId="20" fillId="38" borderId="48" xfId="61" applyFill="1" applyBorder="1" applyAlignment="1" applyProtection="1">
      <alignment horizontal="centerContinuous"/>
      <protection hidden="1"/>
    </xf>
    <xf numFmtId="0" fontId="38" fillId="39" borderId="0" xfId="61" applyFont="1" applyFill="1" applyBorder="1" applyAlignment="1" applyProtection="1">
      <alignment horizontal="centerContinuous"/>
      <protection hidden="1"/>
    </xf>
    <xf numFmtId="0" fontId="27" fillId="39" borderId="0" xfId="61" applyFont="1" applyFill="1">
      <alignment/>
      <protection/>
    </xf>
    <xf numFmtId="0" fontId="20" fillId="39" borderId="44" xfId="61" applyFill="1" applyBorder="1" applyAlignment="1" applyProtection="1">
      <alignment horizontal="center"/>
      <protection hidden="1"/>
    </xf>
    <xf numFmtId="0" fontId="20" fillId="38" borderId="42" xfId="61" applyFill="1" applyBorder="1" applyAlignment="1" applyProtection="1">
      <alignment horizontal="center"/>
      <protection hidden="1"/>
    </xf>
    <xf numFmtId="0" fontId="20" fillId="38" borderId="41" xfId="61" applyFill="1" applyBorder="1" applyAlignment="1" applyProtection="1">
      <alignment horizontal="center"/>
      <protection hidden="1"/>
    </xf>
    <xf numFmtId="0" fontId="27" fillId="39" borderId="0" xfId="61" applyFont="1" applyFill="1" applyBorder="1" applyProtection="1">
      <alignment/>
      <protection hidden="1"/>
    </xf>
    <xf numFmtId="0" fontId="27" fillId="39" borderId="0" xfId="61" applyFont="1" applyFill="1" applyBorder="1" applyAlignment="1" applyProtection="1">
      <alignment horizontal="center"/>
      <protection hidden="1"/>
    </xf>
    <xf numFmtId="0" fontId="22" fillId="39" borderId="40" xfId="61" applyFont="1" applyFill="1" applyBorder="1" applyAlignment="1" applyProtection="1">
      <alignment horizontal="right"/>
      <protection hidden="1"/>
    </xf>
    <xf numFmtId="201" fontId="27" fillId="41" borderId="50" xfId="61" applyNumberFormat="1" applyFont="1" applyFill="1" applyBorder="1" applyAlignment="1" applyProtection="1">
      <alignment horizontal="center"/>
      <protection locked="0"/>
    </xf>
    <xf numFmtId="201" fontId="27" fillId="41" borderId="51" xfId="61" applyNumberFormat="1" applyFont="1" applyFill="1" applyBorder="1" applyAlignment="1" applyProtection="1">
      <alignment horizontal="center"/>
      <protection locked="0"/>
    </xf>
    <xf numFmtId="0" fontId="22" fillId="39" borderId="41" xfId="61" applyFont="1" applyFill="1" applyBorder="1" applyAlignment="1" applyProtection="1">
      <alignment horizontal="right"/>
      <protection hidden="1"/>
    </xf>
    <xf numFmtId="2" fontId="27" fillId="39" borderId="52" xfId="61" applyNumberFormat="1" applyFont="1" applyFill="1" applyBorder="1" applyAlignment="1" applyProtection="1">
      <alignment horizontal="center"/>
      <protection hidden="1"/>
    </xf>
    <xf numFmtId="2" fontId="27" fillId="39" borderId="53" xfId="61" applyNumberFormat="1" applyFont="1" applyFill="1" applyBorder="1" applyAlignment="1" applyProtection="1">
      <alignment horizontal="center"/>
      <protection hidden="1"/>
    </xf>
    <xf numFmtId="0" fontId="26" fillId="39" borderId="0" xfId="61" applyFont="1" applyFill="1" applyBorder="1" applyAlignment="1" applyProtection="1">
      <alignment horizontal="right"/>
      <protection hidden="1"/>
    </xf>
    <xf numFmtId="201" fontId="27" fillId="40" borderId="52" xfId="61" applyNumberFormat="1" applyFont="1" applyFill="1" applyBorder="1" applyAlignment="1" applyProtection="1">
      <alignment horizontal="center"/>
      <protection/>
    </xf>
    <xf numFmtId="201" fontId="27" fillId="40" borderId="53" xfId="61" applyNumberFormat="1" applyFont="1" applyFill="1" applyBorder="1" applyAlignment="1" applyProtection="1">
      <alignment horizontal="center"/>
      <protection/>
    </xf>
    <xf numFmtId="201" fontId="27" fillId="41" borderId="54" xfId="61" applyNumberFormat="1" applyFont="1" applyFill="1" applyBorder="1" applyAlignment="1" applyProtection="1">
      <alignment horizontal="center"/>
      <protection locked="0"/>
    </xf>
    <xf numFmtId="201" fontId="27" fillId="41" borderId="25" xfId="61" applyNumberFormat="1" applyFont="1" applyFill="1" applyBorder="1" applyAlignment="1" applyProtection="1">
      <alignment horizontal="center"/>
      <protection locked="0"/>
    </xf>
    <xf numFmtId="2" fontId="27" fillId="39" borderId="55" xfId="61" applyNumberFormat="1" applyFont="1" applyFill="1" applyBorder="1" applyAlignment="1" applyProtection="1">
      <alignment horizontal="center"/>
      <protection hidden="1"/>
    </xf>
    <xf numFmtId="2" fontId="27" fillId="39" borderId="56" xfId="61" applyNumberFormat="1" applyFont="1" applyFill="1" applyBorder="1" applyAlignment="1" applyProtection="1">
      <alignment horizontal="center"/>
      <protection hidden="1"/>
    </xf>
    <xf numFmtId="201" fontId="27" fillId="40" borderId="55" xfId="61" applyNumberFormat="1" applyFont="1" applyFill="1" applyBorder="1" applyAlignment="1" applyProtection="1">
      <alignment horizontal="center"/>
      <protection/>
    </xf>
    <xf numFmtId="201" fontId="27" fillId="40" borderId="56" xfId="61" applyNumberFormat="1" applyFont="1" applyFill="1" applyBorder="1" applyAlignment="1" applyProtection="1">
      <alignment horizontal="center"/>
      <protection/>
    </xf>
    <xf numFmtId="0" fontId="20" fillId="39" borderId="41" xfId="61" applyFill="1" applyBorder="1" applyAlignment="1" applyProtection="1">
      <alignment horizontal="centerContinuous"/>
      <protection hidden="1"/>
    </xf>
    <xf numFmtId="0" fontId="30" fillId="39" borderId="0" xfId="61" applyFont="1" applyFill="1" applyBorder="1" applyAlignment="1" applyProtection="1">
      <alignment horizontal="right"/>
      <protection hidden="1"/>
    </xf>
    <xf numFmtId="201" fontId="27" fillId="39" borderId="52" xfId="61" applyNumberFormat="1" applyFont="1" applyFill="1" applyBorder="1" applyAlignment="1" applyProtection="1">
      <alignment horizontal="center"/>
      <protection hidden="1"/>
    </xf>
    <xf numFmtId="0" fontId="22" fillId="39" borderId="41" xfId="61" applyFont="1" applyFill="1" applyBorder="1" applyAlignment="1" applyProtection="1">
      <alignment horizontal="left"/>
      <protection hidden="1"/>
    </xf>
    <xf numFmtId="201" fontId="27" fillId="39" borderId="55" xfId="61" applyNumberFormat="1" applyFont="1" applyFill="1" applyBorder="1" applyAlignment="1" applyProtection="1">
      <alignment horizontal="center"/>
      <protection hidden="1"/>
    </xf>
    <xf numFmtId="0" fontId="25" fillId="39" borderId="0" xfId="61" applyFont="1" applyFill="1">
      <alignment/>
      <protection/>
    </xf>
    <xf numFmtId="2" fontId="27" fillId="39" borderId="0" xfId="61" applyNumberFormat="1" applyFont="1" applyFill="1" applyBorder="1" applyAlignment="1">
      <alignment horizontal="center"/>
      <protection/>
    </xf>
    <xf numFmtId="0" fontId="25" fillId="39" borderId="0" xfId="61" applyFont="1" applyFill="1" applyAlignment="1">
      <alignment horizontal="left"/>
      <protection/>
    </xf>
    <xf numFmtId="0" fontId="27" fillId="39" borderId="0" xfId="61" applyFont="1" applyFill="1">
      <alignment/>
      <protection/>
    </xf>
    <xf numFmtId="205" fontId="30" fillId="39" borderId="0" xfId="61" applyNumberFormat="1" applyFont="1" applyFill="1" applyBorder="1" applyAlignment="1" applyProtection="1">
      <alignment horizontal="right"/>
      <protection hidden="1"/>
    </xf>
    <xf numFmtId="2" fontId="27" fillId="39" borderId="55" xfId="61" applyNumberFormat="1" applyFont="1" applyFill="1" applyBorder="1" applyAlignment="1" applyProtection="1">
      <alignment horizontal="center"/>
      <protection hidden="1"/>
    </xf>
    <xf numFmtId="0" fontId="39" fillId="39" borderId="41" xfId="61" applyFont="1" applyFill="1" applyBorder="1" applyAlignment="1" applyProtection="1">
      <alignment horizontal="left"/>
      <protection hidden="1"/>
    </xf>
    <xf numFmtId="0" fontId="40" fillId="39" borderId="0" xfId="61" applyFont="1" applyFill="1" applyBorder="1" applyAlignment="1">
      <alignment horizontal="right"/>
      <protection/>
    </xf>
    <xf numFmtId="201" fontId="27" fillId="39" borderId="0" xfId="61" applyNumberFormat="1" applyFont="1" applyFill="1" applyBorder="1" applyAlignment="1">
      <alignment horizontal="center"/>
      <protection/>
    </xf>
    <xf numFmtId="0" fontId="27" fillId="39" borderId="0" xfId="61" applyFont="1" applyFill="1" applyBorder="1" applyAlignment="1">
      <alignment horizontal="right"/>
      <protection/>
    </xf>
    <xf numFmtId="201" fontId="27" fillId="41" borderId="57" xfId="61" applyNumberFormat="1" applyFont="1" applyFill="1" applyBorder="1" applyAlignment="1" applyProtection="1">
      <alignment horizontal="center"/>
      <protection locked="0"/>
    </xf>
    <xf numFmtId="201" fontId="27" fillId="41" borderId="58" xfId="61" applyNumberFormat="1" applyFont="1" applyFill="1" applyBorder="1" applyAlignment="1" applyProtection="1">
      <alignment horizontal="center"/>
      <protection locked="0"/>
    </xf>
    <xf numFmtId="2" fontId="27" fillId="39" borderId="59" xfId="61" applyNumberFormat="1" applyFont="1" applyFill="1" applyBorder="1" applyAlignment="1" applyProtection="1">
      <alignment horizontal="center"/>
      <protection hidden="1"/>
    </xf>
    <xf numFmtId="2" fontId="27" fillId="39" borderId="60" xfId="61" applyNumberFormat="1" applyFont="1" applyFill="1" applyBorder="1" applyAlignment="1" applyProtection="1">
      <alignment horizontal="center"/>
      <protection hidden="1"/>
    </xf>
    <xf numFmtId="0" fontId="41" fillId="39" borderId="0" xfId="61" applyFont="1" applyFill="1" applyBorder="1" applyAlignment="1" applyProtection="1">
      <alignment horizontal="right"/>
      <protection hidden="1"/>
    </xf>
    <xf numFmtId="201" fontId="27" fillId="39" borderId="59" xfId="61" applyNumberFormat="1" applyFont="1" applyFill="1" applyBorder="1" applyAlignment="1" applyProtection="1">
      <alignment horizontal="center"/>
      <protection hidden="1"/>
    </xf>
    <xf numFmtId="205" fontId="27" fillId="39" borderId="0" xfId="61" applyNumberFormat="1" applyFont="1" applyFill="1" applyBorder="1" applyAlignment="1">
      <alignment horizontal="right"/>
      <protection/>
    </xf>
    <xf numFmtId="206" fontId="27" fillId="39" borderId="0" xfId="61" applyNumberFormat="1" applyFont="1" applyFill="1" applyBorder="1" applyAlignment="1">
      <alignment horizontal="center"/>
      <protection/>
    </xf>
    <xf numFmtId="201" fontId="27" fillId="40" borderId="59" xfId="61" applyNumberFormat="1" applyFont="1" applyFill="1" applyBorder="1" applyAlignment="1" applyProtection="1">
      <alignment horizontal="center"/>
      <protection/>
    </xf>
    <xf numFmtId="201" fontId="27" fillId="40" borderId="60" xfId="61" applyNumberFormat="1" applyFont="1" applyFill="1" applyBorder="1" applyAlignment="1" applyProtection="1">
      <alignment horizontal="center"/>
      <protection/>
    </xf>
    <xf numFmtId="0" fontId="28" fillId="39" borderId="0" xfId="61" applyFont="1" applyFill="1" applyBorder="1" applyAlignment="1" applyProtection="1">
      <alignment horizontal="left"/>
      <protection hidden="1"/>
    </xf>
    <xf numFmtId="0" fontId="42" fillId="39" borderId="0" xfId="61" applyFont="1" applyFill="1" applyBorder="1" applyAlignment="1" applyProtection="1">
      <alignment horizontal="centerContinuous"/>
      <protection hidden="1"/>
    </xf>
    <xf numFmtId="0" fontId="20" fillId="39" borderId="0" xfId="61" applyFill="1" applyBorder="1" applyProtection="1">
      <alignment/>
      <protection locked="0"/>
    </xf>
    <xf numFmtId="2" fontId="27" fillId="39" borderId="0" xfId="61" applyNumberFormat="1" applyFont="1" applyFill="1" applyAlignment="1">
      <alignment horizontal="center"/>
      <protection/>
    </xf>
    <xf numFmtId="0" fontId="38" fillId="39" borderId="0" xfId="61" applyFont="1" applyFill="1" applyBorder="1" applyAlignment="1" applyProtection="1">
      <alignment horizontal="right"/>
      <protection hidden="1"/>
    </xf>
    <xf numFmtId="0" fontId="20" fillId="39" borderId="40" xfId="61" applyFill="1" applyBorder="1" applyAlignment="1" applyProtection="1">
      <alignment horizontal="left"/>
      <protection hidden="1"/>
    </xf>
    <xf numFmtId="0" fontId="20" fillId="39" borderId="0" xfId="61" applyFill="1" applyBorder="1" applyAlignment="1" applyProtection="1">
      <alignment horizontal="right"/>
      <protection hidden="1"/>
    </xf>
    <xf numFmtId="2" fontId="27" fillId="41" borderId="61" xfId="61" applyNumberFormat="1" applyFont="1" applyFill="1" applyBorder="1" applyAlignment="1" applyProtection="1">
      <alignment horizontal="center"/>
      <protection locked="0"/>
    </xf>
    <xf numFmtId="0" fontId="27" fillId="39" borderId="0" xfId="61" applyFont="1" applyFill="1" applyBorder="1" applyAlignment="1" applyProtection="1">
      <alignment horizontal="right"/>
      <protection hidden="1"/>
    </xf>
    <xf numFmtId="201" fontId="27" fillId="40" borderId="62" xfId="61" applyNumberFormat="1" applyFont="1" applyFill="1" applyBorder="1" applyAlignment="1" applyProtection="1">
      <alignment horizontal="center"/>
      <protection/>
    </xf>
    <xf numFmtId="2" fontId="27" fillId="41" borderId="63" xfId="61" applyNumberFormat="1" applyFont="1" applyFill="1" applyBorder="1" applyAlignment="1" applyProtection="1">
      <alignment horizontal="center"/>
      <protection locked="0"/>
    </xf>
    <xf numFmtId="0" fontId="43" fillId="39" borderId="0" xfId="61" applyFont="1" applyFill="1" applyBorder="1" applyAlignment="1">
      <alignment horizontal="left"/>
      <protection/>
    </xf>
    <xf numFmtId="201" fontId="27" fillId="40" borderId="64" xfId="61" applyNumberFormat="1" applyFont="1" applyFill="1" applyBorder="1" applyAlignment="1" applyProtection="1">
      <alignment horizontal="center"/>
      <protection/>
    </xf>
    <xf numFmtId="0" fontId="20" fillId="39" borderId="0" xfId="61" applyFill="1" applyBorder="1" applyAlignment="1">
      <alignment/>
      <protection/>
    </xf>
    <xf numFmtId="2" fontId="27" fillId="40" borderId="55" xfId="61" applyNumberFormat="1" applyFont="1" applyFill="1" applyBorder="1" applyAlignment="1" applyProtection="1">
      <alignment horizontal="center"/>
      <protection/>
    </xf>
    <xf numFmtId="2" fontId="27" fillId="40" borderId="64" xfId="61" applyNumberFormat="1" applyFont="1" applyFill="1" applyBorder="1" applyAlignment="1" applyProtection="1">
      <alignment horizontal="center"/>
      <protection/>
    </xf>
    <xf numFmtId="2" fontId="27" fillId="40" borderId="56" xfId="61" applyNumberFormat="1" applyFont="1" applyFill="1" applyBorder="1" applyAlignment="1" applyProtection="1">
      <alignment horizontal="center"/>
      <protection/>
    </xf>
    <xf numFmtId="0" fontId="44" fillId="39" borderId="0" xfId="61" applyFont="1" applyFill="1" applyBorder="1" applyAlignment="1" applyProtection="1">
      <alignment horizontal="centerContinuous"/>
      <protection hidden="1"/>
    </xf>
    <xf numFmtId="0" fontId="44" fillId="39" borderId="41" xfId="61" applyFont="1" applyFill="1" applyBorder="1" applyAlignment="1" applyProtection="1">
      <alignment horizontal="centerContinuous"/>
      <protection hidden="1"/>
    </xf>
    <xf numFmtId="2" fontId="27" fillId="41" borderId="65" xfId="61" applyNumberFormat="1" applyFont="1" applyFill="1" applyBorder="1" applyAlignment="1" applyProtection="1">
      <alignment horizontal="center"/>
      <protection locked="0"/>
    </xf>
    <xf numFmtId="201" fontId="30" fillId="39" borderId="0" xfId="61" applyNumberFormat="1" applyFont="1" applyFill="1" applyBorder="1" applyAlignment="1" applyProtection="1">
      <alignment horizontal="right"/>
      <protection hidden="1"/>
    </xf>
    <xf numFmtId="2" fontId="27" fillId="40" borderId="59" xfId="61" applyNumberFormat="1" applyFont="1" applyFill="1" applyBorder="1" applyAlignment="1" applyProtection="1">
      <alignment horizontal="center"/>
      <protection/>
    </xf>
    <xf numFmtId="2" fontId="27" fillId="40" borderId="66" xfId="61" applyNumberFormat="1" applyFont="1" applyFill="1" applyBorder="1" applyAlignment="1" applyProtection="1">
      <alignment horizontal="center"/>
      <protection/>
    </xf>
    <xf numFmtId="2" fontId="27" fillId="40" borderId="60" xfId="61" applyNumberFormat="1" applyFont="1" applyFill="1" applyBorder="1" applyAlignment="1" applyProtection="1">
      <alignment horizontal="center"/>
      <protection/>
    </xf>
    <xf numFmtId="0" fontId="20" fillId="39" borderId="43" xfId="61" applyFill="1" applyBorder="1" applyProtection="1">
      <alignment/>
      <protection hidden="1"/>
    </xf>
    <xf numFmtId="0" fontId="20" fillId="39" borderId="44" xfId="61" applyFill="1" applyBorder="1" applyProtection="1">
      <alignment/>
      <protection hidden="1"/>
    </xf>
    <xf numFmtId="0" fontId="20" fillId="39" borderId="45" xfId="61" applyFill="1" applyBorder="1" applyProtection="1">
      <alignment/>
      <protection hidden="1"/>
    </xf>
    <xf numFmtId="0" fontId="20" fillId="42" borderId="0" xfId="61" applyFill="1" applyBorder="1" applyProtection="1">
      <alignment/>
      <protection hidden="1"/>
    </xf>
    <xf numFmtId="2" fontId="36" fillId="42" borderId="0" xfId="61" applyNumberFormat="1" applyFont="1" applyFill="1" applyBorder="1" applyAlignment="1" applyProtection="1">
      <alignment/>
      <protection hidden="1"/>
    </xf>
    <xf numFmtId="2" fontId="27" fillId="42" borderId="0" xfId="61" applyNumberFormat="1" applyFont="1" applyFill="1" applyBorder="1" applyAlignment="1" applyProtection="1">
      <alignment horizontal="center"/>
      <protection hidden="1"/>
    </xf>
    <xf numFmtId="0" fontId="20" fillId="42" borderId="0" xfId="61" applyFill="1" applyBorder="1" applyAlignment="1" applyProtection="1">
      <alignment horizontal="left"/>
      <protection hidden="1"/>
    </xf>
    <xf numFmtId="2" fontId="30" fillId="42" borderId="0" xfId="61" applyNumberFormat="1" applyFont="1" applyFill="1" applyBorder="1" applyAlignment="1" applyProtection="1">
      <alignment horizontal="left"/>
      <protection hidden="1"/>
    </xf>
    <xf numFmtId="0" fontId="38" fillId="39" borderId="0" xfId="61" applyFont="1" applyFill="1" applyProtection="1">
      <alignment/>
      <protection hidden="1"/>
    </xf>
    <xf numFmtId="0" fontId="45" fillId="39" borderId="0" xfId="61" applyFont="1" applyFill="1" applyProtection="1">
      <alignment/>
      <protection hidden="1"/>
    </xf>
    <xf numFmtId="0" fontId="20" fillId="42" borderId="0" xfId="61" applyFont="1" applyFill="1" applyBorder="1" applyAlignment="1" applyProtection="1">
      <alignment/>
      <protection hidden="1"/>
    </xf>
    <xf numFmtId="0" fontId="45" fillId="39" borderId="0" xfId="61" applyFont="1" applyFill="1" applyBorder="1" applyProtection="1">
      <alignment/>
      <protection hidden="1"/>
    </xf>
    <xf numFmtId="0" fontId="23" fillId="41" borderId="37" xfId="61" applyFont="1" applyFill="1" applyBorder="1" applyAlignment="1" applyProtection="1">
      <alignment horizontal="centerContinuous"/>
      <protection hidden="1"/>
    </xf>
    <xf numFmtId="0" fontId="20" fillId="41" borderId="38" xfId="61" applyFill="1" applyBorder="1" applyAlignment="1" applyProtection="1">
      <alignment horizontal="centerContinuous"/>
      <protection hidden="1"/>
    </xf>
    <xf numFmtId="0" fontId="24" fillId="41" borderId="38" xfId="61" applyFont="1" applyFill="1" applyBorder="1" applyAlignment="1" applyProtection="1">
      <alignment horizontal="centerContinuous"/>
      <protection hidden="1"/>
    </xf>
    <xf numFmtId="0" fontId="20" fillId="41" borderId="39" xfId="61" applyFill="1" applyBorder="1" applyAlignment="1" applyProtection="1">
      <alignment horizontal="centerContinuous"/>
      <protection hidden="1"/>
    </xf>
    <xf numFmtId="0" fontId="38" fillId="39" borderId="0" xfId="61" applyFont="1" applyFill="1" applyBorder="1" applyAlignment="1" applyProtection="1">
      <alignment horizontal="left"/>
      <protection hidden="1"/>
    </xf>
    <xf numFmtId="0" fontId="31" fillId="39" borderId="0" xfId="61" applyFont="1" applyFill="1" applyBorder="1" applyAlignment="1" applyProtection="1">
      <alignment horizontal="left"/>
      <protection hidden="1"/>
    </xf>
    <xf numFmtId="0" fontId="27" fillId="39" borderId="0" xfId="61" applyFont="1" applyFill="1" applyBorder="1" applyAlignment="1" applyProtection="1">
      <alignment horizontal="centerContinuous"/>
      <protection hidden="1"/>
    </xf>
    <xf numFmtId="0" fontId="31" fillId="41" borderId="40" xfId="61" applyFont="1" applyFill="1" applyBorder="1" applyAlignment="1" applyProtection="1">
      <alignment horizontal="centerContinuous"/>
      <protection hidden="1"/>
    </xf>
    <xf numFmtId="0" fontId="31" fillId="41" borderId="0" xfId="61" applyFont="1" applyFill="1" applyBorder="1" applyAlignment="1" applyProtection="1">
      <alignment horizontal="centerContinuous"/>
      <protection hidden="1"/>
    </xf>
    <xf numFmtId="0" fontId="27" fillId="41" borderId="0" xfId="61" applyFont="1" applyFill="1" applyBorder="1" applyAlignment="1" applyProtection="1">
      <alignment horizontal="centerContinuous"/>
      <protection hidden="1"/>
    </xf>
    <xf numFmtId="0" fontId="27" fillId="41" borderId="41" xfId="61" applyFont="1" applyFill="1" applyBorder="1" applyAlignment="1" applyProtection="1">
      <alignment horizontal="centerContinuous"/>
      <protection hidden="1"/>
    </xf>
    <xf numFmtId="0" fontId="31" fillId="39" borderId="0" xfId="61" applyFont="1" applyFill="1" applyProtection="1">
      <alignment/>
      <protection hidden="1"/>
    </xf>
    <xf numFmtId="0" fontId="27" fillId="39" borderId="0" xfId="61" applyFont="1" applyFill="1" applyBorder="1" applyProtection="1">
      <alignment/>
      <protection hidden="1"/>
    </xf>
    <xf numFmtId="0" fontId="31" fillId="41" borderId="43" xfId="61" applyFont="1" applyFill="1" applyBorder="1" applyAlignment="1" applyProtection="1">
      <alignment horizontal="centerContinuous"/>
      <protection hidden="1"/>
    </xf>
    <xf numFmtId="0" fontId="31" fillId="41" borderId="44" xfId="61" applyFont="1" applyFill="1" applyBorder="1" applyAlignment="1" applyProtection="1">
      <alignment horizontal="centerContinuous"/>
      <protection hidden="1"/>
    </xf>
    <xf numFmtId="0" fontId="27" fillId="41" borderId="44" xfId="61" applyFont="1" applyFill="1" applyBorder="1" applyAlignment="1" applyProtection="1">
      <alignment horizontal="centerContinuous"/>
      <protection hidden="1"/>
    </xf>
    <xf numFmtId="0" fontId="27" fillId="41" borderId="45" xfId="61" applyFont="1" applyFill="1" applyBorder="1" applyAlignment="1" applyProtection="1">
      <alignment horizontal="centerContinuous"/>
      <protection hidden="1"/>
    </xf>
    <xf numFmtId="0" fontId="27" fillId="39" borderId="0" xfId="61" applyFont="1" applyFill="1" applyProtection="1">
      <alignment/>
      <protection hidden="1"/>
    </xf>
    <xf numFmtId="0" fontId="27" fillId="39" borderId="0" xfId="61" applyFont="1" applyFill="1" applyBorder="1" applyAlignment="1" applyProtection="1">
      <alignment horizontal="left"/>
      <protection hidden="1"/>
    </xf>
    <xf numFmtId="0" fontId="27" fillId="40" borderId="52" xfId="61" applyFont="1" applyFill="1" applyBorder="1" applyAlignment="1" applyProtection="1">
      <alignment horizontal="center"/>
      <protection locked="0"/>
    </xf>
    <xf numFmtId="0" fontId="45" fillId="39" borderId="0" xfId="61" applyFont="1" applyFill="1" applyBorder="1" applyAlignment="1" applyProtection="1">
      <alignment horizontal="right"/>
      <protection hidden="1"/>
    </xf>
    <xf numFmtId="205" fontId="27" fillId="40" borderId="55" xfId="61" applyNumberFormat="1" applyFont="1" applyFill="1" applyBorder="1" applyAlignment="1" applyProtection="1">
      <alignment horizontal="center"/>
      <protection locked="0"/>
    </xf>
    <xf numFmtId="0" fontId="26" fillId="39" borderId="0" xfId="61" applyFont="1" applyFill="1" applyBorder="1" applyProtection="1">
      <alignment/>
      <protection hidden="1"/>
    </xf>
    <xf numFmtId="0" fontId="27" fillId="39" borderId="0" xfId="61" applyFont="1" applyFill="1" applyAlignment="1" applyProtection="1">
      <alignment horizontal="right"/>
      <protection hidden="1"/>
    </xf>
    <xf numFmtId="205" fontId="27" fillId="40" borderId="59" xfId="61" applyNumberFormat="1" applyFont="1" applyFill="1" applyBorder="1" applyAlignment="1" applyProtection="1">
      <alignment horizontal="center"/>
      <protection locked="0"/>
    </xf>
    <xf numFmtId="0" fontId="24" fillId="41" borderId="49" xfId="61" applyFont="1" applyFill="1" applyBorder="1" applyAlignment="1" applyProtection="1">
      <alignment horizontal="centerContinuous"/>
      <protection hidden="1"/>
    </xf>
    <xf numFmtId="0" fontId="20" fillId="41" borderId="48" xfId="61" applyFill="1" applyBorder="1" applyAlignment="1" applyProtection="1">
      <alignment horizontal="centerContinuous"/>
      <protection hidden="1"/>
    </xf>
    <xf numFmtId="0" fontId="20" fillId="41" borderId="42" xfId="61" applyFill="1" applyBorder="1" applyAlignment="1" applyProtection="1">
      <alignment horizontal="center"/>
      <protection hidden="1"/>
    </xf>
    <xf numFmtId="0" fontId="20" fillId="41" borderId="41" xfId="61" applyFill="1" applyBorder="1" applyAlignment="1" applyProtection="1">
      <alignment horizontal="center"/>
      <protection hidden="1"/>
    </xf>
    <xf numFmtId="0" fontId="31" fillId="39" borderId="0" xfId="61" applyFont="1" applyFill="1" applyBorder="1" applyAlignment="1" applyProtection="1">
      <alignment/>
      <protection hidden="1"/>
    </xf>
    <xf numFmtId="0" fontId="27" fillId="39" borderId="0" xfId="61" applyFont="1" applyFill="1" applyBorder="1" applyAlignment="1" applyProtection="1">
      <alignment/>
      <protection hidden="1"/>
    </xf>
    <xf numFmtId="201" fontId="27" fillId="40" borderId="52" xfId="61" applyNumberFormat="1" applyFont="1" applyFill="1" applyBorder="1" applyAlignment="1" applyProtection="1">
      <alignment horizontal="center"/>
      <protection locked="0"/>
    </xf>
    <xf numFmtId="201" fontId="27" fillId="40" borderId="53" xfId="61" applyNumberFormat="1" applyFont="1" applyFill="1" applyBorder="1" applyAlignment="1" applyProtection="1">
      <alignment horizontal="center"/>
      <protection locked="0"/>
    </xf>
    <xf numFmtId="0" fontId="27" fillId="39" borderId="0" xfId="61" applyFont="1" applyFill="1" applyBorder="1" applyAlignment="1" applyProtection="1">
      <alignment horizontal="center"/>
      <protection hidden="1"/>
    </xf>
    <xf numFmtId="201" fontId="27" fillId="40" borderId="55" xfId="61" applyNumberFormat="1" applyFont="1" applyFill="1" applyBorder="1" applyAlignment="1" applyProtection="1">
      <alignment horizontal="center"/>
      <protection locked="0"/>
    </xf>
    <xf numFmtId="201" fontId="27" fillId="40" borderId="56" xfId="61" applyNumberFormat="1" applyFont="1" applyFill="1" applyBorder="1" applyAlignment="1" applyProtection="1">
      <alignment horizontal="center"/>
      <protection locked="0"/>
    </xf>
    <xf numFmtId="0" fontId="26" fillId="39" borderId="0" xfId="61" applyFont="1" applyFill="1" applyAlignment="1" applyProtection="1">
      <alignment horizontal="right"/>
      <protection hidden="1"/>
    </xf>
    <xf numFmtId="10" fontId="45" fillId="39" borderId="0" xfId="61" applyNumberFormat="1" applyFont="1" applyFill="1" applyBorder="1" applyAlignment="1" applyProtection="1" quotePrefix="1">
      <alignment horizontal="center"/>
      <protection hidden="1"/>
    </xf>
    <xf numFmtId="0" fontId="27" fillId="39" borderId="0" xfId="61" applyFont="1" applyFill="1" applyAlignment="1" applyProtection="1">
      <alignment horizontal="left"/>
      <protection hidden="1"/>
    </xf>
    <xf numFmtId="10" fontId="45" fillId="39" borderId="0" xfId="61" applyNumberFormat="1" applyFont="1" applyFill="1" applyAlignment="1" applyProtection="1" quotePrefix="1">
      <alignment horizontal="center"/>
      <protection hidden="1"/>
    </xf>
    <xf numFmtId="201" fontId="27" fillId="40" borderId="59" xfId="61" applyNumberFormat="1" applyFont="1" applyFill="1" applyBorder="1" applyAlignment="1" applyProtection="1">
      <alignment horizontal="center"/>
      <protection locked="0"/>
    </xf>
    <xf numFmtId="201" fontId="27" fillId="40" borderId="60" xfId="61" applyNumberFormat="1" applyFont="1" applyFill="1" applyBorder="1" applyAlignment="1" applyProtection="1">
      <alignment horizontal="center"/>
      <protection locked="0"/>
    </xf>
    <xf numFmtId="201" fontId="27" fillId="40" borderId="67" xfId="61" applyNumberFormat="1" applyFont="1" applyFill="1" applyBorder="1" applyAlignment="1" applyProtection="1">
      <alignment horizontal="center"/>
      <protection/>
    </xf>
    <xf numFmtId="0" fontId="27" fillId="39" borderId="0" xfId="61" applyFont="1" applyFill="1" applyAlignment="1" applyProtection="1">
      <alignment horizontal="center"/>
      <protection hidden="1"/>
    </xf>
    <xf numFmtId="0" fontId="27" fillId="39" borderId="0" xfId="61" applyFont="1" applyFill="1" applyBorder="1" applyAlignment="1" applyProtection="1">
      <alignment horizontal="left"/>
      <protection hidden="1"/>
    </xf>
    <xf numFmtId="201" fontId="27" fillId="40" borderId="62" xfId="61" applyNumberFormat="1" applyFont="1" applyFill="1" applyBorder="1" applyAlignment="1" applyProtection="1">
      <alignment horizontal="center"/>
      <protection locked="0"/>
    </xf>
    <xf numFmtId="201" fontId="27" fillId="40" borderId="64" xfId="61" applyNumberFormat="1" applyFont="1" applyFill="1" applyBorder="1" applyAlignment="1" applyProtection="1">
      <alignment horizontal="center"/>
      <protection locked="0"/>
    </xf>
    <xf numFmtId="2" fontId="27" fillId="40" borderId="55" xfId="61" applyNumberFormat="1" applyFont="1" applyFill="1" applyBorder="1" applyAlignment="1" applyProtection="1">
      <alignment horizontal="center"/>
      <protection locked="0"/>
    </xf>
    <xf numFmtId="2" fontId="27" fillId="40" borderId="64" xfId="61" applyNumberFormat="1" applyFont="1" applyFill="1" applyBorder="1" applyAlignment="1" applyProtection="1">
      <alignment horizontal="center"/>
      <protection locked="0"/>
    </xf>
    <xf numFmtId="2" fontId="27" fillId="40" borderId="56" xfId="61" applyNumberFormat="1" applyFont="1" applyFill="1" applyBorder="1" applyAlignment="1" applyProtection="1">
      <alignment horizontal="center"/>
      <protection locked="0"/>
    </xf>
    <xf numFmtId="2" fontId="27" fillId="40" borderId="59" xfId="61" applyNumberFormat="1" applyFont="1" applyFill="1" applyBorder="1" applyAlignment="1" applyProtection="1">
      <alignment horizontal="center"/>
      <protection locked="0"/>
    </xf>
    <xf numFmtId="2" fontId="27" fillId="40" borderId="66" xfId="61" applyNumberFormat="1" applyFont="1" applyFill="1" applyBorder="1" applyAlignment="1" applyProtection="1">
      <alignment horizontal="center"/>
      <protection locked="0"/>
    </xf>
    <xf numFmtId="2" fontId="27" fillId="40" borderId="60" xfId="61" applyNumberFormat="1" applyFont="1" applyFill="1" applyBorder="1" applyAlignment="1" applyProtection="1">
      <alignment horizontal="center"/>
      <protection locked="0"/>
    </xf>
    <xf numFmtId="0" fontId="20" fillId="39" borderId="0" xfId="61" applyFill="1" applyProtection="1">
      <alignment/>
      <protection hidden="1"/>
    </xf>
    <xf numFmtId="201" fontId="27" fillId="40" borderId="42" xfId="61" applyNumberFormat="1" applyFont="1" applyFill="1" applyBorder="1" applyAlignment="1" applyProtection="1">
      <alignment horizontal="center"/>
      <protection locked="0"/>
    </xf>
    <xf numFmtId="201" fontId="27" fillId="40" borderId="68" xfId="61" applyNumberFormat="1" applyFont="1" applyFill="1" applyBorder="1" applyAlignment="1" applyProtection="1">
      <alignment horizontal="center"/>
      <protection locked="0"/>
    </xf>
    <xf numFmtId="0" fontId="39" fillId="0" borderId="0" xfId="0" applyFont="1" applyFill="1" applyAlignment="1" applyProtection="1">
      <alignment vertical="center"/>
      <protection/>
    </xf>
    <xf numFmtId="0" fontId="9" fillId="0" borderId="21" xfId="0" applyFont="1" applyFill="1" applyBorder="1" applyAlignment="1" applyProtection="1">
      <alignment horizontal="center" vertical="center"/>
      <protection/>
    </xf>
    <xf numFmtId="1" fontId="6" fillId="0" borderId="0" xfId="0" applyNumberFormat="1" applyFont="1" applyFill="1" applyBorder="1" applyAlignment="1" applyProtection="1">
      <alignment horizontal="center" vertical="center"/>
      <protection/>
    </xf>
    <xf numFmtId="2" fontId="6" fillId="0" borderId="0" xfId="0" applyNumberFormat="1" applyFont="1" applyFill="1" applyBorder="1" applyAlignment="1" applyProtection="1">
      <alignment horizontal="center" vertical="center"/>
      <protection/>
    </xf>
    <xf numFmtId="2" fontId="6" fillId="0" borderId="0" xfId="0" applyNumberFormat="1" applyFont="1" applyFill="1" applyAlignment="1" applyProtection="1">
      <alignment horizontal="center" vertical="center"/>
      <protection/>
    </xf>
    <xf numFmtId="0" fontId="6" fillId="0" borderId="0" xfId="0" applyFont="1" applyFill="1" applyAlignment="1" applyProtection="1">
      <alignment horizontal="center"/>
      <protection/>
    </xf>
    <xf numFmtId="2" fontId="6" fillId="0" borderId="0" xfId="0" applyNumberFormat="1" applyFont="1" applyFill="1" applyAlignment="1" applyProtection="1">
      <alignment horizontal="center"/>
      <protection/>
    </xf>
    <xf numFmtId="0" fontId="0" fillId="0" borderId="0" xfId="0" applyAlignment="1">
      <alignment vertical="center"/>
    </xf>
    <xf numFmtId="0" fontId="0" fillId="0" borderId="41" xfId="0" applyBorder="1" applyAlignment="1">
      <alignment vertical="center"/>
    </xf>
    <xf numFmtId="0" fontId="6" fillId="0" borderId="14" xfId="0" applyFont="1" applyFill="1" applyBorder="1" applyAlignment="1" applyProtection="1">
      <alignment horizontal="center" vertical="center"/>
      <protection/>
    </xf>
    <xf numFmtId="2" fontId="6" fillId="0" borderId="14" xfId="0" applyNumberFormat="1" applyFont="1" applyFill="1" applyBorder="1" applyAlignment="1" applyProtection="1">
      <alignment horizontal="center" vertical="center"/>
      <protection/>
    </xf>
    <xf numFmtId="0" fontId="11" fillId="40" borderId="14" xfId="0" applyFont="1" applyFill="1" applyBorder="1" applyAlignment="1" applyProtection="1">
      <alignment horizontal="center" vertical="center"/>
      <protection/>
    </xf>
    <xf numFmtId="2" fontId="4" fillId="0" borderId="40" xfId="0" applyNumberFormat="1" applyFont="1" applyFill="1" applyBorder="1" applyAlignment="1" applyProtection="1">
      <alignment horizontal="center" vertical="center"/>
      <protection/>
    </xf>
    <xf numFmtId="1" fontId="6" fillId="0" borderId="14" xfId="0" applyNumberFormat="1" applyFont="1" applyFill="1" applyBorder="1" applyAlignment="1" applyProtection="1">
      <alignment horizontal="center" vertical="center"/>
      <protection/>
    </xf>
    <xf numFmtId="0" fontId="6" fillId="0" borderId="38" xfId="0" applyFont="1" applyFill="1" applyBorder="1" applyAlignment="1" applyProtection="1">
      <alignment horizontal="center" vertical="center"/>
      <protection/>
    </xf>
    <xf numFmtId="0" fontId="6" fillId="0" borderId="39" xfId="0" applyFont="1" applyFill="1" applyBorder="1" applyAlignment="1" applyProtection="1">
      <alignment horizontal="center" vertical="center"/>
      <protection/>
    </xf>
    <xf numFmtId="0" fontId="6" fillId="0" borderId="37" xfId="0" applyFont="1" applyFill="1" applyBorder="1" applyAlignment="1" applyProtection="1">
      <alignment horizontal="center" vertical="center"/>
      <protection/>
    </xf>
    <xf numFmtId="0" fontId="6" fillId="0" borderId="30" xfId="0" applyFont="1" applyFill="1" applyBorder="1" applyAlignment="1" applyProtection="1">
      <alignment horizontal="center"/>
      <protection/>
    </xf>
    <xf numFmtId="0" fontId="6" fillId="0" borderId="21" xfId="0" applyFont="1" applyFill="1" applyBorder="1" applyAlignment="1" applyProtection="1">
      <alignment horizontal="center"/>
      <protection/>
    </xf>
    <xf numFmtId="0" fontId="6" fillId="0" borderId="22" xfId="0" applyFont="1" applyFill="1" applyBorder="1" applyAlignment="1" applyProtection="1">
      <alignment horizontal="center"/>
      <protection/>
    </xf>
    <xf numFmtId="0" fontId="9" fillId="0" borderId="21" xfId="0" applyFont="1" applyFill="1" applyBorder="1" applyAlignment="1" applyProtection="1">
      <alignment horizontal="center"/>
      <protection/>
    </xf>
    <xf numFmtId="0" fontId="6" fillId="0" borderId="21" xfId="0" applyFont="1" applyFill="1" applyBorder="1" applyAlignment="1" applyProtection="1">
      <alignment horizontal="center" vertical="center"/>
      <protection/>
    </xf>
    <xf numFmtId="0" fontId="6" fillId="0" borderId="21" xfId="0" applyFont="1" applyFill="1" applyBorder="1" applyAlignment="1" applyProtection="1">
      <alignment vertical="center"/>
      <protection/>
    </xf>
    <xf numFmtId="0" fontId="39" fillId="0" borderId="0" xfId="0" applyFont="1" applyFill="1" applyBorder="1" applyAlignment="1" applyProtection="1">
      <alignment vertical="center"/>
      <protection/>
    </xf>
    <xf numFmtId="2" fontId="6" fillId="0" borderId="48" xfId="0" applyNumberFormat="1" applyFont="1" applyFill="1" applyBorder="1" applyAlignment="1" applyProtection="1">
      <alignment horizontal="center" vertical="center"/>
      <protection/>
    </xf>
    <xf numFmtId="0" fontId="11" fillId="40" borderId="49" xfId="0" applyFont="1" applyFill="1" applyBorder="1" applyAlignment="1" applyProtection="1">
      <alignment horizontal="center" vertical="center"/>
      <protection/>
    </xf>
    <xf numFmtId="1" fontId="6" fillId="0" borderId="0" xfId="0" applyNumberFormat="1" applyFont="1" applyFill="1" applyAlignment="1" applyProtection="1">
      <alignment horizontal="center" vertical="center"/>
      <protection/>
    </xf>
    <xf numFmtId="0" fontId="6" fillId="0" borderId="40" xfId="0" applyFont="1" applyFill="1" applyBorder="1" applyAlignment="1" applyProtection="1">
      <alignment/>
      <protection/>
    </xf>
    <xf numFmtId="0" fontId="6" fillId="0" borderId="10" xfId="0" applyFont="1" applyFill="1" applyBorder="1" applyAlignment="1" applyProtection="1">
      <alignment horizontal="center" vertical="top"/>
      <protection/>
    </xf>
    <xf numFmtId="0" fontId="13" fillId="0" borderId="35" xfId="0" applyFont="1" applyFill="1" applyBorder="1" applyAlignment="1" applyProtection="1">
      <alignment/>
      <protection/>
    </xf>
    <xf numFmtId="0" fontId="6" fillId="0" borderId="69" xfId="0" applyFont="1" applyFill="1" applyBorder="1" applyAlignment="1" applyProtection="1">
      <alignment/>
      <protection/>
    </xf>
    <xf numFmtId="0" fontId="6" fillId="0" borderId="70" xfId="0" applyFont="1" applyFill="1" applyBorder="1" applyAlignment="1" applyProtection="1">
      <alignment/>
      <protection/>
    </xf>
    <xf numFmtId="0" fontId="5" fillId="0" borderId="11" xfId="0" applyFont="1" applyFill="1" applyBorder="1" applyAlignment="1" applyProtection="1">
      <alignment/>
      <protection/>
    </xf>
    <xf numFmtId="0" fontId="4" fillId="0" borderId="70" xfId="0" applyFont="1" applyFill="1" applyBorder="1" applyAlignment="1" applyProtection="1">
      <alignment/>
      <protection/>
    </xf>
    <xf numFmtId="0" fontId="9" fillId="0" borderId="33" xfId="0" applyFont="1" applyFill="1" applyBorder="1" applyAlignment="1" applyProtection="1">
      <alignment vertical="center"/>
      <protection/>
    </xf>
    <xf numFmtId="0" fontId="9" fillId="0" borderId="35" xfId="0" applyFont="1" applyFill="1" applyBorder="1" applyAlignment="1" applyProtection="1">
      <alignment vertical="center"/>
      <protection/>
    </xf>
    <xf numFmtId="0" fontId="6" fillId="0" borderId="71" xfId="0" applyFont="1" applyFill="1" applyBorder="1" applyAlignment="1" applyProtection="1">
      <alignment/>
      <protection/>
    </xf>
    <xf numFmtId="0" fontId="6" fillId="0" borderId="72" xfId="0" applyFont="1" applyFill="1" applyBorder="1" applyAlignment="1" applyProtection="1">
      <alignment/>
      <protection/>
    </xf>
    <xf numFmtId="0" fontId="6" fillId="0" borderId="73" xfId="0" applyFont="1" applyFill="1" applyBorder="1" applyAlignment="1" applyProtection="1">
      <alignment/>
      <protection/>
    </xf>
    <xf numFmtId="0" fontId="6" fillId="0" borderId="74" xfId="0" applyFont="1" applyFill="1" applyBorder="1" applyAlignment="1" applyProtection="1">
      <alignment horizontal="center"/>
      <protection/>
    </xf>
    <xf numFmtId="0" fontId="6" fillId="0" borderId="74" xfId="0" applyFont="1" applyFill="1" applyBorder="1" applyAlignment="1" applyProtection="1">
      <alignment/>
      <protection/>
    </xf>
    <xf numFmtId="2" fontId="6" fillId="0" borderId="38" xfId="0" applyNumberFormat="1" applyFont="1" applyFill="1" applyBorder="1" applyAlignment="1" applyProtection="1">
      <alignment horizontal="center" vertical="center"/>
      <protection/>
    </xf>
    <xf numFmtId="0" fontId="11" fillId="0" borderId="38" xfId="0" applyFont="1" applyFill="1" applyBorder="1" applyAlignment="1" applyProtection="1">
      <alignment horizontal="center" vertical="center"/>
      <protection/>
    </xf>
    <xf numFmtId="0" fontId="9" fillId="0" borderId="12" xfId="0" applyFont="1" applyFill="1" applyBorder="1" applyAlignment="1" applyProtection="1">
      <alignment vertical="center"/>
      <protection/>
    </xf>
    <xf numFmtId="0" fontId="6" fillId="0" borderId="11" xfId="0" applyFont="1" applyFill="1" applyBorder="1" applyAlignment="1" applyProtection="1">
      <alignment horizontal="center"/>
      <protection/>
    </xf>
    <xf numFmtId="0" fontId="9" fillId="0" borderId="15" xfId="0" applyFont="1" applyFill="1" applyBorder="1" applyAlignment="1" applyProtection="1">
      <alignment/>
      <protection/>
    </xf>
    <xf numFmtId="0" fontId="6" fillId="0" borderId="75" xfId="0" applyFont="1" applyFill="1" applyBorder="1" applyAlignment="1" applyProtection="1">
      <alignment/>
      <protection/>
    </xf>
    <xf numFmtId="0" fontId="6" fillId="0" borderId="76" xfId="0" applyFont="1" applyFill="1" applyBorder="1" applyAlignment="1" applyProtection="1">
      <alignment/>
      <protection/>
    </xf>
    <xf numFmtId="0" fontId="6" fillId="0" borderId="76" xfId="0" applyFont="1" applyFill="1" applyBorder="1" applyAlignment="1" applyProtection="1">
      <alignment horizontal="center" vertical="center"/>
      <protection/>
    </xf>
    <xf numFmtId="1" fontId="5" fillId="0" borderId="76" xfId="0" applyNumberFormat="1" applyFont="1" applyFill="1" applyBorder="1" applyAlignment="1" applyProtection="1">
      <alignment horizontal="left" vertical="center"/>
      <protection/>
    </xf>
    <xf numFmtId="0" fontId="11" fillId="0" borderId="76" xfId="0" applyFont="1" applyFill="1" applyBorder="1" applyAlignment="1" applyProtection="1">
      <alignment horizontal="center" vertical="center"/>
      <protection/>
    </xf>
    <xf numFmtId="0" fontId="6" fillId="0" borderId="77" xfId="0" applyFont="1" applyFill="1" applyBorder="1" applyAlignment="1" applyProtection="1">
      <alignment/>
      <protection/>
    </xf>
    <xf numFmtId="1" fontId="6" fillId="41" borderId="14" xfId="0" applyNumberFormat="1" applyFont="1" applyFill="1" applyBorder="1" applyAlignment="1" applyProtection="1">
      <alignment horizontal="center"/>
      <protection/>
    </xf>
    <xf numFmtId="0" fontId="6" fillId="41" borderId="14" xfId="0" applyFont="1" applyFill="1" applyBorder="1" applyAlignment="1" applyProtection="1">
      <alignment horizontal="center"/>
      <protection/>
    </xf>
    <xf numFmtId="0" fontId="6" fillId="0" borderId="0" xfId="0" applyFont="1" applyFill="1" applyBorder="1" applyAlignment="1" applyProtection="1">
      <alignment/>
      <protection/>
    </xf>
    <xf numFmtId="0" fontId="6" fillId="0" borderId="78" xfId="0" applyFont="1" applyFill="1" applyBorder="1" applyAlignment="1" applyProtection="1">
      <alignment/>
      <protection/>
    </xf>
    <xf numFmtId="0" fontId="6" fillId="0" borderId="79" xfId="0" applyFont="1" applyFill="1" applyBorder="1" applyAlignment="1" applyProtection="1">
      <alignment/>
      <protection/>
    </xf>
    <xf numFmtId="0" fontId="6" fillId="0" borderId="80" xfId="0" applyFont="1" applyFill="1" applyBorder="1" applyAlignment="1" applyProtection="1">
      <alignment/>
      <protection/>
    </xf>
    <xf numFmtId="0" fontId="6" fillId="0" borderId="0" xfId="0" applyFont="1" applyFill="1" applyAlignment="1" applyProtection="1">
      <alignment/>
      <protection/>
    </xf>
    <xf numFmtId="49" fontId="6" fillId="0" borderId="0" xfId="0" applyNumberFormat="1" applyFont="1" applyFill="1" applyBorder="1" applyAlignment="1" applyProtection="1">
      <alignment horizontal="right"/>
      <protection/>
    </xf>
    <xf numFmtId="49" fontId="6" fillId="0" borderId="0" xfId="0" applyNumberFormat="1" applyFont="1" applyFill="1" applyBorder="1" applyAlignment="1" applyProtection="1">
      <alignment/>
      <protection/>
    </xf>
    <xf numFmtId="0" fontId="6" fillId="0" borderId="81" xfId="0" applyFont="1" applyFill="1" applyBorder="1" applyAlignment="1" applyProtection="1">
      <alignment/>
      <protection/>
    </xf>
    <xf numFmtId="0" fontId="6" fillId="0" borderId="82" xfId="0" applyFont="1" applyFill="1" applyBorder="1" applyAlignment="1" applyProtection="1">
      <alignment/>
      <protection/>
    </xf>
    <xf numFmtId="0" fontId="6" fillId="0" borderId="10" xfId="0" applyFont="1" applyFill="1" applyBorder="1" applyAlignment="1" applyProtection="1">
      <alignment/>
      <protection/>
    </xf>
    <xf numFmtId="0" fontId="6" fillId="0" borderId="20" xfId="0" applyFont="1" applyFill="1" applyBorder="1" applyAlignment="1" applyProtection="1">
      <alignment/>
      <protection/>
    </xf>
    <xf numFmtId="0" fontId="6" fillId="0" borderId="11" xfId="0" applyFont="1" applyFill="1" applyBorder="1" applyAlignment="1" applyProtection="1">
      <alignment/>
      <protection/>
    </xf>
    <xf numFmtId="0" fontId="6" fillId="0" borderId="83" xfId="0" applyFont="1" applyFill="1" applyBorder="1" applyAlignment="1" applyProtection="1">
      <alignment/>
      <protection/>
    </xf>
    <xf numFmtId="0" fontId="6" fillId="0" borderId="12" xfId="0" applyFont="1" applyFill="1" applyBorder="1" applyAlignment="1" applyProtection="1">
      <alignment/>
      <protection/>
    </xf>
    <xf numFmtId="0" fontId="6" fillId="0" borderId="13" xfId="0" applyFont="1" applyFill="1" applyBorder="1" applyAlignment="1" applyProtection="1">
      <alignment/>
      <protection/>
    </xf>
    <xf numFmtId="0" fontId="6" fillId="0" borderId="0" xfId="0" applyFont="1" applyFill="1" applyBorder="1" applyAlignment="1" applyProtection="1">
      <alignment horizontal="center"/>
      <protection/>
    </xf>
    <xf numFmtId="0" fontId="6" fillId="0" borderId="84" xfId="0" applyFont="1" applyFill="1" applyBorder="1" applyAlignment="1" applyProtection="1">
      <alignment/>
      <protection/>
    </xf>
    <xf numFmtId="208" fontId="3" fillId="0" borderId="0" xfId="0" applyNumberFormat="1" applyFont="1" applyFill="1" applyBorder="1" applyAlignment="1" applyProtection="1">
      <alignment vertical="center"/>
      <protection/>
    </xf>
    <xf numFmtId="0" fontId="98" fillId="0" borderId="30" xfId="0" applyFont="1" applyFill="1" applyBorder="1" applyAlignment="1" applyProtection="1">
      <alignment/>
      <protection/>
    </xf>
    <xf numFmtId="0" fontId="3" fillId="0" borderId="30" xfId="68" applyFont="1" applyFill="1" applyBorder="1" applyAlignment="1" applyProtection="1">
      <alignment vertical="center"/>
      <protection/>
    </xf>
    <xf numFmtId="0" fontId="99" fillId="0" borderId="10" xfId="68" applyFont="1" applyFill="1" applyBorder="1" applyAlignment="1" applyProtection="1">
      <alignment/>
      <protection/>
    </xf>
    <xf numFmtId="0" fontId="98" fillId="0" borderId="20" xfId="0" applyFont="1" applyFill="1" applyBorder="1" applyAlignment="1" applyProtection="1">
      <alignment/>
      <protection/>
    </xf>
    <xf numFmtId="0" fontId="100" fillId="0" borderId="10" xfId="0" applyFont="1" applyFill="1" applyBorder="1" applyAlignment="1" applyProtection="1">
      <alignment horizontal="left"/>
      <protection/>
    </xf>
    <xf numFmtId="0" fontId="98" fillId="0" borderId="21" xfId="0" applyFont="1" applyFill="1" applyBorder="1" applyAlignment="1" applyProtection="1">
      <alignment/>
      <protection/>
    </xf>
    <xf numFmtId="0" fontId="99" fillId="0" borderId="0" xfId="68" applyFont="1" applyFill="1" applyBorder="1" applyAlignment="1" applyProtection="1">
      <alignment/>
      <protection/>
    </xf>
    <xf numFmtId="0" fontId="98" fillId="0" borderId="11" xfId="0" applyFont="1" applyFill="1" applyBorder="1" applyAlignment="1" applyProtection="1">
      <alignment/>
      <protection/>
    </xf>
    <xf numFmtId="0" fontId="4" fillId="0" borderId="80" xfId="0" applyFont="1" applyFill="1" applyBorder="1" applyAlignment="1" applyProtection="1">
      <alignment horizontal="center"/>
      <protection/>
    </xf>
    <xf numFmtId="0" fontId="98" fillId="0" borderId="21" xfId="0" applyFont="1" applyFill="1" applyBorder="1" applyAlignment="1" applyProtection="1">
      <alignment/>
      <protection/>
    </xf>
    <xf numFmtId="0" fontId="99" fillId="43" borderId="22" xfId="68" applyFont="1" applyFill="1" applyBorder="1" applyAlignment="1" applyProtection="1">
      <alignment horizontal="left"/>
      <protection/>
    </xf>
    <xf numFmtId="0" fontId="99" fillId="43" borderId="12" xfId="68" applyFont="1" applyFill="1" applyBorder="1" applyAlignment="1" applyProtection="1">
      <alignment horizontal="left"/>
      <protection/>
    </xf>
    <xf numFmtId="0" fontId="4" fillId="0" borderId="12" xfId="68" applyFont="1" applyFill="1" applyBorder="1" applyProtection="1">
      <alignment/>
      <protection/>
    </xf>
    <xf numFmtId="0" fontId="98" fillId="0" borderId="13" xfId="0" applyFont="1" applyFill="1" applyBorder="1" applyAlignment="1" applyProtection="1">
      <alignment/>
      <protection/>
    </xf>
    <xf numFmtId="0" fontId="100" fillId="0" borderId="0" xfId="0" applyFont="1" applyFill="1" applyBorder="1" applyAlignment="1" applyProtection="1">
      <alignment horizontal="left"/>
      <protection/>
    </xf>
    <xf numFmtId="200" fontId="99" fillId="0" borderId="0" xfId="0" applyNumberFormat="1" applyFont="1" applyFill="1" applyBorder="1" applyAlignment="1" applyProtection="1">
      <alignment horizontal="left"/>
      <protection/>
    </xf>
    <xf numFmtId="0" fontId="99" fillId="0" borderId="85" xfId="0" applyNumberFormat="1" applyFont="1" applyFill="1" applyBorder="1" applyAlignment="1" applyProtection="1">
      <alignment horizontal="center"/>
      <protection/>
    </xf>
    <xf numFmtId="0" fontId="100" fillId="0" borderId="0" xfId="0" applyFont="1" applyFill="1" applyBorder="1" applyAlignment="1" applyProtection="1">
      <alignment/>
      <protection/>
    </xf>
    <xf numFmtId="0" fontId="98" fillId="0" borderId="0" xfId="0" applyFont="1" applyFill="1" applyBorder="1" applyAlignment="1" applyProtection="1">
      <alignment/>
      <protection/>
    </xf>
    <xf numFmtId="0" fontId="51" fillId="0" borderId="0" xfId="0" applyFont="1" applyFill="1" applyBorder="1" applyAlignment="1" applyProtection="1">
      <alignment vertical="center"/>
      <protection/>
    </xf>
    <xf numFmtId="0" fontId="52" fillId="0" borderId="0" xfId="0" applyFont="1" applyFill="1" applyBorder="1" applyAlignment="1" applyProtection="1">
      <alignment vertical="center"/>
      <protection/>
    </xf>
    <xf numFmtId="0" fontId="52" fillId="0" borderId="0" xfId="0" applyFont="1" applyFill="1" applyAlignment="1" applyProtection="1">
      <alignment/>
      <protection/>
    </xf>
    <xf numFmtId="0" fontId="54" fillId="0" borderId="14" xfId="0" applyFont="1" applyFill="1" applyBorder="1" applyAlignment="1" applyProtection="1">
      <alignment horizontal="center" vertical="center"/>
      <protection/>
    </xf>
    <xf numFmtId="0" fontId="100" fillId="44" borderId="21" xfId="0" applyFont="1" applyFill="1" applyBorder="1" applyAlignment="1" applyProtection="1">
      <alignment horizontal="center"/>
      <protection/>
    </xf>
    <xf numFmtId="0" fontId="100" fillId="44" borderId="0" xfId="0" applyFont="1" applyFill="1" applyBorder="1" applyAlignment="1" applyProtection="1">
      <alignment/>
      <protection/>
    </xf>
    <xf numFmtId="0" fontId="98" fillId="44" borderId="0" xfId="0" applyFont="1" applyFill="1" applyBorder="1" applyAlignment="1" applyProtection="1">
      <alignment/>
      <protection/>
    </xf>
    <xf numFmtId="0" fontId="6" fillId="44" borderId="0" xfId="0" applyFont="1" applyFill="1" applyBorder="1" applyAlignment="1" applyProtection="1">
      <alignment/>
      <protection/>
    </xf>
    <xf numFmtId="0" fontId="9" fillId="44" borderId="21" xfId="0" applyFont="1" applyFill="1" applyBorder="1" applyAlignment="1" applyProtection="1">
      <alignment horizontal="center"/>
      <protection/>
    </xf>
    <xf numFmtId="0" fontId="9" fillId="44" borderId="0" xfId="0" applyFont="1" applyFill="1" applyBorder="1" applyAlignment="1" applyProtection="1">
      <alignment/>
      <protection/>
    </xf>
    <xf numFmtId="0" fontId="6" fillId="44" borderId="0" xfId="0" applyFont="1" applyFill="1" applyBorder="1" applyAlignment="1" applyProtection="1">
      <alignment horizontal="center" vertical="center"/>
      <protection/>
    </xf>
    <xf numFmtId="0" fontId="6" fillId="44" borderId="0" xfId="0" applyFont="1" applyFill="1" applyBorder="1" applyAlignment="1" applyProtection="1">
      <alignment horizontal="center"/>
      <protection/>
    </xf>
    <xf numFmtId="0" fontId="12" fillId="44" borderId="0" xfId="0" applyFont="1" applyFill="1" applyAlignment="1" applyProtection="1">
      <alignment/>
      <protection/>
    </xf>
    <xf numFmtId="0" fontId="6" fillId="44" borderId="0" xfId="0" applyFont="1" applyFill="1" applyAlignment="1" applyProtection="1">
      <alignment/>
      <protection/>
    </xf>
    <xf numFmtId="0" fontId="9" fillId="44" borderId="21" xfId="0" applyFont="1" applyFill="1" applyBorder="1" applyAlignment="1" applyProtection="1">
      <alignment horizontal="center" vertical="center"/>
      <protection/>
    </xf>
    <xf numFmtId="0" fontId="9" fillId="44" borderId="0" xfId="0" applyFont="1" applyFill="1" applyBorder="1" applyAlignment="1" applyProtection="1">
      <alignment vertical="center"/>
      <protection/>
    </xf>
    <xf numFmtId="0" fontId="6" fillId="44" borderId="0" xfId="0" applyFont="1" applyFill="1" applyAlignment="1" applyProtection="1">
      <alignment vertical="center"/>
      <protection/>
    </xf>
    <xf numFmtId="0" fontId="6" fillId="44" borderId="0" xfId="0" applyFont="1" applyFill="1" applyBorder="1" applyAlignment="1" applyProtection="1">
      <alignment horizontal="center" vertical="center"/>
      <protection/>
    </xf>
    <xf numFmtId="1" fontId="6" fillId="44" borderId="0" xfId="0" applyNumberFormat="1" applyFont="1" applyFill="1" applyBorder="1" applyAlignment="1" applyProtection="1">
      <alignment horizontal="center" vertical="center"/>
      <protection/>
    </xf>
    <xf numFmtId="202" fontId="6" fillId="44" borderId="0" xfId="0" applyNumberFormat="1" applyFont="1" applyFill="1" applyBorder="1" applyAlignment="1" applyProtection="1">
      <alignment horizontal="center" vertical="center"/>
      <protection/>
    </xf>
    <xf numFmtId="0" fontId="6" fillId="44" borderId="0" xfId="0" applyFont="1" applyFill="1" applyBorder="1" applyAlignment="1" applyProtection="1">
      <alignment vertical="center"/>
      <protection/>
    </xf>
    <xf numFmtId="0" fontId="9" fillId="44" borderId="41" xfId="0" applyFont="1" applyFill="1" applyBorder="1" applyAlignment="1" applyProtection="1">
      <alignment horizontal="center" vertical="center"/>
      <protection/>
    </xf>
    <xf numFmtId="0" fontId="98" fillId="0" borderId="0" xfId="0" applyFont="1" applyFill="1" applyBorder="1" applyAlignment="1">
      <alignment horizontal="left"/>
    </xf>
    <xf numFmtId="1" fontId="6" fillId="0" borderId="0" xfId="0" applyNumberFormat="1" applyFont="1" applyFill="1" applyAlignment="1" applyProtection="1">
      <alignment horizontal="center"/>
      <protection/>
    </xf>
    <xf numFmtId="0" fontId="99" fillId="45" borderId="80" xfId="0" applyNumberFormat="1" applyFont="1" applyFill="1" applyBorder="1" applyAlignment="1" applyProtection="1">
      <alignment horizontal="center"/>
      <protection locked="0"/>
    </xf>
    <xf numFmtId="0" fontId="99" fillId="45" borderId="86" xfId="0" applyFont="1" applyFill="1" applyBorder="1" applyAlignment="1" applyProtection="1">
      <alignment horizontal="center"/>
      <protection locked="0"/>
    </xf>
    <xf numFmtId="2" fontId="5" fillId="40" borderId="14" xfId="0" applyNumberFormat="1" applyFont="1" applyFill="1" applyBorder="1" applyAlignment="1" applyProtection="1">
      <alignment horizontal="center" vertical="center"/>
      <protection locked="0"/>
    </xf>
    <xf numFmtId="201" fontId="5" fillId="40" borderId="14" xfId="0" applyNumberFormat="1" applyFont="1" applyFill="1" applyBorder="1" applyAlignment="1" applyProtection="1">
      <alignment horizontal="center" vertical="center"/>
      <protection locked="0"/>
    </xf>
    <xf numFmtId="0" fontId="5" fillId="40" borderId="14" xfId="0" applyFont="1" applyFill="1" applyBorder="1" applyAlignment="1" applyProtection="1">
      <alignment horizontal="center" vertical="center"/>
      <protection locked="0"/>
    </xf>
    <xf numFmtId="0" fontId="5" fillId="40" borderId="49" xfId="0" applyFont="1" applyFill="1" applyBorder="1" applyAlignment="1" applyProtection="1">
      <alignment horizontal="center" vertical="center"/>
      <protection locked="0"/>
    </xf>
    <xf numFmtId="1" fontId="13" fillId="40" borderId="26" xfId="0" applyNumberFormat="1" applyFont="1" applyFill="1" applyBorder="1" applyAlignment="1" applyProtection="1">
      <alignment horizontal="center"/>
      <protection locked="0"/>
    </xf>
    <xf numFmtId="0" fontId="59" fillId="0" borderId="10" xfId="68" applyFont="1" applyFill="1" applyBorder="1" applyAlignment="1" applyProtection="1">
      <alignment horizontal="center" vertical="center"/>
      <protection/>
    </xf>
    <xf numFmtId="0" fontId="59" fillId="0" borderId="20" xfId="68" applyFont="1" applyFill="1" applyBorder="1" applyAlignment="1" applyProtection="1">
      <alignment horizontal="center" vertical="center"/>
      <protection/>
    </xf>
    <xf numFmtId="0" fontId="59" fillId="0" borderId="0" xfId="68" applyFont="1" applyFill="1" applyBorder="1" applyAlignment="1" applyProtection="1">
      <alignment horizontal="center" vertical="center"/>
      <protection/>
    </xf>
    <xf numFmtId="0" fontId="59" fillId="0" borderId="11" xfId="68" applyFont="1" applyFill="1" applyBorder="1" applyAlignment="1" applyProtection="1">
      <alignment horizontal="center" vertical="center"/>
      <protection/>
    </xf>
    <xf numFmtId="0" fontId="59" fillId="0" borderId="12" xfId="68" applyFont="1" applyFill="1" applyBorder="1" applyAlignment="1" applyProtection="1">
      <alignment horizontal="center" vertical="center"/>
      <protection/>
    </xf>
    <xf numFmtId="0" fontId="59" fillId="0" borderId="13" xfId="68" applyFont="1" applyFill="1" applyBorder="1" applyAlignment="1" applyProtection="1">
      <alignment horizontal="center" vertical="center"/>
      <protection/>
    </xf>
    <xf numFmtId="211" fontId="3" fillId="0" borderId="15"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protection/>
    </xf>
    <xf numFmtId="2" fontId="6" fillId="0" borderId="0" xfId="0" applyNumberFormat="1" applyFont="1" applyFill="1" applyBorder="1" applyAlignment="1" applyProtection="1">
      <alignment horizontal="center"/>
      <protection/>
    </xf>
    <xf numFmtId="2" fontId="6" fillId="0" borderId="11" xfId="0" applyNumberFormat="1" applyFont="1" applyFill="1" applyBorder="1" applyAlignment="1" applyProtection="1">
      <alignment horizontal="center"/>
      <protection/>
    </xf>
    <xf numFmtId="0" fontId="100" fillId="0" borderId="21" xfId="0" applyFont="1" applyFill="1" applyBorder="1" applyAlignment="1" applyProtection="1">
      <alignment shrinkToFit="1"/>
      <protection/>
    </xf>
    <xf numFmtId="0" fontId="100" fillId="0" borderId="0" xfId="0" applyFont="1" applyFill="1" applyBorder="1" applyAlignment="1" applyProtection="1">
      <alignment shrinkToFit="1"/>
      <protection/>
    </xf>
    <xf numFmtId="0" fontId="9" fillId="46" borderId="49" xfId="0" applyFont="1" applyFill="1" applyBorder="1" applyAlignment="1" applyProtection="1">
      <alignment horizontal="center" vertical="center"/>
      <protection/>
    </xf>
    <xf numFmtId="0" fontId="9" fillId="46" borderId="47" xfId="0" applyFont="1" applyFill="1" applyBorder="1" applyAlignment="1" applyProtection="1">
      <alignment horizontal="center" vertical="center"/>
      <protection/>
    </xf>
    <xf numFmtId="0" fontId="9" fillId="46" borderId="48" xfId="0" applyFont="1" applyFill="1" applyBorder="1" applyAlignment="1" applyProtection="1">
      <alignment horizontal="center" vertical="center"/>
      <protection/>
    </xf>
    <xf numFmtId="1" fontId="13" fillId="40" borderId="26" xfId="0" applyNumberFormat="1" applyFont="1" applyFill="1" applyBorder="1" applyAlignment="1" applyProtection="1">
      <alignment horizontal="center" vertical="center"/>
      <protection locked="0"/>
    </xf>
    <xf numFmtId="1" fontId="13" fillId="40" borderId="28" xfId="0" applyNumberFormat="1" applyFont="1" applyFill="1" applyBorder="1" applyAlignment="1" applyProtection="1">
      <alignment horizontal="center" vertical="center"/>
      <protection locked="0"/>
    </xf>
    <xf numFmtId="211" fontId="3" fillId="0" borderId="0" xfId="0" applyNumberFormat="1" applyFont="1" applyFill="1" applyBorder="1" applyAlignment="1" applyProtection="1">
      <alignment horizontal="left" vertical="center"/>
      <protection/>
    </xf>
    <xf numFmtId="0" fontId="9" fillId="0" borderId="33" xfId="0" applyFont="1" applyFill="1" applyBorder="1" applyAlignment="1" applyProtection="1">
      <alignment horizontal="center" vertical="center"/>
      <protection/>
    </xf>
    <xf numFmtId="0" fontId="9" fillId="0" borderId="35" xfId="0" applyFont="1" applyFill="1" applyBorder="1" applyAlignment="1" applyProtection="1">
      <alignment horizontal="center" vertical="center"/>
      <protection/>
    </xf>
    <xf numFmtId="0" fontId="9" fillId="0" borderId="0" xfId="0" applyFont="1" applyFill="1" applyBorder="1" applyAlignment="1" applyProtection="1">
      <alignment horizontal="left"/>
      <protection/>
    </xf>
    <xf numFmtId="0" fontId="49" fillId="47" borderId="49" xfId="0" applyFont="1" applyFill="1" applyBorder="1" applyAlignment="1" applyProtection="1">
      <alignment horizontal="center" vertical="center"/>
      <protection/>
    </xf>
    <xf numFmtId="0" fontId="49" fillId="47" borderId="47" xfId="0" applyFont="1" applyFill="1" applyBorder="1" applyAlignment="1" applyProtection="1">
      <alignment horizontal="center" vertical="center"/>
      <protection/>
    </xf>
    <xf numFmtId="0" fontId="49" fillId="47" borderId="48" xfId="0" applyFont="1" applyFill="1" applyBorder="1" applyAlignment="1" applyProtection="1">
      <alignment horizontal="center" vertical="center"/>
      <protection/>
    </xf>
    <xf numFmtId="201" fontId="4" fillId="0" borderId="0" xfId="0" applyNumberFormat="1" applyFont="1" applyFill="1" applyBorder="1" applyAlignment="1" applyProtection="1">
      <alignment horizontal="center"/>
      <protection/>
    </xf>
    <xf numFmtId="0" fontId="5" fillId="40" borderId="49" xfId="0" applyFont="1" applyFill="1" applyBorder="1" applyAlignment="1" applyProtection="1">
      <alignment horizontal="center"/>
      <protection locked="0"/>
    </xf>
    <xf numFmtId="0" fontId="5" fillId="40" borderId="48" xfId="0" applyFont="1" applyFill="1" applyBorder="1" applyAlignment="1" applyProtection="1">
      <alignment horizontal="center"/>
      <protection locked="0"/>
    </xf>
    <xf numFmtId="0" fontId="9" fillId="0" borderId="0" xfId="0" applyFont="1" applyFill="1" applyBorder="1" applyAlignment="1" applyProtection="1">
      <alignment horizontal="center" vertical="center"/>
      <protection/>
    </xf>
    <xf numFmtId="2" fontId="5" fillId="40" borderId="42" xfId="0" applyNumberFormat="1" applyFont="1" applyFill="1" applyBorder="1" applyAlignment="1" applyProtection="1">
      <alignment horizontal="center" vertical="center"/>
      <protection locked="0"/>
    </xf>
    <xf numFmtId="2" fontId="5" fillId="40" borderId="46" xfId="0" applyNumberFormat="1" applyFont="1" applyFill="1" applyBorder="1" applyAlignment="1" applyProtection="1">
      <alignment horizontal="center" vertical="center"/>
      <protection locked="0"/>
    </xf>
    <xf numFmtId="0" fontId="5" fillId="40" borderId="49" xfId="0" applyFont="1" applyFill="1" applyBorder="1" applyAlignment="1" applyProtection="1">
      <alignment horizontal="left"/>
      <protection locked="0"/>
    </xf>
    <xf numFmtId="0" fontId="5" fillId="40" borderId="48" xfId="0" applyFont="1" applyFill="1" applyBorder="1" applyAlignment="1" applyProtection="1">
      <alignment horizontal="left"/>
      <protection locked="0"/>
    </xf>
    <xf numFmtId="0" fontId="6" fillId="0" borderId="11"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center"/>
      <protection/>
    </xf>
    <xf numFmtId="2" fontId="6" fillId="0" borderId="0" xfId="0" applyNumberFormat="1" applyFont="1" applyFill="1" applyBorder="1" applyAlignment="1" applyProtection="1">
      <alignment horizontal="center"/>
      <protection/>
    </xf>
    <xf numFmtId="0" fontId="4" fillId="0" borderId="86" xfId="0" applyFont="1" applyFill="1" applyBorder="1" applyAlignment="1" applyProtection="1">
      <alignment horizontal="center" vertical="center"/>
      <protection/>
    </xf>
    <xf numFmtId="0" fontId="4" fillId="0" borderId="80" xfId="0" applyFont="1" applyFill="1" applyBorder="1" applyAlignment="1" applyProtection="1">
      <alignment horizontal="center" vertical="center"/>
      <protection/>
    </xf>
    <xf numFmtId="0" fontId="99" fillId="45" borderId="0" xfId="0" applyFont="1" applyFill="1" applyBorder="1" applyAlignment="1" applyProtection="1">
      <alignment horizontal="left"/>
      <protection locked="0"/>
    </xf>
    <xf numFmtId="0" fontId="6" fillId="0" borderId="87" xfId="0" applyFont="1" applyFill="1" applyBorder="1" applyAlignment="1" applyProtection="1">
      <alignment horizontal="center"/>
      <protection/>
    </xf>
    <xf numFmtId="0" fontId="6" fillId="0" borderId="88" xfId="0" applyFont="1" applyFill="1" applyBorder="1" applyAlignment="1" applyProtection="1">
      <alignment horizontal="center"/>
      <protection/>
    </xf>
    <xf numFmtId="0" fontId="6" fillId="0" borderId="0" xfId="0" applyFont="1" applyFill="1" applyAlignment="1" applyProtection="1">
      <alignment horizontal="center"/>
      <protection/>
    </xf>
    <xf numFmtId="0" fontId="6" fillId="0" borderId="11" xfId="0" applyFont="1" applyFill="1" applyBorder="1" applyAlignment="1" applyProtection="1">
      <alignment horizontal="center"/>
      <protection/>
    </xf>
    <xf numFmtId="0" fontId="9" fillId="38" borderId="49" xfId="0" applyFont="1" applyFill="1" applyBorder="1" applyAlignment="1" applyProtection="1">
      <alignment horizontal="center"/>
      <protection/>
    </xf>
    <xf numFmtId="0" fontId="9" fillId="38" borderId="47" xfId="0" applyFont="1" applyFill="1" applyBorder="1" applyAlignment="1" applyProtection="1">
      <alignment horizontal="center"/>
      <protection/>
    </xf>
    <xf numFmtId="0" fontId="9" fillId="38" borderId="48" xfId="0" applyFont="1" applyFill="1" applyBorder="1" applyAlignment="1" applyProtection="1">
      <alignment horizontal="center"/>
      <protection/>
    </xf>
    <xf numFmtId="0" fontId="100" fillId="0" borderId="0" xfId="0" applyFont="1" applyFill="1" applyBorder="1" applyAlignment="1" applyProtection="1">
      <alignment horizontal="lef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left"/>
      <protection/>
    </xf>
    <xf numFmtId="200" fontId="3" fillId="0" borderId="0" xfId="0" applyNumberFormat="1" applyFont="1" applyFill="1" applyBorder="1" applyAlignment="1" applyProtection="1">
      <alignment horizontal="left"/>
      <protection/>
    </xf>
    <xf numFmtId="1" fontId="4" fillId="0" borderId="0" xfId="0" applyNumberFormat="1" applyFont="1" applyFill="1" applyBorder="1" applyAlignment="1" applyProtection="1">
      <alignment horizontal="center"/>
      <protection/>
    </xf>
    <xf numFmtId="0" fontId="6" fillId="33" borderId="0" xfId="0" applyFont="1" applyFill="1" applyBorder="1" applyAlignment="1" applyProtection="1">
      <alignment horizontal="center"/>
      <protection/>
    </xf>
    <xf numFmtId="0" fontId="6" fillId="33"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protection/>
    </xf>
    <xf numFmtId="0" fontId="4" fillId="0" borderId="0" xfId="0" applyFont="1" applyFill="1" applyBorder="1" applyAlignment="1" applyProtection="1">
      <alignment horizontal="center" vertical="center"/>
      <protection/>
    </xf>
    <xf numFmtId="0" fontId="6" fillId="41" borderId="49" xfId="0" applyFont="1" applyFill="1" applyBorder="1" applyAlignment="1" applyProtection="1">
      <alignment horizontal="center"/>
      <protection/>
    </xf>
    <xf numFmtId="0" fontId="6" fillId="41" borderId="47" xfId="0" applyFont="1" applyFill="1" applyBorder="1" applyAlignment="1" applyProtection="1">
      <alignment horizontal="center"/>
      <protection/>
    </xf>
    <xf numFmtId="0" fontId="6" fillId="41" borderId="48" xfId="0" applyFont="1" applyFill="1" applyBorder="1" applyAlignment="1" applyProtection="1">
      <alignment horizontal="center"/>
      <protection/>
    </xf>
    <xf numFmtId="0" fontId="15" fillId="48" borderId="49" xfId="0" applyFont="1" applyFill="1" applyBorder="1" applyAlignment="1" applyProtection="1">
      <alignment horizontal="center" vertical="center"/>
      <protection/>
    </xf>
    <xf numFmtId="0" fontId="15" fillId="48" borderId="47" xfId="0" applyFont="1" applyFill="1" applyBorder="1" applyAlignment="1" applyProtection="1">
      <alignment horizontal="center" vertical="center"/>
      <protection/>
    </xf>
    <xf numFmtId="0" fontId="15" fillId="48" borderId="48" xfId="0" applyFont="1" applyFill="1" applyBorder="1" applyAlignment="1" applyProtection="1">
      <alignment horizontal="center" vertical="center"/>
      <protection/>
    </xf>
    <xf numFmtId="1" fontId="5" fillId="0" borderId="0"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55" fillId="44" borderId="89" xfId="68" applyFont="1" applyFill="1" applyBorder="1" applyAlignment="1" applyProtection="1">
      <alignment horizontal="center" vertical="center"/>
      <protection/>
    </xf>
    <xf numFmtId="0" fontId="55" fillId="44" borderId="90" xfId="68" applyFont="1" applyFill="1" applyBorder="1" applyAlignment="1" applyProtection="1">
      <alignment horizontal="center" vertical="center"/>
      <protection/>
    </xf>
    <xf numFmtId="0" fontId="55" fillId="44" borderId="91" xfId="68" applyFont="1" applyFill="1" applyBorder="1" applyAlignment="1" applyProtection="1">
      <alignment horizontal="center" vertical="center"/>
      <protection/>
    </xf>
    <xf numFmtId="0" fontId="6" fillId="0" borderId="21" xfId="0" applyFont="1" applyFill="1" applyBorder="1" applyAlignment="1" applyProtection="1">
      <alignment horizontal="center" vertical="center" textRotation="90"/>
      <protection/>
    </xf>
    <xf numFmtId="0" fontId="6" fillId="0" borderId="0" xfId="0" applyFont="1" applyFill="1" applyAlignment="1" applyProtection="1">
      <alignment horizontal="center"/>
      <protection/>
    </xf>
    <xf numFmtId="0" fontId="4" fillId="0" borderId="1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99" fillId="45" borderId="10" xfId="0" applyFont="1" applyFill="1" applyBorder="1" applyAlignment="1" applyProtection="1">
      <alignment horizontal="left"/>
      <protection locked="0"/>
    </xf>
    <xf numFmtId="210" fontId="99" fillId="45" borderId="0" xfId="0" applyNumberFormat="1" applyFont="1" applyFill="1" applyBorder="1" applyAlignment="1" applyProtection="1">
      <alignment horizontal="left"/>
      <protection locked="0"/>
    </xf>
    <xf numFmtId="0" fontId="99" fillId="45" borderId="10" xfId="68" applyFont="1" applyFill="1" applyBorder="1" applyAlignment="1" applyProtection="1">
      <alignment horizontal="left" vertical="center"/>
      <protection locked="0"/>
    </xf>
    <xf numFmtId="0" fontId="99" fillId="45" borderId="0" xfId="68" applyFont="1" applyFill="1" applyBorder="1" applyAlignment="1" applyProtection="1">
      <alignment horizontal="left" vertical="center"/>
      <protection locked="0"/>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_PILEGRP_kg" xfId="61"/>
    <cellStyle name="Note" xfId="62"/>
    <cellStyle name="Output" xfId="63"/>
    <cellStyle name="Percent" xfId="64"/>
    <cellStyle name="Title" xfId="65"/>
    <cellStyle name="Total" xfId="66"/>
    <cellStyle name="Warning Text" xfId="67"/>
    <cellStyle name="ปกติ_Mbeam" xfId="68"/>
  </cellStyles>
  <dxfs count="8">
    <dxf>
      <font>
        <b/>
        <i val="0"/>
        <color indexed="10"/>
      </font>
    </dxf>
    <dxf>
      <font>
        <b/>
        <i val="0"/>
        <color rgb="FFFF33CC"/>
      </font>
      <fill>
        <patternFill>
          <bgColor rgb="FFFFFF99"/>
        </patternFill>
      </fill>
    </dxf>
    <dxf>
      <font>
        <b/>
        <i val="0"/>
        <color auto="1"/>
      </font>
      <fill>
        <patternFill>
          <bgColor rgb="FFFF0000"/>
        </patternFill>
      </fill>
      <border>
        <left style="dashDotDot"/>
        <right style="dashDotDot"/>
        <top style="dashDotDot"/>
        <bottom style="dashDotDot"/>
      </border>
    </dxf>
    <dxf>
      <font>
        <color auto="1"/>
      </font>
      <fill>
        <patternFill>
          <bgColor indexed="10"/>
        </patternFill>
      </fill>
      <border>
        <left style="dashDot"/>
        <right style="dashDot"/>
        <top style="dashDot"/>
        <bottom style="dashDot"/>
      </border>
    </dxf>
    <dxf>
      <font>
        <color auto="1"/>
      </font>
      <fill>
        <patternFill>
          <bgColor rgb="FFFF0000"/>
        </patternFill>
      </fill>
      <border>
        <left style="dashDot">
          <color rgb="FF000000"/>
        </left>
        <right style="dashDot">
          <color rgb="FF000000"/>
        </right>
        <top style="dashDot"/>
        <bottom style="dashDot">
          <color rgb="FF000000"/>
        </bottom>
      </border>
    </dxf>
    <dxf>
      <font>
        <b/>
        <i val="0"/>
        <color auto="1"/>
      </font>
      <fill>
        <patternFill>
          <bgColor rgb="FFFF0000"/>
        </patternFill>
      </fill>
      <border>
        <left style="dashDotDot">
          <color rgb="FF000000"/>
        </left>
        <right style="dashDotDot">
          <color rgb="FF000000"/>
        </right>
        <top style="dashDotDot"/>
        <bottom style="dashDotDot">
          <color rgb="FF000000"/>
        </bottom>
      </border>
    </dxf>
    <dxf>
      <font>
        <b/>
        <i val="0"/>
        <color rgb="FFFF33CC"/>
      </font>
      <fill>
        <patternFill>
          <bgColor rgb="FFFFFF99"/>
        </patternFill>
      </fill>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00675"/>
          <c:w val="0.994"/>
          <c:h val="0.967"/>
        </c:manualLayout>
      </c:layout>
      <c:scatterChart>
        <c:scatterStyle val="lineMarker"/>
        <c:varyColors val="0"/>
        <c:ser>
          <c:idx val="0"/>
          <c:order val="0"/>
          <c:tx>
            <c:v>x Upper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Pt>
            <c:idx val="14"/>
            <c:spPr>
              <a:ln w="3175">
                <a:noFill/>
              </a:ln>
            </c:spPr>
            <c:marker>
              <c:size val="6"/>
              <c:spPr>
                <a:solidFill>
                  <a:srgbClr val="0000FF"/>
                </a:solidFill>
                <a:ln>
                  <a:solidFill>
                    <a:srgbClr val="0000FF"/>
                  </a:solidFill>
                </a:ln>
              </c:spPr>
            </c:marker>
          </c:dPt>
          <c:xVal>
            <c:numRef>
              <c:f>'Footing 2 pile'!$Y$103:$Y$127</c:f>
              <c:numCache/>
            </c:numRef>
          </c:xVal>
          <c:yVal>
            <c:numRef>
              <c:f>'Footing 2 pile'!$Z$103:$Z$127</c:f>
              <c:numCache/>
            </c:numRef>
          </c:yVal>
          <c:smooth val="0"/>
        </c:ser>
        <c:ser>
          <c:idx val="1"/>
          <c:order val="1"/>
          <c:tx>
            <c:v>x Lower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6600"/>
              </a:solidFill>
              <a:ln>
                <a:solidFill>
                  <a:srgbClr val="FF6600"/>
                </a:solidFill>
              </a:ln>
            </c:spPr>
          </c:marker>
          <c:xVal>
            <c:numRef>
              <c:f>'Footing 2 pile'!$Y$103:$Y$127</c:f>
              <c:numCache/>
            </c:numRef>
          </c:xVal>
          <c:yVal>
            <c:numRef>
              <c:f>'Footing 2 pile'!$AA$103:$AA$127</c:f>
              <c:numCache/>
            </c:numRef>
          </c:yVal>
          <c:smooth val="0"/>
        </c:ser>
        <c:ser>
          <c:idx val="2"/>
          <c:order val="2"/>
          <c:tx>
            <c:v>Y1-1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6600"/>
              </a:solidFill>
              <a:ln>
                <a:solidFill>
                  <a:srgbClr val="FF6600"/>
                </a:solidFill>
              </a:ln>
            </c:spPr>
          </c:marker>
          <c:xVal>
            <c:numRef>
              <c:f>'Footing 2 pile'!$BB$104:$BB$128</c:f>
              <c:numCache/>
            </c:numRef>
          </c:xVal>
          <c:yVal>
            <c:numRef>
              <c:f>'Footing 2 pile'!$BD$104:$BD$128</c:f>
              <c:numCache/>
            </c:numRef>
          </c:yVal>
          <c:smooth val="0"/>
        </c:ser>
        <c:ser>
          <c:idx val="3"/>
          <c:order val="3"/>
          <c:tx>
            <c:v>Y2-2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6600"/>
              </a:solidFill>
              <a:ln>
                <a:solidFill>
                  <a:srgbClr val="FF6600"/>
                </a:solidFill>
              </a:ln>
            </c:spPr>
          </c:marker>
          <c:xVal>
            <c:numRef>
              <c:f>'Footing 2 pile'!$BC$104:$BC$128</c:f>
              <c:numCache/>
            </c:numRef>
          </c:xVal>
          <c:yVal>
            <c:numRef>
              <c:f>'Footing 2 pile'!$BD$104:$BD$128</c:f>
              <c:numCache/>
            </c:numRef>
          </c:yVal>
          <c:smooth val="0"/>
        </c:ser>
        <c:axId val="31963074"/>
        <c:axId val="19232211"/>
      </c:scatterChart>
      <c:valAx>
        <c:axId val="31963074"/>
        <c:scaling>
          <c:orientation val="minMax"/>
        </c:scaling>
        <c:axPos val="b"/>
        <c:delete val="1"/>
        <c:majorTickMark val="out"/>
        <c:minorTickMark val="none"/>
        <c:tickLblPos val="nextTo"/>
        <c:crossAx val="19232211"/>
        <c:crosses val="autoZero"/>
        <c:crossBetween val="midCat"/>
        <c:dispUnits/>
      </c:valAx>
      <c:valAx>
        <c:axId val="19232211"/>
        <c:scaling>
          <c:orientation val="minMax"/>
        </c:scaling>
        <c:axPos val="l"/>
        <c:delete val="1"/>
        <c:majorTickMark val="out"/>
        <c:minorTickMark val="none"/>
        <c:tickLblPos val="nextTo"/>
        <c:crossAx val="31963074"/>
        <c:crosses val="autoZero"/>
        <c:crossBetween val="midCat"/>
        <c:dispUnits/>
      </c:valAx>
      <c:spPr>
        <a:solidFill>
          <a:srgbClr val="FFFFFF"/>
        </a:solidFill>
        <a:ln w="25400">
          <a:solidFill>
            <a:srgbClr val="0000FF"/>
          </a:solidFill>
        </a:ln>
      </c:spPr>
    </c:plotArea>
    <c:plotVisOnly val="1"/>
    <c:dispBlanksAs val="gap"/>
    <c:showDLblsOverMax val="0"/>
  </c:chart>
  <c:spPr>
    <a:solidFill>
      <a:srgbClr val="FFFFFF"/>
    </a:solidFill>
    <a:ln w="25400">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sng" baseline="0">
                <a:solidFill>
                  <a:srgbClr val="000000"/>
                </a:solidFill>
              </a:rPr>
              <a:t>PILE GROUP PLAN</a:t>
            </a:r>
          </a:p>
        </c:rich>
      </c:tx>
      <c:layout>
        <c:manualLayout>
          <c:xMode val="factor"/>
          <c:yMode val="factor"/>
          <c:x val="0.095"/>
          <c:y val="-0.02125"/>
        </c:manualLayout>
      </c:layout>
      <c:spPr>
        <a:noFill/>
        <a:ln>
          <a:noFill/>
        </a:ln>
      </c:spPr>
    </c:title>
    <c:plotArea>
      <c:layout>
        <c:manualLayout>
          <c:xMode val="edge"/>
          <c:yMode val="edge"/>
          <c:x val="0.116"/>
          <c:y val="0.02125"/>
          <c:w val="0.884"/>
          <c:h val="0.9315"/>
        </c:manualLayout>
      </c:layout>
      <c:scatterChart>
        <c:scatterStyle val="lineMarker"/>
        <c:varyColors val="0"/>
        <c:ser>
          <c:idx val="1"/>
          <c:order val="0"/>
          <c:tx>
            <c:v>Pile Locations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FF"/>
              </a:solidFill>
              <a:ln>
                <a:solidFill>
                  <a:srgbClr val="000000"/>
                </a:solidFill>
              </a:ln>
            </c:spPr>
          </c:marker>
          <c:xVal>
            <c:numRef>
              <c:f>'Piles (&lt;=25)(metric) (2)'!$B$12:$B$36</c:f>
              <c:numCache/>
            </c:numRef>
          </c:xVal>
          <c:yVal>
            <c:numRef>
              <c:f>'Piles (&lt;=25)(metric) (2)'!$C$12:$C$36</c:f>
              <c:numCache/>
            </c:numRef>
          </c:yVal>
          <c:smooth val="0"/>
        </c:ser>
        <c:ser>
          <c:idx val="0"/>
          <c:order val="1"/>
          <c:tx>
            <c:v>Centroid of Pile Group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8"/>
            <c:spPr>
              <a:noFill/>
              <a:ln>
                <a:solidFill>
                  <a:srgbClr val="0000FF"/>
                </a:solidFill>
              </a:ln>
            </c:spPr>
          </c:marker>
          <c:xVal>
            <c:numRef>
              <c:f>'Piles (&lt;=25)(metric) (2)'!$H$30</c:f>
              <c:numCache/>
            </c:numRef>
          </c:xVal>
          <c:yVal>
            <c:numRef>
              <c:f>'Piles (&lt;=25)(metric) (2)'!$H$31</c:f>
              <c:numCache/>
            </c:numRef>
          </c:yVal>
          <c:smooth val="0"/>
        </c:ser>
        <c:ser>
          <c:idx val="2"/>
          <c:order val="2"/>
          <c:tx>
            <c:v>Plot Scale Factors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FFFFFF"/>
                </a:solidFill>
              </a:ln>
            </c:spPr>
          </c:marker>
          <c:xVal>
            <c:numRef>
              <c:f>'Piles (&lt;=25)(metric) (2)'!$AB$4</c:f>
              <c:numCache/>
            </c:numRef>
          </c:xVal>
          <c:yVal>
            <c:numRef>
              <c:f>'Piles (&lt;=25)(metric) (2)'!$AC$4</c:f>
              <c:numCache/>
            </c:numRef>
          </c:yVal>
          <c:smooth val="0"/>
        </c:ser>
        <c:ser>
          <c:idx val="3"/>
          <c:order val="3"/>
          <c:tx>
            <c:v>Pier #1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4"/>
            <c:spPr>
              <a:noFill/>
              <a:ln>
                <a:solidFill>
                  <a:srgbClr val="000000"/>
                </a:solidFill>
              </a:ln>
            </c:spPr>
          </c:marker>
          <c:xVal>
            <c:numRef>
              <c:f>'Piles (&lt;=25)(metric) (2)'!$C$41</c:f>
              <c:numCache/>
            </c:numRef>
          </c:xVal>
          <c:yVal>
            <c:numRef>
              <c:f>'Piles (&lt;=25)(metric) (2)'!$C$42</c:f>
              <c:numCache/>
            </c:numRef>
          </c:yVal>
          <c:smooth val="0"/>
        </c:ser>
        <c:ser>
          <c:idx val="4"/>
          <c:order val="4"/>
          <c:tx>
            <c:v>Pier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4"/>
            <c:spPr>
              <a:noFill/>
              <a:ln>
                <a:solidFill>
                  <a:srgbClr val="000000"/>
                </a:solidFill>
              </a:ln>
            </c:spPr>
          </c:marker>
          <c:xVal>
            <c:numRef>
              <c:f>'Piles (&lt;=25)(metric) (2)'!$D$41</c:f>
              <c:numCache/>
            </c:numRef>
          </c:xVal>
          <c:yVal>
            <c:numRef>
              <c:f>'Piles (&lt;=25)(metric) (2)'!$D$42</c:f>
              <c:numCache/>
            </c:numRef>
          </c:yVal>
          <c:smooth val="0"/>
        </c:ser>
        <c:ser>
          <c:idx val="5"/>
          <c:order val="5"/>
          <c:tx>
            <c:v>Pier #3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4"/>
            <c:spPr>
              <a:noFill/>
              <a:ln>
                <a:solidFill>
                  <a:srgbClr val="000000"/>
                </a:solidFill>
              </a:ln>
            </c:spPr>
          </c:marker>
          <c:xVal>
            <c:numRef>
              <c:f>'Piles (&lt;=25)(metric) (2)'!$E$41</c:f>
              <c:numCache/>
            </c:numRef>
          </c:xVal>
          <c:yVal>
            <c:numRef>
              <c:f>'Piles (&lt;=25)(metric) (2)'!$E$42</c:f>
              <c:numCache/>
            </c:numRef>
          </c:yVal>
          <c:smooth val="0"/>
        </c:ser>
        <c:ser>
          <c:idx val="6"/>
          <c:order val="6"/>
          <c:tx>
            <c:v>Pier #4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4"/>
            <c:spPr>
              <a:noFill/>
              <a:ln>
                <a:solidFill>
                  <a:srgbClr val="000000"/>
                </a:solidFill>
              </a:ln>
            </c:spPr>
          </c:marker>
          <c:xVal>
            <c:numRef>
              <c:f>'Piles (&lt;=25)(metric) (2)'!$F$41</c:f>
              <c:numCache/>
            </c:numRef>
          </c:xVal>
          <c:yVal>
            <c:numRef>
              <c:f>'Piles (&lt;=25)(metric) (2)'!$F$42</c:f>
              <c:numCache/>
            </c:numRef>
          </c:yVal>
          <c:smooth val="0"/>
        </c:ser>
        <c:axId val="38872172"/>
        <c:axId val="14305229"/>
      </c:scatterChart>
      <c:valAx>
        <c:axId val="38872172"/>
        <c:scaling>
          <c:orientation val="minMax"/>
        </c:scaling>
        <c:axPos val="b"/>
        <c:title>
          <c:tx>
            <c:rich>
              <a:bodyPr vert="horz" rot="0" anchor="ctr"/>
              <a:lstStyle/>
              <a:p>
                <a:pPr algn="ctr">
                  <a:defRPr/>
                </a:pPr>
                <a:r>
                  <a:rPr lang="en-US" cap="none" sz="800" b="1" i="0" u="none" baseline="0">
                    <a:solidFill>
                      <a:srgbClr val="000000"/>
                    </a:solidFill>
                  </a:rPr>
                  <a:t>X - AXIS (m)</a:t>
                </a:r>
              </a:p>
            </c:rich>
          </c:tx>
          <c:layout>
            <c:manualLayout>
              <c:xMode val="factor"/>
              <c:yMode val="factor"/>
              <c:x val="-0.0115"/>
              <c:y val="0.00475"/>
            </c:manualLayout>
          </c:layout>
          <c:overlay val="0"/>
          <c:spPr>
            <a:noFill/>
            <a:ln>
              <a:noFill/>
            </a:ln>
          </c:spPr>
        </c:title>
        <c:delete val="0"/>
        <c:numFmt formatCode="0.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14305229"/>
        <c:crosses val="autoZero"/>
        <c:crossBetween val="midCat"/>
        <c:dispUnits/>
      </c:valAx>
      <c:valAx>
        <c:axId val="14305229"/>
        <c:scaling>
          <c:orientation val="minMax"/>
        </c:scaling>
        <c:axPos val="l"/>
        <c:title>
          <c:tx>
            <c:rich>
              <a:bodyPr vert="horz" rot="-5400000" anchor="ctr"/>
              <a:lstStyle/>
              <a:p>
                <a:pPr algn="ctr">
                  <a:defRPr/>
                </a:pPr>
                <a:r>
                  <a:rPr lang="en-US" cap="none" sz="800" b="1" i="0" u="none" baseline="0">
                    <a:solidFill>
                      <a:srgbClr val="000000"/>
                    </a:solidFill>
                  </a:rPr>
                  <a:t>Y - AXIS (m)</a:t>
                </a:r>
              </a:p>
            </c:rich>
          </c:tx>
          <c:layout>
            <c:manualLayout>
              <c:xMode val="factor"/>
              <c:yMode val="factor"/>
              <c:x val="-0.024"/>
              <c:y val="0"/>
            </c:manualLayout>
          </c:layout>
          <c:overlay val="0"/>
          <c:spPr>
            <a:noFill/>
            <a:ln>
              <a:noFill/>
            </a:ln>
          </c:spPr>
        </c:title>
        <c:delete val="0"/>
        <c:numFmt formatCode="0.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38872172"/>
        <c:crosses val="autoZero"/>
        <c:crossBetween val="midCat"/>
        <c:dispUnits/>
      </c:valAx>
      <c:spPr>
        <a:solidFill>
          <a:srgbClr val="FFFFFF"/>
        </a:solidFill>
        <a:ln w="12700">
          <a:solidFill>
            <a:srgbClr val="FFFFFF"/>
          </a:solidFill>
        </a:ln>
      </c:spPr>
    </c:plotArea>
    <c:plotVisOnly val="1"/>
    <c:dispBlanksAs val="gap"/>
    <c:showDLblsOverMax val="0"/>
  </c:chart>
  <c:spPr>
    <a:solidFill>
      <a:srgbClr val="FFFFFF"/>
    </a:solidFill>
    <a:ln w="3175">
      <a:noFill/>
    </a:ln>
  </c:spPr>
  <c:txPr>
    <a:bodyPr vert="horz" rot="0"/>
    <a:lstStyle/>
    <a:p>
      <a:pPr>
        <a:defRPr lang="en-US" cap="none" sz="4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sng" baseline="0">
                <a:solidFill>
                  <a:srgbClr val="000000"/>
                </a:solidFill>
              </a:rPr>
              <a:t>PILE GROUP PLAN</a:t>
            </a:r>
          </a:p>
        </c:rich>
      </c:tx>
      <c:layout>
        <c:manualLayout>
          <c:xMode val="factor"/>
          <c:yMode val="factor"/>
          <c:x val="0.095"/>
          <c:y val="-0.02125"/>
        </c:manualLayout>
      </c:layout>
      <c:spPr>
        <a:noFill/>
        <a:ln>
          <a:noFill/>
        </a:ln>
      </c:spPr>
    </c:title>
    <c:plotArea>
      <c:layout>
        <c:manualLayout>
          <c:xMode val="edge"/>
          <c:yMode val="edge"/>
          <c:x val="0.07975"/>
          <c:y val="0.02125"/>
          <c:w val="0.92025"/>
          <c:h val="0.93075"/>
        </c:manualLayout>
      </c:layout>
      <c:scatterChart>
        <c:scatterStyle val="lineMarker"/>
        <c:varyColors val="0"/>
        <c:ser>
          <c:idx val="1"/>
          <c:order val="0"/>
          <c:tx>
            <c:v>Pile Locations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FF"/>
              </a:solidFill>
              <a:ln>
                <a:solidFill>
                  <a:srgbClr val="000000"/>
                </a:solidFill>
              </a:ln>
            </c:spPr>
          </c:marker>
          <c:xVal>
            <c:numRef>
              <c:f>'Piles (&lt;=25)(metric) (2)'!$B$12:$B$36</c:f>
              <c:numCache/>
            </c:numRef>
          </c:xVal>
          <c:yVal>
            <c:numRef>
              <c:f>'Piles (&lt;=25)(metric) (2)'!$C$12:$C$36</c:f>
              <c:numCache/>
            </c:numRef>
          </c:yVal>
          <c:smooth val="0"/>
        </c:ser>
        <c:ser>
          <c:idx val="0"/>
          <c:order val="1"/>
          <c:tx>
            <c:v>Centroid of Pile Group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8"/>
            <c:spPr>
              <a:noFill/>
              <a:ln>
                <a:solidFill>
                  <a:srgbClr val="0000FF"/>
                </a:solidFill>
              </a:ln>
            </c:spPr>
          </c:marker>
          <c:xVal>
            <c:numRef>
              <c:f>'Piles (&lt;=25)(metric) (2)'!$H$30</c:f>
              <c:numCache/>
            </c:numRef>
          </c:xVal>
          <c:yVal>
            <c:numRef>
              <c:f>'Piles (&lt;=25)(metric) (2)'!$H$31</c:f>
              <c:numCache/>
            </c:numRef>
          </c:yVal>
          <c:smooth val="0"/>
        </c:ser>
        <c:ser>
          <c:idx val="2"/>
          <c:order val="2"/>
          <c:tx>
            <c:v>Plot Scale Factors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FFFFFF"/>
                </a:solidFill>
              </a:ln>
            </c:spPr>
          </c:marker>
          <c:xVal>
            <c:numRef>
              <c:f>'Piles (&lt;=25)(metric) (2)'!$AB$4</c:f>
              <c:numCache/>
            </c:numRef>
          </c:xVal>
          <c:yVal>
            <c:numRef>
              <c:f>'Piles (&lt;=25)(metric) (2)'!$AC$4</c:f>
              <c:numCache/>
            </c:numRef>
          </c:yVal>
          <c:smooth val="0"/>
        </c:ser>
        <c:ser>
          <c:idx val="3"/>
          <c:order val="3"/>
          <c:tx>
            <c:v>Pier #1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4"/>
            <c:spPr>
              <a:noFill/>
              <a:ln>
                <a:solidFill>
                  <a:srgbClr val="000000"/>
                </a:solidFill>
              </a:ln>
            </c:spPr>
          </c:marker>
          <c:xVal>
            <c:numRef>
              <c:f>'Piles (&lt;=25)(metric) (2)'!$C$41</c:f>
              <c:numCache/>
            </c:numRef>
          </c:xVal>
          <c:yVal>
            <c:numRef>
              <c:f>'Piles (&lt;=25)(metric) (2)'!$C$42</c:f>
              <c:numCache/>
            </c:numRef>
          </c:yVal>
          <c:smooth val="0"/>
        </c:ser>
        <c:ser>
          <c:idx val="4"/>
          <c:order val="4"/>
          <c:tx>
            <c:v>Pier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4"/>
            <c:spPr>
              <a:noFill/>
              <a:ln>
                <a:solidFill>
                  <a:srgbClr val="000000"/>
                </a:solidFill>
              </a:ln>
            </c:spPr>
          </c:marker>
          <c:xVal>
            <c:numRef>
              <c:f>'Piles (&lt;=25)(metric) (2)'!$D$41</c:f>
              <c:numCache/>
            </c:numRef>
          </c:xVal>
          <c:yVal>
            <c:numRef>
              <c:f>'Piles (&lt;=25)(metric) (2)'!$D$42</c:f>
              <c:numCache/>
            </c:numRef>
          </c:yVal>
          <c:smooth val="0"/>
        </c:ser>
        <c:ser>
          <c:idx val="5"/>
          <c:order val="5"/>
          <c:tx>
            <c:v>Pier #3</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4"/>
            <c:spPr>
              <a:noFill/>
              <a:ln>
                <a:solidFill>
                  <a:srgbClr val="000000"/>
                </a:solidFill>
              </a:ln>
            </c:spPr>
          </c:marker>
          <c:xVal>
            <c:numRef>
              <c:f>'Piles (&lt;=25)(metric) (2)'!$E$41</c:f>
              <c:numCache/>
            </c:numRef>
          </c:xVal>
          <c:yVal>
            <c:numRef>
              <c:f>'Piles (&lt;=25)(metric) (2)'!$E$42</c:f>
              <c:numCache/>
            </c:numRef>
          </c:yVal>
          <c:smooth val="0"/>
        </c:ser>
        <c:ser>
          <c:idx val="6"/>
          <c:order val="6"/>
          <c:tx>
            <c:v>Pier #4</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4"/>
            <c:spPr>
              <a:noFill/>
              <a:ln>
                <a:solidFill>
                  <a:srgbClr val="000000"/>
                </a:solidFill>
              </a:ln>
            </c:spPr>
          </c:marker>
          <c:xVal>
            <c:numRef>
              <c:f>'Piles (&lt;=25)(metric) (2)'!$F$41</c:f>
              <c:numCache/>
            </c:numRef>
          </c:xVal>
          <c:yVal>
            <c:numRef>
              <c:f>'Piles (&lt;=25)(metric) (2)'!$F$42</c:f>
              <c:numCache/>
            </c:numRef>
          </c:yVal>
          <c:smooth val="0"/>
        </c:ser>
        <c:axId val="61638198"/>
        <c:axId val="17872871"/>
      </c:scatterChart>
      <c:valAx>
        <c:axId val="61638198"/>
        <c:scaling>
          <c:orientation val="minMax"/>
        </c:scaling>
        <c:axPos val="b"/>
        <c:title>
          <c:tx>
            <c:rich>
              <a:bodyPr vert="horz" rot="0" anchor="ctr"/>
              <a:lstStyle/>
              <a:p>
                <a:pPr algn="ctr">
                  <a:defRPr/>
                </a:pPr>
                <a:r>
                  <a:rPr lang="en-US" cap="none" sz="800" b="1" i="0" u="none" baseline="0">
                    <a:solidFill>
                      <a:srgbClr val="000000"/>
                    </a:solidFill>
                  </a:rPr>
                  <a:t>X - AXIS (m)</a:t>
                </a:r>
              </a:p>
            </c:rich>
          </c:tx>
          <c:layout>
            <c:manualLayout>
              <c:xMode val="factor"/>
              <c:yMode val="factor"/>
              <c:x val="-0.0115"/>
              <c:y val="0.00475"/>
            </c:manualLayout>
          </c:layout>
          <c:overlay val="0"/>
          <c:spPr>
            <a:noFill/>
            <a:ln>
              <a:noFill/>
            </a:ln>
          </c:spPr>
        </c:title>
        <c:delete val="0"/>
        <c:numFmt formatCode="0.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17872871"/>
        <c:crosses val="autoZero"/>
        <c:crossBetween val="midCat"/>
        <c:dispUnits/>
      </c:valAx>
      <c:valAx>
        <c:axId val="17872871"/>
        <c:scaling>
          <c:orientation val="minMax"/>
        </c:scaling>
        <c:axPos val="l"/>
        <c:title>
          <c:tx>
            <c:rich>
              <a:bodyPr vert="horz" rot="-5400000" anchor="ctr"/>
              <a:lstStyle/>
              <a:p>
                <a:pPr algn="ctr">
                  <a:defRPr/>
                </a:pPr>
                <a:r>
                  <a:rPr lang="en-US" cap="none" sz="800" b="1" i="0" u="none" baseline="0">
                    <a:solidFill>
                      <a:srgbClr val="000000"/>
                    </a:solidFill>
                  </a:rPr>
                  <a:t>Y - AXIS (m)</a:t>
                </a:r>
              </a:p>
            </c:rich>
          </c:tx>
          <c:layout>
            <c:manualLayout>
              <c:xMode val="factor"/>
              <c:yMode val="factor"/>
              <c:x val="-0.01625"/>
              <c:y val="0"/>
            </c:manualLayout>
          </c:layout>
          <c:overlay val="0"/>
          <c:spPr>
            <a:noFill/>
            <a:ln>
              <a:noFill/>
            </a:ln>
          </c:spPr>
        </c:title>
        <c:delete val="0"/>
        <c:numFmt formatCode="0.0" sourceLinked="0"/>
        <c:majorTickMark val="out"/>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61638198"/>
        <c:crosses val="autoZero"/>
        <c:crossBetween val="midCat"/>
        <c:dispUnits/>
      </c:valAx>
      <c:spPr>
        <a:solidFill>
          <a:srgbClr val="FFFFFF"/>
        </a:solidFill>
        <a:ln w="12700">
          <a:solidFill>
            <a:srgbClr val="FFFFFF"/>
          </a:solidFill>
        </a:ln>
      </c:spPr>
    </c:plotArea>
    <c:plotVisOnly val="1"/>
    <c:dispBlanksAs val="gap"/>
    <c:showDLblsOverMax val="0"/>
  </c:chart>
  <c:spPr>
    <a:solidFill>
      <a:srgbClr val="FFFFFF"/>
    </a:solidFill>
    <a:ln w="3175">
      <a:noFill/>
    </a:ln>
  </c:spPr>
  <c:txPr>
    <a:bodyPr vert="horz" rot="0"/>
    <a:lstStyle/>
    <a:p>
      <a:pPr>
        <a:defRPr lang="en-US" cap="none" sz="4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6.wmf" /><Relationship Id="rId3" Type="http://schemas.openxmlformats.org/officeDocument/2006/relationships/image" Target="../media/image7.jpeg" /><Relationship Id="rId4" Type="http://schemas.openxmlformats.org/officeDocument/2006/relationships/image" Target="../media/image8.jpeg" /><Relationship Id="rId5" Type="http://schemas.openxmlformats.org/officeDocument/2006/relationships/image" Target="../media/image9.jpeg" /><Relationship Id="rId6" Type="http://schemas.openxmlformats.org/officeDocument/2006/relationships/image" Target="../media/image10.jpeg" /><Relationship Id="rId7" Type="http://schemas.openxmlformats.org/officeDocument/2006/relationships/image" Target="../media/image11.jpeg" /><Relationship Id="rId8" Type="http://schemas.openxmlformats.org/officeDocument/2006/relationships/image" Target="../media/image12.jpeg" /><Relationship Id="rId9" Type="http://schemas.openxmlformats.org/officeDocument/2006/relationships/image" Target="../media/image13.jpeg" /><Relationship Id="rId10" Type="http://schemas.openxmlformats.org/officeDocument/2006/relationships/image" Target="../media/image14.jpeg" /><Relationship Id="rId11" Type="http://schemas.openxmlformats.org/officeDocument/2006/relationships/image" Target="../media/image15.jpeg" /><Relationship Id="rId12" Type="http://schemas.openxmlformats.org/officeDocument/2006/relationships/image" Target="../media/image16.jpeg" /><Relationship Id="rId13" Type="http://schemas.openxmlformats.org/officeDocument/2006/relationships/image" Target="../media/image17.jpeg" /><Relationship Id="rId14" Type="http://schemas.openxmlformats.org/officeDocument/2006/relationships/image" Target="../media/image18.jpeg" /><Relationship Id="rId15" Type="http://schemas.openxmlformats.org/officeDocument/2006/relationships/image" Target="../media/image19.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361950</xdr:colOff>
      <xdr:row>35</xdr:row>
      <xdr:rowOff>66675</xdr:rowOff>
    </xdr:from>
    <xdr:to>
      <xdr:col>18</xdr:col>
      <xdr:colOff>9525</xdr:colOff>
      <xdr:row>39</xdr:row>
      <xdr:rowOff>95250</xdr:rowOff>
    </xdr:to>
    <xdr:sp>
      <xdr:nvSpPr>
        <xdr:cNvPr id="1" name="Rectangle 50595" descr="Light upward diagonal"/>
        <xdr:cNvSpPr>
          <a:spLocks/>
        </xdr:cNvSpPr>
      </xdr:nvSpPr>
      <xdr:spPr>
        <a:xfrm>
          <a:off x="6381750" y="5067300"/>
          <a:ext cx="762000" cy="60007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11</xdr:col>
      <xdr:colOff>314325</xdr:colOff>
      <xdr:row>132</xdr:row>
      <xdr:rowOff>0</xdr:rowOff>
    </xdr:from>
    <xdr:to>
      <xdr:col>12</xdr:col>
      <xdr:colOff>114300</xdr:colOff>
      <xdr:row>133</xdr:row>
      <xdr:rowOff>19050</xdr:rowOff>
    </xdr:to>
    <xdr:sp>
      <xdr:nvSpPr>
        <xdr:cNvPr id="2" name="Rectangle 214"/>
        <xdr:cNvSpPr>
          <a:spLocks/>
        </xdr:cNvSpPr>
      </xdr:nvSpPr>
      <xdr:spPr>
        <a:xfrm>
          <a:off x="4848225" y="18859500"/>
          <a:ext cx="171450" cy="161925"/>
        </a:xfrm>
        <a:prstGeom prst="rect">
          <a:avLst/>
        </a:prstGeom>
        <a:solidFill>
          <a:srgbClr val="FFFFFF"/>
        </a:solid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10</xdr:col>
      <xdr:colOff>171450</xdr:colOff>
      <xdr:row>104</xdr:row>
      <xdr:rowOff>85725</xdr:rowOff>
    </xdr:from>
    <xdr:to>
      <xdr:col>11</xdr:col>
      <xdr:colOff>219075</xdr:colOff>
      <xdr:row>107</xdr:row>
      <xdr:rowOff>57150</xdr:rowOff>
    </xdr:to>
    <xdr:sp>
      <xdr:nvSpPr>
        <xdr:cNvPr id="3" name="Rectangle 164"/>
        <xdr:cNvSpPr>
          <a:spLocks/>
        </xdr:cNvSpPr>
      </xdr:nvSpPr>
      <xdr:spPr>
        <a:xfrm>
          <a:off x="4333875" y="14944725"/>
          <a:ext cx="419100" cy="400050"/>
        </a:xfrm>
        <a:prstGeom prst="rect">
          <a:avLst/>
        </a:prstGeom>
        <a:solidFill>
          <a:srgbClr val="D9D9D9"/>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4</xdr:col>
      <xdr:colOff>247650</xdr:colOff>
      <xdr:row>100</xdr:row>
      <xdr:rowOff>133350</xdr:rowOff>
    </xdr:from>
    <xdr:to>
      <xdr:col>4</xdr:col>
      <xdr:colOff>247650</xdr:colOff>
      <xdr:row>110</xdr:row>
      <xdr:rowOff>133350</xdr:rowOff>
    </xdr:to>
    <xdr:sp>
      <xdr:nvSpPr>
        <xdr:cNvPr id="4" name="Straight Arrow Connector 178"/>
        <xdr:cNvSpPr>
          <a:spLocks/>
        </xdr:cNvSpPr>
      </xdr:nvSpPr>
      <xdr:spPr>
        <a:xfrm rot="5400000">
          <a:off x="2181225" y="14420850"/>
          <a:ext cx="0" cy="142875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5</xdr:col>
      <xdr:colOff>333375</xdr:colOff>
      <xdr:row>101</xdr:row>
      <xdr:rowOff>9525</xdr:rowOff>
    </xdr:from>
    <xdr:to>
      <xdr:col>5</xdr:col>
      <xdr:colOff>333375</xdr:colOff>
      <xdr:row>105</xdr:row>
      <xdr:rowOff>142875</xdr:rowOff>
    </xdr:to>
    <xdr:sp>
      <xdr:nvSpPr>
        <xdr:cNvPr id="5" name="Straight Arrow Connector 180"/>
        <xdr:cNvSpPr>
          <a:spLocks/>
        </xdr:cNvSpPr>
      </xdr:nvSpPr>
      <xdr:spPr>
        <a:xfrm rot="5400000">
          <a:off x="2638425" y="14439900"/>
          <a:ext cx="0" cy="70485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5</xdr:col>
      <xdr:colOff>333375</xdr:colOff>
      <xdr:row>105</xdr:row>
      <xdr:rowOff>133350</xdr:rowOff>
    </xdr:from>
    <xdr:to>
      <xdr:col>5</xdr:col>
      <xdr:colOff>333375</xdr:colOff>
      <xdr:row>111</xdr:row>
      <xdr:rowOff>9525</xdr:rowOff>
    </xdr:to>
    <xdr:sp>
      <xdr:nvSpPr>
        <xdr:cNvPr id="6" name="Straight Arrow Connector 184"/>
        <xdr:cNvSpPr>
          <a:spLocks/>
        </xdr:cNvSpPr>
      </xdr:nvSpPr>
      <xdr:spPr>
        <a:xfrm rot="5400000">
          <a:off x="2638425" y="15135225"/>
          <a:ext cx="0" cy="733425"/>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6</xdr:col>
      <xdr:colOff>361950</xdr:colOff>
      <xdr:row>131</xdr:row>
      <xdr:rowOff>9525</xdr:rowOff>
    </xdr:from>
    <xdr:to>
      <xdr:col>15</xdr:col>
      <xdr:colOff>9525</xdr:colOff>
      <xdr:row>142</xdr:row>
      <xdr:rowOff>0</xdr:rowOff>
    </xdr:to>
    <xdr:graphicFrame>
      <xdr:nvGraphicFramePr>
        <xdr:cNvPr id="7" name="Chart 96"/>
        <xdr:cNvGraphicFramePr/>
      </xdr:nvGraphicFramePr>
      <xdr:xfrm>
        <a:off x="3038475" y="18726150"/>
        <a:ext cx="2990850" cy="1562100"/>
      </xdr:xfrm>
      <a:graphic>
        <a:graphicData uri="http://schemas.openxmlformats.org/drawingml/2006/chart">
          <c:chart xmlns:c="http://schemas.openxmlformats.org/drawingml/2006/chart" r:id="rId1"/>
        </a:graphicData>
      </a:graphic>
    </xdr:graphicFrame>
    <xdr:clientData/>
  </xdr:twoCellAnchor>
  <xdr:twoCellAnchor>
    <xdr:from>
      <xdr:col>9</xdr:col>
      <xdr:colOff>247650</xdr:colOff>
      <xdr:row>142</xdr:row>
      <xdr:rowOff>0</xdr:rowOff>
    </xdr:from>
    <xdr:to>
      <xdr:col>12</xdr:col>
      <xdr:colOff>142875</xdr:colOff>
      <xdr:row>143</xdr:row>
      <xdr:rowOff>19050</xdr:rowOff>
    </xdr:to>
    <xdr:sp>
      <xdr:nvSpPr>
        <xdr:cNvPr id="8" name="Rectangle 98"/>
        <xdr:cNvSpPr>
          <a:spLocks/>
        </xdr:cNvSpPr>
      </xdr:nvSpPr>
      <xdr:spPr>
        <a:xfrm>
          <a:off x="4038600" y="20288250"/>
          <a:ext cx="1009650" cy="161925"/>
        </a:xfrm>
        <a:prstGeom prst="rect">
          <a:avLst/>
        </a:prstGeom>
        <a:blipFill>
          <a:blip r:embed="rId3"/>
          <a:srcRect/>
          <a:stretch>
            <a:fillRect/>
          </a:stretch>
        </a:blipFill>
        <a:ln w="3175" cmpd="sng">
          <a:noFill/>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7</xdr:col>
      <xdr:colOff>0</xdr:colOff>
      <xdr:row>142</xdr:row>
      <xdr:rowOff>9525</xdr:rowOff>
    </xdr:from>
    <xdr:to>
      <xdr:col>8</xdr:col>
      <xdr:colOff>171450</xdr:colOff>
      <xdr:row>143</xdr:row>
      <xdr:rowOff>9525</xdr:rowOff>
    </xdr:to>
    <xdr:sp>
      <xdr:nvSpPr>
        <xdr:cNvPr id="9" name="Rectangle 101"/>
        <xdr:cNvSpPr>
          <a:spLocks/>
        </xdr:cNvSpPr>
      </xdr:nvSpPr>
      <xdr:spPr>
        <a:xfrm>
          <a:off x="3048000" y="20297775"/>
          <a:ext cx="542925" cy="142875"/>
        </a:xfrm>
        <a:prstGeom prst="rect">
          <a:avLst/>
        </a:prstGeom>
        <a:blipFill>
          <a:blip r:embed="rId4"/>
          <a:srcRect/>
          <a:stretch>
            <a:fillRect/>
          </a:stretch>
        </a:blipFill>
        <a:ln w="3175" cmpd="sng">
          <a:noFill/>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9</xdr:col>
      <xdr:colOff>238125</xdr:colOff>
      <xdr:row>143</xdr:row>
      <xdr:rowOff>9525</xdr:rowOff>
    </xdr:from>
    <xdr:to>
      <xdr:col>12</xdr:col>
      <xdr:colOff>142875</xdr:colOff>
      <xdr:row>145</xdr:row>
      <xdr:rowOff>0</xdr:rowOff>
    </xdr:to>
    <xdr:sp>
      <xdr:nvSpPr>
        <xdr:cNvPr id="10" name="Rectangle 103"/>
        <xdr:cNvSpPr>
          <a:spLocks/>
        </xdr:cNvSpPr>
      </xdr:nvSpPr>
      <xdr:spPr>
        <a:xfrm>
          <a:off x="4029075" y="20440650"/>
          <a:ext cx="1019175" cy="276225"/>
        </a:xfrm>
        <a:prstGeom prst="rect">
          <a:avLst/>
        </a:prstGeom>
        <a:blipFill>
          <a:blip r:embed="rId5"/>
          <a:srcRect/>
          <a:stretch>
            <a:fillRect/>
          </a:stretch>
        </a:blipFill>
        <a:ln w="3175" cmpd="sng">
          <a:noFill/>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7</xdr:col>
      <xdr:colOff>0</xdr:colOff>
      <xdr:row>143</xdr:row>
      <xdr:rowOff>9525</xdr:rowOff>
    </xdr:from>
    <xdr:to>
      <xdr:col>8</xdr:col>
      <xdr:colOff>171450</xdr:colOff>
      <xdr:row>144</xdr:row>
      <xdr:rowOff>133350</xdr:rowOff>
    </xdr:to>
    <xdr:sp>
      <xdr:nvSpPr>
        <xdr:cNvPr id="11" name="Rectangle 105"/>
        <xdr:cNvSpPr>
          <a:spLocks/>
        </xdr:cNvSpPr>
      </xdr:nvSpPr>
      <xdr:spPr>
        <a:xfrm>
          <a:off x="3048000" y="20440650"/>
          <a:ext cx="542925" cy="266700"/>
        </a:xfrm>
        <a:prstGeom prst="rect">
          <a:avLst/>
        </a:prstGeom>
        <a:blipFill>
          <a:blip r:embed="rId6"/>
          <a:srcRect/>
          <a:stretch>
            <a:fillRect/>
          </a:stretch>
        </a:blipFill>
        <a:ln w="3175" cmpd="sng">
          <a:noFill/>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10</xdr:col>
      <xdr:colOff>171450</xdr:colOff>
      <xdr:row>119</xdr:row>
      <xdr:rowOff>0</xdr:rowOff>
    </xdr:from>
    <xdr:to>
      <xdr:col>11</xdr:col>
      <xdr:colOff>219075</xdr:colOff>
      <xdr:row>131</xdr:row>
      <xdr:rowOff>9525</xdr:rowOff>
    </xdr:to>
    <xdr:sp>
      <xdr:nvSpPr>
        <xdr:cNvPr id="12" name="Rectangle 106"/>
        <xdr:cNvSpPr>
          <a:spLocks/>
        </xdr:cNvSpPr>
      </xdr:nvSpPr>
      <xdr:spPr>
        <a:xfrm>
          <a:off x="4333875" y="17002125"/>
          <a:ext cx="419100" cy="1724025"/>
        </a:xfrm>
        <a:prstGeom prst="rect">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8</xdr:col>
      <xdr:colOff>304800</xdr:colOff>
      <xdr:row>131</xdr:row>
      <xdr:rowOff>76200</xdr:rowOff>
    </xdr:from>
    <xdr:to>
      <xdr:col>9</xdr:col>
      <xdr:colOff>219075</xdr:colOff>
      <xdr:row>132</xdr:row>
      <xdr:rowOff>114300</xdr:rowOff>
    </xdr:to>
    <xdr:sp>
      <xdr:nvSpPr>
        <xdr:cNvPr id="13" name="Rectangle 108"/>
        <xdr:cNvSpPr>
          <a:spLocks/>
        </xdr:cNvSpPr>
      </xdr:nvSpPr>
      <xdr:spPr>
        <a:xfrm>
          <a:off x="3724275" y="18792825"/>
          <a:ext cx="285750" cy="180975"/>
        </a:xfrm>
        <a:prstGeom prst="rect">
          <a:avLst/>
        </a:prstGeom>
        <a:solidFill>
          <a:srgbClr val="FFFFFF"/>
        </a:solidFill>
        <a:ln w="19050" cmpd="sng">
          <a:noFill/>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10</xdr:col>
      <xdr:colOff>161925</xdr:colOff>
      <xdr:row>131</xdr:row>
      <xdr:rowOff>104775</xdr:rowOff>
    </xdr:from>
    <xdr:to>
      <xdr:col>11</xdr:col>
      <xdr:colOff>76200</xdr:colOff>
      <xdr:row>133</xdr:row>
      <xdr:rowOff>0</xdr:rowOff>
    </xdr:to>
    <xdr:sp>
      <xdr:nvSpPr>
        <xdr:cNvPr id="14" name="Rectangle 109"/>
        <xdr:cNvSpPr>
          <a:spLocks/>
        </xdr:cNvSpPr>
      </xdr:nvSpPr>
      <xdr:spPr>
        <a:xfrm>
          <a:off x="4324350" y="18821400"/>
          <a:ext cx="285750" cy="180975"/>
        </a:xfrm>
        <a:prstGeom prst="rect">
          <a:avLst/>
        </a:prstGeom>
        <a:solidFill>
          <a:srgbClr val="FFFFFF"/>
        </a:solidFill>
        <a:ln w="19050" cmpd="sng">
          <a:noFill/>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6</xdr:col>
      <xdr:colOff>361950</xdr:colOff>
      <xdr:row>120</xdr:row>
      <xdr:rowOff>9525</xdr:rowOff>
    </xdr:from>
    <xdr:to>
      <xdr:col>10</xdr:col>
      <xdr:colOff>161925</xdr:colOff>
      <xdr:row>122</xdr:row>
      <xdr:rowOff>0</xdr:rowOff>
    </xdr:to>
    <xdr:sp>
      <xdr:nvSpPr>
        <xdr:cNvPr id="15" name="Rectangle 110"/>
        <xdr:cNvSpPr>
          <a:spLocks/>
        </xdr:cNvSpPr>
      </xdr:nvSpPr>
      <xdr:spPr>
        <a:xfrm>
          <a:off x="3038475" y="17154525"/>
          <a:ext cx="1285875" cy="276225"/>
        </a:xfrm>
        <a:prstGeom prst="rect">
          <a:avLst/>
        </a:prstGeom>
        <a:blipFill>
          <a:blip r:embed="rId7"/>
          <a:srcRect/>
          <a:stretch>
            <a:fillRect/>
          </a:stretch>
        </a:blipFill>
        <a:ln w="3175" cmpd="sng">
          <a:noFill/>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11</xdr:col>
      <xdr:colOff>228600</xdr:colOff>
      <xdr:row>120</xdr:row>
      <xdr:rowOff>9525</xdr:rowOff>
    </xdr:from>
    <xdr:to>
      <xdr:col>15</xdr:col>
      <xdr:colOff>9525</xdr:colOff>
      <xdr:row>122</xdr:row>
      <xdr:rowOff>0</xdr:rowOff>
    </xdr:to>
    <xdr:sp>
      <xdr:nvSpPr>
        <xdr:cNvPr id="16" name="Rectangle 111"/>
        <xdr:cNvSpPr>
          <a:spLocks/>
        </xdr:cNvSpPr>
      </xdr:nvSpPr>
      <xdr:spPr>
        <a:xfrm>
          <a:off x="4762500" y="17154525"/>
          <a:ext cx="1266825" cy="276225"/>
        </a:xfrm>
        <a:prstGeom prst="rect">
          <a:avLst/>
        </a:prstGeom>
        <a:blipFill>
          <a:blip r:embed="rId8"/>
          <a:srcRect/>
          <a:stretch>
            <a:fillRect/>
          </a:stretch>
        </a:blipFill>
        <a:ln w="3175" cmpd="sng">
          <a:noFill/>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10</xdr:col>
      <xdr:colOff>190500</xdr:colOff>
      <xdr:row>119</xdr:row>
      <xdr:rowOff>114300</xdr:rowOff>
    </xdr:from>
    <xdr:to>
      <xdr:col>11</xdr:col>
      <xdr:colOff>200025</xdr:colOff>
      <xdr:row>120</xdr:row>
      <xdr:rowOff>9525</xdr:rowOff>
    </xdr:to>
    <xdr:grpSp>
      <xdr:nvGrpSpPr>
        <xdr:cNvPr id="17" name="Group 141"/>
        <xdr:cNvGrpSpPr>
          <a:grpSpLocks/>
        </xdr:cNvGrpSpPr>
      </xdr:nvGrpSpPr>
      <xdr:grpSpPr>
        <a:xfrm>
          <a:off x="4352925" y="17116425"/>
          <a:ext cx="381000" cy="38100"/>
          <a:chOff x="6093325" y="19250291"/>
          <a:chExt cx="455205" cy="45721"/>
        </a:xfrm>
        <a:solidFill>
          <a:srgbClr val="FFFFFF"/>
        </a:solidFill>
      </xdr:grpSpPr>
      <xdr:sp>
        <xdr:nvSpPr>
          <xdr:cNvPr id="18" name="Straight Connector 142"/>
          <xdr:cNvSpPr>
            <a:spLocks/>
          </xdr:cNvSpPr>
        </xdr:nvSpPr>
        <xdr:spPr>
          <a:xfrm>
            <a:off x="6127465" y="19261721"/>
            <a:ext cx="375544" cy="0"/>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9" name="Oval 143"/>
          <xdr:cNvSpPr>
            <a:spLocks/>
          </xdr:cNvSpPr>
        </xdr:nvSpPr>
        <xdr:spPr>
          <a:xfrm>
            <a:off x="6503010"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0" name="Oval 144"/>
          <xdr:cNvSpPr>
            <a:spLocks/>
          </xdr:cNvSpPr>
        </xdr:nvSpPr>
        <xdr:spPr>
          <a:xfrm>
            <a:off x="6093325"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7</xdr:col>
      <xdr:colOff>0</xdr:colOff>
      <xdr:row>144</xdr:row>
      <xdr:rowOff>133350</xdr:rowOff>
    </xdr:from>
    <xdr:to>
      <xdr:col>8</xdr:col>
      <xdr:colOff>171450</xdr:colOff>
      <xdr:row>147</xdr:row>
      <xdr:rowOff>0</xdr:rowOff>
    </xdr:to>
    <xdr:sp>
      <xdr:nvSpPr>
        <xdr:cNvPr id="21" name="Rectangle 157"/>
        <xdr:cNvSpPr>
          <a:spLocks/>
        </xdr:cNvSpPr>
      </xdr:nvSpPr>
      <xdr:spPr>
        <a:xfrm>
          <a:off x="3048000" y="20707350"/>
          <a:ext cx="542925" cy="295275"/>
        </a:xfrm>
        <a:prstGeom prst="rect">
          <a:avLst/>
        </a:prstGeom>
        <a:blipFill>
          <a:blip r:embed="rId9"/>
          <a:srcRect/>
          <a:stretch>
            <a:fillRect/>
          </a:stretch>
        </a:blipFill>
        <a:ln w="3175" cmpd="sng">
          <a:noFill/>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9</xdr:col>
      <xdr:colOff>247650</xdr:colOff>
      <xdr:row>145</xdr:row>
      <xdr:rowOff>0</xdr:rowOff>
    </xdr:from>
    <xdr:to>
      <xdr:col>12</xdr:col>
      <xdr:colOff>142875</xdr:colOff>
      <xdr:row>147</xdr:row>
      <xdr:rowOff>0</xdr:rowOff>
    </xdr:to>
    <xdr:sp>
      <xdr:nvSpPr>
        <xdr:cNvPr id="22" name="Rectangle 158"/>
        <xdr:cNvSpPr>
          <a:spLocks/>
        </xdr:cNvSpPr>
      </xdr:nvSpPr>
      <xdr:spPr>
        <a:xfrm>
          <a:off x="4038600" y="20716875"/>
          <a:ext cx="1009650" cy="285750"/>
        </a:xfrm>
        <a:prstGeom prst="rect">
          <a:avLst/>
        </a:prstGeom>
        <a:blipFill>
          <a:blip r:embed="rId10"/>
          <a:srcRect/>
          <a:stretch>
            <a:fillRect/>
          </a:stretch>
        </a:blipFill>
        <a:ln w="3175" cmpd="sng">
          <a:noFill/>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4</xdr:col>
      <xdr:colOff>180975</xdr:colOff>
      <xdr:row>131</xdr:row>
      <xdr:rowOff>0</xdr:rowOff>
    </xdr:from>
    <xdr:to>
      <xdr:col>4</xdr:col>
      <xdr:colOff>180975</xdr:colOff>
      <xdr:row>142</xdr:row>
      <xdr:rowOff>9525</xdr:rowOff>
    </xdr:to>
    <xdr:sp>
      <xdr:nvSpPr>
        <xdr:cNvPr id="23" name="Straight Arrow Connector 160"/>
        <xdr:cNvSpPr>
          <a:spLocks/>
        </xdr:cNvSpPr>
      </xdr:nvSpPr>
      <xdr:spPr>
        <a:xfrm rot="5400000">
          <a:off x="2114550" y="18716625"/>
          <a:ext cx="0" cy="158115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7</xdr:col>
      <xdr:colOff>238125</xdr:colOff>
      <xdr:row>118</xdr:row>
      <xdr:rowOff>133350</xdr:rowOff>
    </xdr:from>
    <xdr:to>
      <xdr:col>8</xdr:col>
      <xdr:colOff>28575</xdr:colOff>
      <xdr:row>119</xdr:row>
      <xdr:rowOff>133350</xdr:rowOff>
    </xdr:to>
    <xdr:sp>
      <xdr:nvSpPr>
        <xdr:cNvPr id="24" name="Isosceles Triangle 162"/>
        <xdr:cNvSpPr>
          <a:spLocks/>
        </xdr:cNvSpPr>
      </xdr:nvSpPr>
      <xdr:spPr>
        <a:xfrm flipH="1" flipV="1">
          <a:off x="3286125" y="16992600"/>
          <a:ext cx="161925" cy="142875"/>
        </a:xfrm>
        <a:prstGeom prst="triangl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14</xdr:col>
      <xdr:colOff>76200</xdr:colOff>
      <xdr:row>140</xdr:row>
      <xdr:rowOff>47625</xdr:rowOff>
    </xdr:from>
    <xdr:to>
      <xdr:col>14</xdr:col>
      <xdr:colOff>247650</xdr:colOff>
      <xdr:row>141</xdr:row>
      <xdr:rowOff>85725</xdr:rowOff>
    </xdr:to>
    <xdr:sp>
      <xdr:nvSpPr>
        <xdr:cNvPr id="25" name="Oval 194"/>
        <xdr:cNvSpPr>
          <a:spLocks/>
        </xdr:cNvSpPr>
      </xdr:nvSpPr>
      <xdr:spPr>
        <a:xfrm>
          <a:off x="5724525" y="20050125"/>
          <a:ext cx="171450" cy="180975"/>
        </a:xfrm>
        <a:prstGeom prst="ellips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8</xdr:col>
      <xdr:colOff>95250</xdr:colOff>
      <xdr:row>150</xdr:row>
      <xdr:rowOff>85725</xdr:rowOff>
    </xdr:from>
    <xdr:to>
      <xdr:col>10</xdr:col>
      <xdr:colOff>38100</xdr:colOff>
      <xdr:row>151</xdr:row>
      <xdr:rowOff>28575</xdr:rowOff>
    </xdr:to>
    <xdr:sp>
      <xdr:nvSpPr>
        <xdr:cNvPr id="26" name="Rectangle 207"/>
        <xdr:cNvSpPr>
          <a:spLocks/>
        </xdr:cNvSpPr>
      </xdr:nvSpPr>
      <xdr:spPr>
        <a:xfrm>
          <a:off x="3514725" y="21516975"/>
          <a:ext cx="685800" cy="85725"/>
        </a:xfrm>
        <a:prstGeom prst="rect">
          <a:avLst/>
        </a:prstGeom>
        <a:solidFill>
          <a:srgbClr val="FFFFFF"/>
        </a:solidFill>
        <a:ln w="25400" cmpd="sng">
          <a:solidFill>
            <a:srgbClr val="FFFF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8</xdr:col>
      <xdr:colOff>171450</xdr:colOff>
      <xdr:row>137</xdr:row>
      <xdr:rowOff>95250</xdr:rowOff>
    </xdr:from>
    <xdr:to>
      <xdr:col>10</xdr:col>
      <xdr:colOff>361950</xdr:colOff>
      <xdr:row>151</xdr:row>
      <xdr:rowOff>114300</xdr:rowOff>
    </xdr:to>
    <xdr:grpSp>
      <xdr:nvGrpSpPr>
        <xdr:cNvPr id="27" name="Group 50451"/>
        <xdr:cNvGrpSpPr>
          <a:grpSpLocks/>
        </xdr:cNvGrpSpPr>
      </xdr:nvGrpSpPr>
      <xdr:grpSpPr>
        <a:xfrm>
          <a:off x="3590925" y="19669125"/>
          <a:ext cx="933450" cy="2019300"/>
          <a:chOff x="377" y="2053"/>
          <a:chExt cx="99" cy="212"/>
        </a:xfrm>
        <a:solidFill>
          <a:srgbClr val="FFFFFF"/>
        </a:solidFill>
      </xdr:grpSpPr>
      <xdr:sp>
        <xdr:nvSpPr>
          <xdr:cNvPr id="28" name="Rectangle 96"/>
          <xdr:cNvSpPr>
            <a:spLocks/>
          </xdr:cNvSpPr>
        </xdr:nvSpPr>
        <xdr:spPr>
          <a:xfrm>
            <a:off x="377" y="2112"/>
            <a:ext cx="47" cy="153"/>
          </a:xfrm>
          <a:prstGeom prst="rect">
            <a:avLst/>
          </a:prstGeom>
          <a:solidFill>
            <a:srgbClr val="595959"/>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9" name="Straight Connector 209"/>
          <xdr:cNvSpPr>
            <a:spLocks/>
          </xdr:cNvSpPr>
        </xdr:nvSpPr>
        <xdr:spPr>
          <a:xfrm rot="5400000">
            <a:off x="325" y="2115"/>
            <a:ext cx="122" cy="0"/>
          </a:xfrm>
          <a:prstGeom prst="line">
            <a:avLst/>
          </a:prstGeom>
          <a:noFill/>
          <a:ln w="12700"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30" name="Straight Connector 211"/>
          <xdr:cNvSpPr>
            <a:spLocks/>
          </xdr:cNvSpPr>
        </xdr:nvSpPr>
        <xdr:spPr>
          <a:xfrm rot="5400000">
            <a:off x="354" y="2114"/>
            <a:ext cx="123" cy="0"/>
          </a:xfrm>
          <a:prstGeom prst="line">
            <a:avLst/>
          </a:prstGeom>
          <a:noFill/>
          <a:ln w="12700"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9</xdr:col>
      <xdr:colOff>266700</xdr:colOff>
      <xdr:row>132</xdr:row>
      <xdr:rowOff>19050</xdr:rowOff>
    </xdr:from>
    <xdr:to>
      <xdr:col>10</xdr:col>
      <xdr:colOff>57150</xdr:colOff>
      <xdr:row>133</xdr:row>
      <xdr:rowOff>38100</xdr:rowOff>
    </xdr:to>
    <xdr:sp>
      <xdr:nvSpPr>
        <xdr:cNvPr id="31" name="Rectangle 213"/>
        <xdr:cNvSpPr>
          <a:spLocks/>
        </xdr:cNvSpPr>
      </xdr:nvSpPr>
      <xdr:spPr>
        <a:xfrm>
          <a:off x="4057650" y="18878550"/>
          <a:ext cx="161925" cy="161925"/>
        </a:xfrm>
        <a:prstGeom prst="rect">
          <a:avLst/>
        </a:prstGeom>
        <a:solidFill>
          <a:srgbClr val="FFFFFF"/>
        </a:solid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8</xdr:col>
      <xdr:colOff>228600</xdr:colOff>
      <xdr:row>132</xdr:row>
      <xdr:rowOff>28575</xdr:rowOff>
    </xdr:from>
    <xdr:to>
      <xdr:col>9</xdr:col>
      <xdr:colOff>28575</xdr:colOff>
      <xdr:row>133</xdr:row>
      <xdr:rowOff>38100</xdr:rowOff>
    </xdr:to>
    <xdr:sp>
      <xdr:nvSpPr>
        <xdr:cNvPr id="32" name="Rectangle 215"/>
        <xdr:cNvSpPr>
          <a:spLocks/>
        </xdr:cNvSpPr>
      </xdr:nvSpPr>
      <xdr:spPr>
        <a:xfrm>
          <a:off x="3648075" y="18888075"/>
          <a:ext cx="171450" cy="152400"/>
        </a:xfrm>
        <a:prstGeom prst="rect">
          <a:avLst/>
        </a:prstGeom>
        <a:solidFill>
          <a:srgbClr val="FFFFFF"/>
        </a:solid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7</xdr:col>
      <xdr:colOff>9525</xdr:colOff>
      <xdr:row>97</xdr:row>
      <xdr:rowOff>0</xdr:rowOff>
    </xdr:from>
    <xdr:to>
      <xdr:col>15</xdr:col>
      <xdr:colOff>0</xdr:colOff>
      <xdr:row>97</xdr:row>
      <xdr:rowOff>0</xdr:rowOff>
    </xdr:to>
    <xdr:sp>
      <xdr:nvSpPr>
        <xdr:cNvPr id="33" name="Line 50346"/>
        <xdr:cNvSpPr>
          <a:spLocks/>
        </xdr:cNvSpPr>
      </xdr:nvSpPr>
      <xdr:spPr>
        <a:xfrm>
          <a:off x="3057525" y="13858875"/>
          <a:ext cx="296227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8</xdr:col>
      <xdr:colOff>247650</xdr:colOff>
      <xdr:row>105</xdr:row>
      <xdr:rowOff>47625</xdr:rowOff>
    </xdr:from>
    <xdr:to>
      <xdr:col>9</xdr:col>
      <xdr:colOff>133350</xdr:colOff>
      <xdr:row>106</xdr:row>
      <xdr:rowOff>114300</xdr:rowOff>
    </xdr:to>
    <xdr:grpSp>
      <xdr:nvGrpSpPr>
        <xdr:cNvPr id="34" name="Group 170"/>
        <xdr:cNvGrpSpPr>
          <a:grpSpLocks/>
        </xdr:cNvGrpSpPr>
      </xdr:nvGrpSpPr>
      <xdr:grpSpPr>
        <a:xfrm>
          <a:off x="3667125" y="15049500"/>
          <a:ext cx="257175" cy="209550"/>
          <a:chOff x="5885089" y="16008804"/>
          <a:chExt cx="326572" cy="285750"/>
        </a:xfrm>
        <a:solidFill>
          <a:srgbClr val="FFFFFF"/>
        </a:solidFill>
      </xdr:grpSpPr>
      <xdr:sp>
        <xdr:nvSpPr>
          <xdr:cNvPr id="35" name="Straight Connector 167"/>
          <xdr:cNvSpPr>
            <a:spLocks/>
          </xdr:cNvSpPr>
        </xdr:nvSpPr>
        <xdr:spPr>
          <a:xfrm rot="5400000">
            <a:off x="5911541" y="16151679"/>
            <a:ext cx="285751"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36" name="Straight Connector 168"/>
          <xdr:cNvSpPr>
            <a:spLocks/>
          </xdr:cNvSpPr>
        </xdr:nvSpPr>
        <xdr:spPr>
          <a:xfrm>
            <a:off x="5885089" y="16138677"/>
            <a:ext cx="32657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12</xdr:col>
      <xdr:colOff>238125</xdr:colOff>
      <xdr:row>105</xdr:row>
      <xdr:rowOff>47625</xdr:rowOff>
    </xdr:from>
    <xdr:to>
      <xdr:col>13</xdr:col>
      <xdr:colOff>123825</xdr:colOff>
      <xdr:row>106</xdr:row>
      <xdr:rowOff>114300</xdr:rowOff>
    </xdr:to>
    <xdr:grpSp>
      <xdr:nvGrpSpPr>
        <xdr:cNvPr id="37" name="Group 170"/>
        <xdr:cNvGrpSpPr>
          <a:grpSpLocks/>
        </xdr:cNvGrpSpPr>
      </xdr:nvGrpSpPr>
      <xdr:grpSpPr>
        <a:xfrm>
          <a:off x="5143500" y="15049500"/>
          <a:ext cx="257175" cy="209550"/>
          <a:chOff x="5885089" y="16008804"/>
          <a:chExt cx="326572" cy="285750"/>
        </a:xfrm>
        <a:solidFill>
          <a:srgbClr val="FFFFFF"/>
        </a:solidFill>
      </xdr:grpSpPr>
      <xdr:sp>
        <xdr:nvSpPr>
          <xdr:cNvPr id="38" name="Straight Connector 167"/>
          <xdr:cNvSpPr>
            <a:spLocks/>
          </xdr:cNvSpPr>
        </xdr:nvSpPr>
        <xdr:spPr>
          <a:xfrm rot="5400000">
            <a:off x="5911541" y="16151679"/>
            <a:ext cx="285751"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39" name="Straight Connector 168"/>
          <xdr:cNvSpPr>
            <a:spLocks/>
          </xdr:cNvSpPr>
        </xdr:nvSpPr>
        <xdr:spPr>
          <a:xfrm>
            <a:off x="5885089" y="16138677"/>
            <a:ext cx="32657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6</xdr:col>
      <xdr:colOff>361950</xdr:colOff>
      <xdr:row>99</xdr:row>
      <xdr:rowOff>0</xdr:rowOff>
    </xdr:from>
    <xdr:to>
      <xdr:col>8</xdr:col>
      <xdr:colOff>361950</xdr:colOff>
      <xdr:row>99</xdr:row>
      <xdr:rowOff>0</xdr:rowOff>
    </xdr:to>
    <xdr:sp>
      <xdr:nvSpPr>
        <xdr:cNvPr id="40" name="Line 50353"/>
        <xdr:cNvSpPr>
          <a:spLocks/>
        </xdr:cNvSpPr>
      </xdr:nvSpPr>
      <xdr:spPr>
        <a:xfrm>
          <a:off x="3038475" y="14144625"/>
          <a:ext cx="74295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9</xdr:col>
      <xdr:colOff>9525</xdr:colOff>
      <xdr:row>99</xdr:row>
      <xdr:rowOff>0</xdr:rowOff>
    </xdr:from>
    <xdr:to>
      <xdr:col>13</xdr:col>
      <xdr:colOff>0</xdr:colOff>
      <xdr:row>99</xdr:row>
      <xdr:rowOff>0</xdr:rowOff>
    </xdr:to>
    <xdr:sp>
      <xdr:nvSpPr>
        <xdr:cNvPr id="41" name="Line 50354"/>
        <xdr:cNvSpPr>
          <a:spLocks/>
        </xdr:cNvSpPr>
      </xdr:nvSpPr>
      <xdr:spPr>
        <a:xfrm>
          <a:off x="3800475" y="14144625"/>
          <a:ext cx="147637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20</xdr:col>
      <xdr:colOff>66675</xdr:colOff>
      <xdr:row>213</xdr:row>
      <xdr:rowOff>0</xdr:rowOff>
    </xdr:from>
    <xdr:to>
      <xdr:col>22</xdr:col>
      <xdr:colOff>66675</xdr:colOff>
      <xdr:row>213</xdr:row>
      <xdr:rowOff>0</xdr:rowOff>
    </xdr:to>
    <xdr:sp>
      <xdr:nvSpPr>
        <xdr:cNvPr id="42" name="Line 50355"/>
        <xdr:cNvSpPr>
          <a:spLocks/>
        </xdr:cNvSpPr>
      </xdr:nvSpPr>
      <xdr:spPr>
        <a:xfrm>
          <a:off x="7943850" y="30432375"/>
          <a:ext cx="74295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23</xdr:col>
      <xdr:colOff>152400</xdr:colOff>
      <xdr:row>212</xdr:row>
      <xdr:rowOff>0</xdr:rowOff>
    </xdr:from>
    <xdr:to>
      <xdr:col>25</xdr:col>
      <xdr:colOff>266700</xdr:colOff>
      <xdr:row>212</xdr:row>
      <xdr:rowOff>0</xdr:rowOff>
    </xdr:to>
    <xdr:sp>
      <xdr:nvSpPr>
        <xdr:cNvPr id="43" name="Line 50357"/>
        <xdr:cNvSpPr>
          <a:spLocks/>
        </xdr:cNvSpPr>
      </xdr:nvSpPr>
      <xdr:spPr>
        <a:xfrm>
          <a:off x="9086850" y="30289500"/>
          <a:ext cx="74295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25</xdr:col>
      <xdr:colOff>276225</xdr:colOff>
      <xdr:row>212</xdr:row>
      <xdr:rowOff>0</xdr:rowOff>
    </xdr:from>
    <xdr:to>
      <xdr:col>27</xdr:col>
      <xdr:colOff>219075</xdr:colOff>
      <xdr:row>212</xdr:row>
      <xdr:rowOff>0</xdr:rowOff>
    </xdr:to>
    <xdr:sp>
      <xdr:nvSpPr>
        <xdr:cNvPr id="44" name="Line 50358"/>
        <xdr:cNvSpPr>
          <a:spLocks/>
        </xdr:cNvSpPr>
      </xdr:nvSpPr>
      <xdr:spPr>
        <a:xfrm>
          <a:off x="9839325" y="30289500"/>
          <a:ext cx="74295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27</xdr:col>
      <xdr:colOff>219075</xdr:colOff>
      <xdr:row>216</xdr:row>
      <xdr:rowOff>0</xdr:rowOff>
    </xdr:from>
    <xdr:to>
      <xdr:col>29</xdr:col>
      <xdr:colOff>161925</xdr:colOff>
      <xdr:row>216</xdr:row>
      <xdr:rowOff>0</xdr:rowOff>
    </xdr:to>
    <xdr:sp>
      <xdr:nvSpPr>
        <xdr:cNvPr id="45" name="Line 50359"/>
        <xdr:cNvSpPr>
          <a:spLocks/>
        </xdr:cNvSpPr>
      </xdr:nvSpPr>
      <xdr:spPr>
        <a:xfrm>
          <a:off x="10582275" y="30861000"/>
          <a:ext cx="74295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28</xdr:col>
      <xdr:colOff>190500</xdr:colOff>
      <xdr:row>212</xdr:row>
      <xdr:rowOff>0</xdr:rowOff>
    </xdr:from>
    <xdr:to>
      <xdr:col>30</xdr:col>
      <xdr:colOff>133350</xdr:colOff>
      <xdr:row>212</xdr:row>
      <xdr:rowOff>0</xdr:rowOff>
    </xdr:to>
    <xdr:sp>
      <xdr:nvSpPr>
        <xdr:cNvPr id="46" name="Line 50360"/>
        <xdr:cNvSpPr>
          <a:spLocks/>
        </xdr:cNvSpPr>
      </xdr:nvSpPr>
      <xdr:spPr>
        <a:xfrm>
          <a:off x="10953750" y="30289500"/>
          <a:ext cx="74295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13</xdr:col>
      <xdr:colOff>9525</xdr:colOff>
      <xdr:row>99</xdr:row>
      <xdr:rowOff>0</xdr:rowOff>
    </xdr:from>
    <xdr:to>
      <xdr:col>15</xdr:col>
      <xdr:colOff>0</xdr:colOff>
      <xdr:row>99</xdr:row>
      <xdr:rowOff>0</xdr:rowOff>
    </xdr:to>
    <xdr:sp>
      <xdr:nvSpPr>
        <xdr:cNvPr id="47" name="Line 50361"/>
        <xdr:cNvSpPr>
          <a:spLocks/>
        </xdr:cNvSpPr>
      </xdr:nvSpPr>
      <xdr:spPr>
        <a:xfrm>
          <a:off x="5286375" y="14144625"/>
          <a:ext cx="73342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4</xdr:col>
      <xdr:colOff>180975</xdr:colOff>
      <xdr:row>142</xdr:row>
      <xdr:rowOff>9525</xdr:rowOff>
    </xdr:from>
    <xdr:to>
      <xdr:col>4</xdr:col>
      <xdr:colOff>180975</xdr:colOff>
      <xdr:row>142</xdr:row>
      <xdr:rowOff>133350</xdr:rowOff>
    </xdr:to>
    <xdr:sp>
      <xdr:nvSpPr>
        <xdr:cNvPr id="48" name="Line 50362"/>
        <xdr:cNvSpPr>
          <a:spLocks/>
        </xdr:cNvSpPr>
      </xdr:nvSpPr>
      <xdr:spPr>
        <a:xfrm>
          <a:off x="2114550" y="20297775"/>
          <a:ext cx="0" cy="12382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4</xdr:col>
      <xdr:colOff>180975</xdr:colOff>
      <xdr:row>143</xdr:row>
      <xdr:rowOff>9525</xdr:rowOff>
    </xdr:from>
    <xdr:to>
      <xdr:col>4</xdr:col>
      <xdr:colOff>180975</xdr:colOff>
      <xdr:row>145</xdr:row>
      <xdr:rowOff>0</xdr:rowOff>
    </xdr:to>
    <xdr:sp>
      <xdr:nvSpPr>
        <xdr:cNvPr id="49" name="Line 50363"/>
        <xdr:cNvSpPr>
          <a:spLocks/>
        </xdr:cNvSpPr>
      </xdr:nvSpPr>
      <xdr:spPr>
        <a:xfrm>
          <a:off x="2114550" y="20440650"/>
          <a:ext cx="0" cy="27622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16</xdr:col>
      <xdr:colOff>228600</xdr:colOff>
      <xdr:row>23</xdr:row>
      <xdr:rowOff>95250</xdr:rowOff>
    </xdr:from>
    <xdr:to>
      <xdr:col>17</xdr:col>
      <xdr:colOff>142875</xdr:colOff>
      <xdr:row>25</xdr:row>
      <xdr:rowOff>85725</xdr:rowOff>
    </xdr:to>
    <xdr:sp>
      <xdr:nvSpPr>
        <xdr:cNvPr id="50" name="Rectangle 164"/>
        <xdr:cNvSpPr>
          <a:spLocks/>
        </xdr:cNvSpPr>
      </xdr:nvSpPr>
      <xdr:spPr>
        <a:xfrm>
          <a:off x="6619875" y="3381375"/>
          <a:ext cx="285750" cy="276225"/>
        </a:xfrm>
        <a:prstGeom prst="rect">
          <a:avLst/>
        </a:prstGeom>
        <a:solidFill>
          <a:srgbClr val="D9D9D9"/>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15</xdr:col>
      <xdr:colOff>0</xdr:colOff>
      <xdr:row>24</xdr:row>
      <xdr:rowOff>0</xdr:rowOff>
    </xdr:from>
    <xdr:to>
      <xdr:col>15</xdr:col>
      <xdr:colOff>228600</xdr:colOff>
      <xdr:row>25</xdr:row>
      <xdr:rowOff>28575</xdr:rowOff>
    </xdr:to>
    <xdr:grpSp>
      <xdr:nvGrpSpPr>
        <xdr:cNvPr id="51" name="Group 170"/>
        <xdr:cNvGrpSpPr>
          <a:grpSpLocks/>
        </xdr:cNvGrpSpPr>
      </xdr:nvGrpSpPr>
      <xdr:grpSpPr>
        <a:xfrm>
          <a:off x="6019800" y="3429000"/>
          <a:ext cx="228600" cy="171450"/>
          <a:chOff x="5885089" y="16008804"/>
          <a:chExt cx="326572" cy="285750"/>
        </a:xfrm>
        <a:solidFill>
          <a:srgbClr val="FFFFFF"/>
        </a:solidFill>
      </xdr:grpSpPr>
      <xdr:sp>
        <xdr:nvSpPr>
          <xdr:cNvPr id="52" name="Straight Connector 167"/>
          <xdr:cNvSpPr>
            <a:spLocks/>
          </xdr:cNvSpPr>
        </xdr:nvSpPr>
        <xdr:spPr>
          <a:xfrm rot="5400000">
            <a:off x="5911541" y="16151679"/>
            <a:ext cx="285751"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53" name="Straight Connector 168"/>
          <xdr:cNvSpPr>
            <a:spLocks/>
          </xdr:cNvSpPr>
        </xdr:nvSpPr>
        <xdr:spPr>
          <a:xfrm>
            <a:off x="5885089" y="16138677"/>
            <a:ext cx="32657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18</xdr:col>
      <xdr:colOff>142875</xdr:colOff>
      <xdr:row>24</xdr:row>
      <xdr:rowOff>0</xdr:rowOff>
    </xdr:from>
    <xdr:to>
      <xdr:col>19</xdr:col>
      <xdr:colOff>0</xdr:colOff>
      <xdr:row>25</xdr:row>
      <xdr:rowOff>28575</xdr:rowOff>
    </xdr:to>
    <xdr:grpSp>
      <xdr:nvGrpSpPr>
        <xdr:cNvPr id="54" name="Group 170"/>
        <xdr:cNvGrpSpPr>
          <a:grpSpLocks/>
        </xdr:cNvGrpSpPr>
      </xdr:nvGrpSpPr>
      <xdr:grpSpPr>
        <a:xfrm>
          <a:off x="7277100" y="3429000"/>
          <a:ext cx="228600" cy="171450"/>
          <a:chOff x="5885089" y="16008804"/>
          <a:chExt cx="326572" cy="285750"/>
        </a:xfrm>
        <a:solidFill>
          <a:srgbClr val="FFFFFF"/>
        </a:solidFill>
      </xdr:grpSpPr>
      <xdr:sp>
        <xdr:nvSpPr>
          <xdr:cNvPr id="55" name="Straight Connector 167"/>
          <xdr:cNvSpPr>
            <a:spLocks/>
          </xdr:cNvSpPr>
        </xdr:nvSpPr>
        <xdr:spPr>
          <a:xfrm rot="5400000">
            <a:off x="5911541" y="16151679"/>
            <a:ext cx="285751"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56" name="Straight Connector 168"/>
          <xdr:cNvSpPr>
            <a:spLocks/>
          </xdr:cNvSpPr>
        </xdr:nvSpPr>
        <xdr:spPr>
          <a:xfrm>
            <a:off x="5885089" y="16138677"/>
            <a:ext cx="32657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14</xdr:col>
      <xdr:colOff>0</xdr:colOff>
      <xdr:row>19</xdr:row>
      <xdr:rowOff>0</xdr:rowOff>
    </xdr:from>
    <xdr:to>
      <xdr:col>20</xdr:col>
      <xdr:colOff>9525</xdr:colOff>
      <xdr:row>19</xdr:row>
      <xdr:rowOff>0</xdr:rowOff>
    </xdr:to>
    <xdr:sp>
      <xdr:nvSpPr>
        <xdr:cNvPr id="57" name="Line 50390"/>
        <xdr:cNvSpPr>
          <a:spLocks/>
        </xdr:cNvSpPr>
      </xdr:nvSpPr>
      <xdr:spPr>
        <a:xfrm>
          <a:off x="5648325" y="2714625"/>
          <a:ext cx="223837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15</xdr:col>
      <xdr:colOff>104775</xdr:colOff>
      <xdr:row>19</xdr:row>
      <xdr:rowOff>47625</xdr:rowOff>
    </xdr:from>
    <xdr:to>
      <xdr:col>15</xdr:col>
      <xdr:colOff>104775</xdr:colOff>
      <xdr:row>20</xdr:row>
      <xdr:rowOff>123825</xdr:rowOff>
    </xdr:to>
    <xdr:sp>
      <xdr:nvSpPr>
        <xdr:cNvPr id="58" name="Line 50391"/>
        <xdr:cNvSpPr>
          <a:spLocks/>
        </xdr:cNvSpPr>
      </xdr:nvSpPr>
      <xdr:spPr>
        <a:xfrm flipV="1">
          <a:off x="6124575" y="2762250"/>
          <a:ext cx="0" cy="219075"/>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18</xdr:col>
      <xdr:colOff>276225</xdr:colOff>
      <xdr:row>19</xdr:row>
      <xdr:rowOff>28575</xdr:rowOff>
    </xdr:from>
    <xdr:to>
      <xdr:col>18</xdr:col>
      <xdr:colOff>276225</xdr:colOff>
      <xdr:row>20</xdr:row>
      <xdr:rowOff>104775</xdr:rowOff>
    </xdr:to>
    <xdr:sp>
      <xdr:nvSpPr>
        <xdr:cNvPr id="59" name="Line 50393"/>
        <xdr:cNvSpPr>
          <a:spLocks/>
        </xdr:cNvSpPr>
      </xdr:nvSpPr>
      <xdr:spPr>
        <a:xfrm flipV="1">
          <a:off x="7410450" y="2743200"/>
          <a:ext cx="0" cy="219075"/>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14</xdr:col>
      <xdr:colOff>0</xdr:colOff>
      <xdr:row>20</xdr:row>
      <xdr:rowOff>0</xdr:rowOff>
    </xdr:from>
    <xdr:to>
      <xdr:col>15</xdr:col>
      <xdr:colOff>95250</xdr:colOff>
      <xdr:row>20</xdr:row>
      <xdr:rowOff>0</xdr:rowOff>
    </xdr:to>
    <xdr:sp>
      <xdr:nvSpPr>
        <xdr:cNvPr id="60" name="Line 50394"/>
        <xdr:cNvSpPr>
          <a:spLocks/>
        </xdr:cNvSpPr>
      </xdr:nvSpPr>
      <xdr:spPr>
        <a:xfrm>
          <a:off x="5648325" y="2857500"/>
          <a:ext cx="46672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15</xdr:col>
      <xdr:colOff>104775</xdr:colOff>
      <xdr:row>20</xdr:row>
      <xdr:rowOff>0</xdr:rowOff>
    </xdr:from>
    <xdr:to>
      <xdr:col>18</xdr:col>
      <xdr:colOff>276225</xdr:colOff>
      <xdr:row>20</xdr:row>
      <xdr:rowOff>0</xdr:rowOff>
    </xdr:to>
    <xdr:sp>
      <xdr:nvSpPr>
        <xdr:cNvPr id="61" name="Line 50395"/>
        <xdr:cNvSpPr>
          <a:spLocks/>
        </xdr:cNvSpPr>
      </xdr:nvSpPr>
      <xdr:spPr>
        <a:xfrm>
          <a:off x="6124575" y="2857500"/>
          <a:ext cx="128587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18</xdr:col>
      <xdr:colOff>276225</xdr:colOff>
      <xdr:row>20</xdr:row>
      <xdr:rowOff>0</xdr:rowOff>
    </xdr:from>
    <xdr:to>
      <xdr:col>19</xdr:col>
      <xdr:colOff>361950</xdr:colOff>
      <xdr:row>20</xdr:row>
      <xdr:rowOff>0</xdr:rowOff>
    </xdr:to>
    <xdr:sp>
      <xdr:nvSpPr>
        <xdr:cNvPr id="62" name="Line 50396"/>
        <xdr:cNvSpPr>
          <a:spLocks/>
        </xdr:cNvSpPr>
      </xdr:nvSpPr>
      <xdr:spPr>
        <a:xfrm>
          <a:off x="7410450" y="2857500"/>
          <a:ext cx="45720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14</xdr:col>
      <xdr:colOff>142875</xdr:colOff>
      <xdr:row>18</xdr:row>
      <xdr:rowOff>95250</xdr:rowOff>
    </xdr:from>
    <xdr:to>
      <xdr:col>14</xdr:col>
      <xdr:colOff>352425</xdr:colOff>
      <xdr:row>20</xdr:row>
      <xdr:rowOff>57150</xdr:rowOff>
    </xdr:to>
    <xdr:sp>
      <xdr:nvSpPr>
        <xdr:cNvPr id="63" name="Text Box 50397"/>
        <xdr:cNvSpPr txBox="1">
          <a:spLocks noChangeArrowheads="1"/>
        </xdr:cNvSpPr>
      </xdr:nvSpPr>
      <xdr:spPr>
        <a:xfrm>
          <a:off x="5791200" y="2667000"/>
          <a:ext cx="209550" cy="247650"/>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X1</a:t>
          </a:r>
        </a:p>
      </xdr:txBody>
    </xdr:sp>
    <xdr:clientData/>
  </xdr:twoCellAnchor>
  <xdr:twoCellAnchor>
    <xdr:from>
      <xdr:col>16</xdr:col>
      <xdr:colOff>257175</xdr:colOff>
      <xdr:row>18</xdr:row>
      <xdr:rowOff>95250</xdr:rowOff>
    </xdr:from>
    <xdr:to>
      <xdr:col>17</xdr:col>
      <xdr:colOff>95250</xdr:colOff>
      <xdr:row>20</xdr:row>
      <xdr:rowOff>57150</xdr:rowOff>
    </xdr:to>
    <xdr:sp>
      <xdr:nvSpPr>
        <xdr:cNvPr id="64" name="Text Box 50398"/>
        <xdr:cNvSpPr txBox="1">
          <a:spLocks noChangeArrowheads="1"/>
        </xdr:cNvSpPr>
      </xdr:nvSpPr>
      <xdr:spPr>
        <a:xfrm>
          <a:off x="6648450" y="2667000"/>
          <a:ext cx="209550" cy="247650"/>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X2</a:t>
          </a:r>
        </a:p>
      </xdr:txBody>
    </xdr:sp>
    <xdr:clientData/>
  </xdr:twoCellAnchor>
  <xdr:twoCellAnchor>
    <xdr:from>
      <xdr:col>19</xdr:col>
      <xdr:colOff>47625</xdr:colOff>
      <xdr:row>18</xdr:row>
      <xdr:rowOff>104775</xdr:rowOff>
    </xdr:from>
    <xdr:to>
      <xdr:col>19</xdr:col>
      <xdr:colOff>257175</xdr:colOff>
      <xdr:row>20</xdr:row>
      <xdr:rowOff>66675</xdr:rowOff>
    </xdr:to>
    <xdr:sp>
      <xdr:nvSpPr>
        <xdr:cNvPr id="65" name="Text Box 50399"/>
        <xdr:cNvSpPr txBox="1">
          <a:spLocks noChangeArrowheads="1"/>
        </xdr:cNvSpPr>
      </xdr:nvSpPr>
      <xdr:spPr>
        <a:xfrm>
          <a:off x="7553325" y="2676525"/>
          <a:ext cx="209550" cy="247650"/>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X1</a:t>
          </a:r>
        </a:p>
      </xdr:txBody>
    </xdr:sp>
    <xdr:clientData/>
  </xdr:twoCellAnchor>
  <xdr:twoCellAnchor>
    <xdr:from>
      <xdr:col>13</xdr:col>
      <xdr:colOff>171450</xdr:colOff>
      <xdr:row>21</xdr:row>
      <xdr:rowOff>9525</xdr:rowOff>
    </xdr:from>
    <xdr:to>
      <xdr:col>13</xdr:col>
      <xdr:colOff>171450</xdr:colOff>
      <xdr:row>28</xdr:row>
      <xdr:rowOff>0</xdr:rowOff>
    </xdr:to>
    <xdr:sp>
      <xdr:nvSpPr>
        <xdr:cNvPr id="66" name="Line 50400"/>
        <xdr:cNvSpPr>
          <a:spLocks/>
        </xdr:cNvSpPr>
      </xdr:nvSpPr>
      <xdr:spPr>
        <a:xfrm>
          <a:off x="5448300" y="3009900"/>
          <a:ext cx="0" cy="99060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20</xdr:col>
      <xdr:colOff>19050</xdr:colOff>
      <xdr:row>24</xdr:row>
      <xdr:rowOff>85725</xdr:rowOff>
    </xdr:from>
    <xdr:to>
      <xdr:col>21</xdr:col>
      <xdr:colOff>9525</xdr:colOff>
      <xdr:row>24</xdr:row>
      <xdr:rowOff>85725</xdr:rowOff>
    </xdr:to>
    <xdr:sp>
      <xdr:nvSpPr>
        <xdr:cNvPr id="67" name="Line 50401"/>
        <xdr:cNvSpPr>
          <a:spLocks/>
        </xdr:cNvSpPr>
      </xdr:nvSpPr>
      <xdr:spPr>
        <a:xfrm>
          <a:off x="7896225" y="3514725"/>
          <a:ext cx="361950" cy="0"/>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20</xdr:col>
      <xdr:colOff>180975</xdr:colOff>
      <xdr:row>21</xdr:row>
      <xdr:rowOff>0</xdr:rowOff>
    </xdr:from>
    <xdr:to>
      <xdr:col>20</xdr:col>
      <xdr:colOff>180975</xdr:colOff>
      <xdr:row>24</xdr:row>
      <xdr:rowOff>95250</xdr:rowOff>
    </xdr:to>
    <xdr:sp>
      <xdr:nvSpPr>
        <xdr:cNvPr id="68" name="Line 50402"/>
        <xdr:cNvSpPr>
          <a:spLocks/>
        </xdr:cNvSpPr>
      </xdr:nvSpPr>
      <xdr:spPr>
        <a:xfrm>
          <a:off x="8058150" y="3000375"/>
          <a:ext cx="0" cy="52387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20</xdr:col>
      <xdr:colOff>180975</xdr:colOff>
      <xdr:row>24</xdr:row>
      <xdr:rowOff>85725</xdr:rowOff>
    </xdr:from>
    <xdr:to>
      <xdr:col>20</xdr:col>
      <xdr:colOff>180975</xdr:colOff>
      <xdr:row>28</xdr:row>
      <xdr:rowOff>0</xdr:rowOff>
    </xdr:to>
    <xdr:sp>
      <xdr:nvSpPr>
        <xdr:cNvPr id="69" name="Line 50404"/>
        <xdr:cNvSpPr>
          <a:spLocks/>
        </xdr:cNvSpPr>
      </xdr:nvSpPr>
      <xdr:spPr>
        <a:xfrm>
          <a:off x="8058150" y="3514725"/>
          <a:ext cx="0" cy="48577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20</xdr:col>
      <xdr:colOff>200025</xdr:colOff>
      <xdr:row>21</xdr:row>
      <xdr:rowOff>123825</xdr:rowOff>
    </xdr:from>
    <xdr:to>
      <xdr:col>21</xdr:col>
      <xdr:colOff>38100</xdr:colOff>
      <xdr:row>23</xdr:row>
      <xdr:rowOff>85725</xdr:rowOff>
    </xdr:to>
    <xdr:sp>
      <xdr:nvSpPr>
        <xdr:cNvPr id="70" name="Text Box 50405"/>
        <xdr:cNvSpPr txBox="1">
          <a:spLocks noChangeArrowheads="1"/>
        </xdr:cNvSpPr>
      </xdr:nvSpPr>
      <xdr:spPr>
        <a:xfrm>
          <a:off x="8077200" y="3124200"/>
          <a:ext cx="209550" cy="247650"/>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Y1</a:t>
          </a:r>
        </a:p>
      </xdr:txBody>
    </xdr:sp>
    <xdr:clientData/>
  </xdr:twoCellAnchor>
  <xdr:twoCellAnchor>
    <xdr:from>
      <xdr:col>20</xdr:col>
      <xdr:colOff>200025</xdr:colOff>
      <xdr:row>25</xdr:row>
      <xdr:rowOff>76200</xdr:rowOff>
    </xdr:from>
    <xdr:to>
      <xdr:col>21</xdr:col>
      <xdr:colOff>38100</xdr:colOff>
      <xdr:row>27</xdr:row>
      <xdr:rowOff>38100</xdr:rowOff>
    </xdr:to>
    <xdr:sp>
      <xdr:nvSpPr>
        <xdr:cNvPr id="71" name="Text Box 50406"/>
        <xdr:cNvSpPr txBox="1">
          <a:spLocks noChangeArrowheads="1"/>
        </xdr:cNvSpPr>
      </xdr:nvSpPr>
      <xdr:spPr>
        <a:xfrm>
          <a:off x="8077200" y="3648075"/>
          <a:ext cx="209550" cy="247650"/>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Y1</a:t>
          </a:r>
        </a:p>
      </xdr:txBody>
    </xdr:sp>
    <xdr:clientData/>
  </xdr:twoCellAnchor>
  <xdr:twoCellAnchor>
    <xdr:from>
      <xdr:col>16</xdr:col>
      <xdr:colOff>228600</xdr:colOff>
      <xdr:row>48</xdr:row>
      <xdr:rowOff>133350</xdr:rowOff>
    </xdr:from>
    <xdr:to>
      <xdr:col>17</xdr:col>
      <xdr:colOff>142875</xdr:colOff>
      <xdr:row>54</xdr:row>
      <xdr:rowOff>0</xdr:rowOff>
    </xdr:to>
    <xdr:sp>
      <xdr:nvSpPr>
        <xdr:cNvPr id="72" name="Rectangle 50409"/>
        <xdr:cNvSpPr>
          <a:spLocks/>
        </xdr:cNvSpPr>
      </xdr:nvSpPr>
      <xdr:spPr>
        <a:xfrm>
          <a:off x="6619875" y="6991350"/>
          <a:ext cx="285750" cy="723900"/>
        </a:xfrm>
        <a:prstGeom prst="rect">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16</xdr:col>
      <xdr:colOff>238125</xdr:colOff>
      <xdr:row>53</xdr:row>
      <xdr:rowOff>133350</xdr:rowOff>
    </xdr:from>
    <xdr:to>
      <xdr:col>17</xdr:col>
      <xdr:colOff>133350</xdr:colOff>
      <xdr:row>54</xdr:row>
      <xdr:rowOff>28575</xdr:rowOff>
    </xdr:to>
    <xdr:sp>
      <xdr:nvSpPr>
        <xdr:cNvPr id="73" name="Rectangle 50410"/>
        <xdr:cNvSpPr>
          <a:spLocks/>
        </xdr:cNvSpPr>
      </xdr:nvSpPr>
      <xdr:spPr>
        <a:xfrm>
          <a:off x="6629400" y="7705725"/>
          <a:ext cx="266700" cy="3810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15</xdr:col>
      <xdr:colOff>0</xdr:colOff>
      <xdr:row>57</xdr:row>
      <xdr:rowOff>66675</xdr:rowOff>
    </xdr:from>
    <xdr:to>
      <xdr:col>15</xdr:col>
      <xdr:colOff>247650</xdr:colOff>
      <xdr:row>62</xdr:row>
      <xdr:rowOff>133350</xdr:rowOff>
    </xdr:to>
    <xdr:sp>
      <xdr:nvSpPr>
        <xdr:cNvPr id="74" name="Rectangle 50413"/>
        <xdr:cNvSpPr>
          <a:spLocks/>
        </xdr:cNvSpPr>
      </xdr:nvSpPr>
      <xdr:spPr>
        <a:xfrm>
          <a:off x="6019800" y="8210550"/>
          <a:ext cx="247650" cy="781050"/>
        </a:xfrm>
        <a:prstGeom prst="rect">
          <a:avLst/>
        </a:prstGeom>
        <a:solidFill>
          <a:srgbClr val="96969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18</xdr:col>
      <xdr:colOff>142875</xdr:colOff>
      <xdr:row>57</xdr:row>
      <xdr:rowOff>66675</xdr:rowOff>
    </xdr:from>
    <xdr:to>
      <xdr:col>19</xdr:col>
      <xdr:colOff>19050</xdr:colOff>
      <xdr:row>62</xdr:row>
      <xdr:rowOff>133350</xdr:rowOff>
    </xdr:to>
    <xdr:sp>
      <xdr:nvSpPr>
        <xdr:cNvPr id="75" name="Rectangle 50414"/>
        <xdr:cNvSpPr>
          <a:spLocks/>
        </xdr:cNvSpPr>
      </xdr:nvSpPr>
      <xdr:spPr>
        <a:xfrm>
          <a:off x="7277100" y="8210550"/>
          <a:ext cx="247650" cy="781050"/>
        </a:xfrm>
        <a:prstGeom prst="rect">
          <a:avLst/>
        </a:prstGeom>
        <a:solidFill>
          <a:srgbClr val="96969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14</xdr:col>
      <xdr:colOff>76200</xdr:colOff>
      <xdr:row>57</xdr:row>
      <xdr:rowOff>47625</xdr:rowOff>
    </xdr:from>
    <xdr:to>
      <xdr:col>19</xdr:col>
      <xdr:colOff>295275</xdr:colOff>
      <xdr:row>57</xdr:row>
      <xdr:rowOff>47625</xdr:rowOff>
    </xdr:to>
    <xdr:sp>
      <xdr:nvSpPr>
        <xdr:cNvPr id="76" name="Line 50415"/>
        <xdr:cNvSpPr>
          <a:spLocks/>
        </xdr:cNvSpPr>
      </xdr:nvSpPr>
      <xdr:spPr>
        <a:xfrm>
          <a:off x="5724525" y="8191500"/>
          <a:ext cx="2076450" cy="0"/>
        </a:xfrm>
        <a:prstGeom prst="line">
          <a:avLst/>
        </a:prstGeom>
        <a:no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14</xdr:col>
      <xdr:colOff>76200</xdr:colOff>
      <xdr:row>54</xdr:row>
      <xdr:rowOff>38100</xdr:rowOff>
    </xdr:from>
    <xdr:to>
      <xdr:col>14</xdr:col>
      <xdr:colOff>76200</xdr:colOff>
      <xdr:row>57</xdr:row>
      <xdr:rowOff>47625</xdr:rowOff>
    </xdr:to>
    <xdr:sp>
      <xdr:nvSpPr>
        <xdr:cNvPr id="77" name="Line 50416"/>
        <xdr:cNvSpPr>
          <a:spLocks/>
        </xdr:cNvSpPr>
      </xdr:nvSpPr>
      <xdr:spPr>
        <a:xfrm flipV="1">
          <a:off x="5724525" y="7753350"/>
          <a:ext cx="0" cy="438150"/>
        </a:xfrm>
        <a:prstGeom prst="line">
          <a:avLst/>
        </a:prstGeom>
        <a:no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19</xdr:col>
      <xdr:colOff>295275</xdr:colOff>
      <xdr:row>54</xdr:row>
      <xdr:rowOff>38100</xdr:rowOff>
    </xdr:from>
    <xdr:to>
      <xdr:col>19</xdr:col>
      <xdr:colOff>295275</xdr:colOff>
      <xdr:row>57</xdr:row>
      <xdr:rowOff>47625</xdr:rowOff>
    </xdr:to>
    <xdr:sp>
      <xdr:nvSpPr>
        <xdr:cNvPr id="78" name="Line 50418"/>
        <xdr:cNvSpPr>
          <a:spLocks/>
        </xdr:cNvSpPr>
      </xdr:nvSpPr>
      <xdr:spPr>
        <a:xfrm flipV="1">
          <a:off x="7800975" y="7753350"/>
          <a:ext cx="0" cy="438150"/>
        </a:xfrm>
        <a:prstGeom prst="line">
          <a:avLst/>
        </a:prstGeom>
        <a:no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14</xdr:col>
      <xdr:colOff>85725</xdr:colOff>
      <xdr:row>57</xdr:row>
      <xdr:rowOff>0</xdr:rowOff>
    </xdr:from>
    <xdr:to>
      <xdr:col>14</xdr:col>
      <xdr:colOff>123825</xdr:colOff>
      <xdr:row>57</xdr:row>
      <xdr:rowOff>38100</xdr:rowOff>
    </xdr:to>
    <xdr:sp>
      <xdr:nvSpPr>
        <xdr:cNvPr id="79" name="Oval 50419"/>
        <xdr:cNvSpPr>
          <a:spLocks/>
        </xdr:cNvSpPr>
      </xdr:nvSpPr>
      <xdr:spPr>
        <a:xfrm>
          <a:off x="5734050" y="8143875"/>
          <a:ext cx="38100" cy="38100"/>
        </a:xfrm>
        <a:prstGeom prst="ellipse">
          <a:avLst/>
        </a:prstGeom>
        <a:solidFill>
          <a:srgbClr val="FF6600"/>
        </a:solidFill>
        <a:ln w="9525" cmpd="sng">
          <a:solidFill>
            <a:srgbClr val="FF66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14</xdr:col>
      <xdr:colOff>295275</xdr:colOff>
      <xdr:row>57</xdr:row>
      <xdr:rowOff>0</xdr:rowOff>
    </xdr:from>
    <xdr:to>
      <xdr:col>14</xdr:col>
      <xdr:colOff>333375</xdr:colOff>
      <xdr:row>57</xdr:row>
      <xdr:rowOff>38100</xdr:rowOff>
    </xdr:to>
    <xdr:sp>
      <xdr:nvSpPr>
        <xdr:cNvPr id="80" name="Oval 50420"/>
        <xdr:cNvSpPr>
          <a:spLocks/>
        </xdr:cNvSpPr>
      </xdr:nvSpPr>
      <xdr:spPr>
        <a:xfrm>
          <a:off x="5943600" y="8143875"/>
          <a:ext cx="38100" cy="38100"/>
        </a:xfrm>
        <a:prstGeom prst="ellipse">
          <a:avLst/>
        </a:prstGeom>
        <a:solidFill>
          <a:srgbClr val="FF6600"/>
        </a:solidFill>
        <a:ln w="9525" cmpd="sng">
          <a:solidFill>
            <a:srgbClr val="FF66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15</xdr:col>
      <xdr:colOff>133350</xdr:colOff>
      <xdr:row>57</xdr:row>
      <xdr:rowOff>0</xdr:rowOff>
    </xdr:from>
    <xdr:to>
      <xdr:col>15</xdr:col>
      <xdr:colOff>171450</xdr:colOff>
      <xdr:row>57</xdr:row>
      <xdr:rowOff>38100</xdr:rowOff>
    </xdr:to>
    <xdr:sp>
      <xdr:nvSpPr>
        <xdr:cNvPr id="81" name="Oval 50421"/>
        <xdr:cNvSpPr>
          <a:spLocks/>
        </xdr:cNvSpPr>
      </xdr:nvSpPr>
      <xdr:spPr>
        <a:xfrm>
          <a:off x="6153150" y="8143875"/>
          <a:ext cx="38100" cy="38100"/>
        </a:xfrm>
        <a:prstGeom prst="ellipse">
          <a:avLst/>
        </a:prstGeom>
        <a:solidFill>
          <a:srgbClr val="FF6600"/>
        </a:solidFill>
        <a:ln w="9525" cmpd="sng">
          <a:solidFill>
            <a:srgbClr val="FF66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16</xdr:col>
      <xdr:colOff>9525</xdr:colOff>
      <xdr:row>57</xdr:row>
      <xdr:rowOff>0</xdr:rowOff>
    </xdr:from>
    <xdr:to>
      <xdr:col>16</xdr:col>
      <xdr:colOff>47625</xdr:colOff>
      <xdr:row>57</xdr:row>
      <xdr:rowOff>38100</xdr:rowOff>
    </xdr:to>
    <xdr:sp>
      <xdr:nvSpPr>
        <xdr:cNvPr id="82" name="Oval 50422"/>
        <xdr:cNvSpPr>
          <a:spLocks/>
        </xdr:cNvSpPr>
      </xdr:nvSpPr>
      <xdr:spPr>
        <a:xfrm>
          <a:off x="6400800" y="8143875"/>
          <a:ext cx="38100" cy="38100"/>
        </a:xfrm>
        <a:prstGeom prst="ellipse">
          <a:avLst/>
        </a:prstGeom>
        <a:solidFill>
          <a:srgbClr val="FF6600"/>
        </a:solidFill>
        <a:ln w="9525" cmpd="sng">
          <a:solidFill>
            <a:srgbClr val="FF66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16</xdr:col>
      <xdr:colOff>238125</xdr:colOff>
      <xdr:row>57</xdr:row>
      <xdr:rowOff>0</xdr:rowOff>
    </xdr:from>
    <xdr:to>
      <xdr:col>16</xdr:col>
      <xdr:colOff>276225</xdr:colOff>
      <xdr:row>57</xdr:row>
      <xdr:rowOff>38100</xdr:rowOff>
    </xdr:to>
    <xdr:sp>
      <xdr:nvSpPr>
        <xdr:cNvPr id="83" name="Oval 50423"/>
        <xdr:cNvSpPr>
          <a:spLocks/>
        </xdr:cNvSpPr>
      </xdr:nvSpPr>
      <xdr:spPr>
        <a:xfrm>
          <a:off x="6629400" y="8143875"/>
          <a:ext cx="38100" cy="38100"/>
        </a:xfrm>
        <a:prstGeom prst="ellipse">
          <a:avLst/>
        </a:prstGeom>
        <a:solidFill>
          <a:srgbClr val="FF6600"/>
        </a:solidFill>
        <a:ln w="9525" cmpd="sng">
          <a:solidFill>
            <a:srgbClr val="FF66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18</xdr:col>
      <xdr:colOff>161925</xdr:colOff>
      <xdr:row>57</xdr:row>
      <xdr:rowOff>0</xdr:rowOff>
    </xdr:from>
    <xdr:to>
      <xdr:col>18</xdr:col>
      <xdr:colOff>200025</xdr:colOff>
      <xdr:row>57</xdr:row>
      <xdr:rowOff>38100</xdr:rowOff>
    </xdr:to>
    <xdr:sp>
      <xdr:nvSpPr>
        <xdr:cNvPr id="84" name="Oval 50424"/>
        <xdr:cNvSpPr>
          <a:spLocks/>
        </xdr:cNvSpPr>
      </xdr:nvSpPr>
      <xdr:spPr>
        <a:xfrm>
          <a:off x="7296150" y="8143875"/>
          <a:ext cx="38100" cy="38100"/>
        </a:xfrm>
        <a:prstGeom prst="ellipse">
          <a:avLst/>
        </a:prstGeom>
        <a:solidFill>
          <a:srgbClr val="FF6600"/>
        </a:solidFill>
        <a:ln w="9525" cmpd="sng">
          <a:solidFill>
            <a:srgbClr val="FF66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19</xdr:col>
      <xdr:colOff>247650</xdr:colOff>
      <xdr:row>57</xdr:row>
      <xdr:rowOff>0</xdr:rowOff>
    </xdr:from>
    <xdr:to>
      <xdr:col>19</xdr:col>
      <xdr:colOff>285750</xdr:colOff>
      <xdr:row>57</xdr:row>
      <xdr:rowOff>38100</xdr:rowOff>
    </xdr:to>
    <xdr:sp>
      <xdr:nvSpPr>
        <xdr:cNvPr id="85" name="Oval 50425"/>
        <xdr:cNvSpPr>
          <a:spLocks/>
        </xdr:cNvSpPr>
      </xdr:nvSpPr>
      <xdr:spPr>
        <a:xfrm>
          <a:off x="7753350" y="8143875"/>
          <a:ext cx="38100" cy="38100"/>
        </a:xfrm>
        <a:prstGeom prst="ellipse">
          <a:avLst/>
        </a:prstGeom>
        <a:solidFill>
          <a:srgbClr val="FF6600"/>
        </a:solidFill>
        <a:ln w="9525" cmpd="sng">
          <a:solidFill>
            <a:srgbClr val="FF66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17</xdr:col>
      <xdr:colOff>76200</xdr:colOff>
      <xdr:row>57</xdr:row>
      <xdr:rowOff>0</xdr:rowOff>
    </xdr:from>
    <xdr:to>
      <xdr:col>17</xdr:col>
      <xdr:colOff>114300</xdr:colOff>
      <xdr:row>57</xdr:row>
      <xdr:rowOff>38100</xdr:rowOff>
    </xdr:to>
    <xdr:sp>
      <xdr:nvSpPr>
        <xdr:cNvPr id="86" name="Oval 50426"/>
        <xdr:cNvSpPr>
          <a:spLocks/>
        </xdr:cNvSpPr>
      </xdr:nvSpPr>
      <xdr:spPr>
        <a:xfrm>
          <a:off x="6838950" y="8143875"/>
          <a:ext cx="38100" cy="38100"/>
        </a:xfrm>
        <a:prstGeom prst="ellipse">
          <a:avLst/>
        </a:prstGeom>
        <a:solidFill>
          <a:srgbClr val="FF6600"/>
        </a:solidFill>
        <a:ln w="9525" cmpd="sng">
          <a:solidFill>
            <a:srgbClr val="FF66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17</xdr:col>
      <xdr:colOff>304800</xdr:colOff>
      <xdr:row>57</xdr:row>
      <xdr:rowOff>0</xdr:rowOff>
    </xdr:from>
    <xdr:to>
      <xdr:col>17</xdr:col>
      <xdr:colOff>342900</xdr:colOff>
      <xdr:row>57</xdr:row>
      <xdr:rowOff>38100</xdr:rowOff>
    </xdr:to>
    <xdr:sp>
      <xdr:nvSpPr>
        <xdr:cNvPr id="87" name="Oval 50427"/>
        <xdr:cNvSpPr>
          <a:spLocks/>
        </xdr:cNvSpPr>
      </xdr:nvSpPr>
      <xdr:spPr>
        <a:xfrm>
          <a:off x="7067550" y="8143875"/>
          <a:ext cx="38100" cy="38100"/>
        </a:xfrm>
        <a:prstGeom prst="ellipse">
          <a:avLst/>
        </a:prstGeom>
        <a:solidFill>
          <a:srgbClr val="FF6600"/>
        </a:solidFill>
        <a:ln w="9525" cmpd="sng">
          <a:solidFill>
            <a:srgbClr val="FF66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19</xdr:col>
      <xdr:colOff>9525</xdr:colOff>
      <xdr:row>57</xdr:row>
      <xdr:rowOff>0</xdr:rowOff>
    </xdr:from>
    <xdr:to>
      <xdr:col>19</xdr:col>
      <xdr:colOff>47625</xdr:colOff>
      <xdr:row>57</xdr:row>
      <xdr:rowOff>38100</xdr:rowOff>
    </xdr:to>
    <xdr:sp>
      <xdr:nvSpPr>
        <xdr:cNvPr id="88" name="Oval 50428"/>
        <xdr:cNvSpPr>
          <a:spLocks/>
        </xdr:cNvSpPr>
      </xdr:nvSpPr>
      <xdr:spPr>
        <a:xfrm>
          <a:off x="7515225" y="8143875"/>
          <a:ext cx="38100" cy="38100"/>
        </a:xfrm>
        <a:prstGeom prst="ellipse">
          <a:avLst/>
        </a:prstGeom>
        <a:solidFill>
          <a:srgbClr val="FF6600"/>
        </a:solidFill>
        <a:ln w="9525" cmpd="sng">
          <a:solidFill>
            <a:srgbClr val="FF66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17</xdr:col>
      <xdr:colOff>152400</xdr:colOff>
      <xdr:row>49</xdr:row>
      <xdr:rowOff>9525</xdr:rowOff>
    </xdr:from>
    <xdr:to>
      <xdr:col>19</xdr:col>
      <xdr:colOff>0</xdr:colOff>
      <xdr:row>50</xdr:row>
      <xdr:rowOff>9525</xdr:rowOff>
    </xdr:to>
    <xdr:sp>
      <xdr:nvSpPr>
        <xdr:cNvPr id="89" name="Rectangle 110"/>
        <xdr:cNvSpPr>
          <a:spLocks/>
        </xdr:cNvSpPr>
      </xdr:nvSpPr>
      <xdr:spPr>
        <a:xfrm>
          <a:off x="6915150" y="7010400"/>
          <a:ext cx="590550" cy="142875"/>
        </a:xfrm>
        <a:prstGeom prst="rect">
          <a:avLst/>
        </a:prstGeom>
        <a:blipFill>
          <a:blip r:embed="rId11"/>
          <a:srcRect/>
          <a:stretch>
            <a:fillRect/>
          </a:stretch>
        </a:blipFill>
        <a:ln w="3175" cmpd="sng">
          <a:noFill/>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15</xdr:col>
      <xdr:colOff>0</xdr:colOff>
      <xdr:row>49</xdr:row>
      <xdr:rowOff>9525</xdr:rowOff>
    </xdr:from>
    <xdr:to>
      <xdr:col>16</xdr:col>
      <xdr:colOff>219075</xdr:colOff>
      <xdr:row>50</xdr:row>
      <xdr:rowOff>9525</xdr:rowOff>
    </xdr:to>
    <xdr:sp>
      <xdr:nvSpPr>
        <xdr:cNvPr id="90" name="Rectangle 110"/>
        <xdr:cNvSpPr>
          <a:spLocks/>
        </xdr:cNvSpPr>
      </xdr:nvSpPr>
      <xdr:spPr>
        <a:xfrm>
          <a:off x="6019800" y="7010400"/>
          <a:ext cx="590550" cy="142875"/>
        </a:xfrm>
        <a:prstGeom prst="rect">
          <a:avLst/>
        </a:prstGeom>
        <a:blipFill>
          <a:blip r:embed="rId12"/>
          <a:srcRect/>
          <a:stretch>
            <a:fillRect/>
          </a:stretch>
        </a:blipFill>
        <a:ln w="3175" cmpd="sng">
          <a:noFill/>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20</xdr:col>
      <xdr:colOff>9525</xdr:colOff>
      <xdr:row>57</xdr:row>
      <xdr:rowOff>28575</xdr:rowOff>
    </xdr:from>
    <xdr:to>
      <xdr:col>20</xdr:col>
      <xdr:colOff>190500</xdr:colOff>
      <xdr:row>57</xdr:row>
      <xdr:rowOff>28575</xdr:rowOff>
    </xdr:to>
    <xdr:sp>
      <xdr:nvSpPr>
        <xdr:cNvPr id="91" name="Line 50432"/>
        <xdr:cNvSpPr>
          <a:spLocks/>
        </xdr:cNvSpPr>
      </xdr:nvSpPr>
      <xdr:spPr>
        <a:xfrm>
          <a:off x="7886700" y="8172450"/>
          <a:ext cx="180975" cy="0"/>
        </a:xfrm>
        <a:prstGeom prst="line">
          <a:avLst/>
        </a:prstGeom>
        <a:noFill/>
        <a:ln w="6350"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20</xdr:col>
      <xdr:colOff>85725</xdr:colOff>
      <xdr:row>54</xdr:row>
      <xdr:rowOff>0</xdr:rowOff>
    </xdr:from>
    <xdr:to>
      <xdr:col>20</xdr:col>
      <xdr:colOff>85725</xdr:colOff>
      <xdr:row>57</xdr:row>
      <xdr:rowOff>28575</xdr:rowOff>
    </xdr:to>
    <xdr:sp>
      <xdr:nvSpPr>
        <xdr:cNvPr id="92" name="Line 50433"/>
        <xdr:cNvSpPr>
          <a:spLocks/>
        </xdr:cNvSpPr>
      </xdr:nvSpPr>
      <xdr:spPr>
        <a:xfrm>
          <a:off x="7962900" y="7715250"/>
          <a:ext cx="0" cy="45720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21</xdr:col>
      <xdr:colOff>152400</xdr:colOff>
      <xdr:row>54</xdr:row>
      <xdr:rowOff>0</xdr:rowOff>
    </xdr:from>
    <xdr:to>
      <xdr:col>21</xdr:col>
      <xdr:colOff>152400</xdr:colOff>
      <xdr:row>58</xdr:row>
      <xdr:rowOff>9525</xdr:rowOff>
    </xdr:to>
    <xdr:sp>
      <xdr:nvSpPr>
        <xdr:cNvPr id="93" name="Line 50434"/>
        <xdr:cNvSpPr>
          <a:spLocks/>
        </xdr:cNvSpPr>
      </xdr:nvSpPr>
      <xdr:spPr>
        <a:xfrm>
          <a:off x="8401050" y="7715250"/>
          <a:ext cx="0" cy="58102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13</xdr:col>
      <xdr:colOff>219075</xdr:colOff>
      <xdr:row>49</xdr:row>
      <xdr:rowOff>9525</xdr:rowOff>
    </xdr:from>
    <xdr:to>
      <xdr:col>13</xdr:col>
      <xdr:colOff>219075</xdr:colOff>
      <xdr:row>58</xdr:row>
      <xdr:rowOff>9525</xdr:rowOff>
    </xdr:to>
    <xdr:sp>
      <xdr:nvSpPr>
        <xdr:cNvPr id="94" name="Line 50435"/>
        <xdr:cNvSpPr>
          <a:spLocks/>
        </xdr:cNvSpPr>
      </xdr:nvSpPr>
      <xdr:spPr>
        <a:xfrm>
          <a:off x="5495925" y="7010400"/>
          <a:ext cx="0" cy="128587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16</xdr:col>
      <xdr:colOff>228600</xdr:colOff>
      <xdr:row>22</xdr:row>
      <xdr:rowOff>47625</xdr:rowOff>
    </xdr:from>
    <xdr:to>
      <xdr:col>16</xdr:col>
      <xdr:colOff>228600</xdr:colOff>
      <xdr:row>23</xdr:row>
      <xdr:rowOff>57150</xdr:rowOff>
    </xdr:to>
    <xdr:sp>
      <xdr:nvSpPr>
        <xdr:cNvPr id="95" name="Line 50436"/>
        <xdr:cNvSpPr>
          <a:spLocks/>
        </xdr:cNvSpPr>
      </xdr:nvSpPr>
      <xdr:spPr>
        <a:xfrm flipV="1">
          <a:off x="6619875" y="3190875"/>
          <a:ext cx="0" cy="152400"/>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17</xdr:col>
      <xdr:colOff>142875</xdr:colOff>
      <xdr:row>22</xdr:row>
      <xdr:rowOff>38100</xdr:rowOff>
    </xdr:from>
    <xdr:to>
      <xdr:col>17</xdr:col>
      <xdr:colOff>142875</xdr:colOff>
      <xdr:row>23</xdr:row>
      <xdr:rowOff>57150</xdr:rowOff>
    </xdr:to>
    <xdr:sp>
      <xdr:nvSpPr>
        <xdr:cNvPr id="96" name="Line 50437"/>
        <xdr:cNvSpPr>
          <a:spLocks/>
        </xdr:cNvSpPr>
      </xdr:nvSpPr>
      <xdr:spPr>
        <a:xfrm flipV="1">
          <a:off x="6905625" y="3181350"/>
          <a:ext cx="0" cy="161925"/>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16</xdr:col>
      <xdr:colOff>238125</xdr:colOff>
      <xdr:row>23</xdr:row>
      <xdr:rowOff>0</xdr:rowOff>
    </xdr:from>
    <xdr:to>
      <xdr:col>17</xdr:col>
      <xdr:colOff>133350</xdr:colOff>
      <xdr:row>23</xdr:row>
      <xdr:rowOff>0</xdr:rowOff>
    </xdr:to>
    <xdr:sp>
      <xdr:nvSpPr>
        <xdr:cNvPr id="97" name="Line 50438"/>
        <xdr:cNvSpPr>
          <a:spLocks/>
        </xdr:cNvSpPr>
      </xdr:nvSpPr>
      <xdr:spPr>
        <a:xfrm>
          <a:off x="6629400" y="3286125"/>
          <a:ext cx="26670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15</xdr:col>
      <xdr:colOff>361950</xdr:colOff>
      <xdr:row>23</xdr:row>
      <xdr:rowOff>95250</xdr:rowOff>
    </xdr:from>
    <xdr:to>
      <xdr:col>16</xdr:col>
      <xdr:colOff>161925</xdr:colOff>
      <xdr:row>23</xdr:row>
      <xdr:rowOff>95250</xdr:rowOff>
    </xdr:to>
    <xdr:sp>
      <xdr:nvSpPr>
        <xdr:cNvPr id="98" name="Line 50439"/>
        <xdr:cNvSpPr>
          <a:spLocks/>
        </xdr:cNvSpPr>
      </xdr:nvSpPr>
      <xdr:spPr>
        <a:xfrm flipH="1">
          <a:off x="6381750" y="3381375"/>
          <a:ext cx="171450" cy="0"/>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16</xdr:col>
      <xdr:colOff>0</xdr:colOff>
      <xdr:row>25</xdr:row>
      <xdr:rowOff>85725</xdr:rowOff>
    </xdr:from>
    <xdr:to>
      <xdr:col>16</xdr:col>
      <xdr:colOff>171450</xdr:colOff>
      <xdr:row>25</xdr:row>
      <xdr:rowOff>85725</xdr:rowOff>
    </xdr:to>
    <xdr:sp>
      <xdr:nvSpPr>
        <xdr:cNvPr id="99" name="Line 50441"/>
        <xdr:cNvSpPr>
          <a:spLocks/>
        </xdr:cNvSpPr>
      </xdr:nvSpPr>
      <xdr:spPr>
        <a:xfrm flipH="1">
          <a:off x="6391275" y="3657600"/>
          <a:ext cx="171450" cy="0"/>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16</xdr:col>
      <xdr:colOff>95250</xdr:colOff>
      <xdr:row>23</xdr:row>
      <xdr:rowOff>95250</xdr:rowOff>
    </xdr:from>
    <xdr:to>
      <xdr:col>16</xdr:col>
      <xdr:colOff>95250</xdr:colOff>
      <xdr:row>25</xdr:row>
      <xdr:rowOff>95250</xdr:rowOff>
    </xdr:to>
    <xdr:sp>
      <xdr:nvSpPr>
        <xdr:cNvPr id="100" name="Line 50442"/>
        <xdr:cNvSpPr>
          <a:spLocks/>
        </xdr:cNvSpPr>
      </xdr:nvSpPr>
      <xdr:spPr>
        <a:xfrm>
          <a:off x="6486525" y="3381375"/>
          <a:ext cx="0" cy="28575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16</xdr:col>
      <xdr:colOff>276225</xdr:colOff>
      <xdr:row>21</xdr:row>
      <xdr:rowOff>104775</xdr:rowOff>
    </xdr:from>
    <xdr:to>
      <xdr:col>17</xdr:col>
      <xdr:colOff>104775</xdr:colOff>
      <xdr:row>23</xdr:row>
      <xdr:rowOff>38100</xdr:rowOff>
    </xdr:to>
    <xdr:sp>
      <xdr:nvSpPr>
        <xdr:cNvPr id="101" name="Text Box 50443"/>
        <xdr:cNvSpPr txBox="1">
          <a:spLocks noChangeArrowheads="1"/>
        </xdr:cNvSpPr>
      </xdr:nvSpPr>
      <xdr:spPr>
        <a:xfrm>
          <a:off x="6667500" y="3105150"/>
          <a:ext cx="200025" cy="219075"/>
        </a:xfrm>
        <a:prstGeom prst="rect">
          <a:avLst/>
        </a:prstGeom>
        <a:noFill/>
        <a:ln w="9525" cmpd="sng">
          <a:noFill/>
        </a:ln>
      </xdr:spPr>
      <xdr:txBody>
        <a:bodyPr vertOverflow="clip" wrap="square" lIns="27432" tIns="41148" rIns="27432" bIns="0"/>
        <a:p>
          <a:pPr algn="ctr">
            <a:defRPr/>
          </a:pPr>
          <a:r>
            <a:rPr lang="en-US" cap="none" sz="1200" b="0" i="0" u="none" baseline="0">
              <a:solidFill>
                <a:srgbClr val="000000"/>
              </a:solidFill>
              <a:latin typeface="AngsanaUPC"/>
              <a:ea typeface="AngsanaUPC"/>
              <a:cs typeface="AngsanaUPC"/>
            </a:rPr>
            <a:t>a</a:t>
          </a:r>
        </a:p>
      </xdr:txBody>
    </xdr:sp>
    <xdr:clientData/>
  </xdr:twoCellAnchor>
  <xdr:twoCellAnchor>
    <xdr:from>
      <xdr:col>15</xdr:col>
      <xdr:colOff>276225</xdr:colOff>
      <xdr:row>23</xdr:row>
      <xdr:rowOff>104775</xdr:rowOff>
    </xdr:from>
    <xdr:to>
      <xdr:col>16</xdr:col>
      <xdr:colOff>104775</xdr:colOff>
      <xdr:row>25</xdr:row>
      <xdr:rowOff>38100</xdr:rowOff>
    </xdr:to>
    <xdr:sp>
      <xdr:nvSpPr>
        <xdr:cNvPr id="102" name="Text Box 50444"/>
        <xdr:cNvSpPr txBox="1">
          <a:spLocks noChangeArrowheads="1"/>
        </xdr:cNvSpPr>
      </xdr:nvSpPr>
      <xdr:spPr>
        <a:xfrm>
          <a:off x="6296025" y="3390900"/>
          <a:ext cx="200025" cy="219075"/>
        </a:xfrm>
        <a:prstGeom prst="rect">
          <a:avLst/>
        </a:prstGeom>
        <a:noFill/>
        <a:ln w="9525" cmpd="sng">
          <a:noFill/>
        </a:ln>
      </xdr:spPr>
      <xdr:txBody>
        <a:bodyPr vertOverflow="clip" wrap="square" lIns="27432" tIns="41148" rIns="27432" bIns="0"/>
        <a:p>
          <a:pPr algn="ctr">
            <a:defRPr/>
          </a:pPr>
          <a:r>
            <a:rPr lang="en-US" cap="none" sz="1200" b="0" i="0" u="none" baseline="0">
              <a:solidFill>
                <a:srgbClr val="000000"/>
              </a:solidFill>
              <a:latin typeface="AngsanaUPC"/>
              <a:ea typeface="AngsanaUPC"/>
              <a:cs typeface="AngsanaUPC"/>
            </a:rPr>
            <a:t>b</a:t>
          </a:r>
        </a:p>
      </xdr:txBody>
    </xdr:sp>
    <xdr:clientData/>
  </xdr:twoCellAnchor>
  <xdr:twoCellAnchor>
    <xdr:from>
      <xdr:col>15</xdr:col>
      <xdr:colOff>19050</xdr:colOff>
      <xdr:row>63</xdr:row>
      <xdr:rowOff>9525</xdr:rowOff>
    </xdr:from>
    <xdr:to>
      <xdr:col>15</xdr:col>
      <xdr:colOff>228600</xdr:colOff>
      <xdr:row>64</xdr:row>
      <xdr:rowOff>114300</xdr:rowOff>
    </xdr:to>
    <xdr:sp>
      <xdr:nvSpPr>
        <xdr:cNvPr id="103" name="Text Box 50445"/>
        <xdr:cNvSpPr txBox="1">
          <a:spLocks noChangeArrowheads="1"/>
        </xdr:cNvSpPr>
      </xdr:nvSpPr>
      <xdr:spPr>
        <a:xfrm>
          <a:off x="6038850" y="9010650"/>
          <a:ext cx="209550" cy="247650"/>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P1</a:t>
          </a:r>
        </a:p>
      </xdr:txBody>
    </xdr:sp>
    <xdr:clientData/>
  </xdr:twoCellAnchor>
  <xdr:twoCellAnchor>
    <xdr:from>
      <xdr:col>18</xdr:col>
      <xdr:colOff>171450</xdr:colOff>
      <xdr:row>63</xdr:row>
      <xdr:rowOff>28575</xdr:rowOff>
    </xdr:from>
    <xdr:to>
      <xdr:col>19</xdr:col>
      <xdr:colOff>9525</xdr:colOff>
      <xdr:row>64</xdr:row>
      <xdr:rowOff>133350</xdr:rowOff>
    </xdr:to>
    <xdr:sp>
      <xdr:nvSpPr>
        <xdr:cNvPr id="104" name="Text Box 50446"/>
        <xdr:cNvSpPr txBox="1">
          <a:spLocks noChangeArrowheads="1"/>
        </xdr:cNvSpPr>
      </xdr:nvSpPr>
      <xdr:spPr>
        <a:xfrm>
          <a:off x="7305675" y="9029700"/>
          <a:ext cx="209550" cy="247650"/>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P2</a:t>
          </a:r>
        </a:p>
      </xdr:txBody>
    </xdr:sp>
    <xdr:clientData/>
  </xdr:twoCellAnchor>
  <xdr:twoCellAnchor>
    <xdr:from>
      <xdr:col>15</xdr:col>
      <xdr:colOff>28575</xdr:colOff>
      <xdr:row>22</xdr:row>
      <xdr:rowOff>104775</xdr:rowOff>
    </xdr:from>
    <xdr:to>
      <xdr:col>15</xdr:col>
      <xdr:colOff>238125</xdr:colOff>
      <xdr:row>24</xdr:row>
      <xdr:rowOff>66675</xdr:rowOff>
    </xdr:to>
    <xdr:sp>
      <xdr:nvSpPr>
        <xdr:cNvPr id="105" name="Text Box 50447"/>
        <xdr:cNvSpPr txBox="1">
          <a:spLocks noChangeArrowheads="1"/>
        </xdr:cNvSpPr>
      </xdr:nvSpPr>
      <xdr:spPr>
        <a:xfrm>
          <a:off x="6048375" y="3248025"/>
          <a:ext cx="209550" cy="247650"/>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P1</a:t>
          </a:r>
        </a:p>
      </xdr:txBody>
    </xdr:sp>
    <xdr:clientData/>
  </xdr:twoCellAnchor>
  <xdr:twoCellAnchor>
    <xdr:from>
      <xdr:col>18</xdr:col>
      <xdr:colOff>161925</xdr:colOff>
      <xdr:row>22</xdr:row>
      <xdr:rowOff>104775</xdr:rowOff>
    </xdr:from>
    <xdr:to>
      <xdr:col>19</xdr:col>
      <xdr:colOff>0</xdr:colOff>
      <xdr:row>24</xdr:row>
      <xdr:rowOff>66675</xdr:rowOff>
    </xdr:to>
    <xdr:sp>
      <xdr:nvSpPr>
        <xdr:cNvPr id="106" name="Text Box 50448"/>
        <xdr:cNvSpPr txBox="1">
          <a:spLocks noChangeArrowheads="1"/>
        </xdr:cNvSpPr>
      </xdr:nvSpPr>
      <xdr:spPr>
        <a:xfrm>
          <a:off x="7296150" y="3248025"/>
          <a:ext cx="209550" cy="247650"/>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P2</a:t>
          </a:r>
        </a:p>
      </xdr:txBody>
    </xdr:sp>
    <xdr:clientData/>
  </xdr:twoCellAnchor>
  <xdr:twoCellAnchor>
    <xdr:from>
      <xdr:col>12</xdr:col>
      <xdr:colOff>142875</xdr:colOff>
      <xdr:row>137</xdr:row>
      <xdr:rowOff>95250</xdr:rowOff>
    </xdr:from>
    <xdr:to>
      <xdr:col>14</xdr:col>
      <xdr:colOff>333375</xdr:colOff>
      <xdr:row>151</xdr:row>
      <xdr:rowOff>114300</xdr:rowOff>
    </xdr:to>
    <xdr:grpSp>
      <xdr:nvGrpSpPr>
        <xdr:cNvPr id="107" name="Group 50452"/>
        <xdr:cNvGrpSpPr>
          <a:grpSpLocks/>
        </xdr:cNvGrpSpPr>
      </xdr:nvGrpSpPr>
      <xdr:grpSpPr>
        <a:xfrm>
          <a:off x="5048250" y="19669125"/>
          <a:ext cx="933450" cy="2019300"/>
          <a:chOff x="377" y="2053"/>
          <a:chExt cx="99" cy="212"/>
        </a:xfrm>
        <a:solidFill>
          <a:srgbClr val="FFFFFF"/>
        </a:solidFill>
      </xdr:grpSpPr>
      <xdr:sp>
        <xdr:nvSpPr>
          <xdr:cNvPr id="108" name="Rectangle 96"/>
          <xdr:cNvSpPr>
            <a:spLocks/>
          </xdr:cNvSpPr>
        </xdr:nvSpPr>
        <xdr:spPr>
          <a:xfrm>
            <a:off x="377" y="2112"/>
            <a:ext cx="47" cy="153"/>
          </a:xfrm>
          <a:prstGeom prst="rect">
            <a:avLst/>
          </a:prstGeom>
          <a:solidFill>
            <a:srgbClr val="595959"/>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09" name="Straight Connector 209"/>
          <xdr:cNvSpPr>
            <a:spLocks/>
          </xdr:cNvSpPr>
        </xdr:nvSpPr>
        <xdr:spPr>
          <a:xfrm rot="5400000">
            <a:off x="325" y="2115"/>
            <a:ext cx="122" cy="0"/>
          </a:xfrm>
          <a:prstGeom prst="line">
            <a:avLst/>
          </a:prstGeom>
          <a:noFill/>
          <a:ln w="12700"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10" name="Straight Connector 211"/>
          <xdr:cNvSpPr>
            <a:spLocks/>
          </xdr:cNvSpPr>
        </xdr:nvSpPr>
        <xdr:spPr>
          <a:xfrm rot="5400000">
            <a:off x="354" y="2114"/>
            <a:ext cx="123" cy="0"/>
          </a:xfrm>
          <a:prstGeom prst="line">
            <a:avLst/>
          </a:prstGeom>
          <a:noFill/>
          <a:ln w="12700"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7</xdr:col>
      <xdr:colOff>57150</xdr:colOff>
      <xdr:row>131</xdr:row>
      <xdr:rowOff>38100</xdr:rowOff>
    </xdr:from>
    <xdr:to>
      <xdr:col>14</xdr:col>
      <xdr:colOff>295275</xdr:colOff>
      <xdr:row>131</xdr:row>
      <xdr:rowOff>114300</xdr:rowOff>
    </xdr:to>
    <xdr:sp>
      <xdr:nvSpPr>
        <xdr:cNvPr id="111" name="Rectangle 50456"/>
        <xdr:cNvSpPr>
          <a:spLocks/>
        </xdr:cNvSpPr>
      </xdr:nvSpPr>
      <xdr:spPr>
        <a:xfrm>
          <a:off x="3105150" y="18754725"/>
          <a:ext cx="2838450" cy="7620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10</xdr:col>
      <xdr:colOff>180975</xdr:colOff>
      <xdr:row>130</xdr:row>
      <xdr:rowOff>104775</xdr:rowOff>
    </xdr:from>
    <xdr:to>
      <xdr:col>11</xdr:col>
      <xdr:colOff>200025</xdr:colOff>
      <xdr:row>131</xdr:row>
      <xdr:rowOff>66675</xdr:rowOff>
    </xdr:to>
    <xdr:sp>
      <xdr:nvSpPr>
        <xdr:cNvPr id="112" name="Rectangle 50457"/>
        <xdr:cNvSpPr>
          <a:spLocks/>
        </xdr:cNvSpPr>
      </xdr:nvSpPr>
      <xdr:spPr>
        <a:xfrm>
          <a:off x="4343400" y="18678525"/>
          <a:ext cx="390525" cy="104775"/>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10</xdr:col>
      <xdr:colOff>190500</xdr:colOff>
      <xdr:row>121</xdr:row>
      <xdr:rowOff>0</xdr:rowOff>
    </xdr:from>
    <xdr:to>
      <xdr:col>11</xdr:col>
      <xdr:colOff>200025</xdr:colOff>
      <xdr:row>121</xdr:row>
      <xdr:rowOff>38100</xdr:rowOff>
    </xdr:to>
    <xdr:grpSp>
      <xdr:nvGrpSpPr>
        <xdr:cNvPr id="113" name="Group 141"/>
        <xdr:cNvGrpSpPr>
          <a:grpSpLocks/>
        </xdr:cNvGrpSpPr>
      </xdr:nvGrpSpPr>
      <xdr:grpSpPr>
        <a:xfrm>
          <a:off x="4352925" y="17287875"/>
          <a:ext cx="381000" cy="38100"/>
          <a:chOff x="6093325" y="19250291"/>
          <a:chExt cx="455205" cy="45721"/>
        </a:xfrm>
        <a:solidFill>
          <a:srgbClr val="FFFFFF"/>
        </a:solidFill>
      </xdr:grpSpPr>
      <xdr:sp>
        <xdr:nvSpPr>
          <xdr:cNvPr id="114" name="Straight Connector 142"/>
          <xdr:cNvSpPr>
            <a:spLocks/>
          </xdr:cNvSpPr>
        </xdr:nvSpPr>
        <xdr:spPr>
          <a:xfrm>
            <a:off x="6127465" y="19261721"/>
            <a:ext cx="375544" cy="0"/>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15" name="Oval 143"/>
          <xdr:cNvSpPr>
            <a:spLocks/>
          </xdr:cNvSpPr>
        </xdr:nvSpPr>
        <xdr:spPr>
          <a:xfrm>
            <a:off x="6503010"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16" name="Oval 144"/>
          <xdr:cNvSpPr>
            <a:spLocks/>
          </xdr:cNvSpPr>
        </xdr:nvSpPr>
        <xdr:spPr>
          <a:xfrm>
            <a:off x="6093325"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10</xdr:col>
      <xdr:colOff>190500</xdr:colOff>
      <xdr:row>122</xdr:row>
      <xdr:rowOff>19050</xdr:rowOff>
    </xdr:from>
    <xdr:to>
      <xdr:col>11</xdr:col>
      <xdr:colOff>200025</xdr:colOff>
      <xdr:row>122</xdr:row>
      <xdr:rowOff>57150</xdr:rowOff>
    </xdr:to>
    <xdr:grpSp>
      <xdr:nvGrpSpPr>
        <xdr:cNvPr id="117" name="Group 141"/>
        <xdr:cNvGrpSpPr>
          <a:grpSpLocks/>
        </xdr:cNvGrpSpPr>
      </xdr:nvGrpSpPr>
      <xdr:grpSpPr>
        <a:xfrm>
          <a:off x="4352925" y="17449800"/>
          <a:ext cx="381000" cy="38100"/>
          <a:chOff x="6093325" y="19250291"/>
          <a:chExt cx="455205" cy="45721"/>
        </a:xfrm>
        <a:solidFill>
          <a:srgbClr val="FFFFFF"/>
        </a:solidFill>
      </xdr:grpSpPr>
      <xdr:sp>
        <xdr:nvSpPr>
          <xdr:cNvPr id="118" name="Straight Connector 142"/>
          <xdr:cNvSpPr>
            <a:spLocks/>
          </xdr:cNvSpPr>
        </xdr:nvSpPr>
        <xdr:spPr>
          <a:xfrm>
            <a:off x="6127465" y="19261721"/>
            <a:ext cx="375544" cy="0"/>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19" name="Oval 143"/>
          <xdr:cNvSpPr>
            <a:spLocks/>
          </xdr:cNvSpPr>
        </xdr:nvSpPr>
        <xdr:spPr>
          <a:xfrm>
            <a:off x="6503010"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20" name="Oval 144"/>
          <xdr:cNvSpPr>
            <a:spLocks/>
          </xdr:cNvSpPr>
        </xdr:nvSpPr>
        <xdr:spPr>
          <a:xfrm>
            <a:off x="6093325"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10</xdr:col>
      <xdr:colOff>190500</xdr:colOff>
      <xdr:row>128</xdr:row>
      <xdr:rowOff>28575</xdr:rowOff>
    </xdr:from>
    <xdr:to>
      <xdr:col>11</xdr:col>
      <xdr:colOff>200025</xdr:colOff>
      <xdr:row>128</xdr:row>
      <xdr:rowOff>66675</xdr:rowOff>
    </xdr:to>
    <xdr:grpSp>
      <xdr:nvGrpSpPr>
        <xdr:cNvPr id="121" name="Group 141"/>
        <xdr:cNvGrpSpPr>
          <a:grpSpLocks/>
        </xdr:cNvGrpSpPr>
      </xdr:nvGrpSpPr>
      <xdr:grpSpPr>
        <a:xfrm>
          <a:off x="4352925" y="18316575"/>
          <a:ext cx="381000" cy="38100"/>
          <a:chOff x="6093325" y="19250291"/>
          <a:chExt cx="455205" cy="45721"/>
        </a:xfrm>
        <a:solidFill>
          <a:srgbClr val="FFFFFF"/>
        </a:solidFill>
      </xdr:grpSpPr>
      <xdr:sp>
        <xdr:nvSpPr>
          <xdr:cNvPr id="122" name="Straight Connector 142"/>
          <xdr:cNvSpPr>
            <a:spLocks/>
          </xdr:cNvSpPr>
        </xdr:nvSpPr>
        <xdr:spPr>
          <a:xfrm>
            <a:off x="6127465" y="19261721"/>
            <a:ext cx="375544" cy="0"/>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23" name="Oval 143"/>
          <xdr:cNvSpPr>
            <a:spLocks/>
          </xdr:cNvSpPr>
        </xdr:nvSpPr>
        <xdr:spPr>
          <a:xfrm>
            <a:off x="6503010"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24" name="Oval 144"/>
          <xdr:cNvSpPr>
            <a:spLocks/>
          </xdr:cNvSpPr>
        </xdr:nvSpPr>
        <xdr:spPr>
          <a:xfrm>
            <a:off x="6093325"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10</xdr:col>
      <xdr:colOff>190500</xdr:colOff>
      <xdr:row>129</xdr:row>
      <xdr:rowOff>47625</xdr:rowOff>
    </xdr:from>
    <xdr:to>
      <xdr:col>11</xdr:col>
      <xdr:colOff>200025</xdr:colOff>
      <xdr:row>129</xdr:row>
      <xdr:rowOff>85725</xdr:rowOff>
    </xdr:to>
    <xdr:grpSp>
      <xdr:nvGrpSpPr>
        <xdr:cNvPr id="125" name="Group 141"/>
        <xdr:cNvGrpSpPr>
          <a:grpSpLocks/>
        </xdr:cNvGrpSpPr>
      </xdr:nvGrpSpPr>
      <xdr:grpSpPr>
        <a:xfrm>
          <a:off x="4352925" y="18478500"/>
          <a:ext cx="381000" cy="38100"/>
          <a:chOff x="6093325" y="19250291"/>
          <a:chExt cx="455205" cy="45721"/>
        </a:xfrm>
        <a:solidFill>
          <a:srgbClr val="FFFFFF"/>
        </a:solidFill>
      </xdr:grpSpPr>
      <xdr:sp>
        <xdr:nvSpPr>
          <xdr:cNvPr id="126" name="Straight Connector 142"/>
          <xdr:cNvSpPr>
            <a:spLocks/>
          </xdr:cNvSpPr>
        </xdr:nvSpPr>
        <xdr:spPr>
          <a:xfrm>
            <a:off x="6127465" y="19261721"/>
            <a:ext cx="375544" cy="0"/>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27" name="Oval 143"/>
          <xdr:cNvSpPr>
            <a:spLocks/>
          </xdr:cNvSpPr>
        </xdr:nvSpPr>
        <xdr:spPr>
          <a:xfrm>
            <a:off x="6503010"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28" name="Oval 144"/>
          <xdr:cNvSpPr>
            <a:spLocks/>
          </xdr:cNvSpPr>
        </xdr:nvSpPr>
        <xdr:spPr>
          <a:xfrm>
            <a:off x="6093325"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10</xdr:col>
      <xdr:colOff>190500</xdr:colOff>
      <xdr:row>130</xdr:row>
      <xdr:rowOff>57150</xdr:rowOff>
    </xdr:from>
    <xdr:to>
      <xdr:col>11</xdr:col>
      <xdr:colOff>200025</xdr:colOff>
      <xdr:row>130</xdr:row>
      <xdr:rowOff>95250</xdr:rowOff>
    </xdr:to>
    <xdr:grpSp>
      <xdr:nvGrpSpPr>
        <xdr:cNvPr id="129" name="Group 141"/>
        <xdr:cNvGrpSpPr>
          <a:grpSpLocks/>
        </xdr:cNvGrpSpPr>
      </xdr:nvGrpSpPr>
      <xdr:grpSpPr>
        <a:xfrm>
          <a:off x="4352925" y="18630900"/>
          <a:ext cx="381000" cy="38100"/>
          <a:chOff x="6093325" y="19250291"/>
          <a:chExt cx="455205" cy="45721"/>
        </a:xfrm>
        <a:solidFill>
          <a:srgbClr val="FFFFFF"/>
        </a:solidFill>
      </xdr:grpSpPr>
      <xdr:sp>
        <xdr:nvSpPr>
          <xdr:cNvPr id="130" name="Straight Connector 142"/>
          <xdr:cNvSpPr>
            <a:spLocks/>
          </xdr:cNvSpPr>
        </xdr:nvSpPr>
        <xdr:spPr>
          <a:xfrm>
            <a:off x="6127465" y="19261721"/>
            <a:ext cx="375544" cy="0"/>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31" name="Oval 143"/>
          <xdr:cNvSpPr>
            <a:spLocks/>
          </xdr:cNvSpPr>
        </xdr:nvSpPr>
        <xdr:spPr>
          <a:xfrm>
            <a:off x="6503010"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32" name="Oval 144"/>
          <xdr:cNvSpPr>
            <a:spLocks/>
          </xdr:cNvSpPr>
        </xdr:nvSpPr>
        <xdr:spPr>
          <a:xfrm>
            <a:off x="6093325"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10</xdr:col>
      <xdr:colOff>180975</xdr:colOff>
      <xdr:row>140</xdr:row>
      <xdr:rowOff>19050</xdr:rowOff>
    </xdr:from>
    <xdr:to>
      <xdr:col>11</xdr:col>
      <xdr:colOff>190500</xdr:colOff>
      <xdr:row>140</xdr:row>
      <xdr:rowOff>57150</xdr:rowOff>
    </xdr:to>
    <xdr:grpSp>
      <xdr:nvGrpSpPr>
        <xdr:cNvPr id="133" name="Group 141"/>
        <xdr:cNvGrpSpPr>
          <a:grpSpLocks/>
        </xdr:cNvGrpSpPr>
      </xdr:nvGrpSpPr>
      <xdr:grpSpPr>
        <a:xfrm>
          <a:off x="4343400" y="20021550"/>
          <a:ext cx="381000" cy="38100"/>
          <a:chOff x="6093325" y="19250291"/>
          <a:chExt cx="455205" cy="45721"/>
        </a:xfrm>
        <a:solidFill>
          <a:srgbClr val="FFFFFF"/>
        </a:solidFill>
      </xdr:grpSpPr>
      <xdr:sp>
        <xdr:nvSpPr>
          <xdr:cNvPr id="134" name="Straight Connector 142"/>
          <xdr:cNvSpPr>
            <a:spLocks/>
          </xdr:cNvSpPr>
        </xdr:nvSpPr>
        <xdr:spPr>
          <a:xfrm>
            <a:off x="6127465" y="19261721"/>
            <a:ext cx="375544" cy="0"/>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35" name="Oval 143"/>
          <xdr:cNvSpPr>
            <a:spLocks/>
          </xdr:cNvSpPr>
        </xdr:nvSpPr>
        <xdr:spPr>
          <a:xfrm>
            <a:off x="6503010"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36" name="Oval 144"/>
          <xdr:cNvSpPr>
            <a:spLocks/>
          </xdr:cNvSpPr>
        </xdr:nvSpPr>
        <xdr:spPr>
          <a:xfrm>
            <a:off x="6093325"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13</xdr:col>
      <xdr:colOff>228600</xdr:colOff>
      <xdr:row>142</xdr:row>
      <xdr:rowOff>0</xdr:rowOff>
    </xdr:from>
    <xdr:to>
      <xdr:col>15</xdr:col>
      <xdr:colOff>19050</xdr:colOff>
      <xdr:row>143</xdr:row>
      <xdr:rowOff>28575</xdr:rowOff>
    </xdr:to>
    <xdr:sp>
      <xdr:nvSpPr>
        <xdr:cNvPr id="137" name="Rectangle 101"/>
        <xdr:cNvSpPr>
          <a:spLocks/>
        </xdr:cNvSpPr>
      </xdr:nvSpPr>
      <xdr:spPr>
        <a:xfrm>
          <a:off x="5505450" y="20288250"/>
          <a:ext cx="533400" cy="171450"/>
        </a:xfrm>
        <a:prstGeom prst="rect">
          <a:avLst/>
        </a:prstGeom>
        <a:blipFill>
          <a:blip r:embed="rId13"/>
          <a:srcRect/>
          <a:stretch>
            <a:fillRect/>
          </a:stretch>
        </a:blipFill>
        <a:ln w="3175" cmpd="sng">
          <a:noFill/>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13</xdr:col>
      <xdr:colOff>228600</xdr:colOff>
      <xdr:row>143</xdr:row>
      <xdr:rowOff>19050</xdr:rowOff>
    </xdr:from>
    <xdr:to>
      <xdr:col>15</xdr:col>
      <xdr:colOff>19050</xdr:colOff>
      <xdr:row>145</xdr:row>
      <xdr:rowOff>0</xdr:rowOff>
    </xdr:to>
    <xdr:sp>
      <xdr:nvSpPr>
        <xdr:cNvPr id="138" name="Rectangle 105"/>
        <xdr:cNvSpPr>
          <a:spLocks/>
        </xdr:cNvSpPr>
      </xdr:nvSpPr>
      <xdr:spPr>
        <a:xfrm>
          <a:off x="5505450" y="20450175"/>
          <a:ext cx="533400" cy="266700"/>
        </a:xfrm>
        <a:prstGeom prst="rect">
          <a:avLst/>
        </a:prstGeom>
        <a:blipFill>
          <a:blip r:embed="rId14"/>
          <a:srcRect/>
          <a:stretch>
            <a:fillRect/>
          </a:stretch>
        </a:blipFill>
        <a:ln w="3175" cmpd="sng">
          <a:noFill/>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13</xdr:col>
      <xdr:colOff>228600</xdr:colOff>
      <xdr:row>145</xdr:row>
      <xdr:rowOff>0</xdr:rowOff>
    </xdr:from>
    <xdr:to>
      <xdr:col>15</xdr:col>
      <xdr:colOff>19050</xdr:colOff>
      <xdr:row>147</xdr:row>
      <xdr:rowOff>0</xdr:rowOff>
    </xdr:to>
    <xdr:sp>
      <xdr:nvSpPr>
        <xdr:cNvPr id="139" name="Rectangle 157"/>
        <xdr:cNvSpPr>
          <a:spLocks/>
        </xdr:cNvSpPr>
      </xdr:nvSpPr>
      <xdr:spPr>
        <a:xfrm>
          <a:off x="5505450" y="20716875"/>
          <a:ext cx="533400" cy="285750"/>
        </a:xfrm>
        <a:prstGeom prst="rect">
          <a:avLst/>
        </a:prstGeom>
        <a:blipFill>
          <a:blip r:embed="rId15"/>
          <a:srcRect/>
          <a:stretch>
            <a:fillRect/>
          </a:stretch>
        </a:blipFill>
        <a:ln w="3175" cmpd="sng">
          <a:noFill/>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9</xdr:col>
      <xdr:colOff>257175</xdr:colOff>
      <xdr:row>149</xdr:row>
      <xdr:rowOff>0</xdr:rowOff>
    </xdr:from>
    <xdr:to>
      <xdr:col>12</xdr:col>
      <xdr:colOff>133350</xdr:colOff>
      <xdr:row>149</xdr:row>
      <xdr:rowOff>0</xdr:rowOff>
    </xdr:to>
    <xdr:sp>
      <xdr:nvSpPr>
        <xdr:cNvPr id="140" name="Line 50490"/>
        <xdr:cNvSpPr>
          <a:spLocks/>
        </xdr:cNvSpPr>
      </xdr:nvSpPr>
      <xdr:spPr>
        <a:xfrm>
          <a:off x="4048125" y="21288375"/>
          <a:ext cx="990600" cy="0"/>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13</xdr:col>
      <xdr:colOff>228600</xdr:colOff>
      <xdr:row>149</xdr:row>
      <xdr:rowOff>9525</xdr:rowOff>
    </xdr:from>
    <xdr:to>
      <xdr:col>15</xdr:col>
      <xdr:colOff>0</xdr:colOff>
      <xdr:row>149</xdr:row>
      <xdr:rowOff>9525</xdr:rowOff>
    </xdr:to>
    <xdr:sp>
      <xdr:nvSpPr>
        <xdr:cNvPr id="141" name="Line 50491"/>
        <xdr:cNvSpPr>
          <a:spLocks/>
        </xdr:cNvSpPr>
      </xdr:nvSpPr>
      <xdr:spPr>
        <a:xfrm>
          <a:off x="5505450" y="21297900"/>
          <a:ext cx="514350" cy="0"/>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12</xdr:col>
      <xdr:colOff>47625</xdr:colOff>
      <xdr:row>129</xdr:row>
      <xdr:rowOff>0</xdr:rowOff>
    </xdr:from>
    <xdr:to>
      <xdr:col>15</xdr:col>
      <xdr:colOff>361950</xdr:colOff>
      <xdr:row>129</xdr:row>
      <xdr:rowOff>0</xdr:rowOff>
    </xdr:to>
    <xdr:sp>
      <xdr:nvSpPr>
        <xdr:cNvPr id="142" name="Line 50493"/>
        <xdr:cNvSpPr>
          <a:spLocks/>
        </xdr:cNvSpPr>
      </xdr:nvSpPr>
      <xdr:spPr>
        <a:xfrm>
          <a:off x="4953000" y="18430875"/>
          <a:ext cx="1428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14</xdr:col>
      <xdr:colOff>180975</xdr:colOff>
      <xdr:row>135</xdr:row>
      <xdr:rowOff>0</xdr:rowOff>
    </xdr:from>
    <xdr:to>
      <xdr:col>14</xdr:col>
      <xdr:colOff>180975</xdr:colOff>
      <xdr:row>140</xdr:row>
      <xdr:rowOff>47625</xdr:rowOff>
    </xdr:to>
    <xdr:sp>
      <xdr:nvSpPr>
        <xdr:cNvPr id="143" name="Line 50494"/>
        <xdr:cNvSpPr>
          <a:spLocks/>
        </xdr:cNvSpPr>
      </xdr:nvSpPr>
      <xdr:spPr>
        <a:xfrm flipV="1">
          <a:off x="5829300" y="19288125"/>
          <a:ext cx="0" cy="762000"/>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14</xdr:col>
      <xdr:colOff>180975</xdr:colOff>
      <xdr:row>134</xdr:row>
      <xdr:rowOff>133350</xdr:rowOff>
    </xdr:from>
    <xdr:to>
      <xdr:col>19</xdr:col>
      <xdr:colOff>28575</xdr:colOff>
      <xdr:row>134</xdr:row>
      <xdr:rowOff>133350</xdr:rowOff>
    </xdr:to>
    <xdr:sp>
      <xdr:nvSpPr>
        <xdr:cNvPr id="144" name="Line 50495"/>
        <xdr:cNvSpPr>
          <a:spLocks/>
        </xdr:cNvSpPr>
      </xdr:nvSpPr>
      <xdr:spPr>
        <a:xfrm>
          <a:off x="5829300" y="19278600"/>
          <a:ext cx="1704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7</xdr:col>
      <xdr:colOff>209550</xdr:colOff>
      <xdr:row>127</xdr:row>
      <xdr:rowOff>133350</xdr:rowOff>
    </xdr:from>
    <xdr:to>
      <xdr:col>7</xdr:col>
      <xdr:colOff>209550</xdr:colOff>
      <xdr:row>131</xdr:row>
      <xdr:rowOff>66675</xdr:rowOff>
    </xdr:to>
    <xdr:sp>
      <xdr:nvSpPr>
        <xdr:cNvPr id="145" name="Line 50500"/>
        <xdr:cNvSpPr>
          <a:spLocks/>
        </xdr:cNvSpPr>
      </xdr:nvSpPr>
      <xdr:spPr>
        <a:xfrm flipV="1">
          <a:off x="3257550" y="18278475"/>
          <a:ext cx="0" cy="504825"/>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5</xdr:col>
      <xdr:colOff>19050</xdr:colOff>
      <xdr:row>127</xdr:row>
      <xdr:rowOff>133350</xdr:rowOff>
    </xdr:from>
    <xdr:to>
      <xdr:col>7</xdr:col>
      <xdr:colOff>209550</xdr:colOff>
      <xdr:row>127</xdr:row>
      <xdr:rowOff>133350</xdr:rowOff>
    </xdr:to>
    <xdr:sp>
      <xdr:nvSpPr>
        <xdr:cNvPr id="146" name="Line 50501"/>
        <xdr:cNvSpPr>
          <a:spLocks/>
        </xdr:cNvSpPr>
      </xdr:nvSpPr>
      <xdr:spPr>
        <a:xfrm flipH="1">
          <a:off x="2324100" y="18278475"/>
          <a:ext cx="933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16</xdr:col>
      <xdr:colOff>228600</xdr:colOff>
      <xdr:row>36</xdr:row>
      <xdr:rowOff>85725</xdr:rowOff>
    </xdr:from>
    <xdr:to>
      <xdr:col>17</xdr:col>
      <xdr:colOff>142875</xdr:colOff>
      <xdr:row>38</xdr:row>
      <xdr:rowOff>76200</xdr:rowOff>
    </xdr:to>
    <xdr:sp>
      <xdr:nvSpPr>
        <xdr:cNvPr id="147" name="Rectangle 164"/>
        <xdr:cNvSpPr>
          <a:spLocks/>
        </xdr:cNvSpPr>
      </xdr:nvSpPr>
      <xdr:spPr>
        <a:xfrm>
          <a:off x="6619875" y="5229225"/>
          <a:ext cx="285750" cy="276225"/>
        </a:xfrm>
        <a:prstGeom prst="rect">
          <a:avLst/>
        </a:prstGeom>
        <a:solidFill>
          <a:srgbClr val="D9D9D9"/>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15</xdr:col>
      <xdr:colOff>0</xdr:colOff>
      <xdr:row>37</xdr:row>
      <xdr:rowOff>0</xdr:rowOff>
    </xdr:from>
    <xdr:to>
      <xdr:col>15</xdr:col>
      <xdr:colOff>228600</xdr:colOff>
      <xdr:row>38</xdr:row>
      <xdr:rowOff>28575</xdr:rowOff>
    </xdr:to>
    <xdr:grpSp>
      <xdr:nvGrpSpPr>
        <xdr:cNvPr id="148" name="Group 170"/>
        <xdr:cNvGrpSpPr>
          <a:grpSpLocks/>
        </xdr:cNvGrpSpPr>
      </xdr:nvGrpSpPr>
      <xdr:grpSpPr>
        <a:xfrm>
          <a:off x="6019800" y="5286375"/>
          <a:ext cx="228600" cy="171450"/>
          <a:chOff x="5885089" y="16008804"/>
          <a:chExt cx="326572" cy="285750"/>
        </a:xfrm>
        <a:solidFill>
          <a:srgbClr val="FFFFFF"/>
        </a:solidFill>
      </xdr:grpSpPr>
      <xdr:sp>
        <xdr:nvSpPr>
          <xdr:cNvPr id="149" name="Straight Connector 167"/>
          <xdr:cNvSpPr>
            <a:spLocks/>
          </xdr:cNvSpPr>
        </xdr:nvSpPr>
        <xdr:spPr>
          <a:xfrm rot="5400000">
            <a:off x="5911541" y="16151679"/>
            <a:ext cx="285751"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50" name="Straight Connector 168"/>
          <xdr:cNvSpPr>
            <a:spLocks/>
          </xdr:cNvSpPr>
        </xdr:nvSpPr>
        <xdr:spPr>
          <a:xfrm>
            <a:off x="5885089" y="16138677"/>
            <a:ext cx="32657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18</xdr:col>
      <xdr:colOff>142875</xdr:colOff>
      <xdr:row>37</xdr:row>
      <xdr:rowOff>0</xdr:rowOff>
    </xdr:from>
    <xdr:to>
      <xdr:col>19</xdr:col>
      <xdr:colOff>0</xdr:colOff>
      <xdr:row>38</xdr:row>
      <xdr:rowOff>28575</xdr:rowOff>
    </xdr:to>
    <xdr:grpSp>
      <xdr:nvGrpSpPr>
        <xdr:cNvPr id="151" name="Group 170"/>
        <xdr:cNvGrpSpPr>
          <a:grpSpLocks/>
        </xdr:cNvGrpSpPr>
      </xdr:nvGrpSpPr>
      <xdr:grpSpPr>
        <a:xfrm>
          <a:off x="7277100" y="5286375"/>
          <a:ext cx="228600" cy="171450"/>
          <a:chOff x="5885089" y="16008804"/>
          <a:chExt cx="326572" cy="285750"/>
        </a:xfrm>
        <a:solidFill>
          <a:srgbClr val="FFFFFF"/>
        </a:solidFill>
      </xdr:grpSpPr>
      <xdr:sp>
        <xdr:nvSpPr>
          <xdr:cNvPr id="152" name="Straight Connector 167"/>
          <xdr:cNvSpPr>
            <a:spLocks/>
          </xdr:cNvSpPr>
        </xdr:nvSpPr>
        <xdr:spPr>
          <a:xfrm rot="5400000">
            <a:off x="5911541" y="16151679"/>
            <a:ext cx="285751"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53" name="Straight Connector 168"/>
          <xdr:cNvSpPr>
            <a:spLocks/>
          </xdr:cNvSpPr>
        </xdr:nvSpPr>
        <xdr:spPr>
          <a:xfrm>
            <a:off x="5885089" y="16138677"/>
            <a:ext cx="32657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14</xdr:col>
      <xdr:colOff>0</xdr:colOff>
      <xdr:row>32</xdr:row>
      <xdr:rowOff>0</xdr:rowOff>
    </xdr:from>
    <xdr:to>
      <xdr:col>18</xdr:col>
      <xdr:colOff>247650</xdr:colOff>
      <xdr:row>32</xdr:row>
      <xdr:rowOff>0</xdr:rowOff>
    </xdr:to>
    <xdr:sp>
      <xdr:nvSpPr>
        <xdr:cNvPr id="154" name="Line 50509"/>
        <xdr:cNvSpPr>
          <a:spLocks/>
        </xdr:cNvSpPr>
      </xdr:nvSpPr>
      <xdr:spPr>
        <a:xfrm>
          <a:off x="5648325" y="4572000"/>
          <a:ext cx="173355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15</xdr:col>
      <xdr:colOff>104775</xdr:colOff>
      <xdr:row>32</xdr:row>
      <xdr:rowOff>47625</xdr:rowOff>
    </xdr:from>
    <xdr:to>
      <xdr:col>15</xdr:col>
      <xdr:colOff>104775</xdr:colOff>
      <xdr:row>36</xdr:row>
      <xdr:rowOff>47625</xdr:rowOff>
    </xdr:to>
    <xdr:sp>
      <xdr:nvSpPr>
        <xdr:cNvPr id="155" name="Line 50510"/>
        <xdr:cNvSpPr>
          <a:spLocks/>
        </xdr:cNvSpPr>
      </xdr:nvSpPr>
      <xdr:spPr>
        <a:xfrm flipV="1">
          <a:off x="6124575" y="4619625"/>
          <a:ext cx="0" cy="571500"/>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14</xdr:col>
      <xdr:colOff>0</xdr:colOff>
      <xdr:row>33</xdr:row>
      <xdr:rowOff>0</xdr:rowOff>
    </xdr:from>
    <xdr:to>
      <xdr:col>15</xdr:col>
      <xdr:colOff>95250</xdr:colOff>
      <xdr:row>33</xdr:row>
      <xdr:rowOff>0</xdr:rowOff>
    </xdr:to>
    <xdr:sp>
      <xdr:nvSpPr>
        <xdr:cNvPr id="156" name="Line 50512"/>
        <xdr:cNvSpPr>
          <a:spLocks/>
        </xdr:cNvSpPr>
      </xdr:nvSpPr>
      <xdr:spPr>
        <a:xfrm>
          <a:off x="5648325" y="4714875"/>
          <a:ext cx="46672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14</xdr:col>
      <xdr:colOff>142875</xdr:colOff>
      <xdr:row>31</xdr:row>
      <xdr:rowOff>95250</xdr:rowOff>
    </xdr:from>
    <xdr:to>
      <xdr:col>14</xdr:col>
      <xdr:colOff>352425</xdr:colOff>
      <xdr:row>33</xdr:row>
      <xdr:rowOff>57150</xdr:rowOff>
    </xdr:to>
    <xdr:sp>
      <xdr:nvSpPr>
        <xdr:cNvPr id="157" name="Text Box 50515"/>
        <xdr:cNvSpPr txBox="1">
          <a:spLocks noChangeArrowheads="1"/>
        </xdr:cNvSpPr>
      </xdr:nvSpPr>
      <xdr:spPr>
        <a:xfrm>
          <a:off x="5791200" y="4524375"/>
          <a:ext cx="209550" cy="247650"/>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Xo</a:t>
          </a:r>
        </a:p>
      </xdr:txBody>
    </xdr:sp>
    <xdr:clientData/>
  </xdr:twoCellAnchor>
  <xdr:twoCellAnchor>
    <xdr:from>
      <xdr:col>19</xdr:col>
      <xdr:colOff>66675</xdr:colOff>
      <xdr:row>37</xdr:row>
      <xdr:rowOff>76200</xdr:rowOff>
    </xdr:from>
    <xdr:to>
      <xdr:col>21</xdr:col>
      <xdr:colOff>9525</xdr:colOff>
      <xdr:row>37</xdr:row>
      <xdr:rowOff>76200</xdr:rowOff>
    </xdr:to>
    <xdr:sp>
      <xdr:nvSpPr>
        <xdr:cNvPr id="158" name="Line 50519"/>
        <xdr:cNvSpPr>
          <a:spLocks/>
        </xdr:cNvSpPr>
      </xdr:nvSpPr>
      <xdr:spPr>
        <a:xfrm>
          <a:off x="7572375" y="5362575"/>
          <a:ext cx="685800" cy="0"/>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20</xdr:col>
      <xdr:colOff>180975</xdr:colOff>
      <xdr:row>37</xdr:row>
      <xdr:rowOff>57150</xdr:rowOff>
    </xdr:from>
    <xdr:to>
      <xdr:col>20</xdr:col>
      <xdr:colOff>180975</xdr:colOff>
      <xdr:row>41</xdr:row>
      <xdr:rowOff>0</xdr:rowOff>
    </xdr:to>
    <xdr:sp>
      <xdr:nvSpPr>
        <xdr:cNvPr id="159" name="Line 50521"/>
        <xdr:cNvSpPr>
          <a:spLocks/>
        </xdr:cNvSpPr>
      </xdr:nvSpPr>
      <xdr:spPr>
        <a:xfrm>
          <a:off x="8058150" y="5343525"/>
          <a:ext cx="0" cy="51435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20</xdr:col>
      <xdr:colOff>200025</xdr:colOff>
      <xdr:row>38</xdr:row>
      <xdr:rowOff>76200</xdr:rowOff>
    </xdr:from>
    <xdr:to>
      <xdr:col>21</xdr:col>
      <xdr:colOff>38100</xdr:colOff>
      <xdr:row>40</xdr:row>
      <xdr:rowOff>38100</xdr:rowOff>
    </xdr:to>
    <xdr:sp>
      <xdr:nvSpPr>
        <xdr:cNvPr id="160" name="Text Box 50523"/>
        <xdr:cNvSpPr txBox="1">
          <a:spLocks noChangeArrowheads="1"/>
        </xdr:cNvSpPr>
      </xdr:nvSpPr>
      <xdr:spPr>
        <a:xfrm>
          <a:off x="8077200" y="5505450"/>
          <a:ext cx="209550" cy="247650"/>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Yo</a:t>
          </a:r>
        </a:p>
      </xdr:txBody>
    </xdr:sp>
    <xdr:clientData/>
  </xdr:twoCellAnchor>
  <xdr:twoCellAnchor>
    <xdr:from>
      <xdr:col>15</xdr:col>
      <xdr:colOff>28575</xdr:colOff>
      <xdr:row>35</xdr:row>
      <xdr:rowOff>104775</xdr:rowOff>
    </xdr:from>
    <xdr:to>
      <xdr:col>15</xdr:col>
      <xdr:colOff>238125</xdr:colOff>
      <xdr:row>37</xdr:row>
      <xdr:rowOff>66675</xdr:rowOff>
    </xdr:to>
    <xdr:sp>
      <xdr:nvSpPr>
        <xdr:cNvPr id="161" name="Text Box 50532"/>
        <xdr:cNvSpPr txBox="1">
          <a:spLocks noChangeArrowheads="1"/>
        </xdr:cNvSpPr>
      </xdr:nvSpPr>
      <xdr:spPr>
        <a:xfrm>
          <a:off x="6048375" y="5105400"/>
          <a:ext cx="209550" cy="247650"/>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P1</a:t>
          </a:r>
        </a:p>
      </xdr:txBody>
    </xdr:sp>
    <xdr:clientData/>
  </xdr:twoCellAnchor>
  <xdr:twoCellAnchor>
    <xdr:from>
      <xdr:col>18</xdr:col>
      <xdr:colOff>161925</xdr:colOff>
      <xdr:row>35</xdr:row>
      <xdr:rowOff>104775</xdr:rowOff>
    </xdr:from>
    <xdr:to>
      <xdr:col>19</xdr:col>
      <xdr:colOff>0</xdr:colOff>
      <xdr:row>37</xdr:row>
      <xdr:rowOff>66675</xdr:rowOff>
    </xdr:to>
    <xdr:sp>
      <xdr:nvSpPr>
        <xdr:cNvPr id="162" name="Text Box 50533"/>
        <xdr:cNvSpPr txBox="1">
          <a:spLocks noChangeArrowheads="1"/>
        </xdr:cNvSpPr>
      </xdr:nvSpPr>
      <xdr:spPr>
        <a:xfrm>
          <a:off x="7296150" y="5105400"/>
          <a:ext cx="209550" cy="247650"/>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P2</a:t>
          </a:r>
        </a:p>
      </xdr:txBody>
    </xdr:sp>
    <xdr:clientData/>
  </xdr:twoCellAnchor>
  <xdr:twoCellAnchor>
    <xdr:from>
      <xdr:col>18</xdr:col>
      <xdr:colOff>247650</xdr:colOff>
      <xdr:row>30</xdr:row>
      <xdr:rowOff>133350</xdr:rowOff>
    </xdr:from>
    <xdr:to>
      <xdr:col>18</xdr:col>
      <xdr:colOff>247650</xdr:colOff>
      <xdr:row>33</xdr:row>
      <xdr:rowOff>123825</xdr:rowOff>
    </xdr:to>
    <xdr:sp>
      <xdr:nvSpPr>
        <xdr:cNvPr id="163" name="Line 50534"/>
        <xdr:cNvSpPr>
          <a:spLocks/>
        </xdr:cNvSpPr>
      </xdr:nvSpPr>
      <xdr:spPr>
        <a:xfrm flipV="1">
          <a:off x="7381875" y="4419600"/>
          <a:ext cx="0" cy="419100"/>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14</xdr:col>
      <xdr:colOff>0</xdr:colOff>
      <xdr:row>42</xdr:row>
      <xdr:rowOff>0</xdr:rowOff>
    </xdr:from>
    <xdr:to>
      <xdr:col>17</xdr:col>
      <xdr:colOff>9525</xdr:colOff>
      <xdr:row>42</xdr:row>
      <xdr:rowOff>0</xdr:rowOff>
    </xdr:to>
    <xdr:sp>
      <xdr:nvSpPr>
        <xdr:cNvPr id="164" name="Line 50535"/>
        <xdr:cNvSpPr>
          <a:spLocks/>
        </xdr:cNvSpPr>
      </xdr:nvSpPr>
      <xdr:spPr>
        <a:xfrm>
          <a:off x="5648325" y="6000750"/>
          <a:ext cx="112395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17</xdr:col>
      <xdr:colOff>0</xdr:colOff>
      <xdr:row>39</xdr:row>
      <xdr:rowOff>9525</xdr:rowOff>
    </xdr:from>
    <xdr:to>
      <xdr:col>17</xdr:col>
      <xdr:colOff>0</xdr:colOff>
      <xdr:row>41</xdr:row>
      <xdr:rowOff>47625</xdr:rowOff>
    </xdr:to>
    <xdr:sp>
      <xdr:nvSpPr>
        <xdr:cNvPr id="165" name="Line 50536"/>
        <xdr:cNvSpPr>
          <a:spLocks/>
        </xdr:cNvSpPr>
      </xdr:nvSpPr>
      <xdr:spPr>
        <a:xfrm>
          <a:off x="6762750" y="5581650"/>
          <a:ext cx="0" cy="323850"/>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10</xdr:col>
      <xdr:colOff>0</xdr:colOff>
      <xdr:row>19</xdr:row>
      <xdr:rowOff>123825</xdr:rowOff>
    </xdr:from>
    <xdr:to>
      <xdr:col>10</xdr:col>
      <xdr:colOff>0</xdr:colOff>
      <xdr:row>25</xdr:row>
      <xdr:rowOff>9525</xdr:rowOff>
    </xdr:to>
    <xdr:sp>
      <xdr:nvSpPr>
        <xdr:cNvPr id="166" name="Line 50537"/>
        <xdr:cNvSpPr>
          <a:spLocks/>
        </xdr:cNvSpPr>
      </xdr:nvSpPr>
      <xdr:spPr>
        <a:xfrm>
          <a:off x="4162425" y="2838450"/>
          <a:ext cx="0" cy="7429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10</xdr:col>
      <xdr:colOff>9525</xdr:colOff>
      <xdr:row>25</xdr:row>
      <xdr:rowOff>9525</xdr:rowOff>
    </xdr:from>
    <xdr:to>
      <xdr:col>12</xdr:col>
      <xdr:colOff>19050</xdr:colOff>
      <xdr:row>25</xdr:row>
      <xdr:rowOff>9525</xdr:rowOff>
    </xdr:to>
    <xdr:sp>
      <xdr:nvSpPr>
        <xdr:cNvPr id="167" name="Line 50538"/>
        <xdr:cNvSpPr>
          <a:spLocks/>
        </xdr:cNvSpPr>
      </xdr:nvSpPr>
      <xdr:spPr>
        <a:xfrm>
          <a:off x="4171950" y="3581400"/>
          <a:ext cx="7524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10</xdr:col>
      <xdr:colOff>9525</xdr:colOff>
      <xdr:row>20</xdr:row>
      <xdr:rowOff>0</xdr:rowOff>
    </xdr:from>
    <xdr:to>
      <xdr:col>11</xdr:col>
      <xdr:colOff>352425</xdr:colOff>
      <xdr:row>25</xdr:row>
      <xdr:rowOff>0</xdr:rowOff>
    </xdr:to>
    <xdr:sp>
      <xdr:nvSpPr>
        <xdr:cNvPr id="168" name="Line 50539"/>
        <xdr:cNvSpPr>
          <a:spLocks/>
        </xdr:cNvSpPr>
      </xdr:nvSpPr>
      <xdr:spPr>
        <a:xfrm flipV="1">
          <a:off x="4171950" y="2857500"/>
          <a:ext cx="714375" cy="7143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9</xdr:col>
      <xdr:colOff>314325</xdr:colOff>
      <xdr:row>18</xdr:row>
      <xdr:rowOff>85725</xdr:rowOff>
    </xdr:from>
    <xdr:to>
      <xdr:col>10</xdr:col>
      <xdr:colOff>85725</xdr:colOff>
      <xdr:row>20</xdr:row>
      <xdr:rowOff>47625</xdr:rowOff>
    </xdr:to>
    <xdr:sp>
      <xdr:nvSpPr>
        <xdr:cNvPr id="169" name="Text Box 50540"/>
        <xdr:cNvSpPr txBox="1">
          <a:spLocks noChangeArrowheads="1"/>
        </xdr:cNvSpPr>
      </xdr:nvSpPr>
      <xdr:spPr>
        <a:xfrm>
          <a:off x="4105275" y="2657475"/>
          <a:ext cx="142875" cy="247650"/>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Z</a:t>
          </a:r>
        </a:p>
      </xdr:txBody>
    </xdr:sp>
    <xdr:clientData/>
  </xdr:twoCellAnchor>
  <xdr:twoCellAnchor>
    <xdr:from>
      <xdr:col>11</xdr:col>
      <xdr:colOff>314325</xdr:colOff>
      <xdr:row>18</xdr:row>
      <xdr:rowOff>85725</xdr:rowOff>
    </xdr:from>
    <xdr:to>
      <xdr:col>12</xdr:col>
      <xdr:colOff>85725</xdr:colOff>
      <xdr:row>20</xdr:row>
      <xdr:rowOff>47625</xdr:rowOff>
    </xdr:to>
    <xdr:sp>
      <xdr:nvSpPr>
        <xdr:cNvPr id="170" name="Text Box 50541"/>
        <xdr:cNvSpPr txBox="1">
          <a:spLocks noChangeArrowheads="1"/>
        </xdr:cNvSpPr>
      </xdr:nvSpPr>
      <xdr:spPr>
        <a:xfrm>
          <a:off x="4848225" y="2657475"/>
          <a:ext cx="142875" cy="247650"/>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Y</a:t>
          </a:r>
        </a:p>
      </xdr:txBody>
    </xdr:sp>
    <xdr:clientData/>
  </xdr:twoCellAnchor>
  <xdr:twoCellAnchor>
    <xdr:from>
      <xdr:col>12</xdr:col>
      <xdr:colOff>19050</xdr:colOff>
      <xdr:row>24</xdr:row>
      <xdr:rowOff>19050</xdr:rowOff>
    </xdr:from>
    <xdr:to>
      <xdr:col>12</xdr:col>
      <xdr:colOff>161925</xdr:colOff>
      <xdr:row>25</xdr:row>
      <xdr:rowOff>123825</xdr:rowOff>
    </xdr:to>
    <xdr:sp>
      <xdr:nvSpPr>
        <xdr:cNvPr id="171" name="Text Box 50542"/>
        <xdr:cNvSpPr txBox="1">
          <a:spLocks noChangeArrowheads="1"/>
        </xdr:cNvSpPr>
      </xdr:nvSpPr>
      <xdr:spPr>
        <a:xfrm>
          <a:off x="4924425" y="3448050"/>
          <a:ext cx="142875" cy="247650"/>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X</a:t>
          </a:r>
        </a:p>
      </xdr:txBody>
    </xdr:sp>
    <xdr:clientData/>
  </xdr:twoCellAnchor>
  <xdr:twoCellAnchor>
    <xdr:from>
      <xdr:col>19</xdr:col>
      <xdr:colOff>0</xdr:colOff>
      <xdr:row>73</xdr:row>
      <xdr:rowOff>66675</xdr:rowOff>
    </xdr:from>
    <xdr:to>
      <xdr:col>19</xdr:col>
      <xdr:colOff>0</xdr:colOff>
      <xdr:row>74</xdr:row>
      <xdr:rowOff>133350</xdr:rowOff>
    </xdr:to>
    <xdr:sp>
      <xdr:nvSpPr>
        <xdr:cNvPr id="172" name="Line 50560"/>
        <xdr:cNvSpPr>
          <a:spLocks/>
        </xdr:cNvSpPr>
      </xdr:nvSpPr>
      <xdr:spPr>
        <a:xfrm>
          <a:off x="7505700" y="10496550"/>
          <a:ext cx="0" cy="209550"/>
        </a:xfrm>
        <a:prstGeom prst="line">
          <a:avLst/>
        </a:prstGeom>
        <a:noFill/>
        <a:ln w="12700" cmpd="sng">
          <a:solidFill>
            <a:srgbClr val="0000FF"/>
          </a:solidFill>
          <a:headEnd type="stealth"/>
          <a:tailEnd type="oval"/>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38</xdr:col>
      <xdr:colOff>28575</xdr:colOff>
      <xdr:row>150</xdr:row>
      <xdr:rowOff>66675</xdr:rowOff>
    </xdr:from>
    <xdr:to>
      <xdr:col>38</xdr:col>
      <xdr:colOff>28575</xdr:colOff>
      <xdr:row>151</xdr:row>
      <xdr:rowOff>133350</xdr:rowOff>
    </xdr:to>
    <xdr:sp>
      <xdr:nvSpPr>
        <xdr:cNvPr id="173" name="Line 50561"/>
        <xdr:cNvSpPr>
          <a:spLocks/>
        </xdr:cNvSpPr>
      </xdr:nvSpPr>
      <xdr:spPr>
        <a:xfrm>
          <a:off x="14639925" y="21497925"/>
          <a:ext cx="0" cy="209550"/>
        </a:xfrm>
        <a:prstGeom prst="line">
          <a:avLst/>
        </a:prstGeom>
        <a:noFill/>
        <a:ln w="9525" cmpd="sng">
          <a:solidFill>
            <a:srgbClr val="0000FF"/>
          </a:solidFill>
          <a:headEnd type="stealth"/>
          <a:tailEnd type="oval"/>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19</xdr:col>
      <xdr:colOff>0</xdr:colOff>
      <xdr:row>74</xdr:row>
      <xdr:rowOff>133350</xdr:rowOff>
    </xdr:from>
    <xdr:to>
      <xdr:col>19</xdr:col>
      <xdr:colOff>0</xdr:colOff>
      <xdr:row>77</xdr:row>
      <xdr:rowOff>9525</xdr:rowOff>
    </xdr:to>
    <xdr:sp>
      <xdr:nvSpPr>
        <xdr:cNvPr id="174" name="Line 50562"/>
        <xdr:cNvSpPr>
          <a:spLocks/>
        </xdr:cNvSpPr>
      </xdr:nvSpPr>
      <xdr:spPr>
        <a:xfrm>
          <a:off x="7505700" y="10706100"/>
          <a:ext cx="0" cy="304800"/>
        </a:xfrm>
        <a:prstGeom prst="line">
          <a:avLst/>
        </a:prstGeom>
        <a:noFill/>
        <a:ln w="12700" cmpd="sng">
          <a:solidFill>
            <a:srgbClr val="0000FF"/>
          </a:solidFill>
          <a:headEnd type="oval"/>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14</xdr:col>
      <xdr:colOff>95250</xdr:colOff>
      <xdr:row>79</xdr:row>
      <xdr:rowOff>0</xdr:rowOff>
    </xdr:from>
    <xdr:to>
      <xdr:col>15</xdr:col>
      <xdr:colOff>0</xdr:colOff>
      <xdr:row>79</xdr:row>
      <xdr:rowOff>0</xdr:rowOff>
    </xdr:to>
    <xdr:sp>
      <xdr:nvSpPr>
        <xdr:cNvPr id="175" name="Line 50563"/>
        <xdr:cNvSpPr>
          <a:spLocks/>
        </xdr:cNvSpPr>
      </xdr:nvSpPr>
      <xdr:spPr>
        <a:xfrm flipH="1">
          <a:off x="5743575" y="11287125"/>
          <a:ext cx="276225" cy="0"/>
        </a:xfrm>
        <a:prstGeom prst="line">
          <a:avLst/>
        </a:prstGeom>
        <a:noFill/>
        <a:ln w="19050" cmpd="sng">
          <a:solidFill>
            <a:srgbClr val="FF6600"/>
          </a:solidFill>
          <a:headEnd type="oval"/>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15</xdr:col>
      <xdr:colOff>0</xdr:colOff>
      <xdr:row>79</xdr:row>
      <xdr:rowOff>0</xdr:rowOff>
    </xdr:from>
    <xdr:to>
      <xdr:col>16</xdr:col>
      <xdr:colOff>19050</xdr:colOff>
      <xdr:row>79</xdr:row>
      <xdr:rowOff>0</xdr:rowOff>
    </xdr:to>
    <xdr:sp>
      <xdr:nvSpPr>
        <xdr:cNvPr id="176" name="Line 50564"/>
        <xdr:cNvSpPr>
          <a:spLocks/>
        </xdr:cNvSpPr>
      </xdr:nvSpPr>
      <xdr:spPr>
        <a:xfrm>
          <a:off x="6019800" y="11287125"/>
          <a:ext cx="390525" cy="0"/>
        </a:xfrm>
        <a:prstGeom prst="line">
          <a:avLst/>
        </a:prstGeom>
        <a:noFill/>
        <a:ln w="19050" cmpd="sng">
          <a:solidFill>
            <a:srgbClr val="FF6600"/>
          </a:solidFill>
          <a:headEnd type="oval"/>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14</xdr:col>
      <xdr:colOff>0</xdr:colOff>
      <xdr:row>29</xdr:row>
      <xdr:rowOff>76200</xdr:rowOff>
    </xdr:from>
    <xdr:to>
      <xdr:col>14</xdr:col>
      <xdr:colOff>0</xdr:colOff>
      <xdr:row>34</xdr:row>
      <xdr:rowOff>0</xdr:rowOff>
    </xdr:to>
    <xdr:sp>
      <xdr:nvSpPr>
        <xdr:cNvPr id="177" name="Line 50565"/>
        <xdr:cNvSpPr>
          <a:spLocks/>
        </xdr:cNvSpPr>
      </xdr:nvSpPr>
      <xdr:spPr>
        <a:xfrm flipV="1">
          <a:off x="5648325" y="4219575"/>
          <a:ext cx="0" cy="6381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19</xdr:col>
      <xdr:colOff>361950</xdr:colOff>
      <xdr:row>41</xdr:row>
      <xdr:rowOff>0</xdr:rowOff>
    </xdr:from>
    <xdr:to>
      <xdr:col>21</xdr:col>
      <xdr:colOff>266700</xdr:colOff>
      <xdr:row>41</xdr:row>
      <xdr:rowOff>0</xdr:rowOff>
    </xdr:to>
    <xdr:sp>
      <xdr:nvSpPr>
        <xdr:cNvPr id="178" name="Line 50566"/>
        <xdr:cNvSpPr>
          <a:spLocks/>
        </xdr:cNvSpPr>
      </xdr:nvSpPr>
      <xdr:spPr>
        <a:xfrm>
          <a:off x="7867650" y="5857875"/>
          <a:ext cx="6477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14</xdr:col>
      <xdr:colOff>38100</xdr:colOff>
      <xdr:row>28</xdr:row>
      <xdr:rowOff>114300</xdr:rowOff>
    </xdr:from>
    <xdr:to>
      <xdr:col>14</xdr:col>
      <xdr:colOff>180975</xdr:colOff>
      <xdr:row>30</xdr:row>
      <xdr:rowOff>76200</xdr:rowOff>
    </xdr:to>
    <xdr:sp>
      <xdr:nvSpPr>
        <xdr:cNvPr id="179" name="Text Box 50567"/>
        <xdr:cNvSpPr txBox="1">
          <a:spLocks noChangeArrowheads="1"/>
        </xdr:cNvSpPr>
      </xdr:nvSpPr>
      <xdr:spPr>
        <a:xfrm>
          <a:off x="5686425" y="4114800"/>
          <a:ext cx="142875" cy="247650"/>
        </a:xfrm>
        <a:prstGeom prst="rect">
          <a:avLst/>
        </a:prstGeom>
        <a:noFill/>
        <a:ln w="9525" cmpd="sng">
          <a:noFill/>
        </a:ln>
      </xdr:spPr>
      <xdr:txBody>
        <a:bodyPr vertOverflow="clip" wrap="square" lIns="27432" tIns="41148" rIns="0" bIns="0"/>
        <a:p>
          <a:pPr algn="l">
            <a:defRPr/>
          </a:pPr>
          <a:r>
            <a:rPr lang="en-US" cap="none" sz="1200" b="1" i="0" u="none" baseline="0">
              <a:solidFill>
                <a:srgbClr val="000000"/>
              </a:solidFill>
              <a:latin typeface="AngsanaUPC"/>
              <a:ea typeface="AngsanaUPC"/>
              <a:cs typeface="AngsanaUPC"/>
            </a:rPr>
            <a:t>Y</a:t>
          </a:r>
        </a:p>
      </xdr:txBody>
    </xdr:sp>
    <xdr:clientData/>
  </xdr:twoCellAnchor>
  <xdr:twoCellAnchor>
    <xdr:from>
      <xdr:col>21</xdr:col>
      <xdr:colOff>161925</xdr:colOff>
      <xdr:row>39</xdr:row>
      <xdr:rowOff>76200</xdr:rowOff>
    </xdr:from>
    <xdr:to>
      <xdr:col>21</xdr:col>
      <xdr:colOff>304800</xdr:colOff>
      <xdr:row>41</xdr:row>
      <xdr:rowOff>38100</xdr:rowOff>
    </xdr:to>
    <xdr:sp>
      <xdr:nvSpPr>
        <xdr:cNvPr id="180" name="Text Box 50568"/>
        <xdr:cNvSpPr txBox="1">
          <a:spLocks noChangeArrowheads="1"/>
        </xdr:cNvSpPr>
      </xdr:nvSpPr>
      <xdr:spPr>
        <a:xfrm>
          <a:off x="8410575" y="5648325"/>
          <a:ext cx="142875" cy="247650"/>
        </a:xfrm>
        <a:prstGeom prst="rect">
          <a:avLst/>
        </a:prstGeom>
        <a:noFill/>
        <a:ln w="9525" cmpd="sng">
          <a:noFill/>
        </a:ln>
      </xdr:spPr>
      <xdr:txBody>
        <a:bodyPr vertOverflow="clip" wrap="square" lIns="27432" tIns="41148" rIns="0" bIns="0"/>
        <a:p>
          <a:pPr algn="l">
            <a:defRPr/>
          </a:pPr>
          <a:r>
            <a:rPr lang="en-US" cap="none" sz="1200" b="1" i="0" u="none" baseline="0">
              <a:solidFill>
                <a:srgbClr val="000000"/>
              </a:solidFill>
              <a:latin typeface="AngsanaUPC"/>
              <a:ea typeface="AngsanaUPC"/>
              <a:cs typeface="AngsanaUPC"/>
            </a:rPr>
            <a:t>X</a:t>
          </a:r>
        </a:p>
      </xdr:txBody>
    </xdr:sp>
    <xdr:clientData/>
  </xdr:twoCellAnchor>
  <xdr:twoCellAnchor>
    <xdr:from>
      <xdr:col>7</xdr:col>
      <xdr:colOff>266700</xdr:colOff>
      <xdr:row>131</xdr:row>
      <xdr:rowOff>57150</xdr:rowOff>
    </xdr:from>
    <xdr:to>
      <xdr:col>14</xdr:col>
      <xdr:colOff>95250</xdr:colOff>
      <xdr:row>133</xdr:row>
      <xdr:rowOff>9525</xdr:rowOff>
    </xdr:to>
    <xdr:sp>
      <xdr:nvSpPr>
        <xdr:cNvPr id="181" name="Rectangle 50485"/>
        <xdr:cNvSpPr>
          <a:spLocks/>
        </xdr:cNvSpPr>
      </xdr:nvSpPr>
      <xdr:spPr>
        <a:xfrm>
          <a:off x="3314700" y="18773775"/>
          <a:ext cx="2428875" cy="23812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11</xdr:col>
      <xdr:colOff>152400</xdr:colOff>
      <xdr:row>118</xdr:row>
      <xdr:rowOff>133350</xdr:rowOff>
    </xdr:from>
    <xdr:to>
      <xdr:col>15</xdr:col>
      <xdr:colOff>266700</xdr:colOff>
      <xdr:row>140</xdr:row>
      <xdr:rowOff>95250</xdr:rowOff>
    </xdr:to>
    <xdr:grpSp>
      <xdr:nvGrpSpPr>
        <xdr:cNvPr id="182" name="Group 122"/>
        <xdr:cNvGrpSpPr>
          <a:grpSpLocks/>
        </xdr:cNvGrpSpPr>
      </xdr:nvGrpSpPr>
      <xdr:grpSpPr>
        <a:xfrm flipH="1">
          <a:off x="4686300" y="16992600"/>
          <a:ext cx="1600200" cy="3105150"/>
          <a:chOff x="4014325" y="18046210"/>
          <a:chExt cx="1550475" cy="2381251"/>
        </a:xfrm>
        <a:solidFill>
          <a:srgbClr val="FFFFFF"/>
        </a:solidFill>
      </xdr:grpSpPr>
      <xdr:sp>
        <xdr:nvSpPr>
          <xdr:cNvPr id="183" name="Straight Connector 123"/>
          <xdr:cNvSpPr>
            <a:spLocks/>
          </xdr:cNvSpPr>
        </xdr:nvSpPr>
        <xdr:spPr>
          <a:xfrm rot="5400000">
            <a:off x="3184047" y="19236836"/>
            <a:ext cx="2381142" cy="0"/>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84" name="Straight Connector 124"/>
          <xdr:cNvSpPr>
            <a:spLocks/>
          </xdr:cNvSpPr>
        </xdr:nvSpPr>
        <xdr:spPr>
          <a:xfrm flipH="1">
            <a:off x="4014325" y="20420317"/>
            <a:ext cx="359710" cy="0"/>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9</xdr:col>
      <xdr:colOff>228600</xdr:colOff>
      <xdr:row>119</xdr:row>
      <xdr:rowOff>0</xdr:rowOff>
    </xdr:from>
    <xdr:to>
      <xdr:col>13</xdr:col>
      <xdr:colOff>304800</xdr:colOff>
      <xdr:row>140</xdr:row>
      <xdr:rowOff>76200</xdr:rowOff>
    </xdr:to>
    <xdr:grpSp>
      <xdr:nvGrpSpPr>
        <xdr:cNvPr id="185" name="Group 121"/>
        <xdr:cNvGrpSpPr>
          <a:grpSpLocks/>
        </xdr:cNvGrpSpPr>
      </xdr:nvGrpSpPr>
      <xdr:grpSpPr>
        <a:xfrm>
          <a:off x="4019550" y="17002125"/>
          <a:ext cx="1562100" cy="3076575"/>
          <a:chOff x="3993173" y="18046210"/>
          <a:chExt cx="1571627" cy="2381251"/>
        </a:xfrm>
        <a:solidFill>
          <a:srgbClr val="FFFFFF"/>
        </a:solidFill>
      </xdr:grpSpPr>
      <xdr:sp>
        <xdr:nvSpPr>
          <xdr:cNvPr id="186" name="Straight Connector 117"/>
          <xdr:cNvSpPr>
            <a:spLocks/>
          </xdr:cNvSpPr>
        </xdr:nvSpPr>
        <xdr:spPr>
          <a:xfrm rot="5400000">
            <a:off x="3183786" y="19236836"/>
            <a:ext cx="2381408" cy="0"/>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187" name="Straight Connector 120"/>
          <xdr:cNvSpPr>
            <a:spLocks/>
          </xdr:cNvSpPr>
        </xdr:nvSpPr>
        <xdr:spPr>
          <a:xfrm rot="10800000">
            <a:off x="3993173" y="20427461"/>
            <a:ext cx="381120" cy="0"/>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2</xdr:col>
      <xdr:colOff>219075</xdr:colOff>
      <xdr:row>142</xdr:row>
      <xdr:rowOff>0</xdr:rowOff>
    </xdr:from>
    <xdr:to>
      <xdr:col>2</xdr:col>
      <xdr:colOff>571500</xdr:colOff>
      <xdr:row>142</xdr:row>
      <xdr:rowOff>0</xdr:rowOff>
    </xdr:to>
    <xdr:sp>
      <xdr:nvSpPr>
        <xdr:cNvPr id="188" name="Line 50569"/>
        <xdr:cNvSpPr>
          <a:spLocks/>
        </xdr:cNvSpPr>
      </xdr:nvSpPr>
      <xdr:spPr>
        <a:xfrm flipH="1">
          <a:off x="1200150" y="20288250"/>
          <a:ext cx="352425" cy="0"/>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xdr:col>
      <xdr:colOff>438150</xdr:colOff>
      <xdr:row>119</xdr:row>
      <xdr:rowOff>123825</xdr:rowOff>
    </xdr:from>
    <xdr:to>
      <xdr:col>2</xdr:col>
      <xdr:colOff>438150</xdr:colOff>
      <xdr:row>141</xdr:row>
      <xdr:rowOff>133350</xdr:rowOff>
    </xdr:to>
    <xdr:sp>
      <xdr:nvSpPr>
        <xdr:cNvPr id="189" name="Line 50571"/>
        <xdr:cNvSpPr>
          <a:spLocks/>
        </xdr:cNvSpPr>
      </xdr:nvSpPr>
      <xdr:spPr>
        <a:xfrm>
          <a:off x="1419225" y="17125950"/>
          <a:ext cx="0" cy="315277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15</xdr:col>
      <xdr:colOff>9525</xdr:colOff>
      <xdr:row>142</xdr:row>
      <xdr:rowOff>85725</xdr:rowOff>
    </xdr:from>
    <xdr:to>
      <xdr:col>15</xdr:col>
      <xdr:colOff>361950</xdr:colOff>
      <xdr:row>142</xdr:row>
      <xdr:rowOff>85725</xdr:rowOff>
    </xdr:to>
    <xdr:sp>
      <xdr:nvSpPr>
        <xdr:cNvPr id="190" name="Line 50572"/>
        <xdr:cNvSpPr>
          <a:spLocks/>
        </xdr:cNvSpPr>
      </xdr:nvSpPr>
      <xdr:spPr>
        <a:xfrm>
          <a:off x="6029325" y="20373975"/>
          <a:ext cx="352425" cy="0"/>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15</xdr:col>
      <xdr:colOff>9525</xdr:colOff>
      <xdr:row>144</xdr:row>
      <xdr:rowOff>9525</xdr:rowOff>
    </xdr:from>
    <xdr:to>
      <xdr:col>15</xdr:col>
      <xdr:colOff>361950</xdr:colOff>
      <xdr:row>144</xdr:row>
      <xdr:rowOff>9525</xdr:rowOff>
    </xdr:to>
    <xdr:sp>
      <xdr:nvSpPr>
        <xdr:cNvPr id="191" name="Line 50573"/>
        <xdr:cNvSpPr>
          <a:spLocks/>
        </xdr:cNvSpPr>
      </xdr:nvSpPr>
      <xdr:spPr>
        <a:xfrm>
          <a:off x="6029325" y="20583525"/>
          <a:ext cx="352425" cy="0"/>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12</xdr:col>
      <xdr:colOff>38100</xdr:colOff>
      <xdr:row>129</xdr:row>
      <xdr:rowOff>0</xdr:rowOff>
    </xdr:from>
    <xdr:to>
      <xdr:col>12</xdr:col>
      <xdr:colOff>38100</xdr:colOff>
      <xdr:row>141</xdr:row>
      <xdr:rowOff>76200</xdr:rowOff>
    </xdr:to>
    <xdr:sp>
      <xdr:nvSpPr>
        <xdr:cNvPr id="192" name="Line 50492"/>
        <xdr:cNvSpPr>
          <a:spLocks/>
        </xdr:cNvSpPr>
      </xdr:nvSpPr>
      <xdr:spPr>
        <a:xfrm flipV="1">
          <a:off x="4943475" y="18430875"/>
          <a:ext cx="0" cy="1790700"/>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15</xdr:col>
      <xdr:colOff>104775</xdr:colOff>
      <xdr:row>26</xdr:row>
      <xdr:rowOff>0</xdr:rowOff>
    </xdr:from>
    <xdr:to>
      <xdr:col>15</xdr:col>
      <xdr:colOff>104775</xdr:colOff>
      <xdr:row>29</xdr:row>
      <xdr:rowOff>76200</xdr:rowOff>
    </xdr:to>
    <xdr:sp>
      <xdr:nvSpPr>
        <xdr:cNvPr id="193" name="Line 50578"/>
        <xdr:cNvSpPr>
          <a:spLocks/>
        </xdr:cNvSpPr>
      </xdr:nvSpPr>
      <xdr:spPr>
        <a:xfrm>
          <a:off x="6124575" y="3714750"/>
          <a:ext cx="0" cy="504825"/>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17</xdr:col>
      <xdr:colOff>0</xdr:colOff>
      <xdr:row>26</xdr:row>
      <xdr:rowOff>0</xdr:rowOff>
    </xdr:from>
    <xdr:to>
      <xdr:col>17</xdr:col>
      <xdr:colOff>0</xdr:colOff>
      <xdr:row>29</xdr:row>
      <xdr:rowOff>95250</xdr:rowOff>
    </xdr:to>
    <xdr:sp>
      <xdr:nvSpPr>
        <xdr:cNvPr id="194" name="Line 50579"/>
        <xdr:cNvSpPr>
          <a:spLocks/>
        </xdr:cNvSpPr>
      </xdr:nvSpPr>
      <xdr:spPr>
        <a:xfrm>
          <a:off x="6762750" y="3714750"/>
          <a:ext cx="0" cy="523875"/>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18</xdr:col>
      <xdr:colOff>247650</xdr:colOff>
      <xdr:row>26</xdr:row>
      <xdr:rowOff>9525</xdr:rowOff>
    </xdr:from>
    <xdr:to>
      <xdr:col>18</xdr:col>
      <xdr:colOff>247650</xdr:colOff>
      <xdr:row>29</xdr:row>
      <xdr:rowOff>85725</xdr:rowOff>
    </xdr:to>
    <xdr:sp>
      <xdr:nvSpPr>
        <xdr:cNvPr id="195" name="Line 50580"/>
        <xdr:cNvSpPr>
          <a:spLocks/>
        </xdr:cNvSpPr>
      </xdr:nvSpPr>
      <xdr:spPr>
        <a:xfrm>
          <a:off x="7381875" y="3724275"/>
          <a:ext cx="0" cy="504825"/>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15</xdr:col>
      <xdr:colOff>114300</xdr:colOff>
      <xdr:row>28</xdr:row>
      <xdr:rowOff>133350</xdr:rowOff>
    </xdr:from>
    <xdr:to>
      <xdr:col>17</xdr:col>
      <xdr:colOff>0</xdr:colOff>
      <xdr:row>28</xdr:row>
      <xdr:rowOff>133350</xdr:rowOff>
    </xdr:to>
    <xdr:sp>
      <xdr:nvSpPr>
        <xdr:cNvPr id="196" name="Line 50581"/>
        <xdr:cNvSpPr>
          <a:spLocks/>
        </xdr:cNvSpPr>
      </xdr:nvSpPr>
      <xdr:spPr>
        <a:xfrm>
          <a:off x="6134100" y="4133850"/>
          <a:ext cx="62865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17</xdr:col>
      <xdr:colOff>9525</xdr:colOff>
      <xdr:row>28</xdr:row>
      <xdr:rowOff>133350</xdr:rowOff>
    </xdr:from>
    <xdr:to>
      <xdr:col>18</xdr:col>
      <xdr:colOff>266700</xdr:colOff>
      <xdr:row>28</xdr:row>
      <xdr:rowOff>133350</xdr:rowOff>
    </xdr:to>
    <xdr:sp>
      <xdr:nvSpPr>
        <xdr:cNvPr id="197" name="Line 50582"/>
        <xdr:cNvSpPr>
          <a:spLocks/>
        </xdr:cNvSpPr>
      </xdr:nvSpPr>
      <xdr:spPr>
        <a:xfrm>
          <a:off x="6772275" y="4133850"/>
          <a:ext cx="62865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16</xdr:col>
      <xdr:colOff>9525</xdr:colOff>
      <xdr:row>27</xdr:row>
      <xdr:rowOff>95250</xdr:rowOff>
    </xdr:from>
    <xdr:to>
      <xdr:col>16</xdr:col>
      <xdr:colOff>200025</xdr:colOff>
      <xdr:row>29</xdr:row>
      <xdr:rowOff>0</xdr:rowOff>
    </xdr:to>
    <xdr:sp>
      <xdr:nvSpPr>
        <xdr:cNvPr id="198" name="Text Box 50583"/>
        <xdr:cNvSpPr txBox="1">
          <a:spLocks noChangeArrowheads="1"/>
        </xdr:cNvSpPr>
      </xdr:nvSpPr>
      <xdr:spPr>
        <a:xfrm>
          <a:off x="6400800" y="3952875"/>
          <a:ext cx="190500" cy="190500"/>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L</a:t>
          </a:r>
        </a:p>
      </xdr:txBody>
    </xdr:sp>
    <xdr:clientData/>
  </xdr:twoCellAnchor>
  <xdr:twoCellAnchor>
    <xdr:from>
      <xdr:col>17</xdr:col>
      <xdr:colOff>257175</xdr:colOff>
      <xdr:row>27</xdr:row>
      <xdr:rowOff>95250</xdr:rowOff>
    </xdr:from>
    <xdr:to>
      <xdr:col>18</xdr:col>
      <xdr:colOff>47625</xdr:colOff>
      <xdr:row>29</xdr:row>
      <xdr:rowOff>0</xdr:rowOff>
    </xdr:to>
    <xdr:sp>
      <xdr:nvSpPr>
        <xdr:cNvPr id="199" name="Text Box 50584"/>
        <xdr:cNvSpPr txBox="1">
          <a:spLocks noChangeArrowheads="1"/>
        </xdr:cNvSpPr>
      </xdr:nvSpPr>
      <xdr:spPr>
        <a:xfrm>
          <a:off x="7019925" y="3952875"/>
          <a:ext cx="161925" cy="190500"/>
        </a:xfrm>
        <a:prstGeom prst="rect">
          <a:avLst/>
        </a:prstGeom>
        <a:noFill/>
        <a:ln w="9525" cmpd="sng">
          <a:noFill/>
        </a:ln>
      </xdr:spPr>
      <xdr:txBody>
        <a:bodyPr vertOverflow="clip" wrap="square" lIns="27432" tIns="41148" rIns="0" bIns="0"/>
        <a:p>
          <a:pPr algn="l">
            <a:defRPr/>
          </a:pPr>
          <a:r>
            <a:rPr lang="en-US" cap="none" sz="1200" b="0" i="0" u="none" baseline="0">
              <a:solidFill>
                <a:srgbClr val="000000"/>
              </a:solidFill>
              <a:latin typeface="AngsanaUPC"/>
              <a:ea typeface="AngsanaUPC"/>
              <a:cs typeface="AngsanaUPC"/>
            </a:rPr>
            <a:t>L</a:t>
          </a:r>
        </a:p>
      </xdr:txBody>
    </xdr:sp>
    <xdr:clientData/>
  </xdr:twoCellAnchor>
  <xdr:twoCellAnchor>
    <xdr:from>
      <xdr:col>14</xdr:col>
      <xdr:colOff>228600</xdr:colOff>
      <xdr:row>131</xdr:row>
      <xdr:rowOff>28575</xdr:rowOff>
    </xdr:from>
    <xdr:to>
      <xdr:col>14</xdr:col>
      <xdr:colOff>295275</xdr:colOff>
      <xdr:row>131</xdr:row>
      <xdr:rowOff>104775</xdr:rowOff>
    </xdr:to>
    <xdr:sp>
      <xdr:nvSpPr>
        <xdr:cNvPr id="200" name="Rectangle 50586"/>
        <xdr:cNvSpPr>
          <a:spLocks/>
        </xdr:cNvSpPr>
      </xdr:nvSpPr>
      <xdr:spPr>
        <a:xfrm>
          <a:off x="5876925" y="18745200"/>
          <a:ext cx="66675" cy="76200"/>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8</xdr:col>
      <xdr:colOff>133350</xdr:colOff>
      <xdr:row>151</xdr:row>
      <xdr:rowOff>95250</xdr:rowOff>
    </xdr:from>
    <xdr:to>
      <xdr:col>9</xdr:col>
      <xdr:colOff>257175</xdr:colOff>
      <xdr:row>152</xdr:row>
      <xdr:rowOff>19050</xdr:rowOff>
    </xdr:to>
    <xdr:sp>
      <xdr:nvSpPr>
        <xdr:cNvPr id="201" name="Rectangle 50587"/>
        <xdr:cNvSpPr>
          <a:spLocks/>
        </xdr:cNvSpPr>
      </xdr:nvSpPr>
      <xdr:spPr>
        <a:xfrm>
          <a:off x="3552825" y="21669375"/>
          <a:ext cx="495300" cy="6667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12</xdr:col>
      <xdr:colOff>114300</xdr:colOff>
      <xdr:row>151</xdr:row>
      <xdr:rowOff>95250</xdr:rowOff>
    </xdr:from>
    <xdr:to>
      <xdr:col>13</xdr:col>
      <xdr:colOff>238125</xdr:colOff>
      <xdr:row>152</xdr:row>
      <xdr:rowOff>19050</xdr:rowOff>
    </xdr:to>
    <xdr:sp>
      <xdr:nvSpPr>
        <xdr:cNvPr id="202" name="Rectangle 50588"/>
        <xdr:cNvSpPr>
          <a:spLocks/>
        </xdr:cNvSpPr>
      </xdr:nvSpPr>
      <xdr:spPr>
        <a:xfrm>
          <a:off x="5019675" y="21669375"/>
          <a:ext cx="495300" cy="66675"/>
        </a:xfrm>
        <a:prstGeom prst="rect">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8</xdr:col>
      <xdr:colOff>76200</xdr:colOff>
      <xdr:row>151</xdr:row>
      <xdr:rowOff>85725</xdr:rowOff>
    </xdr:from>
    <xdr:to>
      <xdr:col>9</xdr:col>
      <xdr:colOff>333375</xdr:colOff>
      <xdr:row>151</xdr:row>
      <xdr:rowOff>85725</xdr:rowOff>
    </xdr:to>
    <xdr:sp>
      <xdr:nvSpPr>
        <xdr:cNvPr id="203" name="Line 50589"/>
        <xdr:cNvSpPr>
          <a:spLocks/>
        </xdr:cNvSpPr>
      </xdr:nvSpPr>
      <xdr:spPr>
        <a:xfrm>
          <a:off x="3495675" y="21659850"/>
          <a:ext cx="6286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20</xdr:col>
      <xdr:colOff>152400</xdr:colOff>
      <xdr:row>302</xdr:row>
      <xdr:rowOff>85725</xdr:rowOff>
    </xdr:from>
    <xdr:to>
      <xdr:col>22</xdr:col>
      <xdr:colOff>38100</xdr:colOff>
      <xdr:row>302</xdr:row>
      <xdr:rowOff>85725</xdr:rowOff>
    </xdr:to>
    <xdr:sp>
      <xdr:nvSpPr>
        <xdr:cNvPr id="204" name="Line 50590"/>
        <xdr:cNvSpPr>
          <a:spLocks/>
        </xdr:cNvSpPr>
      </xdr:nvSpPr>
      <xdr:spPr>
        <a:xfrm>
          <a:off x="8029575" y="43233975"/>
          <a:ext cx="6286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12</xdr:col>
      <xdr:colOff>85725</xdr:colOff>
      <xdr:row>151</xdr:row>
      <xdr:rowOff>85725</xdr:rowOff>
    </xdr:from>
    <xdr:to>
      <xdr:col>13</xdr:col>
      <xdr:colOff>295275</xdr:colOff>
      <xdr:row>151</xdr:row>
      <xdr:rowOff>85725</xdr:rowOff>
    </xdr:to>
    <xdr:sp>
      <xdr:nvSpPr>
        <xdr:cNvPr id="205" name="Line 50591"/>
        <xdr:cNvSpPr>
          <a:spLocks/>
        </xdr:cNvSpPr>
      </xdr:nvSpPr>
      <xdr:spPr>
        <a:xfrm>
          <a:off x="4991100" y="21659850"/>
          <a:ext cx="5810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14</xdr:col>
      <xdr:colOff>0</xdr:colOff>
      <xdr:row>72</xdr:row>
      <xdr:rowOff>0</xdr:rowOff>
    </xdr:from>
    <xdr:to>
      <xdr:col>20</xdr:col>
      <xdr:colOff>0</xdr:colOff>
      <xdr:row>72</xdr:row>
      <xdr:rowOff>0</xdr:rowOff>
    </xdr:to>
    <xdr:sp>
      <xdr:nvSpPr>
        <xdr:cNvPr id="206" name="Line 50592"/>
        <xdr:cNvSpPr>
          <a:spLocks/>
        </xdr:cNvSpPr>
      </xdr:nvSpPr>
      <xdr:spPr>
        <a:xfrm>
          <a:off x="5648325" y="10287000"/>
          <a:ext cx="222885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13</xdr:col>
      <xdr:colOff>247650</xdr:colOff>
      <xdr:row>73</xdr:row>
      <xdr:rowOff>9525</xdr:rowOff>
    </xdr:from>
    <xdr:to>
      <xdr:col>13</xdr:col>
      <xdr:colOff>247650</xdr:colOff>
      <xdr:row>80</xdr:row>
      <xdr:rowOff>0</xdr:rowOff>
    </xdr:to>
    <xdr:sp>
      <xdr:nvSpPr>
        <xdr:cNvPr id="207" name="Line 50593"/>
        <xdr:cNvSpPr>
          <a:spLocks/>
        </xdr:cNvSpPr>
      </xdr:nvSpPr>
      <xdr:spPr>
        <a:xfrm>
          <a:off x="5524500" y="10439400"/>
          <a:ext cx="0" cy="99060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18</xdr:col>
      <xdr:colOff>19050</xdr:colOff>
      <xdr:row>38</xdr:row>
      <xdr:rowOff>133350</xdr:rowOff>
    </xdr:from>
    <xdr:to>
      <xdr:col>18</xdr:col>
      <xdr:colOff>276225</xdr:colOff>
      <xdr:row>38</xdr:row>
      <xdr:rowOff>133350</xdr:rowOff>
    </xdr:to>
    <xdr:sp>
      <xdr:nvSpPr>
        <xdr:cNvPr id="208" name="Line 50597"/>
        <xdr:cNvSpPr>
          <a:spLocks/>
        </xdr:cNvSpPr>
      </xdr:nvSpPr>
      <xdr:spPr>
        <a:xfrm>
          <a:off x="7153275" y="5562600"/>
          <a:ext cx="257175" cy="0"/>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7</xdr:col>
      <xdr:colOff>47625</xdr:colOff>
      <xdr:row>131</xdr:row>
      <xdr:rowOff>66675</xdr:rowOff>
    </xdr:from>
    <xdr:to>
      <xdr:col>14</xdr:col>
      <xdr:colOff>323850</xdr:colOff>
      <xdr:row>131</xdr:row>
      <xdr:rowOff>66675</xdr:rowOff>
    </xdr:to>
    <xdr:sp>
      <xdr:nvSpPr>
        <xdr:cNvPr id="209" name="Line 50602"/>
        <xdr:cNvSpPr>
          <a:spLocks/>
        </xdr:cNvSpPr>
      </xdr:nvSpPr>
      <xdr:spPr>
        <a:xfrm>
          <a:off x="3095625" y="18783300"/>
          <a:ext cx="2876550" cy="0"/>
        </a:xfrm>
        <a:prstGeom prst="line">
          <a:avLst/>
        </a:prstGeom>
        <a:noFill/>
        <a:ln w="19050" cmpd="sng">
          <a:solidFill>
            <a:srgbClr val="80808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15</xdr:col>
      <xdr:colOff>38100</xdr:colOff>
      <xdr:row>56</xdr:row>
      <xdr:rowOff>0</xdr:rowOff>
    </xdr:from>
    <xdr:to>
      <xdr:col>15</xdr:col>
      <xdr:colOff>209550</xdr:colOff>
      <xdr:row>60</xdr:row>
      <xdr:rowOff>9525</xdr:rowOff>
    </xdr:to>
    <xdr:grpSp>
      <xdr:nvGrpSpPr>
        <xdr:cNvPr id="210" name="Group 50609"/>
        <xdr:cNvGrpSpPr>
          <a:grpSpLocks/>
        </xdr:cNvGrpSpPr>
      </xdr:nvGrpSpPr>
      <xdr:grpSpPr>
        <a:xfrm>
          <a:off x="6057900" y="8001000"/>
          <a:ext cx="171450" cy="581025"/>
          <a:chOff x="636" y="825"/>
          <a:chExt cx="18" cy="61"/>
        </a:xfrm>
        <a:solidFill>
          <a:srgbClr val="FFFFFF"/>
        </a:solidFill>
      </xdr:grpSpPr>
      <xdr:sp>
        <xdr:nvSpPr>
          <xdr:cNvPr id="211" name="Line 50607"/>
          <xdr:cNvSpPr>
            <a:spLocks/>
          </xdr:cNvSpPr>
        </xdr:nvSpPr>
        <xdr:spPr>
          <a:xfrm>
            <a:off x="636" y="825"/>
            <a:ext cx="0" cy="61"/>
          </a:xfrm>
          <a:prstGeom prst="line">
            <a:avLst/>
          </a:prstGeom>
          <a:noFill/>
          <a:ln w="9525"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12" name="Line 50608"/>
          <xdr:cNvSpPr>
            <a:spLocks/>
          </xdr:cNvSpPr>
        </xdr:nvSpPr>
        <xdr:spPr>
          <a:xfrm>
            <a:off x="654" y="825"/>
            <a:ext cx="0" cy="61"/>
          </a:xfrm>
          <a:prstGeom prst="line">
            <a:avLst/>
          </a:prstGeom>
          <a:noFill/>
          <a:ln w="9525"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18</xdr:col>
      <xdr:colOff>180975</xdr:colOff>
      <xdr:row>56</xdr:row>
      <xdr:rowOff>0</xdr:rowOff>
    </xdr:from>
    <xdr:to>
      <xdr:col>18</xdr:col>
      <xdr:colOff>352425</xdr:colOff>
      <xdr:row>60</xdr:row>
      <xdr:rowOff>9525</xdr:rowOff>
    </xdr:to>
    <xdr:grpSp>
      <xdr:nvGrpSpPr>
        <xdr:cNvPr id="213" name="Group 50610"/>
        <xdr:cNvGrpSpPr>
          <a:grpSpLocks/>
        </xdr:cNvGrpSpPr>
      </xdr:nvGrpSpPr>
      <xdr:grpSpPr>
        <a:xfrm>
          <a:off x="7315200" y="8001000"/>
          <a:ext cx="171450" cy="581025"/>
          <a:chOff x="636" y="825"/>
          <a:chExt cx="18" cy="61"/>
        </a:xfrm>
        <a:solidFill>
          <a:srgbClr val="FFFFFF"/>
        </a:solidFill>
      </xdr:grpSpPr>
      <xdr:sp>
        <xdr:nvSpPr>
          <xdr:cNvPr id="214" name="Line 50611"/>
          <xdr:cNvSpPr>
            <a:spLocks/>
          </xdr:cNvSpPr>
        </xdr:nvSpPr>
        <xdr:spPr>
          <a:xfrm>
            <a:off x="636" y="825"/>
            <a:ext cx="0" cy="61"/>
          </a:xfrm>
          <a:prstGeom prst="line">
            <a:avLst/>
          </a:prstGeom>
          <a:noFill/>
          <a:ln w="9525"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15" name="Line 50612"/>
          <xdr:cNvSpPr>
            <a:spLocks/>
          </xdr:cNvSpPr>
        </xdr:nvSpPr>
        <xdr:spPr>
          <a:xfrm>
            <a:off x="654" y="825"/>
            <a:ext cx="0" cy="61"/>
          </a:xfrm>
          <a:prstGeom prst="line">
            <a:avLst/>
          </a:prstGeom>
          <a:noFill/>
          <a:ln w="9525"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26</xdr:col>
      <xdr:colOff>104775</xdr:colOff>
      <xdr:row>62</xdr:row>
      <xdr:rowOff>0</xdr:rowOff>
    </xdr:from>
    <xdr:to>
      <xdr:col>30</xdr:col>
      <xdr:colOff>266700</xdr:colOff>
      <xdr:row>80</xdr:row>
      <xdr:rowOff>0</xdr:rowOff>
    </xdr:to>
    <xdr:grpSp>
      <xdr:nvGrpSpPr>
        <xdr:cNvPr id="216" name="Group 50615"/>
        <xdr:cNvGrpSpPr>
          <a:grpSpLocks/>
        </xdr:cNvGrpSpPr>
      </xdr:nvGrpSpPr>
      <xdr:grpSpPr>
        <a:xfrm>
          <a:off x="10067925" y="8858250"/>
          <a:ext cx="1762125" cy="2571750"/>
          <a:chOff x="682" y="1530"/>
          <a:chExt cx="173" cy="270"/>
        </a:xfrm>
        <a:solidFill>
          <a:srgbClr val="FFFFFF"/>
        </a:solidFill>
      </xdr:grpSpPr>
      <xdr:sp>
        <xdr:nvSpPr>
          <xdr:cNvPr id="217" name="Rectangle 50616"/>
          <xdr:cNvSpPr>
            <a:spLocks/>
          </xdr:cNvSpPr>
        </xdr:nvSpPr>
        <xdr:spPr>
          <a:xfrm>
            <a:off x="682" y="1635"/>
            <a:ext cx="17" cy="82"/>
          </a:xfrm>
          <a:prstGeom prst="rect">
            <a:avLst/>
          </a:prstGeom>
          <a:solidFill>
            <a:srgbClr val="C0C0C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18" name="Line 50617"/>
          <xdr:cNvSpPr>
            <a:spLocks/>
          </xdr:cNvSpPr>
        </xdr:nvSpPr>
        <xdr:spPr>
          <a:xfrm flipV="1">
            <a:off x="768" y="1530"/>
            <a:ext cx="0" cy="104"/>
          </a:xfrm>
          <a:prstGeom prst="line">
            <a:avLst/>
          </a:prstGeom>
          <a:noFill/>
          <a:ln w="9525"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19" name="Rectangle 50618"/>
          <xdr:cNvSpPr>
            <a:spLocks/>
          </xdr:cNvSpPr>
        </xdr:nvSpPr>
        <xdr:spPr>
          <a:xfrm>
            <a:off x="720" y="1635"/>
            <a:ext cx="17" cy="82"/>
          </a:xfrm>
          <a:prstGeom prst="rect">
            <a:avLst/>
          </a:prstGeom>
          <a:solidFill>
            <a:srgbClr val="C0C0C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20" name="Rectangle 50619"/>
          <xdr:cNvSpPr>
            <a:spLocks/>
          </xdr:cNvSpPr>
        </xdr:nvSpPr>
        <xdr:spPr>
          <a:xfrm>
            <a:off x="760" y="1635"/>
            <a:ext cx="17" cy="82"/>
          </a:xfrm>
          <a:prstGeom prst="rect">
            <a:avLst/>
          </a:prstGeom>
          <a:solidFill>
            <a:srgbClr val="C0C0C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21" name="Rectangle 50620"/>
          <xdr:cNvSpPr>
            <a:spLocks/>
          </xdr:cNvSpPr>
        </xdr:nvSpPr>
        <xdr:spPr>
          <a:xfrm>
            <a:off x="798" y="1635"/>
            <a:ext cx="17" cy="82"/>
          </a:xfrm>
          <a:prstGeom prst="rect">
            <a:avLst/>
          </a:prstGeom>
          <a:solidFill>
            <a:srgbClr val="C0C0C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22" name="Rectangle 50621"/>
          <xdr:cNvSpPr>
            <a:spLocks/>
          </xdr:cNvSpPr>
        </xdr:nvSpPr>
        <xdr:spPr>
          <a:xfrm>
            <a:off x="838" y="1635"/>
            <a:ext cx="17" cy="82"/>
          </a:xfrm>
          <a:prstGeom prst="rect">
            <a:avLst/>
          </a:prstGeom>
          <a:solidFill>
            <a:srgbClr val="C0C0C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23" name="Line 50622"/>
          <xdr:cNvSpPr>
            <a:spLocks/>
          </xdr:cNvSpPr>
        </xdr:nvSpPr>
        <xdr:spPr>
          <a:xfrm>
            <a:off x="690" y="1717"/>
            <a:ext cx="0" cy="22"/>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24" name="Line 50623"/>
          <xdr:cNvSpPr>
            <a:spLocks/>
          </xdr:cNvSpPr>
        </xdr:nvSpPr>
        <xdr:spPr>
          <a:xfrm>
            <a:off x="729" y="1717"/>
            <a:ext cx="0" cy="38"/>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25" name="Line 50624"/>
          <xdr:cNvSpPr>
            <a:spLocks/>
          </xdr:cNvSpPr>
        </xdr:nvSpPr>
        <xdr:spPr>
          <a:xfrm>
            <a:off x="768" y="1717"/>
            <a:ext cx="0" cy="53"/>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26" name="Line 50625"/>
          <xdr:cNvSpPr>
            <a:spLocks/>
          </xdr:cNvSpPr>
        </xdr:nvSpPr>
        <xdr:spPr>
          <a:xfrm flipV="1">
            <a:off x="807" y="1716"/>
            <a:ext cx="0" cy="67"/>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27" name="Line 50626"/>
          <xdr:cNvSpPr>
            <a:spLocks/>
          </xdr:cNvSpPr>
        </xdr:nvSpPr>
        <xdr:spPr>
          <a:xfrm flipV="1">
            <a:off x="846" y="1717"/>
            <a:ext cx="0" cy="83"/>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28" name="Line 50627"/>
          <xdr:cNvSpPr>
            <a:spLocks/>
          </xdr:cNvSpPr>
        </xdr:nvSpPr>
        <xdr:spPr>
          <a:xfrm>
            <a:off x="689" y="1605"/>
            <a:ext cx="16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29" name="Line 50628"/>
          <xdr:cNvSpPr>
            <a:spLocks/>
          </xdr:cNvSpPr>
        </xdr:nvSpPr>
        <xdr:spPr>
          <a:xfrm>
            <a:off x="720" y="1544"/>
            <a:ext cx="98"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30" name="Line 50629"/>
          <xdr:cNvSpPr>
            <a:spLocks/>
          </xdr:cNvSpPr>
        </xdr:nvSpPr>
        <xdr:spPr>
          <a:xfrm flipH="1">
            <a:off x="710" y="1583"/>
            <a:ext cx="55" cy="0"/>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4</xdr:col>
      <xdr:colOff>180975</xdr:colOff>
      <xdr:row>120</xdr:row>
      <xdr:rowOff>9525</xdr:rowOff>
    </xdr:from>
    <xdr:to>
      <xdr:col>4</xdr:col>
      <xdr:colOff>180975</xdr:colOff>
      <xdr:row>131</xdr:row>
      <xdr:rowOff>19050</xdr:rowOff>
    </xdr:to>
    <xdr:sp>
      <xdr:nvSpPr>
        <xdr:cNvPr id="231" name="Line 50630"/>
        <xdr:cNvSpPr>
          <a:spLocks/>
        </xdr:cNvSpPr>
      </xdr:nvSpPr>
      <xdr:spPr>
        <a:xfrm flipV="1">
          <a:off x="2114550" y="17154525"/>
          <a:ext cx="0" cy="158115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10</xdr:col>
      <xdr:colOff>190500</xdr:colOff>
      <xdr:row>123</xdr:row>
      <xdr:rowOff>38100</xdr:rowOff>
    </xdr:from>
    <xdr:to>
      <xdr:col>11</xdr:col>
      <xdr:colOff>200025</xdr:colOff>
      <xdr:row>123</xdr:row>
      <xdr:rowOff>76200</xdr:rowOff>
    </xdr:to>
    <xdr:grpSp>
      <xdr:nvGrpSpPr>
        <xdr:cNvPr id="232" name="Group 141"/>
        <xdr:cNvGrpSpPr>
          <a:grpSpLocks/>
        </xdr:cNvGrpSpPr>
      </xdr:nvGrpSpPr>
      <xdr:grpSpPr>
        <a:xfrm>
          <a:off x="4352925" y="17611725"/>
          <a:ext cx="381000" cy="38100"/>
          <a:chOff x="6093325" y="19250291"/>
          <a:chExt cx="455205" cy="45721"/>
        </a:xfrm>
        <a:solidFill>
          <a:srgbClr val="FFFFFF"/>
        </a:solidFill>
      </xdr:grpSpPr>
      <xdr:sp>
        <xdr:nvSpPr>
          <xdr:cNvPr id="233" name="Straight Connector 142"/>
          <xdr:cNvSpPr>
            <a:spLocks/>
          </xdr:cNvSpPr>
        </xdr:nvSpPr>
        <xdr:spPr>
          <a:xfrm>
            <a:off x="6127465" y="19261721"/>
            <a:ext cx="375544" cy="0"/>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34" name="Oval 143"/>
          <xdr:cNvSpPr>
            <a:spLocks/>
          </xdr:cNvSpPr>
        </xdr:nvSpPr>
        <xdr:spPr>
          <a:xfrm>
            <a:off x="6503010"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35" name="Oval 144"/>
          <xdr:cNvSpPr>
            <a:spLocks/>
          </xdr:cNvSpPr>
        </xdr:nvSpPr>
        <xdr:spPr>
          <a:xfrm>
            <a:off x="6093325"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10</xdr:col>
      <xdr:colOff>190500</xdr:colOff>
      <xdr:row>125</xdr:row>
      <xdr:rowOff>133350</xdr:rowOff>
    </xdr:from>
    <xdr:to>
      <xdr:col>11</xdr:col>
      <xdr:colOff>200025</xdr:colOff>
      <xdr:row>126</xdr:row>
      <xdr:rowOff>28575</xdr:rowOff>
    </xdr:to>
    <xdr:grpSp>
      <xdr:nvGrpSpPr>
        <xdr:cNvPr id="236" name="Group 141"/>
        <xdr:cNvGrpSpPr>
          <a:grpSpLocks/>
        </xdr:cNvGrpSpPr>
      </xdr:nvGrpSpPr>
      <xdr:grpSpPr>
        <a:xfrm>
          <a:off x="4352925" y="17992725"/>
          <a:ext cx="381000" cy="38100"/>
          <a:chOff x="6093325" y="19250291"/>
          <a:chExt cx="455205" cy="45721"/>
        </a:xfrm>
        <a:solidFill>
          <a:srgbClr val="FFFFFF"/>
        </a:solidFill>
      </xdr:grpSpPr>
      <xdr:sp>
        <xdr:nvSpPr>
          <xdr:cNvPr id="237" name="Straight Connector 142"/>
          <xdr:cNvSpPr>
            <a:spLocks/>
          </xdr:cNvSpPr>
        </xdr:nvSpPr>
        <xdr:spPr>
          <a:xfrm>
            <a:off x="6127465" y="19261721"/>
            <a:ext cx="375544" cy="0"/>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38" name="Oval 143"/>
          <xdr:cNvSpPr>
            <a:spLocks/>
          </xdr:cNvSpPr>
        </xdr:nvSpPr>
        <xdr:spPr>
          <a:xfrm>
            <a:off x="6503010"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39" name="Oval 144"/>
          <xdr:cNvSpPr>
            <a:spLocks/>
          </xdr:cNvSpPr>
        </xdr:nvSpPr>
        <xdr:spPr>
          <a:xfrm>
            <a:off x="6093325"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10</xdr:col>
      <xdr:colOff>190500</xdr:colOff>
      <xdr:row>127</xdr:row>
      <xdr:rowOff>9525</xdr:rowOff>
    </xdr:from>
    <xdr:to>
      <xdr:col>11</xdr:col>
      <xdr:colOff>200025</xdr:colOff>
      <xdr:row>127</xdr:row>
      <xdr:rowOff>47625</xdr:rowOff>
    </xdr:to>
    <xdr:grpSp>
      <xdr:nvGrpSpPr>
        <xdr:cNvPr id="240" name="Group 141"/>
        <xdr:cNvGrpSpPr>
          <a:grpSpLocks/>
        </xdr:cNvGrpSpPr>
      </xdr:nvGrpSpPr>
      <xdr:grpSpPr>
        <a:xfrm>
          <a:off x="4352925" y="18154650"/>
          <a:ext cx="381000" cy="38100"/>
          <a:chOff x="6093325" y="19250291"/>
          <a:chExt cx="455205" cy="45721"/>
        </a:xfrm>
        <a:solidFill>
          <a:srgbClr val="FFFFFF"/>
        </a:solidFill>
      </xdr:grpSpPr>
      <xdr:sp>
        <xdr:nvSpPr>
          <xdr:cNvPr id="241" name="Straight Connector 142"/>
          <xdr:cNvSpPr>
            <a:spLocks/>
          </xdr:cNvSpPr>
        </xdr:nvSpPr>
        <xdr:spPr>
          <a:xfrm>
            <a:off x="6127465" y="19261721"/>
            <a:ext cx="375544" cy="0"/>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42" name="Oval 143"/>
          <xdr:cNvSpPr>
            <a:spLocks/>
          </xdr:cNvSpPr>
        </xdr:nvSpPr>
        <xdr:spPr>
          <a:xfrm>
            <a:off x="6503010"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43" name="Oval 144"/>
          <xdr:cNvSpPr>
            <a:spLocks/>
          </xdr:cNvSpPr>
        </xdr:nvSpPr>
        <xdr:spPr>
          <a:xfrm>
            <a:off x="6093325"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10</xdr:col>
      <xdr:colOff>190500</xdr:colOff>
      <xdr:row>124</xdr:row>
      <xdr:rowOff>95250</xdr:rowOff>
    </xdr:from>
    <xdr:to>
      <xdr:col>11</xdr:col>
      <xdr:colOff>200025</xdr:colOff>
      <xdr:row>124</xdr:row>
      <xdr:rowOff>133350</xdr:rowOff>
    </xdr:to>
    <xdr:grpSp>
      <xdr:nvGrpSpPr>
        <xdr:cNvPr id="244" name="Group 141"/>
        <xdr:cNvGrpSpPr>
          <a:grpSpLocks/>
        </xdr:cNvGrpSpPr>
      </xdr:nvGrpSpPr>
      <xdr:grpSpPr>
        <a:xfrm>
          <a:off x="4352925" y="17811750"/>
          <a:ext cx="381000" cy="38100"/>
          <a:chOff x="6093325" y="19250291"/>
          <a:chExt cx="455205" cy="45721"/>
        </a:xfrm>
        <a:solidFill>
          <a:srgbClr val="FFFFFF"/>
        </a:solidFill>
      </xdr:grpSpPr>
      <xdr:sp>
        <xdr:nvSpPr>
          <xdr:cNvPr id="245" name="Straight Connector 142"/>
          <xdr:cNvSpPr>
            <a:spLocks/>
          </xdr:cNvSpPr>
        </xdr:nvSpPr>
        <xdr:spPr>
          <a:xfrm>
            <a:off x="6127465" y="19261721"/>
            <a:ext cx="375544" cy="0"/>
          </a:xfrm>
          <a:prstGeom prst="line">
            <a:avLst/>
          </a:prstGeom>
          <a:noFill/>
          <a:ln w="12700"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46" name="Oval 143"/>
          <xdr:cNvSpPr>
            <a:spLocks/>
          </xdr:cNvSpPr>
        </xdr:nvSpPr>
        <xdr:spPr>
          <a:xfrm>
            <a:off x="6503010"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47" name="Oval 144"/>
          <xdr:cNvSpPr>
            <a:spLocks/>
          </xdr:cNvSpPr>
        </xdr:nvSpPr>
        <xdr:spPr>
          <a:xfrm>
            <a:off x="6093325" y="19250291"/>
            <a:ext cx="45521" cy="45721"/>
          </a:xfrm>
          <a:prstGeom prst="ellipse">
            <a:avLst/>
          </a:prstGeom>
          <a:solidFill>
            <a:srgbClr val="0000FF"/>
          </a:solidFill>
          <a:ln w="3175" cmpd="sng">
            <a:solidFill>
              <a:srgbClr val="0000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xdr:from>
      <xdr:col>11</xdr:col>
      <xdr:colOff>342900</xdr:colOff>
      <xdr:row>105</xdr:row>
      <xdr:rowOff>9525</xdr:rowOff>
    </xdr:from>
    <xdr:to>
      <xdr:col>16</xdr:col>
      <xdr:colOff>95250</xdr:colOff>
      <xdr:row>106</xdr:row>
      <xdr:rowOff>133350</xdr:rowOff>
    </xdr:to>
    <xdr:grpSp>
      <xdr:nvGrpSpPr>
        <xdr:cNvPr id="248" name="Group 272"/>
        <xdr:cNvGrpSpPr>
          <a:grpSpLocks/>
        </xdr:cNvGrpSpPr>
      </xdr:nvGrpSpPr>
      <xdr:grpSpPr>
        <a:xfrm>
          <a:off x="4876800" y="15011400"/>
          <a:ext cx="1609725" cy="266700"/>
          <a:chOff x="4876800" y="15012194"/>
          <a:chExt cx="1610122" cy="267494"/>
        </a:xfrm>
        <a:solidFill>
          <a:srgbClr val="FFFFFF"/>
        </a:solidFill>
      </xdr:grpSpPr>
      <xdr:sp>
        <xdr:nvSpPr>
          <xdr:cNvPr id="249" name="Straight Connector 259"/>
          <xdr:cNvSpPr>
            <a:spLocks/>
          </xdr:cNvSpPr>
        </xdr:nvSpPr>
        <xdr:spPr>
          <a:xfrm>
            <a:off x="4876800" y="15279688"/>
            <a:ext cx="1495401" cy="0"/>
          </a:xfrm>
          <a:prstGeom prst="line">
            <a:avLst/>
          </a:prstGeom>
          <a:noFill/>
          <a:ln w="28575" cmpd="sng">
            <a:solidFill>
              <a:srgbClr val="000000"/>
            </a:solidFill>
            <a:prstDash val="lgDashDot"/>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sp>
        <xdr:nvSpPr>
          <xdr:cNvPr id="250" name="Straight Arrow Connector 261"/>
          <xdr:cNvSpPr>
            <a:spLocks/>
          </xdr:cNvSpPr>
        </xdr:nvSpPr>
        <xdr:spPr>
          <a:xfrm rot="5400000" flipH="1" flipV="1">
            <a:off x="6219239" y="15145941"/>
            <a:ext cx="267683" cy="0"/>
          </a:xfrm>
          <a:prstGeom prst="straightConnector1">
            <a:avLst/>
          </a:prstGeom>
          <a:noFill/>
          <a:ln w="47625" cmpd="sng">
            <a:solidFill>
              <a:srgbClr val="000000"/>
            </a:solidFill>
            <a:prstDash val="lgDashDot"/>
            <a:headEnd type="none"/>
            <a:tailEnd type="stealth"/>
          </a:ln>
        </xdr:spPr>
        <xdr:txBody>
          <a:bodyPr vertOverflow="clip" wrap="square" lIns="91440" tIns="45720" rIns="91440" bIns="45720"/>
          <a:p>
            <a:pPr algn="l">
              <a:defRPr/>
            </a:pPr>
            <a:r>
              <a:rPr lang="en-US" cap="none" u="none" baseline="0">
                <a:latin typeface="AngsanaUPC"/>
                <a:ea typeface="AngsanaUPC"/>
                <a:cs typeface="AngsanaUPC"/>
              </a:rPr>
              <a:t/>
            </a:r>
          </a:p>
        </xdr:txBody>
      </xdr:sp>
    </xdr:grpSp>
    <xdr:clientData/>
  </xdr:twoCellAnchor>
  <xdr:twoCellAnchor editAs="oneCell">
    <xdr:from>
      <xdr:col>1</xdr:col>
      <xdr:colOff>104775</xdr:colOff>
      <xdr:row>1</xdr:row>
      <xdr:rowOff>28575</xdr:rowOff>
    </xdr:from>
    <xdr:to>
      <xdr:col>2</xdr:col>
      <xdr:colOff>238125</xdr:colOff>
      <xdr:row>4</xdr:row>
      <xdr:rowOff>114300</xdr:rowOff>
    </xdr:to>
    <xdr:pic>
      <xdr:nvPicPr>
        <xdr:cNvPr id="251" name="Picture 76591"/>
        <xdr:cNvPicPr preferRelativeResize="1">
          <a:picLocks noChangeAspect="1"/>
        </xdr:cNvPicPr>
      </xdr:nvPicPr>
      <xdr:blipFill>
        <a:blip r:embed="rId2"/>
        <a:stretch>
          <a:fillRect/>
        </a:stretch>
      </xdr:blipFill>
      <xdr:spPr>
        <a:xfrm>
          <a:off x="714375" y="171450"/>
          <a:ext cx="504825" cy="514350"/>
        </a:xfrm>
        <a:prstGeom prst="rect">
          <a:avLst/>
        </a:prstGeom>
        <a:noFill/>
        <a:ln w="9525" cmpd="sng">
          <a:noFill/>
        </a:ln>
      </xdr:spPr>
    </xdr:pic>
    <xdr:clientData/>
  </xdr:twoCellAnchor>
  <xdr:twoCellAnchor editAs="oneCell">
    <xdr:from>
      <xdr:col>1</xdr:col>
      <xdr:colOff>104775</xdr:colOff>
      <xdr:row>85</xdr:row>
      <xdr:rowOff>28575</xdr:rowOff>
    </xdr:from>
    <xdr:to>
      <xdr:col>2</xdr:col>
      <xdr:colOff>238125</xdr:colOff>
      <xdr:row>88</xdr:row>
      <xdr:rowOff>114300</xdr:rowOff>
    </xdr:to>
    <xdr:pic>
      <xdr:nvPicPr>
        <xdr:cNvPr id="252" name="Picture 76591"/>
        <xdr:cNvPicPr preferRelativeResize="1">
          <a:picLocks noChangeAspect="1"/>
        </xdr:cNvPicPr>
      </xdr:nvPicPr>
      <xdr:blipFill>
        <a:blip r:embed="rId2"/>
        <a:stretch>
          <a:fillRect/>
        </a:stretch>
      </xdr:blipFill>
      <xdr:spPr>
        <a:xfrm>
          <a:off x="714375" y="12172950"/>
          <a:ext cx="504825"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1</xdr:row>
      <xdr:rowOff>0</xdr:rowOff>
    </xdr:from>
    <xdr:to>
      <xdr:col>29</xdr:col>
      <xdr:colOff>0</xdr:colOff>
      <xdr:row>4</xdr:row>
      <xdr:rowOff>0</xdr:rowOff>
    </xdr:to>
    <xdr:sp>
      <xdr:nvSpPr>
        <xdr:cNvPr id="1" name="Rectangle 29"/>
        <xdr:cNvSpPr>
          <a:spLocks/>
        </xdr:cNvSpPr>
      </xdr:nvSpPr>
      <xdr:spPr>
        <a:xfrm>
          <a:off x="6610350" y="200025"/>
          <a:ext cx="1219200" cy="6477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6</xdr:col>
      <xdr:colOff>19050</xdr:colOff>
      <xdr:row>8</xdr:row>
      <xdr:rowOff>19050</xdr:rowOff>
    </xdr:from>
    <xdr:to>
      <xdr:col>8</xdr:col>
      <xdr:colOff>790575</xdr:colOff>
      <xdr:row>28</xdr:row>
      <xdr:rowOff>0</xdr:rowOff>
    </xdr:to>
    <xdr:graphicFrame>
      <xdr:nvGraphicFramePr>
        <xdr:cNvPr id="2" name="Chart 31"/>
        <xdr:cNvGraphicFramePr/>
      </xdr:nvGraphicFramePr>
      <xdr:xfrm>
        <a:off x="3990975" y="1514475"/>
        <a:ext cx="1990725" cy="3219450"/>
      </xdr:xfrm>
      <a:graphic>
        <a:graphicData uri="http://schemas.openxmlformats.org/drawingml/2006/chart">
          <c:chart xmlns:c="http://schemas.openxmlformats.org/drawingml/2006/chart" r:id="rId1"/>
        </a:graphicData>
      </a:graphic>
    </xdr:graphicFrame>
    <xdr:clientData/>
  </xdr:twoCellAnchor>
  <xdr:twoCellAnchor>
    <xdr:from>
      <xdr:col>6</xdr:col>
      <xdr:colOff>152400</xdr:colOff>
      <xdr:row>13</xdr:row>
      <xdr:rowOff>19050</xdr:rowOff>
    </xdr:from>
    <xdr:to>
      <xdr:col>6</xdr:col>
      <xdr:colOff>152400</xdr:colOff>
      <xdr:row>15</xdr:row>
      <xdr:rowOff>57150</xdr:rowOff>
    </xdr:to>
    <xdr:sp>
      <xdr:nvSpPr>
        <xdr:cNvPr id="3" name="Line 32"/>
        <xdr:cNvSpPr>
          <a:spLocks/>
        </xdr:cNvSpPr>
      </xdr:nvSpPr>
      <xdr:spPr>
        <a:xfrm flipV="1">
          <a:off x="4124325" y="2324100"/>
          <a:ext cx="0" cy="3619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8</xdr:col>
      <xdr:colOff>266700</xdr:colOff>
      <xdr:row>27</xdr:row>
      <xdr:rowOff>19050</xdr:rowOff>
    </xdr:from>
    <xdr:to>
      <xdr:col>8</xdr:col>
      <xdr:colOff>628650</xdr:colOff>
      <xdr:row>27</xdr:row>
      <xdr:rowOff>19050</xdr:rowOff>
    </xdr:to>
    <xdr:sp>
      <xdr:nvSpPr>
        <xdr:cNvPr id="4" name="Line 33"/>
        <xdr:cNvSpPr>
          <a:spLocks/>
        </xdr:cNvSpPr>
      </xdr:nvSpPr>
      <xdr:spPr>
        <a:xfrm>
          <a:off x="5457825" y="4591050"/>
          <a:ext cx="3619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33</xdr:col>
      <xdr:colOff>38100</xdr:colOff>
      <xdr:row>65</xdr:row>
      <xdr:rowOff>76200</xdr:rowOff>
    </xdr:from>
    <xdr:to>
      <xdr:col>33</xdr:col>
      <xdr:colOff>342900</xdr:colOff>
      <xdr:row>65</xdr:row>
      <xdr:rowOff>76200</xdr:rowOff>
    </xdr:to>
    <xdr:sp>
      <xdr:nvSpPr>
        <xdr:cNvPr id="5" name="Line 35"/>
        <xdr:cNvSpPr>
          <a:spLocks/>
        </xdr:cNvSpPr>
      </xdr:nvSpPr>
      <xdr:spPr>
        <a:xfrm flipH="1">
          <a:off x="10306050" y="10963275"/>
          <a:ext cx="3048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33</xdr:col>
      <xdr:colOff>38100</xdr:colOff>
      <xdr:row>89</xdr:row>
      <xdr:rowOff>66675</xdr:rowOff>
    </xdr:from>
    <xdr:to>
      <xdr:col>33</xdr:col>
      <xdr:colOff>342900</xdr:colOff>
      <xdr:row>89</xdr:row>
      <xdr:rowOff>66675</xdr:rowOff>
    </xdr:to>
    <xdr:sp>
      <xdr:nvSpPr>
        <xdr:cNvPr id="6" name="Line 36"/>
        <xdr:cNvSpPr>
          <a:spLocks/>
        </xdr:cNvSpPr>
      </xdr:nvSpPr>
      <xdr:spPr>
        <a:xfrm flipH="1">
          <a:off x="10306050" y="14839950"/>
          <a:ext cx="3048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33</xdr:col>
      <xdr:colOff>342900</xdr:colOff>
      <xdr:row>65</xdr:row>
      <xdr:rowOff>76200</xdr:rowOff>
    </xdr:from>
    <xdr:to>
      <xdr:col>33</xdr:col>
      <xdr:colOff>342900</xdr:colOff>
      <xdr:row>89</xdr:row>
      <xdr:rowOff>66675</xdr:rowOff>
    </xdr:to>
    <xdr:sp>
      <xdr:nvSpPr>
        <xdr:cNvPr id="7" name="Line 37"/>
        <xdr:cNvSpPr>
          <a:spLocks/>
        </xdr:cNvSpPr>
      </xdr:nvSpPr>
      <xdr:spPr>
        <a:xfrm>
          <a:off x="10610850" y="10963275"/>
          <a:ext cx="0" cy="3876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33</xdr:col>
      <xdr:colOff>342900</xdr:colOff>
      <xdr:row>77</xdr:row>
      <xdr:rowOff>0</xdr:rowOff>
    </xdr:from>
    <xdr:to>
      <xdr:col>33</xdr:col>
      <xdr:colOff>581025</xdr:colOff>
      <xdr:row>77</xdr:row>
      <xdr:rowOff>0</xdr:rowOff>
    </xdr:to>
    <xdr:sp>
      <xdr:nvSpPr>
        <xdr:cNvPr id="8" name="Line 38"/>
        <xdr:cNvSpPr>
          <a:spLocks/>
        </xdr:cNvSpPr>
      </xdr:nvSpPr>
      <xdr:spPr>
        <a:xfrm>
          <a:off x="10610850" y="12830175"/>
          <a:ext cx="238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27</xdr:col>
      <xdr:colOff>66675</xdr:colOff>
      <xdr:row>7</xdr:row>
      <xdr:rowOff>38100</xdr:rowOff>
    </xdr:from>
    <xdr:to>
      <xdr:col>27</xdr:col>
      <xdr:colOff>161925</xdr:colOff>
      <xdr:row>7</xdr:row>
      <xdr:rowOff>133350</xdr:rowOff>
    </xdr:to>
    <xdr:sp>
      <xdr:nvSpPr>
        <xdr:cNvPr id="9" name="Oval 40"/>
        <xdr:cNvSpPr>
          <a:spLocks/>
        </xdr:cNvSpPr>
      </xdr:nvSpPr>
      <xdr:spPr>
        <a:xfrm>
          <a:off x="6677025" y="1371600"/>
          <a:ext cx="95250" cy="95250"/>
        </a:xfrm>
        <a:prstGeom prst="ellipse">
          <a:avLst/>
        </a:prstGeom>
        <a:solidFill>
          <a:srgbClr val="FFFFFF"/>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26</xdr:col>
      <xdr:colOff>428625</xdr:colOff>
      <xdr:row>6</xdr:row>
      <xdr:rowOff>85725</xdr:rowOff>
    </xdr:from>
    <xdr:to>
      <xdr:col>28</xdr:col>
      <xdr:colOff>371475</xdr:colOff>
      <xdr:row>13</xdr:row>
      <xdr:rowOff>57150</xdr:rowOff>
    </xdr:to>
    <xdr:sp>
      <xdr:nvSpPr>
        <xdr:cNvPr id="10" name="Rectangle 41"/>
        <xdr:cNvSpPr>
          <a:spLocks/>
        </xdr:cNvSpPr>
      </xdr:nvSpPr>
      <xdr:spPr>
        <a:xfrm>
          <a:off x="6429375" y="1257300"/>
          <a:ext cx="1162050" cy="11049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26</xdr:col>
      <xdr:colOff>428625</xdr:colOff>
      <xdr:row>5</xdr:row>
      <xdr:rowOff>85725</xdr:rowOff>
    </xdr:from>
    <xdr:to>
      <xdr:col>26</xdr:col>
      <xdr:colOff>428625</xdr:colOff>
      <xdr:row>6</xdr:row>
      <xdr:rowOff>76200</xdr:rowOff>
    </xdr:to>
    <xdr:sp>
      <xdr:nvSpPr>
        <xdr:cNvPr id="11" name="Line 42"/>
        <xdr:cNvSpPr>
          <a:spLocks/>
        </xdr:cNvSpPr>
      </xdr:nvSpPr>
      <xdr:spPr>
        <a:xfrm flipV="1">
          <a:off x="6429375" y="1095375"/>
          <a:ext cx="0" cy="152400"/>
        </a:xfrm>
        <a:prstGeom prst="line">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26</xdr:col>
      <xdr:colOff>314325</xdr:colOff>
      <xdr:row>13</xdr:row>
      <xdr:rowOff>57150</xdr:rowOff>
    </xdr:from>
    <xdr:to>
      <xdr:col>26</xdr:col>
      <xdr:colOff>428625</xdr:colOff>
      <xdr:row>14</xdr:row>
      <xdr:rowOff>9525</xdr:rowOff>
    </xdr:to>
    <xdr:sp>
      <xdr:nvSpPr>
        <xdr:cNvPr id="12" name="Line 43"/>
        <xdr:cNvSpPr>
          <a:spLocks/>
        </xdr:cNvSpPr>
      </xdr:nvSpPr>
      <xdr:spPr>
        <a:xfrm flipH="1">
          <a:off x="6315075" y="2362200"/>
          <a:ext cx="114300" cy="114300"/>
        </a:xfrm>
        <a:prstGeom prst="line">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28</xdr:col>
      <xdr:colOff>381000</xdr:colOff>
      <xdr:row>13</xdr:row>
      <xdr:rowOff>57150</xdr:rowOff>
    </xdr:from>
    <xdr:to>
      <xdr:col>28</xdr:col>
      <xdr:colOff>533400</xdr:colOff>
      <xdr:row>13</xdr:row>
      <xdr:rowOff>57150</xdr:rowOff>
    </xdr:to>
    <xdr:sp>
      <xdr:nvSpPr>
        <xdr:cNvPr id="13" name="Line 44"/>
        <xdr:cNvSpPr>
          <a:spLocks/>
        </xdr:cNvSpPr>
      </xdr:nvSpPr>
      <xdr:spPr>
        <a:xfrm flipV="1">
          <a:off x="7600950" y="2362200"/>
          <a:ext cx="152400" cy="0"/>
        </a:xfrm>
        <a:prstGeom prst="line">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26</xdr:col>
      <xdr:colOff>428625</xdr:colOff>
      <xdr:row>19</xdr:row>
      <xdr:rowOff>142875</xdr:rowOff>
    </xdr:from>
    <xdr:to>
      <xdr:col>28</xdr:col>
      <xdr:colOff>371475</xdr:colOff>
      <xdr:row>21</xdr:row>
      <xdr:rowOff>47625</xdr:rowOff>
    </xdr:to>
    <xdr:sp>
      <xdr:nvSpPr>
        <xdr:cNvPr id="14" name="Rectangle 45"/>
        <xdr:cNvSpPr>
          <a:spLocks/>
        </xdr:cNvSpPr>
      </xdr:nvSpPr>
      <xdr:spPr>
        <a:xfrm>
          <a:off x="6429375" y="3419475"/>
          <a:ext cx="1162050" cy="2286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27</xdr:col>
      <xdr:colOff>247650</xdr:colOff>
      <xdr:row>18</xdr:row>
      <xdr:rowOff>152400</xdr:rowOff>
    </xdr:from>
    <xdr:to>
      <xdr:col>27</xdr:col>
      <xdr:colOff>552450</xdr:colOff>
      <xdr:row>19</xdr:row>
      <xdr:rowOff>142875</xdr:rowOff>
    </xdr:to>
    <xdr:sp>
      <xdr:nvSpPr>
        <xdr:cNvPr id="15" name="Rectangle 46"/>
        <xdr:cNvSpPr>
          <a:spLocks/>
        </xdr:cNvSpPr>
      </xdr:nvSpPr>
      <xdr:spPr>
        <a:xfrm>
          <a:off x="6858000" y="3267075"/>
          <a:ext cx="304800" cy="1524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26</xdr:col>
      <xdr:colOff>542925</xdr:colOff>
      <xdr:row>21</xdr:row>
      <xdr:rowOff>47625</xdr:rowOff>
    </xdr:from>
    <xdr:to>
      <xdr:col>26</xdr:col>
      <xdr:colOff>542925</xdr:colOff>
      <xdr:row>23</xdr:row>
      <xdr:rowOff>76200</xdr:rowOff>
    </xdr:to>
    <xdr:sp>
      <xdr:nvSpPr>
        <xdr:cNvPr id="16" name="Line 47"/>
        <xdr:cNvSpPr>
          <a:spLocks/>
        </xdr:cNvSpPr>
      </xdr:nvSpPr>
      <xdr:spPr>
        <a:xfrm>
          <a:off x="6543675" y="3648075"/>
          <a:ext cx="0" cy="352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27</xdr:col>
      <xdr:colOff>76200</xdr:colOff>
      <xdr:row>21</xdr:row>
      <xdr:rowOff>47625</xdr:rowOff>
    </xdr:from>
    <xdr:to>
      <xdr:col>27</xdr:col>
      <xdr:colOff>76200</xdr:colOff>
      <xdr:row>23</xdr:row>
      <xdr:rowOff>76200</xdr:rowOff>
    </xdr:to>
    <xdr:sp>
      <xdr:nvSpPr>
        <xdr:cNvPr id="17" name="Line 48"/>
        <xdr:cNvSpPr>
          <a:spLocks/>
        </xdr:cNvSpPr>
      </xdr:nvSpPr>
      <xdr:spPr>
        <a:xfrm>
          <a:off x="6686550" y="3648075"/>
          <a:ext cx="0" cy="352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26</xdr:col>
      <xdr:colOff>466725</xdr:colOff>
      <xdr:row>23</xdr:row>
      <xdr:rowOff>76200</xdr:rowOff>
    </xdr:from>
    <xdr:to>
      <xdr:col>26</xdr:col>
      <xdr:colOff>571500</xdr:colOff>
      <xdr:row>23</xdr:row>
      <xdr:rowOff>76200</xdr:rowOff>
    </xdr:to>
    <xdr:sp>
      <xdr:nvSpPr>
        <xdr:cNvPr id="18" name="Line 49"/>
        <xdr:cNvSpPr>
          <a:spLocks/>
        </xdr:cNvSpPr>
      </xdr:nvSpPr>
      <xdr:spPr>
        <a:xfrm>
          <a:off x="6467475" y="4000500"/>
          <a:ext cx="104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27</xdr:col>
      <xdr:colOff>38100</xdr:colOff>
      <xdr:row>23</xdr:row>
      <xdr:rowOff>76200</xdr:rowOff>
    </xdr:from>
    <xdr:to>
      <xdr:col>27</xdr:col>
      <xdr:colOff>142875</xdr:colOff>
      <xdr:row>23</xdr:row>
      <xdr:rowOff>76200</xdr:rowOff>
    </xdr:to>
    <xdr:sp>
      <xdr:nvSpPr>
        <xdr:cNvPr id="19" name="Line 50"/>
        <xdr:cNvSpPr>
          <a:spLocks/>
        </xdr:cNvSpPr>
      </xdr:nvSpPr>
      <xdr:spPr>
        <a:xfrm>
          <a:off x="6648450" y="4000500"/>
          <a:ext cx="104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26</xdr:col>
      <xdr:colOff>571500</xdr:colOff>
      <xdr:row>23</xdr:row>
      <xdr:rowOff>76200</xdr:rowOff>
    </xdr:from>
    <xdr:to>
      <xdr:col>26</xdr:col>
      <xdr:colOff>590550</xdr:colOff>
      <xdr:row>23</xdr:row>
      <xdr:rowOff>95250</xdr:rowOff>
    </xdr:to>
    <xdr:sp>
      <xdr:nvSpPr>
        <xdr:cNvPr id="20" name="Line 51"/>
        <xdr:cNvSpPr>
          <a:spLocks/>
        </xdr:cNvSpPr>
      </xdr:nvSpPr>
      <xdr:spPr>
        <a:xfrm>
          <a:off x="6572250" y="4000500"/>
          <a:ext cx="1905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27</xdr:col>
      <xdr:colOff>19050</xdr:colOff>
      <xdr:row>23</xdr:row>
      <xdr:rowOff>57150</xdr:rowOff>
    </xdr:from>
    <xdr:to>
      <xdr:col>27</xdr:col>
      <xdr:colOff>38100</xdr:colOff>
      <xdr:row>23</xdr:row>
      <xdr:rowOff>76200</xdr:rowOff>
    </xdr:to>
    <xdr:sp>
      <xdr:nvSpPr>
        <xdr:cNvPr id="21" name="Line 52"/>
        <xdr:cNvSpPr>
          <a:spLocks/>
        </xdr:cNvSpPr>
      </xdr:nvSpPr>
      <xdr:spPr>
        <a:xfrm flipH="1" flipV="1">
          <a:off x="6629400" y="3981450"/>
          <a:ext cx="1905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26</xdr:col>
      <xdr:colOff>590550</xdr:colOff>
      <xdr:row>23</xdr:row>
      <xdr:rowOff>57150</xdr:rowOff>
    </xdr:from>
    <xdr:to>
      <xdr:col>27</xdr:col>
      <xdr:colOff>19050</xdr:colOff>
      <xdr:row>23</xdr:row>
      <xdr:rowOff>95250</xdr:rowOff>
    </xdr:to>
    <xdr:sp>
      <xdr:nvSpPr>
        <xdr:cNvPr id="22" name="Line 53"/>
        <xdr:cNvSpPr>
          <a:spLocks/>
        </xdr:cNvSpPr>
      </xdr:nvSpPr>
      <xdr:spPr>
        <a:xfrm flipV="1">
          <a:off x="6591300" y="3981450"/>
          <a:ext cx="38100" cy="38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28</xdr:col>
      <xdr:colOff>114300</xdr:colOff>
      <xdr:row>21</xdr:row>
      <xdr:rowOff>47625</xdr:rowOff>
    </xdr:from>
    <xdr:to>
      <xdr:col>28</xdr:col>
      <xdr:colOff>114300</xdr:colOff>
      <xdr:row>23</xdr:row>
      <xdr:rowOff>76200</xdr:rowOff>
    </xdr:to>
    <xdr:sp>
      <xdr:nvSpPr>
        <xdr:cNvPr id="23" name="Line 54"/>
        <xdr:cNvSpPr>
          <a:spLocks/>
        </xdr:cNvSpPr>
      </xdr:nvSpPr>
      <xdr:spPr>
        <a:xfrm>
          <a:off x="7334250" y="3648075"/>
          <a:ext cx="0" cy="352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28</xdr:col>
      <xdr:colOff>257175</xdr:colOff>
      <xdr:row>21</xdr:row>
      <xdr:rowOff>47625</xdr:rowOff>
    </xdr:from>
    <xdr:to>
      <xdr:col>28</xdr:col>
      <xdr:colOff>257175</xdr:colOff>
      <xdr:row>23</xdr:row>
      <xdr:rowOff>76200</xdr:rowOff>
    </xdr:to>
    <xdr:sp>
      <xdr:nvSpPr>
        <xdr:cNvPr id="24" name="Line 55"/>
        <xdr:cNvSpPr>
          <a:spLocks/>
        </xdr:cNvSpPr>
      </xdr:nvSpPr>
      <xdr:spPr>
        <a:xfrm>
          <a:off x="7477125" y="3648075"/>
          <a:ext cx="0" cy="352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28</xdr:col>
      <xdr:colOff>38100</xdr:colOff>
      <xdr:row>23</xdr:row>
      <xdr:rowOff>76200</xdr:rowOff>
    </xdr:from>
    <xdr:to>
      <xdr:col>28</xdr:col>
      <xdr:colOff>142875</xdr:colOff>
      <xdr:row>23</xdr:row>
      <xdr:rowOff>76200</xdr:rowOff>
    </xdr:to>
    <xdr:sp>
      <xdr:nvSpPr>
        <xdr:cNvPr id="25" name="Line 56"/>
        <xdr:cNvSpPr>
          <a:spLocks/>
        </xdr:cNvSpPr>
      </xdr:nvSpPr>
      <xdr:spPr>
        <a:xfrm>
          <a:off x="7258050" y="4000500"/>
          <a:ext cx="104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28</xdr:col>
      <xdr:colOff>219075</xdr:colOff>
      <xdr:row>23</xdr:row>
      <xdr:rowOff>76200</xdr:rowOff>
    </xdr:from>
    <xdr:to>
      <xdr:col>28</xdr:col>
      <xdr:colOff>323850</xdr:colOff>
      <xdr:row>23</xdr:row>
      <xdr:rowOff>76200</xdr:rowOff>
    </xdr:to>
    <xdr:sp>
      <xdr:nvSpPr>
        <xdr:cNvPr id="26" name="Line 57"/>
        <xdr:cNvSpPr>
          <a:spLocks/>
        </xdr:cNvSpPr>
      </xdr:nvSpPr>
      <xdr:spPr>
        <a:xfrm>
          <a:off x="7439025" y="4000500"/>
          <a:ext cx="104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28</xdr:col>
      <xdr:colOff>142875</xdr:colOff>
      <xdr:row>23</xdr:row>
      <xdr:rowOff>76200</xdr:rowOff>
    </xdr:from>
    <xdr:to>
      <xdr:col>28</xdr:col>
      <xdr:colOff>161925</xdr:colOff>
      <xdr:row>23</xdr:row>
      <xdr:rowOff>95250</xdr:rowOff>
    </xdr:to>
    <xdr:sp>
      <xdr:nvSpPr>
        <xdr:cNvPr id="27" name="Line 58"/>
        <xdr:cNvSpPr>
          <a:spLocks/>
        </xdr:cNvSpPr>
      </xdr:nvSpPr>
      <xdr:spPr>
        <a:xfrm>
          <a:off x="7362825" y="4000500"/>
          <a:ext cx="1905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28</xdr:col>
      <xdr:colOff>200025</xdr:colOff>
      <xdr:row>23</xdr:row>
      <xdr:rowOff>57150</xdr:rowOff>
    </xdr:from>
    <xdr:to>
      <xdr:col>28</xdr:col>
      <xdr:colOff>219075</xdr:colOff>
      <xdr:row>23</xdr:row>
      <xdr:rowOff>76200</xdr:rowOff>
    </xdr:to>
    <xdr:sp>
      <xdr:nvSpPr>
        <xdr:cNvPr id="28" name="Line 59"/>
        <xdr:cNvSpPr>
          <a:spLocks/>
        </xdr:cNvSpPr>
      </xdr:nvSpPr>
      <xdr:spPr>
        <a:xfrm flipH="1" flipV="1">
          <a:off x="7419975" y="3981450"/>
          <a:ext cx="1905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28</xdr:col>
      <xdr:colOff>161925</xdr:colOff>
      <xdr:row>23</xdr:row>
      <xdr:rowOff>57150</xdr:rowOff>
    </xdr:from>
    <xdr:to>
      <xdr:col>28</xdr:col>
      <xdr:colOff>200025</xdr:colOff>
      <xdr:row>23</xdr:row>
      <xdr:rowOff>95250</xdr:rowOff>
    </xdr:to>
    <xdr:sp>
      <xdr:nvSpPr>
        <xdr:cNvPr id="29" name="Line 60"/>
        <xdr:cNvSpPr>
          <a:spLocks/>
        </xdr:cNvSpPr>
      </xdr:nvSpPr>
      <xdr:spPr>
        <a:xfrm flipV="1">
          <a:off x="7381875" y="3981450"/>
          <a:ext cx="38100" cy="38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26</xdr:col>
      <xdr:colOff>542925</xdr:colOff>
      <xdr:row>20</xdr:row>
      <xdr:rowOff>152400</xdr:rowOff>
    </xdr:from>
    <xdr:to>
      <xdr:col>26</xdr:col>
      <xdr:colOff>542925</xdr:colOff>
      <xdr:row>21</xdr:row>
      <xdr:rowOff>47625</xdr:rowOff>
    </xdr:to>
    <xdr:sp>
      <xdr:nvSpPr>
        <xdr:cNvPr id="30" name="Line 61"/>
        <xdr:cNvSpPr>
          <a:spLocks/>
        </xdr:cNvSpPr>
      </xdr:nvSpPr>
      <xdr:spPr>
        <a:xfrm flipV="1">
          <a:off x="6543675" y="3590925"/>
          <a:ext cx="0" cy="5715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27</xdr:col>
      <xdr:colOff>76200</xdr:colOff>
      <xdr:row>20</xdr:row>
      <xdr:rowOff>152400</xdr:rowOff>
    </xdr:from>
    <xdr:to>
      <xdr:col>27</xdr:col>
      <xdr:colOff>76200</xdr:colOff>
      <xdr:row>21</xdr:row>
      <xdr:rowOff>47625</xdr:rowOff>
    </xdr:to>
    <xdr:sp>
      <xdr:nvSpPr>
        <xdr:cNvPr id="31" name="Line 62"/>
        <xdr:cNvSpPr>
          <a:spLocks/>
        </xdr:cNvSpPr>
      </xdr:nvSpPr>
      <xdr:spPr>
        <a:xfrm flipV="1">
          <a:off x="6686550" y="3590925"/>
          <a:ext cx="0" cy="5715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28</xdr:col>
      <xdr:colOff>114300</xdr:colOff>
      <xdr:row>20</xdr:row>
      <xdr:rowOff>152400</xdr:rowOff>
    </xdr:from>
    <xdr:to>
      <xdr:col>28</xdr:col>
      <xdr:colOff>114300</xdr:colOff>
      <xdr:row>21</xdr:row>
      <xdr:rowOff>47625</xdr:rowOff>
    </xdr:to>
    <xdr:sp>
      <xdr:nvSpPr>
        <xdr:cNvPr id="32" name="Line 63"/>
        <xdr:cNvSpPr>
          <a:spLocks/>
        </xdr:cNvSpPr>
      </xdr:nvSpPr>
      <xdr:spPr>
        <a:xfrm flipV="1">
          <a:off x="7334250" y="3590925"/>
          <a:ext cx="0" cy="5715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28</xdr:col>
      <xdr:colOff>257175</xdr:colOff>
      <xdr:row>20</xdr:row>
      <xdr:rowOff>152400</xdr:rowOff>
    </xdr:from>
    <xdr:to>
      <xdr:col>28</xdr:col>
      <xdr:colOff>257175</xdr:colOff>
      <xdr:row>21</xdr:row>
      <xdr:rowOff>47625</xdr:rowOff>
    </xdr:to>
    <xdr:sp>
      <xdr:nvSpPr>
        <xdr:cNvPr id="33" name="Line 64"/>
        <xdr:cNvSpPr>
          <a:spLocks/>
        </xdr:cNvSpPr>
      </xdr:nvSpPr>
      <xdr:spPr>
        <a:xfrm flipV="1">
          <a:off x="7477125" y="3590925"/>
          <a:ext cx="0" cy="5715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26</xdr:col>
      <xdr:colOff>542925</xdr:colOff>
      <xdr:row>21</xdr:row>
      <xdr:rowOff>0</xdr:rowOff>
    </xdr:from>
    <xdr:to>
      <xdr:col>27</xdr:col>
      <xdr:colOff>76200</xdr:colOff>
      <xdr:row>21</xdr:row>
      <xdr:rowOff>0</xdr:rowOff>
    </xdr:to>
    <xdr:sp>
      <xdr:nvSpPr>
        <xdr:cNvPr id="34" name="Line 65"/>
        <xdr:cNvSpPr>
          <a:spLocks/>
        </xdr:cNvSpPr>
      </xdr:nvSpPr>
      <xdr:spPr>
        <a:xfrm>
          <a:off x="6543675" y="3600450"/>
          <a:ext cx="1428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28</xdr:col>
      <xdr:colOff>114300</xdr:colOff>
      <xdr:row>21</xdr:row>
      <xdr:rowOff>0</xdr:rowOff>
    </xdr:from>
    <xdr:to>
      <xdr:col>28</xdr:col>
      <xdr:colOff>257175</xdr:colOff>
      <xdr:row>21</xdr:row>
      <xdr:rowOff>0</xdr:rowOff>
    </xdr:to>
    <xdr:sp>
      <xdr:nvSpPr>
        <xdr:cNvPr id="35" name="Line 66"/>
        <xdr:cNvSpPr>
          <a:spLocks/>
        </xdr:cNvSpPr>
      </xdr:nvSpPr>
      <xdr:spPr>
        <a:xfrm>
          <a:off x="7334250" y="3600450"/>
          <a:ext cx="1428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26</xdr:col>
      <xdr:colOff>600075</xdr:colOff>
      <xdr:row>18</xdr:row>
      <xdr:rowOff>152400</xdr:rowOff>
    </xdr:from>
    <xdr:to>
      <xdr:col>27</xdr:col>
      <xdr:colOff>209550</xdr:colOff>
      <xdr:row>18</xdr:row>
      <xdr:rowOff>152400</xdr:rowOff>
    </xdr:to>
    <xdr:sp>
      <xdr:nvSpPr>
        <xdr:cNvPr id="36" name="Line 67"/>
        <xdr:cNvSpPr>
          <a:spLocks/>
        </xdr:cNvSpPr>
      </xdr:nvSpPr>
      <xdr:spPr>
        <a:xfrm>
          <a:off x="6600825" y="3267075"/>
          <a:ext cx="219075" cy="0"/>
        </a:xfrm>
        <a:prstGeom prst="line">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26</xdr:col>
      <xdr:colOff>228600</xdr:colOff>
      <xdr:row>21</xdr:row>
      <xdr:rowOff>0</xdr:rowOff>
    </xdr:from>
    <xdr:to>
      <xdr:col>26</xdr:col>
      <xdr:colOff>504825</xdr:colOff>
      <xdr:row>21</xdr:row>
      <xdr:rowOff>0</xdr:rowOff>
    </xdr:to>
    <xdr:sp>
      <xdr:nvSpPr>
        <xdr:cNvPr id="37" name="Line 68"/>
        <xdr:cNvSpPr>
          <a:spLocks/>
        </xdr:cNvSpPr>
      </xdr:nvSpPr>
      <xdr:spPr>
        <a:xfrm>
          <a:off x="6229350" y="36004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26</xdr:col>
      <xdr:colOff>228600</xdr:colOff>
      <xdr:row>18</xdr:row>
      <xdr:rowOff>152400</xdr:rowOff>
    </xdr:from>
    <xdr:to>
      <xdr:col>26</xdr:col>
      <xdr:colOff>561975</xdr:colOff>
      <xdr:row>18</xdr:row>
      <xdr:rowOff>152400</xdr:rowOff>
    </xdr:to>
    <xdr:sp>
      <xdr:nvSpPr>
        <xdr:cNvPr id="38" name="Line 69"/>
        <xdr:cNvSpPr>
          <a:spLocks/>
        </xdr:cNvSpPr>
      </xdr:nvSpPr>
      <xdr:spPr>
        <a:xfrm>
          <a:off x="6229350" y="3267075"/>
          <a:ext cx="333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26</xdr:col>
      <xdr:colOff>314325</xdr:colOff>
      <xdr:row>18</xdr:row>
      <xdr:rowOff>152400</xdr:rowOff>
    </xdr:from>
    <xdr:to>
      <xdr:col>26</xdr:col>
      <xdr:colOff>314325</xdr:colOff>
      <xdr:row>21</xdr:row>
      <xdr:rowOff>0</xdr:rowOff>
    </xdr:to>
    <xdr:sp>
      <xdr:nvSpPr>
        <xdr:cNvPr id="39" name="Line 70"/>
        <xdr:cNvSpPr>
          <a:spLocks/>
        </xdr:cNvSpPr>
      </xdr:nvSpPr>
      <xdr:spPr>
        <a:xfrm>
          <a:off x="6315075" y="3267075"/>
          <a:ext cx="0" cy="333375"/>
        </a:xfrm>
        <a:prstGeom prst="line">
          <a:avLst/>
        </a:prstGeom>
        <a:noFill/>
        <a:ln w="9525" cmpd="sng">
          <a:solidFill>
            <a:srgbClr val="000000"/>
          </a:solidFill>
          <a:headEnd type="stealth"/>
          <a:tailEnd type="stealth"/>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27</xdr:col>
      <xdr:colOff>400050</xdr:colOff>
      <xdr:row>16</xdr:row>
      <xdr:rowOff>47625</xdr:rowOff>
    </xdr:from>
    <xdr:to>
      <xdr:col>27</xdr:col>
      <xdr:colOff>400050</xdr:colOff>
      <xdr:row>18</xdr:row>
      <xdr:rowOff>142875</xdr:rowOff>
    </xdr:to>
    <xdr:sp>
      <xdr:nvSpPr>
        <xdr:cNvPr id="40" name="Line 71"/>
        <xdr:cNvSpPr>
          <a:spLocks/>
        </xdr:cNvSpPr>
      </xdr:nvSpPr>
      <xdr:spPr>
        <a:xfrm>
          <a:off x="7010400" y="2838450"/>
          <a:ext cx="0" cy="419100"/>
        </a:xfrm>
        <a:prstGeom prst="line">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27</xdr:col>
      <xdr:colOff>76200</xdr:colOff>
      <xdr:row>24</xdr:row>
      <xdr:rowOff>0</xdr:rowOff>
    </xdr:from>
    <xdr:to>
      <xdr:col>28</xdr:col>
      <xdr:colOff>133350</xdr:colOff>
      <xdr:row>25</xdr:row>
      <xdr:rowOff>57150</xdr:rowOff>
    </xdr:to>
    <xdr:sp>
      <xdr:nvSpPr>
        <xdr:cNvPr id="41" name="Text Box 72"/>
        <xdr:cNvSpPr txBox="1">
          <a:spLocks noChangeArrowheads="1"/>
        </xdr:cNvSpPr>
      </xdr:nvSpPr>
      <xdr:spPr>
        <a:xfrm>
          <a:off x="6686550" y="4086225"/>
          <a:ext cx="666750" cy="219075"/>
        </a:xfrm>
        <a:prstGeom prst="rect">
          <a:avLst/>
        </a:prstGeom>
        <a:noFill/>
        <a:ln w="9525" cmpd="sng">
          <a:noFill/>
        </a:ln>
      </xdr:spPr>
      <xdr:txBody>
        <a:bodyPr vertOverflow="clip" wrap="square" lIns="27432" tIns="22860" rIns="0" bIns="0"/>
        <a:p>
          <a:pPr algn="l">
            <a:defRPr/>
          </a:pPr>
          <a:r>
            <a:rPr lang="en-US" cap="none" sz="1000" b="1" i="0" u="sng" baseline="0">
              <a:solidFill>
                <a:srgbClr val="000000"/>
              </a:solidFill>
            </a:rPr>
            <a:t>Elevation</a:t>
          </a:r>
        </a:p>
      </xdr:txBody>
    </xdr:sp>
    <xdr:clientData/>
  </xdr:twoCellAnchor>
  <xdr:twoCellAnchor>
    <xdr:from>
      <xdr:col>27</xdr:col>
      <xdr:colOff>228600</xdr:colOff>
      <xdr:row>14</xdr:row>
      <xdr:rowOff>0</xdr:rowOff>
    </xdr:from>
    <xdr:to>
      <xdr:col>28</xdr:col>
      <xdr:colOff>9525</xdr:colOff>
      <xdr:row>15</xdr:row>
      <xdr:rowOff>38100</xdr:rowOff>
    </xdr:to>
    <xdr:sp>
      <xdr:nvSpPr>
        <xdr:cNvPr id="42" name="Text Box 73"/>
        <xdr:cNvSpPr txBox="1">
          <a:spLocks noChangeArrowheads="1"/>
        </xdr:cNvSpPr>
      </xdr:nvSpPr>
      <xdr:spPr>
        <a:xfrm>
          <a:off x="6838950" y="2466975"/>
          <a:ext cx="390525" cy="200025"/>
        </a:xfrm>
        <a:prstGeom prst="rect">
          <a:avLst/>
        </a:prstGeom>
        <a:noFill/>
        <a:ln w="9525" cmpd="sng">
          <a:noFill/>
        </a:ln>
      </xdr:spPr>
      <xdr:txBody>
        <a:bodyPr vertOverflow="clip" wrap="square" lIns="27432" tIns="22860" rIns="0" bIns="0"/>
        <a:p>
          <a:pPr algn="l">
            <a:defRPr/>
          </a:pPr>
          <a:r>
            <a:rPr lang="en-US" cap="none" sz="1000" b="1" i="0" u="sng" baseline="0">
              <a:solidFill>
                <a:srgbClr val="000000"/>
              </a:solidFill>
            </a:rPr>
            <a:t>Plan</a:t>
          </a:r>
        </a:p>
      </xdr:txBody>
    </xdr:sp>
    <xdr:clientData/>
  </xdr:twoCellAnchor>
  <xdr:twoCellAnchor>
    <xdr:from>
      <xdr:col>26</xdr:col>
      <xdr:colOff>542925</xdr:colOff>
      <xdr:row>11</xdr:row>
      <xdr:rowOff>123825</xdr:rowOff>
    </xdr:from>
    <xdr:to>
      <xdr:col>27</xdr:col>
      <xdr:colOff>76200</xdr:colOff>
      <xdr:row>12</xdr:row>
      <xdr:rowOff>104775</xdr:rowOff>
    </xdr:to>
    <xdr:sp>
      <xdr:nvSpPr>
        <xdr:cNvPr id="43" name="Oval 74"/>
        <xdr:cNvSpPr>
          <a:spLocks/>
        </xdr:cNvSpPr>
      </xdr:nvSpPr>
      <xdr:spPr>
        <a:xfrm>
          <a:off x="6543675" y="2105025"/>
          <a:ext cx="142875" cy="142875"/>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26</xdr:col>
      <xdr:colOff>542925</xdr:colOff>
      <xdr:row>7</xdr:row>
      <xdr:rowOff>38100</xdr:rowOff>
    </xdr:from>
    <xdr:to>
      <xdr:col>27</xdr:col>
      <xdr:colOff>76200</xdr:colOff>
      <xdr:row>8</xdr:row>
      <xdr:rowOff>19050</xdr:rowOff>
    </xdr:to>
    <xdr:sp>
      <xdr:nvSpPr>
        <xdr:cNvPr id="44" name="Oval 75"/>
        <xdr:cNvSpPr>
          <a:spLocks/>
        </xdr:cNvSpPr>
      </xdr:nvSpPr>
      <xdr:spPr>
        <a:xfrm>
          <a:off x="6543675" y="1371600"/>
          <a:ext cx="142875" cy="142875"/>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28</xdr:col>
      <xdr:colOff>114300</xdr:colOff>
      <xdr:row>11</xdr:row>
      <xdr:rowOff>123825</xdr:rowOff>
    </xdr:from>
    <xdr:to>
      <xdr:col>28</xdr:col>
      <xdr:colOff>257175</xdr:colOff>
      <xdr:row>12</xdr:row>
      <xdr:rowOff>104775</xdr:rowOff>
    </xdr:to>
    <xdr:sp>
      <xdr:nvSpPr>
        <xdr:cNvPr id="45" name="Oval 76"/>
        <xdr:cNvSpPr>
          <a:spLocks/>
        </xdr:cNvSpPr>
      </xdr:nvSpPr>
      <xdr:spPr>
        <a:xfrm>
          <a:off x="7334250" y="2105025"/>
          <a:ext cx="142875" cy="142875"/>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28</xdr:col>
      <xdr:colOff>114300</xdr:colOff>
      <xdr:row>7</xdr:row>
      <xdr:rowOff>38100</xdr:rowOff>
    </xdr:from>
    <xdr:to>
      <xdr:col>28</xdr:col>
      <xdr:colOff>257175</xdr:colOff>
      <xdr:row>8</xdr:row>
      <xdr:rowOff>19050</xdr:rowOff>
    </xdr:to>
    <xdr:sp>
      <xdr:nvSpPr>
        <xdr:cNvPr id="46" name="Oval 77"/>
        <xdr:cNvSpPr>
          <a:spLocks/>
        </xdr:cNvSpPr>
      </xdr:nvSpPr>
      <xdr:spPr>
        <a:xfrm>
          <a:off x="7334250" y="1371600"/>
          <a:ext cx="142875" cy="142875"/>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27</xdr:col>
      <xdr:colOff>247650</xdr:colOff>
      <xdr:row>9</xdr:row>
      <xdr:rowOff>0</xdr:rowOff>
    </xdr:from>
    <xdr:to>
      <xdr:col>27</xdr:col>
      <xdr:colOff>552450</xdr:colOff>
      <xdr:row>10</xdr:row>
      <xdr:rowOff>142875</xdr:rowOff>
    </xdr:to>
    <xdr:sp>
      <xdr:nvSpPr>
        <xdr:cNvPr id="47" name="Rectangle 78"/>
        <xdr:cNvSpPr>
          <a:spLocks/>
        </xdr:cNvSpPr>
      </xdr:nvSpPr>
      <xdr:spPr>
        <a:xfrm>
          <a:off x="6858000" y="1657350"/>
          <a:ext cx="304800" cy="3048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27</xdr:col>
      <xdr:colOff>400050</xdr:colOff>
      <xdr:row>7</xdr:row>
      <xdr:rowOff>123825</xdr:rowOff>
    </xdr:from>
    <xdr:to>
      <xdr:col>27</xdr:col>
      <xdr:colOff>400050</xdr:colOff>
      <xdr:row>9</xdr:row>
      <xdr:rowOff>133350</xdr:rowOff>
    </xdr:to>
    <xdr:sp>
      <xdr:nvSpPr>
        <xdr:cNvPr id="48" name="Line 79"/>
        <xdr:cNvSpPr>
          <a:spLocks/>
        </xdr:cNvSpPr>
      </xdr:nvSpPr>
      <xdr:spPr>
        <a:xfrm flipV="1">
          <a:off x="7010400" y="1457325"/>
          <a:ext cx="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27</xdr:col>
      <xdr:colOff>419100</xdr:colOff>
      <xdr:row>9</xdr:row>
      <xdr:rowOff>152400</xdr:rowOff>
    </xdr:from>
    <xdr:to>
      <xdr:col>28</xdr:col>
      <xdr:colOff>171450</xdr:colOff>
      <xdr:row>9</xdr:row>
      <xdr:rowOff>152400</xdr:rowOff>
    </xdr:to>
    <xdr:sp>
      <xdr:nvSpPr>
        <xdr:cNvPr id="49" name="Line 80"/>
        <xdr:cNvSpPr>
          <a:spLocks/>
        </xdr:cNvSpPr>
      </xdr:nvSpPr>
      <xdr:spPr>
        <a:xfrm>
          <a:off x="7029450" y="180975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26</xdr:col>
      <xdr:colOff>428625</xdr:colOff>
      <xdr:row>8</xdr:row>
      <xdr:rowOff>66675</xdr:rowOff>
    </xdr:from>
    <xdr:to>
      <xdr:col>27</xdr:col>
      <xdr:colOff>400050</xdr:colOff>
      <xdr:row>8</xdr:row>
      <xdr:rowOff>66675</xdr:rowOff>
    </xdr:to>
    <xdr:sp>
      <xdr:nvSpPr>
        <xdr:cNvPr id="50" name="Line 81"/>
        <xdr:cNvSpPr>
          <a:spLocks/>
        </xdr:cNvSpPr>
      </xdr:nvSpPr>
      <xdr:spPr>
        <a:xfrm>
          <a:off x="6429375" y="1562100"/>
          <a:ext cx="581025" cy="0"/>
        </a:xfrm>
        <a:prstGeom prst="line">
          <a:avLst/>
        </a:prstGeom>
        <a:noFill/>
        <a:ln w="9525" cmpd="sng">
          <a:solidFill>
            <a:srgbClr val="000000"/>
          </a:solidFill>
          <a:headEnd type="stealth"/>
          <a:tailEnd type="stealth"/>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28</xdr:col>
      <xdr:colOff>38100</xdr:colOff>
      <xdr:row>9</xdr:row>
      <xdr:rowOff>152400</xdr:rowOff>
    </xdr:from>
    <xdr:to>
      <xdr:col>28</xdr:col>
      <xdr:colOff>38100</xdr:colOff>
      <xdr:row>13</xdr:row>
      <xdr:rowOff>57150</xdr:rowOff>
    </xdr:to>
    <xdr:sp>
      <xdr:nvSpPr>
        <xdr:cNvPr id="51" name="Line 82"/>
        <xdr:cNvSpPr>
          <a:spLocks/>
        </xdr:cNvSpPr>
      </xdr:nvSpPr>
      <xdr:spPr>
        <a:xfrm>
          <a:off x="7258050" y="1809750"/>
          <a:ext cx="0" cy="552450"/>
        </a:xfrm>
        <a:prstGeom prst="line">
          <a:avLst/>
        </a:prstGeom>
        <a:noFill/>
        <a:ln w="9525" cmpd="sng">
          <a:solidFill>
            <a:srgbClr val="000000"/>
          </a:solidFill>
          <a:headEnd type="stealth"/>
          <a:tailEnd type="stealth"/>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26</xdr:col>
      <xdr:colOff>447675</xdr:colOff>
      <xdr:row>12</xdr:row>
      <xdr:rowOff>38100</xdr:rowOff>
    </xdr:from>
    <xdr:to>
      <xdr:col>27</xdr:col>
      <xdr:colOff>9525</xdr:colOff>
      <xdr:row>13</xdr:row>
      <xdr:rowOff>66675</xdr:rowOff>
    </xdr:to>
    <xdr:sp>
      <xdr:nvSpPr>
        <xdr:cNvPr id="52" name="Text Box 83"/>
        <xdr:cNvSpPr txBox="1">
          <a:spLocks noChangeArrowheads="1"/>
        </xdr:cNvSpPr>
      </xdr:nvSpPr>
      <xdr:spPr>
        <a:xfrm>
          <a:off x="6448425" y="2181225"/>
          <a:ext cx="171450" cy="190500"/>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rPr>
            <a:t>1</a:t>
          </a:r>
        </a:p>
      </xdr:txBody>
    </xdr:sp>
    <xdr:clientData/>
  </xdr:twoCellAnchor>
  <xdr:twoCellAnchor>
    <xdr:from>
      <xdr:col>28</xdr:col>
      <xdr:colOff>238125</xdr:colOff>
      <xdr:row>12</xdr:row>
      <xdr:rowOff>47625</xdr:rowOff>
    </xdr:from>
    <xdr:to>
      <xdr:col>28</xdr:col>
      <xdr:colOff>409575</xdr:colOff>
      <xdr:row>13</xdr:row>
      <xdr:rowOff>76200</xdr:rowOff>
    </xdr:to>
    <xdr:sp>
      <xdr:nvSpPr>
        <xdr:cNvPr id="53" name="Text Box 84"/>
        <xdr:cNvSpPr txBox="1">
          <a:spLocks noChangeArrowheads="1"/>
        </xdr:cNvSpPr>
      </xdr:nvSpPr>
      <xdr:spPr>
        <a:xfrm>
          <a:off x="7458075" y="2190750"/>
          <a:ext cx="171450" cy="190500"/>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rPr>
            <a:t>2</a:t>
          </a:r>
        </a:p>
      </xdr:txBody>
    </xdr:sp>
    <xdr:clientData/>
  </xdr:twoCellAnchor>
  <xdr:twoCellAnchor>
    <xdr:from>
      <xdr:col>26</xdr:col>
      <xdr:colOff>438150</xdr:colOff>
      <xdr:row>6</xdr:row>
      <xdr:rowOff>85725</xdr:rowOff>
    </xdr:from>
    <xdr:to>
      <xdr:col>27</xdr:col>
      <xdr:colOff>0</xdr:colOff>
      <xdr:row>7</xdr:row>
      <xdr:rowOff>114300</xdr:rowOff>
    </xdr:to>
    <xdr:sp>
      <xdr:nvSpPr>
        <xdr:cNvPr id="54" name="Text Box 85"/>
        <xdr:cNvSpPr txBox="1">
          <a:spLocks noChangeArrowheads="1"/>
        </xdr:cNvSpPr>
      </xdr:nvSpPr>
      <xdr:spPr>
        <a:xfrm>
          <a:off x="6438900" y="1257300"/>
          <a:ext cx="171450" cy="190500"/>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rPr>
            <a:t>3</a:t>
          </a:r>
        </a:p>
      </xdr:txBody>
    </xdr:sp>
    <xdr:clientData/>
  </xdr:twoCellAnchor>
  <xdr:twoCellAnchor>
    <xdr:from>
      <xdr:col>28</xdr:col>
      <xdr:colOff>238125</xdr:colOff>
      <xdr:row>6</xdr:row>
      <xdr:rowOff>95250</xdr:rowOff>
    </xdr:from>
    <xdr:to>
      <xdr:col>28</xdr:col>
      <xdr:colOff>409575</xdr:colOff>
      <xdr:row>7</xdr:row>
      <xdr:rowOff>123825</xdr:rowOff>
    </xdr:to>
    <xdr:sp>
      <xdr:nvSpPr>
        <xdr:cNvPr id="55" name="Text Box 86"/>
        <xdr:cNvSpPr txBox="1">
          <a:spLocks noChangeArrowheads="1"/>
        </xdr:cNvSpPr>
      </xdr:nvSpPr>
      <xdr:spPr>
        <a:xfrm>
          <a:off x="7458075" y="1266825"/>
          <a:ext cx="171450" cy="190500"/>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rPr>
            <a:t>4</a:t>
          </a:r>
        </a:p>
      </xdr:txBody>
    </xdr:sp>
    <xdr:clientData/>
  </xdr:twoCellAnchor>
  <xdr:twoCellAnchor>
    <xdr:from>
      <xdr:col>26</xdr:col>
      <xdr:colOff>457200</xdr:colOff>
      <xdr:row>10</xdr:row>
      <xdr:rowOff>28575</xdr:rowOff>
    </xdr:from>
    <xdr:to>
      <xdr:col>27</xdr:col>
      <xdr:colOff>104775</xdr:colOff>
      <xdr:row>11</xdr:row>
      <xdr:rowOff>76200</xdr:rowOff>
    </xdr:to>
    <xdr:sp>
      <xdr:nvSpPr>
        <xdr:cNvPr id="56" name="Text Box 87"/>
        <xdr:cNvSpPr txBox="1">
          <a:spLocks noChangeArrowheads="1"/>
        </xdr:cNvSpPr>
      </xdr:nvSpPr>
      <xdr:spPr>
        <a:xfrm>
          <a:off x="6457950" y="1847850"/>
          <a:ext cx="257175" cy="209550"/>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latin typeface="Arial"/>
              <a:ea typeface="Arial"/>
              <a:cs typeface="Arial"/>
            </a:rPr>
            <a:t>x</a:t>
          </a:r>
          <a:r>
            <a:rPr lang="en-US" cap="none" sz="800" b="0" i="0" u="none" baseline="0">
              <a:solidFill>
                <a:srgbClr val="0000FF"/>
              </a:solidFill>
              <a:latin typeface="Arial"/>
              <a:ea typeface="Arial"/>
              <a:cs typeface="Arial"/>
            </a:rPr>
            <a:t>o</a:t>
          </a:r>
        </a:p>
      </xdr:txBody>
    </xdr:sp>
    <xdr:clientData/>
  </xdr:twoCellAnchor>
  <xdr:twoCellAnchor>
    <xdr:from>
      <xdr:col>27</xdr:col>
      <xdr:colOff>161925</xdr:colOff>
      <xdr:row>12</xdr:row>
      <xdr:rowOff>28575</xdr:rowOff>
    </xdr:from>
    <xdr:to>
      <xdr:col>27</xdr:col>
      <xdr:colOff>419100</xdr:colOff>
      <xdr:row>13</xdr:row>
      <xdr:rowOff>76200</xdr:rowOff>
    </xdr:to>
    <xdr:sp>
      <xdr:nvSpPr>
        <xdr:cNvPr id="57" name="Text Box 88"/>
        <xdr:cNvSpPr txBox="1">
          <a:spLocks noChangeArrowheads="1"/>
        </xdr:cNvSpPr>
      </xdr:nvSpPr>
      <xdr:spPr>
        <a:xfrm>
          <a:off x="6772275" y="2171700"/>
          <a:ext cx="257175" cy="209550"/>
        </a:xfrm>
        <a:prstGeom prst="rect">
          <a:avLst/>
        </a:prstGeom>
        <a:noFill/>
        <a:ln w="9525" cmpd="sng">
          <a:noFill/>
        </a:ln>
      </xdr:spPr>
      <xdr:txBody>
        <a:bodyPr vertOverflow="clip" wrap="square" lIns="27432" tIns="22860" rIns="0" bIns="0"/>
        <a:p>
          <a:pPr algn="l">
            <a:defRPr/>
          </a:pPr>
          <a:r>
            <a:rPr lang="en-US" cap="none" sz="800" b="0" i="0" u="none" baseline="0">
              <a:solidFill>
                <a:srgbClr val="0000FF"/>
              </a:solidFill>
            </a:rPr>
            <a:t>yo</a:t>
          </a:r>
        </a:p>
      </xdr:txBody>
    </xdr:sp>
    <xdr:clientData/>
  </xdr:twoCellAnchor>
  <xdr:twoCellAnchor>
    <xdr:from>
      <xdr:col>27</xdr:col>
      <xdr:colOff>104775</xdr:colOff>
      <xdr:row>7</xdr:row>
      <xdr:rowOff>76200</xdr:rowOff>
    </xdr:from>
    <xdr:to>
      <xdr:col>27</xdr:col>
      <xdr:colOff>361950</xdr:colOff>
      <xdr:row>8</xdr:row>
      <xdr:rowOff>123825</xdr:rowOff>
    </xdr:to>
    <xdr:sp>
      <xdr:nvSpPr>
        <xdr:cNvPr id="58" name="Text Box 89"/>
        <xdr:cNvSpPr txBox="1">
          <a:spLocks noChangeArrowheads="1"/>
        </xdr:cNvSpPr>
      </xdr:nvSpPr>
      <xdr:spPr>
        <a:xfrm>
          <a:off x="6715125" y="1409700"/>
          <a:ext cx="257175" cy="209550"/>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rPr>
            <a:t>X</a:t>
          </a:r>
        </a:p>
      </xdr:txBody>
    </xdr:sp>
    <xdr:clientData/>
  </xdr:twoCellAnchor>
  <xdr:twoCellAnchor>
    <xdr:from>
      <xdr:col>28</xdr:col>
      <xdr:colOff>47625</xdr:colOff>
      <xdr:row>10</xdr:row>
      <xdr:rowOff>133350</xdr:rowOff>
    </xdr:from>
    <xdr:to>
      <xdr:col>28</xdr:col>
      <xdr:colOff>304800</xdr:colOff>
      <xdr:row>12</xdr:row>
      <xdr:rowOff>19050</xdr:rowOff>
    </xdr:to>
    <xdr:sp>
      <xdr:nvSpPr>
        <xdr:cNvPr id="59" name="Text Box 90"/>
        <xdr:cNvSpPr txBox="1">
          <a:spLocks noChangeArrowheads="1"/>
        </xdr:cNvSpPr>
      </xdr:nvSpPr>
      <xdr:spPr>
        <a:xfrm>
          <a:off x="7267575" y="1952625"/>
          <a:ext cx="257175" cy="209550"/>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rPr>
            <a:t>Y</a:t>
          </a:r>
        </a:p>
      </xdr:txBody>
    </xdr:sp>
    <xdr:clientData/>
  </xdr:twoCellAnchor>
  <xdr:twoCellAnchor>
    <xdr:from>
      <xdr:col>28</xdr:col>
      <xdr:colOff>533400</xdr:colOff>
      <xdr:row>12</xdr:row>
      <xdr:rowOff>142875</xdr:rowOff>
    </xdr:from>
    <xdr:to>
      <xdr:col>29</xdr:col>
      <xdr:colOff>180975</xdr:colOff>
      <xdr:row>14</xdr:row>
      <xdr:rowOff>28575</xdr:rowOff>
    </xdr:to>
    <xdr:sp>
      <xdr:nvSpPr>
        <xdr:cNvPr id="60" name="Text Box 91"/>
        <xdr:cNvSpPr txBox="1">
          <a:spLocks noChangeArrowheads="1"/>
        </xdr:cNvSpPr>
      </xdr:nvSpPr>
      <xdr:spPr>
        <a:xfrm>
          <a:off x="7753350" y="2286000"/>
          <a:ext cx="257175" cy="209550"/>
        </a:xfrm>
        <a:prstGeom prst="rect">
          <a:avLst/>
        </a:prstGeom>
        <a:noFill/>
        <a:ln w="9525" cmpd="sng">
          <a:noFill/>
        </a:ln>
      </xdr:spPr>
      <xdr:txBody>
        <a:bodyPr vertOverflow="clip" wrap="square" lIns="27432" tIns="22860" rIns="0" bIns="0"/>
        <a:p>
          <a:pPr algn="l">
            <a:defRPr/>
          </a:pPr>
          <a:r>
            <a:rPr lang="en-US" cap="none" sz="900" b="1" i="0" u="none" baseline="0">
              <a:solidFill>
                <a:srgbClr val="0000FF"/>
              </a:solidFill>
            </a:rPr>
            <a:t>+X</a:t>
          </a:r>
        </a:p>
      </xdr:txBody>
    </xdr:sp>
    <xdr:clientData/>
  </xdr:twoCellAnchor>
  <xdr:twoCellAnchor>
    <xdr:from>
      <xdr:col>26</xdr:col>
      <xdr:colOff>304800</xdr:colOff>
      <xdr:row>4</xdr:row>
      <xdr:rowOff>95250</xdr:rowOff>
    </xdr:from>
    <xdr:to>
      <xdr:col>26</xdr:col>
      <xdr:colOff>561975</xdr:colOff>
      <xdr:row>5</xdr:row>
      <xdr:rowOff>142875</xdr:rowOff>
    </xdr:to>
    <xdr:sp>
      <xdr:nvSpPr>
        <xdr:cNvPr id="61" name="Text Box 92"/>
        <xdr:cNvSpPr txBox="1">
          <a:spLocks noChangeArrowheads="1"/>
        </xdr:cNvSpPr>
      </xdr:nvSpPr>
      <xdr:spPr>
        <a:xfrm>
          <a:off x="6305550" y="942975"/>
          <a:ext cx="257175" cy="209550"/>
        </a:xfrm>
        <a:prstGeom prst="rect">
          <a:avLst/>
        </a:prstGeom>
        <a:noFill/>
        <a:ln w="9525" cmpd="sng">
          <a:noFill/>
        </a:ln>
      </xdr:spPr>
      <xdr:txBody>
        <a:bodyPr vertOverflow="clip" wrap="square" lIns="27432" tIns="22860" rIns="0" bIns="0"/>
        <a:p>
          <a:pPr algn="l">
            <a:defRPr/>
          </a:pPr>
          <a:r>
            <a:rPr lang="en-US" cap="none" sz="900" b="1" i="0" u="none" baseline="0">
              <a:solidFill>
                <a:srgbClr val="0000FF"/>
              </a:solidFill>
            </a:rPr>
            <a:t>+Y</a:t>
          </a:r>
        </a:p>
      </xdr:txBody>
    </xdr:sp>
    <xdr:clientData/>
  </xdr:twoCellAnchor>
  <xdr:twoCellAnchor>
    <xdr:from>
      <xdr:col>26</xdr:col>
      <xdr:colOff>142875</xdr:colOff>
      <xdr:row>13</xdr:row>
      <xdr:rowOff>95250</xdr:rowOff>
    </xdr:from>
    <xdr:to>
      <xdr:col>26</xdr:col>
      <xdr:colOff>400050</xdr:colOff>
      <xdr:row>14</xdr:row>
      <xdr:rowOff>142875</xdr:rowOff>
    </xdr:to>
    <xdr:sp>
      <xdr:nvSpPr>
        <xdr:cNvPr id="62" name="Text Box 93"/>
        <xdr:cNvSpPr txBox="1">
          <a:spLocks noChangeArrowheads="1"/>
        </xdr:cNvSpPr>
      </xdr:nvSpPr>
      <xdr:spPr>
        <a:xfrm>
          <a:off x="6143625" y="2400300"/>
          <a:ext cx="257175" cy="209550"/>
        </a:xfrm>
        <a:prstGeom prst="rect">
          <a:avLst/>
        </a:prstGeom>
        <a:noFill/>
        <a:ln w="9525" cmpd="sng">
          <a:noFill/>
        </a:ln>
      </xdr:spPr>
      <xdr:txBody>
        <a:bodyPr vertOverflow="clip" wrap="square" lIns="27432" tIns="22860" rIns="0" bIns="0"/>
        <a:p>
          <a:pPr algn="l">
            <a:defRPr/>
          </a:pPr>
          <a:r>
            <a:rPr lang="en-US" cap="none" sz="900" b="1" i="0" u="none" baseline="0">
              <a:solidFill>
                <a:srgbClr val="0000FF"/>
              </a:solidFill>
            </a:rPr>
            <a:t>+Z</a:t>
          </a:r>
        </a:p>
      </xdr:txBody>
    </xdr:sp>
    <xdr:clientData/>
  </xdr:twoCellAnchor>
  <xdr:twoCellAnchor>
    <xdr:from>
      <xdr:col>27</xdr:col>
      <xdr:colOff>409575</xdr:colOff>
      <xdr:row>15</xdr:row>
      <xdr:rowOff>142875</xdr:rowOff>
    </xdr:from>
    <xdr:to>
      <xdr:col>28</xdr:col>
      <xdr:colOff>57150</xdr:colOff>
      <xdr:row>17</xdr:row>
      <xdr:rowOff>28575</xdr:rowOff>
    </xdr:to>
    <xdr:sp>
      <xdr:nvSpPr>
        <xdr:cNvPr id="63" name="Text Box 94"/>
        <xdr:cNvSpPr txBox="1">
          <a:spLocks noChangeArrowheads="1"/>
        </xdr:cNvSpPr>
      </xdr:nvSpPr>
      <xdr:spPr>
        <a:xfrm>
          <a:off x="7019925" y="2771775"/>
          <a:ext cx="257175" cy="209550"/>
        </a:xfrm>
        <a:prstGeom prst="rect">
          <a:avLst/>
        </a:prstGeom>
        <a:noFill/>
        <a:ln w="9525" cmpd="sng">
          <a:noFill/>
        </a:ln>
      </xdr:spPr>
      <xdr:txBody>
        <a:bodyPr vertOverflow="clip" wrap="square" lIns="27432" tIns="22860" rIns="0" bIns="0"/>
        <a:p>
          <a:pPr algn="l">
            <a:defRPr/>
          </a:pPr>
          <a:r>
            <a:rPr lang="en-US" cap="none" sz="900" b="1" i="0" u="none" baseline="0">
              <a:solidFill>
                <a:srgbClr val="0000FF"/>
              </a:solidFill>
              <a:latin typeface="Arial"/>
              <a:ea typeface="Arial"/>
              <a:cs typeface="Arial"/>
            </a:rPr>
            <a:t>-P</a:t>
          </a:r>
          <a:r>
            <a:rPr lang="en-US" cap="none" sz="800" b="1" i="0" u="none" baseline="0">
              <a:solidFill>
                <a:srgbClr val="0000FF"/>
              </a:solidFill>
              <a:latin typeface="Arial"/>
              <a:ea typeface="Arial"/>
              <a:cs typeface="Arial"/>
            </a:rPr>
            <a:t>z</a:t>
          </a:r>
        </a:p>
      </xdr:txBody>
    </xdr:sp>
    <xdr:clientData/>
  </xdr:twoCellAnchor>
  <xdr:twoCellAnchor>
    <xdr:from>
      <xdr:col>27</xdr:col>
      <xdr:colOff>533400</xdr:colOff>
      <xdr:row>18</xdr:row>
      <xdr:rowOff>0</xdr:rowOff>
    </xdr:from>
    <xdr:to>
      <xdr:col>28</xdr:col>
      <xdr:colOff>285750</xdr:colOff>
      <xdr:row>19</xdr:row>
      <xdr:rowOff>76200</xdr:rowOff>
    </xdr:to>
    <xdr:sp>
      <xdr:nvSpPr>
        <xdr:cNvPr id="64" name="Text Box 95"/>
        <xdr:cNvSpPr txBox="1">
          <a:spLocks noChangeArrowheads="1"/>
        </xdr:cNvSpPr>
      </xdr:nvSpPr>
      <xdr:spPr>
        <a:xfrm>
          <a:off x="7143750" y="3114675"/>
          <a:ext cx="361950" cy="238125"/>
        </a:xfrm>
        <a:prstGeom prst="rect">
          <a:avLst/>
        </a:prstGeom>
        <a:noFill/>
        <a:ln w="9525" cmpd="sng">
          <a:noFill/>
        </a:ln>
      </xdr:spPr>
      <xdr:txBody>
        <a:bodyPr vertOverflow="clip" wrap="square" lIns="27432" tIns="22860" rIns="0" bIns="0"/>
        <a:p>
          <a:pPr algn="l">
            <a:defRPr/>
          </a:pPr>
          <a:r>
            <a:rPr lang="en-US" cap="none" sz="900" b="1" i="0" u="none" baseline="0">
              <a:solidFill>
                <a:srgbClr val="0000FF"/>
              </a:solidFill>
              <a:latin typeface="Arial"/>
              <a:ea typeface="Arial"/>
              <a:cs typeface="Arial"/>
            </a:rPr>
            <a:t>+M</a:t>
          </a:r>
          <a:r>
            <a:rPr lang="en-US" cap="none" sz="800" b="1" i="0" u="none" baseline="0">
              <a:solidFill>
                <a:srgbClr val="0000FF"/>
              </a:solidFill>
              <a:latin typeface="Arial"/>
              <a:ea typeface="Arial"/>
              <a:cs typeface="Arial"/>
            </a:rPr>
            <a:t>y</a:t>
          </a:r>
        </a:p>
      </xdr:txBody>
    </xdr:sp>
    <xdr:clientData/>
  </xdr:twoCellAnchor>
  <xdr:twoCellAnchor>
    <xdr:from>
      <xdr:col>26</xdr:col>
      <xdr:colOff>552450</xdr:colOff>
      <xdr:row>17</xdr:row>
      <xdr:rowOff>142875</xdr:rowOff>
    </xdr:from>
    <xdr:to>
      <xdr:col>27</xdr:col>
      <xdr:colOff>304800</xdr:colOff>
      <xdr:row>19</xdr:row>
      <xdr:rowOff>57150</xdr:rowOff>
    </xdr:to>
    <xdr:sp>
      <xdr:nvSpPr>
        <xdr:cNvPr id="65" name="Text Box 96"/>
        <xdr:cNvSpPr txBox="1">
          <a:spLocks noChangeArrowheads="1"/>
        </xdr:cNvSpPr>
      </xdr:nvSpPr>
      <xdr:spPr>
        <a:xfrm>
          <a:off x="6553200" y="3095625"/>
          <a:ext cx="361950" cy="238125"/>
        </a:xfrm>
        <a:prstGeom prst="rect">
          <a:avLst/>
        </a:prstGeom>
        <a:noFill/>
        <a:ln w="9525" cmpd="sng">
          <a:noFill/>
        </a:ln>
      </xdr:spPr>
      <xdr:txBody>
        <a:bodyPr vertOverflow="clip" wrap="square" lIns="27432" tIns="22860" rIns="0" bIns="0"/>
        <a:p>
          <a:pPr algn="l">
            <a:defRPr/>
          </a:pPr>
          <a:r>
            <a:rPr lang="en-US" cap="none" sz="900" b="1" i="0" u="none" baseline="0">
              <a:solidFill>
                <a:srgbClr val="0000FF"/>
              </a:solidFill>
              <a:latin typeface="Arial"/>
              <a:ea typeface="Arial"/>
              <a:cs typeface="Arial"/>
            </a:rPr>
            <a:t>+H</a:t>
          </a:r>
          <a:r>
            <a:rPr lang="en-US" cap="none" sz="800" b="1" i="0" u="none" baseline="0">
              <a:solidFill>
                <a:srgbClr val="0000FF"/>
              </a:solidFill>
              <a:latin typeface="Arial"/>
              <a:ea typeface="Arial"/>
              <a:cs typeface="Arial"/>
            </a:rPr>
            <a:t>x</a:t>
          </a:r>
        </a:p>
      </xdr:txBody>
    </xdr:sp>
    <xdr:clientData/>
  </xdr:twoCellAnchor>
  <xdr:twoCellAnchor>
    <xdr:from>
      <xdr:col>26</xdr:col>
      <xdr:colOff>200025</xdr:colOff>
      <xdr:row>19</xdr:row>
      <xdr:rowOff>76200</xdr:rowOff>
    </xdr:from>
    <xdr:to>
      <xdr:col>26</xdr:col>
      <xdr:colOff>371475</xdr:colOff>
      <xdr:row>20</xdr:row>
      <xdr:rowOff>104775</xdr:rowOff>
    </xdr:to>
    <xdr:sp>
      <xdr:nvSpPr>
        <xdr:cNvPr id="66" name="Text Box 97"/>
        <xdr:cNvSpPr txBox="1">
          <a:spLocks noChangeArrowheads="1"/>
        </xdr:cNvSpPr>
      </xdr:nvSpPr>
      <xdr:spPr>
        <a:xfrm>
          <a:off x="6200775" y="3352800"/>
          <a:ext cx="171450" cy="190500"/>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rPr>
            <a:t>h</a:t>
          </a:r>
        </a:p>
      </xdr:txBody>
    </xdr:sp>
    <xdr:clientData/>
  </xdr:twoCellAnchor>
  <xdr:twoCellAnchor>
    <xdr:from>
      <xdr:col>26</xdr:col>
      <xdr:colOff>314325</xdr:colOff>
      <xdr:row>12</xdr:row>
      <xdr:rowOff>95250</xdr:rowOff>
    </xdr:from>
    <xdr:to>
      <xdr:col>26</xdr:col>
      <xdr:colOff>485775</xdr:colOff>
      <xdr:row>13</xdr:row>
      <xdr:rowOff>123825</xdr:rowOff>
    </xdr:to>
    <xdr:sp>
      <xdr:nvSpPr>
        <xdr:cNvPr id="67" name="Text Box 99"/>
        <xdr:cNvSpPr txBox="1">
          <a:spLocks noChangeArrowheads="1"/>
        </xdr:cNvSpPr>
      </xdr:nvSpPr>
      <xdr:spPr>
        <a:xfrm>
          <a:off x="6315075" y="2238375"/>
          <a:ext cx="1714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FF"/>
              </a:solidFill>
            </a:rPr>
            <a:t>0</a:t>
          </a:r>
        </a:p>
      </xdr:txBody>
    </xdr:sp>
    <xdr:clientData/>
  </xdr:twoCellAnchor>
  <xdr:twoCellAnchor>
    <xdr:from>
      <xdr:col>27</xdr:col>
      <xdr:colOff>9525</xdr:colOff>
      <xdr:row>10</xdr:row>
      <xdr:rowOff>152400</xdr:rowOff>
    </xdr:from>
    <xdr:to>
      <xdr:col>27</xdr:col>
      <xdr:colOff>9525</xdr:colOff>
      <xdr:row>12</xdr:row>
      <xdr:rowOff>9525</xdr:rowOff>
    </xdr:to>
    <xdr:sp>
      <xdr:nvSpPr>
        <xdr:cNvPr id="68" name="Line 100"/>
        <xdr:cNvSpPr>
          <a:spLocks/>
        </xdr:cNvSpPr>
      </xdr:nvSpPr>
      <xdr:spPr>
        <a:xfrm flipV="1">
          <a:off x="6619875" y="1971675"/>
          <a:ext cx="0" cy="180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27</xdr:col>
      <xdr:colOff>28575</xdr:colOff>
      <xdr:row>12</xdr:row>
      <xdr:rowOff>28575</xdr:rowOff>
    </xdr:from>
    <xdr:to>
      <xdr:col>27</xdr:col>
      <xdr:colOff>190500</xdr:colOff>
      <xdr:row>12</xdr:row>
      <xdr:rowOff>28575</xdr:rowOff>
    </xdr:to>
    <xdr:sp>
      <xdr:nvSpPr>
        <xdr:cNvPr id="69" name="Line 101"/>
        <xdr:cNvSpPr>
          <a:spLocks/>
        </xdr:cNvSpPr>
      </xdr:nvSpPr>
      <xdr:spPr>
        <a:xfrm>
          <a:off x="6638925" y="2171700"/>
          <a:ext cx="161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26</xdr:col>
      <xdr:colOff>428625</xdr:colOff>
      <xdr:row>11</xdr:row>
      <xdr:rowOff>38100</xdr:rowOff>
    </xdr:from>
    <xdr:to>
      <xdr:col>27</xdr:col>
      <xdr:colOff>9525</xdr:colOff>
      <xdr:row>11</xdr:row>
      <xdr:rowOff>38100</xdr:rowOff>
    </xdr:to>
    <xdr:sp>
      <xdr:nvSpPr>
        <xdr:cNvPr id="70" name="Line 102"/>
        <xdr:cNvSpPr>
          <a:spLocks/>
        </xdr:cNvSpPr>
      </xdr:nvSpPr>
      <xdr:spPr>
        <a:xfrm>
          <a:off x="6429375" y="2019300"/>
          <a:ext cx="190500" cy="0"/>
        </a:xfrm>
        <a:prstGeom prst="line">
          <a:avLst/>
        </a:prstGeom>
        <a:noFill/>
        <a:ln w="9525" cmpd="sng">
          <a:solidFill>
            <a:srgbClr val="000000"/>
          </a:solidFill>
          <a:headEnd type="stealth"/>
          <a:tailEnd type="stealth"/>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27</xdr:col>
      <xdr:colOff>142875</xdr:colOff>
      <xdr:row>12</xdr:row>
      <xdr:rowOff>28575</xdr:rowOff>
    </xdr:from>
    <xdr:to>
      <xdr:col>27</xdr:col>
      <xdr:colOff>142875</xdr:colOff>
      <xdr:row>13</xdr:row>
      <xdr:rowOff>57150</xdr:rowOff>
    </xdr:to>
    <xdr:sp>
      <xdr:nvSpPr>
        <xdr:cNvPr id="71" name="Line 103"/>
        <xdr:cNvSpPr>
          <a:spLocks/>
        </xdr:cNvSpPr>
      </xdr:nvSpPr>
      <xdr:spPr>
        <a:xfrm>
          <a:off x="6753225" y="2171700"/>
          <a:ext cx="0" cy="190500"/>
        </a:xfrm>
        <a:prstGeom prst="line">
          <a:avLst/>
        </a:prstGeom>
        <a:noFill/>
        <a:ln w="9525" cmpd="sng">
          <a:solidFill>
            <a:srgbClr val="000000"/>
          </a:solidFill>
          <a:headEnd type="stealth"/>
          <a:tailEnd type="stealth"/>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27</xdr:col>
      <xdr:colOff>247650</xdr:colOff>
      <xdr:row>21</xdr:row>
      <xdr:rowOff>114300</xdr:rowOff>
    </xdr:from>
    <xdr:to>
      <xdr:col>27</xdr:col>
      <xdr:colOff>590550</xdr:colOff>
      <xdr:row>22</xdr:row>
      <xdr:rowOff>152400</xdr:rowOff>
    </xdr:to>
    <xdr:sp>
      <xdr:nvSpPr>
        <xdr:cNvPr id="72" name="Text Box 104"/>
        <xdr:cNvSpPr txBox="1">
          <a:spLocks noChangeArrowheads="1"/>
        </xdr:cNvSpPr>
      </xdr:nvSpPr>
      <xdr:spPr>
        <a:xfrm>
          <a:off x="6858000" y="3714750"/>
          <a:ext cx="342900" cy="200025"/>
        </a:xfrm>
        <a:prstGeom prst="rect">
          <a:avLst/>
        </a:prstGeom>
        <a:noFill/>
        <a:ln w="9525" cmpd="sng">
          <a:noFill/>
        </a:ln>
      </xdr:spPr>
      <xdr:txBody>
        <a:bodyPr vertOverflow="clip" wrap="square" lIns="27432" tIns="22860" rIns="0" bIns="0"/>
        <a:p>
          <a:pPr algn="l">
            <a:defRPr/>
          </a:pPr>
          <a:r>
            <a:rPr lang="en-US" cap="none" sz="900" b="0" i="0" u="none" baseline="0">
              <a:solidFill>
                <a:srgbClr val="0000FF"/>
              </a:solidFill>
            </a:rPr>
            <a:t>Piles</a:t>
          </a:r>
        </a:p>
      </xdr:txBody>
    </xdr:sp>
    <xdr:clientData/>
  </xdr:twoCellAnchor>
  <xdr:twoCellAnchor>
    <xdr:from>
      <xdr:col>27</xdr:col>
      <xdr:colOff>76200</xdr:colOff>
      <xdr:row>22</xdr:row>
      <xdr:rowOff>28575</xdr:rowOff>
    </xdr:from>
    <xdr:to>
      <xdr:col>27</xdr:col>
      <xdr:colOff>209550</xdr:colOff>
      <xdr:row>22</xdr:row>
      <xdr:rowOff>28575</xdr:rowOff>
    </xdr:to>
    <xdr:sp>
      <xdr:nvSpPr>
        <xdr:cNvPr id="73" name="Line 105"/>
        <xdr:cNvSpPr>
          <a:spLocks/>
        </xdr:cNvSpPr>
      </xdr:nvSpPr>
      <xdr:spPr>
        <a:xfrm flipH="1">
          <a:off x="6686550" y="3790950"/>
          <a:ext cx="133350" cy="0"/>
        </a:xfrm>
        <a:prstGeom prst="line">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27</xdr:col>
      <xdr:colOff>590550</xdr:colOff>
      <xdr:row>22</xdr:row>
      <xdr:rowOff>28575</xdr:rowOff>
    </xdr:from>
    <xdr:to>
      <xdr:col>28</xdr:col>
      <xdr:colOff>114300</xdr:colOff>
      <xdr:row>22</xdr:row>
      <xdr:rowOff>28575</xdr:rowOff>
    </xdr:to>
    <xdr:sp>
      <xdr:nvSpPr>
        <xdr:cNvPr id="74" name="Line 106"/>
        <xdr:cNvSpPr>
          <a:spLocks/>
        </xdr:cNvSpPr>
      </xdr:nvSpPr>
      <xdr:spPr>
        <a:xfrm>
          <a:off x="7200900" y="3790950"/>
          <a:ext cx="133350" cy="0"/>
        </a:xfrm>
        <a:prstGeom prst="line">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6</xdr:col>
      <xdr:colOff>19050</xdr:colOff>
      <xdr:row>61</xdr:row>
      <xdr:rowOff>19050</xdr:rowOff>
    </xdr:from>
    <xdr:to>
      <xdr:col>8</xdr:col>
      <xdr:colOff>790575</xdr:colOff>
      <xdr:row>81</xdr:row>
      <xdr:rowOff>0</xdr:rowOff>
    </xdr:to>
    <xdr:graphicFrame>
      <xdr:nvGraphicFramePr>
        <xdr:cNvPr id="75" name="Chart 111"/>
        <xdr:cNvGraphicFramePr/>
      </xdr:nvGraphicFramePr>
      <xdr:xfrm>
        <a:off x="3990975" y="10258425"/>
        <a:ext cx="1990725" cy="3219450"/>
      </xdr:xfrm>
      <a:graphic>
        <a:graphicData uri="http://schemas.openxmlformats.org/drawingml/2006/chart">
          <c:chart xmlns:c="http://schemas.openxmlformats.org/drawingml/2006/chart" r:id="rId2"/>
        </a:graphicData>
      </a:graphic>
    </xdr:graphicFrame>
    <xdr:clientData/>
  </xdr:twoCellAnchor>
  <xdr:twoCellAnchor>
    <xdr:from>
      <xdr:col>6</xdr:col>
      <xdr:colOff>152400</xdr:colOff>
      <xdr:row>66</xdr:row>
      <xdr:rowOff>19050</xdr:rowOff>
    </xdr:from>
    <xdr:to>
      <xdr:col>6</xdr:col>
      <xdr:colOff>152400</xdr:colOff>
      <xdr:row>68</xdr:row>
      <xdr:rowOff>57150</xdr:rowOff>
    </xdr:to>
    <xdr:sp>
      <xdr:nvSpPr>
        <xdr:cNvPr id="76" name="Line 112"/>
        <xdr:cNvSpPr>
          <a:spLocks/>
        </xdr:cNvSpPr>
      </xdr:nvSpPr>
      <xdr:spPr>
        <a:xfrm flipV="1">
          <a:off x="4124325" y="11068050"/>
          <a:ext cx="0" cy="3619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8</xdr:col>
      <xdr:colOff>266700</xdr:colOff>
      <xdr:row>80</xdr:row>
      <xdr:rowOff>19050</xdr:rowOff>
    </xdr:from>
    <xdr:to>
      <xdr:col>8</xdr:col>
      <xdr:colOff>628650</xdr:colOff>
      <xdr:row>80</xdr:row>
      <xdr:rowOff>19050</xdr:rowOff>
    </xdr:to>
    <xdr:sp>
      <xdr:nvSpPr>
        <xdr:cNvPr id="77" name="Line 113"/>
        <xdr:cNvSpPr>
          <a:spLocks/>
        </xdr:cNvSpPr>
      </xdr:nvSpPr>
      <xdr:spPr>
        <a:xfrm>
          <a:off x="5457825" y="13335000"/>
          <a:ext cx="3619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twoCellAnchor>
    <xdr:from>
      <xdr:col>27</xdr:col>
      <xdr:colOff>0</xdr:colOff>
      <xdr:row>53</xdr:row>
      <xdr:rowOff>0</xdr:rowOff>
    </xdr:from>
    <xdr:to>
      <xdr:col>29</xdr:col>
      <xdr:colOff>0</xdr:colOff>
      <xdr:row>56</xdr:row>
      <xdr:rowOff>0</xdr:rowOff>
    </xdr:to>
    <xdr:sp>
      <xdr:nvSpPr>
        <xdr:cNvPr id="78" name="Rectangle 144"/>
        <xdr:cNvSpPr>
          <a:spLocks/>
        </xdr:cNvSpPr>
      </xdr:nvSpPr>
      <xdr:spPr>
        <a:xfrm>
          <a:off x="6610350" y="8782050"/>
          <a:ext cx="1219200" cy="64770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ngsanaUPC"/>
              <a:ea typeface="AngsanaUPC"/>
              <a:cs typeface="AngsanaUPC"/>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rgb="FFFFC000"/>
    <pageSetUpPr fitToPage="1"/>
  </sheetPr>
  <dimension ref="A1:CC470"/>
  <sheetViews>
    <sheetView showGridLines="0" tabSelected="1" zoomScale="110" zoomScaleNormal="110" zoomScaleSheetLayoutView="106" zoomScalePageLayoutView="0" workbookViewId="0" topLeftCell="A1">
      <pane xSplit="1" ySplit="6" topLeftCell="B7" activePane="bottomRight" state="frozen"/>
      <selection pane="topLeft" activeCell="A1" sqref="A1"/>
      <selection pane="topRight" activeCell="B1" sqref="B1"/>
      <selection pane="bottomLeft" activeCell="A5" sqref="A5"/>
      <selection pane="bottomRight" activeCell="Z89" sqref="Z89"/>
    </sheetView>
  </sheetViews>
  <sheetFormatPr defaultColWidth="9.140625" defaultRowHeight="11.25" customHeight="1"/>
  <cols>
    <col min="1" max="1" width="9.140625" style="4" customWidth="1"/>
    <col min="2" max="2" width="5.57421875" style="7" customWidth="1"/>
    <col min="3" max="3" width="8.7109375" style="9" customWidth="1"/>
    <col min="4" max="22" width="5.57421875" style="9" customWidth="1"/>
    <col min="23" max="25" width="4.7109375" style="14" customWidth="1"/>
    <col min="26" max="34" width="6.00390625" style="14" customWidth="1"/>
    <col min="35" max="38" width="5.421875" style="14" customWidth="1"/>
    <col min="39" max="39" width="7.00390625" style="14" bestFit="1" customWidth="1"/>
    <col min="40" max="40" width="5.421875" style="14" customWidth="1"/>
    <col min="41" max="43" width="5.8515625" style="14" customWidth="1"/>
    <col min="44" max="44" width="7.00390625" style="14" customWidth="1"/>
    <col min="45" max="78" width="5.8515625" style="14" customWidth="1"/>
    <col min="79" max="82" width="5.8515625" style="9" customWidth="1"/>
    <col min="83" max="16384" width="9.140625" style="9" customWidth="1"/>
  </cols>
  <sheetData>
    <row r="1" spans="2:22" ht="11.25" customHeight="1" thickBot="1">
      <c r="B1" s="38"/>
      <c r="C1" s="14"/>
      <c r="D1" s="14"/>
      <c r="E1" s="14"/>
      <c r="F1" s="14"/>
      <c r="G1" s="14"/>
      <c r="H1" s="14"/>
      <c r="I1" s="14"/>
      <c r="J1" s="14"/>
      <c r="K1" s="14"/>
      <c r="L1" s="14"/>
      <c r="M1" s="14"/>
      <c r="N1" s="14"/>
      <c r="O1" s="14"/>
      <c r="P1" s="14"/>
      <c r="Q1" s="14"/>
      <c r="R1" s="14"/>
      <c r="S1" s="14"/>
      <c r="T1" s="14"/>
      <c r="U1" s="14"/>
      <c r="V1" s="14"/>
    </row>
    <row r="2" spans="2:22" ht="11.25" customHeight="1">
      <c r="B2" s="410"/>
      <c r="C2" s="460" t="s">
        <v>330</v>
      </c>
      <c r="D2" s="460"/>
      <c r="E2" s="460"/>
      <c r="F2" s="460"/>
      <c r="G2" s="461"/>
      <c r="H2" s="411" t="s">
        <v>222</v>
      </c>
      <c r="I2" s="412"/>
      <c r="J2" s="532" t="s">
        <v>223</v>
      </c>
      <c r="K2" s="532"/>
      <c r="L2" s="532"/>
      <c r="M2" s="532"/>
      <c r="N2" s="413"/>
      <c r="O2" s="414" t="s">
        <v>224</v>
      </c>
      <c r="P2" s="414"/>
      <c r="Q2" s="530" t="s">
        <v>205</v>
      </c>
      <c r="R2" s="530"/>
      <c r="S2" s="530"/>
      <c r="T2" s="530"/>
      <c r="U2" s="496" t="s">
        <v>225</v>
      </c>
      <c r="V2" s="454">
        <v>1</v>
      </c>
    </row>
    <row r="3" spans="2:22" ht="11.25" customHeight="1">
      <c r="B3" s="415"/>
      <c r="C3" s="462"/>
      <c r="D3" s="462"/>
      <c r="E3" s="462"/>
      <c r="F3" s="462"/>
      <c r="G3" s="463"/>
      <c r="H3" s="63" t="s">
        <v>226</v>
      </c>
      <c r="I3" s="416"/>
      <c r="J3" s="533" t="s">
        <v>227</v>
      </c>
      <c r="K3" s="533"/>
      <c r="L3" s="533"/>
      <c r="M3" s="533"/>
      <c r="N3" s="417"/>
      <c r="O3" s="470" t="s">
        <v>228</v>
      </c>
      <c r="P3" s="471"/>
      <c r="Q3" s="498" t="s">
        <v>329</v>
      </c>
      <c r="R3" s="498"/>
      <c r="S3" s="498"/>
      <c r="T3" s="498"/>
      <c r="U3" s="497"/>
      <c r="V3" s="418" t="s">
        <v>229</v>
      </c>
    </row>
    <row r="4" spans="2:22" ht="11.25" customHeight="1">
      <c r="B4" s="415"/>
      <c r="C4" s="462" t="s">
        <v>331</v>
      </c>
      <c r="D4" s="462"/>
      <c r="E4" s="462"/>
      <c r="F4" s="462"/>
      <c r="G4" s="463"/>
      <c r="H4" s="63" t="s">
        <v>230</v>
      </c>
      <c r="I4" s="416"/>
      <c r="J4" s="533" t="s">
        <v>231</v>
      </c>
      <c r="K4" s="533"/>
      <c r="L4" s="533"/>
      <c r="M4" s="533"/>
      <c r="N4" s="417"/>
      <c r="O4" s="506" t="s">
        <v>232</v>
      </c>
      <c r="P4" s="506"/>
      <c r="Q4" s="531">
        <v>39603</v>
      </c>
      <c r="R4" s="531"/>
      <c r="S4" s="531"/>
      <c r="T4" s="531"/>
      <c r="U4" s="497"/>
      <c r="V4" s="453">
        <f>V88</f>
        <v>2</v>
      </c>
    </row>
    <row r="5" spans="2:22" ht="11.25" customHeight="1" thickBot="1">
      <c r="B5" s="419"/>
      <c r="C5" s="464"/>
      <c r="D5" s="464"/>
      <c r="E5" s="464"/>
      <c r="F5" s="464"/>
      <c r="G5" s="465"/>
      <c r="H5" s="420"/>
      <c r="I5" s="421"/>
      <c r="J5" s="421"/>
      <c r="K5" s="422"/>
      <c r="L5" s="54"/>
      <c r="M5" s="55"/>
      <c r="N5" s="423"/>
      <c r="O5" s="424"/>
      <c r="P5" s="424"/>
      <c r="Q5" s="425"/>
      <c r="R5" s="425"/>
      <c r="S5" s="425"/>
      <c r="T5" s="425"/>
      <c r="U5" s="497"/>
      <c r="V5" s="426"/>
    </row>
    <row r="6" spans="2:22" ht="11.25" customHeight="1" thickBot="1">
      <c r="B6" s="523" t="s">
        <v>327</v>
      </c>
      <c r="C6" s="524"/>
      <c r="D6" s="524"/>
      <c r="E6" s="524"/>
      <c r="F6" s="524"/>
      <c r="G6" s="524"/>
      <c r="H6" s="524"/>
      <c r="I6" s="524"/>
      <c r="J6" s="524"/>
      <c r="K6" s="524"/>
      <c r="L6" s="524"/>
      <c r="M6" s="524"/>
      <c r="N6" s="524"/>
      <c r="O6" s="524"/>
      <c r="P6" s="524"/>
      <c r="Q6" s="524"/>
      <c r="R6" s="524"/>
      <c r="S6" s="524"/>
      <c r="T6" s="524"/>
      <c r="U6" s="524"/>
      <c r="V6" s="525"/>
    </row>
    <row r="7" spans="2:22" ht="11.25" customHeight="1">
      <c r="B7" s="356"/>
      <c r="C7" s="3"/>
      <c r="D7" s="3"/>
      <c r="E7" s="3"/>
      <c r="F7" s="3"/>
      <c r="G7" s="3"/>
      <c r="H7" s="3"/>
      <c r="I7" s="3"/>
      <c r="J7" s="3"/>
      <c r="K7" s="3"/>
      <c r="L7" s="3"/>
      <c r="M7" s="3"/>
      <c r="N7" s="3"/>
      <c r="O7" s="3"/>
      <c r="P7" s="3"/>
      <c r="Q7" s="3"/>
      <c r="R7" s="3"/>
      <c r="S7" s="3"/>
      <c r="T7" s="3"/>
      <c r="U7" s="3"/>
      <c r="V7" s="18"/>
    </row>
    <row r="8" spans="2:22" ht="11.25" customHeight="1">
      <c r="B8" s="433" t="s">
        <v>8</v>
      </c>
      <c r="C8" s="434" t="s">
        <v>233</v>
      </c>
      <c r="D8" s="435"/>
      <c r="E8" s="435"/>
      <c r="F8" s="435"/>
      <c r="G8" s="436"/>
      <c r="H8" s="3"/>
      <c r="I8" s="3"/>
      <c r="J8" s="3"/>
      <c r="K8" s="3"/>
      <c r="L8" s="3"/>
      <c r="M8" s="3"/>
      <c r="N8" s="3"/>
      <c r="O8" s="3"/>
      <c r="P8" s="3"/>
      <c r="Q8" s="3"/>
      <c r="R8" s="3"/>
      <c r="S8" s="3"/>
      <c r="T8" s="3"/>
      <c r="U8" s="3"/>
      <c r="V8" s="18"/>
    </row>
    <row r="9" spans="2:22" ht="11.25" customHeight="1">
      <c r="B9" s="419"/>
      <c r="C9" s="427" t="s">
        <v>234</v>
      </c>
      <c r="D9" s="428"/>
      <c r="E9" s="428"/>
      <c r="F9" s="428"/>
      <c r="G9" s="3"/>
      <c r="H9" s="3"/>
      <c r="I9" s="3"/>
      <c r="J9" s="3"/>
      <c r="K9" s="3"/>
      <c r="L9" s="3"/>
      <c r="M9" s="427" t="s">
        <v>239</v>
      </c>
      <c r="N9" s="428"/>
      <c r="O9" s="428"/>
      <c r="P9" s="3"/>
      <c r="Q9" s="3"/>
      <c r="R9" s="3"/>
      <c r="S9" s="3"/>
      <c r="T9" s="3"/>
      <c r="U9" s="3"/>
      <c r="V9" s="18"/>
    </row>
    <row r="10" spans="2:22" ht="11.25" customHeight="1">
      <c r="B10" s="419"/>
      <c r="C10" s="428" t="s">
        <v>235</v>
      </c>
      <c r="D10" s="428"/>
      <c r="E10" s="428"/>
      <c r="F10" s="428" t="s">
        <v>37</v>
      </c>
      <c r="G10" s="40" t="s">
        <v>4</v>
      </c>
      <c r="H10" s="485">
        <v>173</v>
      </c>
      <c r="I10" s="486"/>
      <c r="J10" s="451" t="s">
        <v>309</v>
      </c>
      <c r="K10" s="3"/>
      <c r="L10" s="3"/>
      <c r="M10" s="428" t="s">
        <v>240</v>
      </c>
      <c r="N10" s="428"/>
      <c r="O10" s="428"/>
      <c r="P10" s="3"/>
      <c r="Q10" s="3"/>
      <c r="R10" s="40" t="s">
        <v>4</v>
      </c>
      <c r="S10" s="485" t="s">
        <v>308</v>
      </c>
      <c r="T10" s="486"/>
      <c r="U10" s="3"/>
      <c r="V10" s="18"/>
    </row>
    <row r="11" spans="2:22" ht="11.25" customHeight="1">
      <c r="B11" s="419"/>
      <c r="C11" s="428" t="s">
        <v>236</v>
      </c>
      <c r="D11" s="428"/>
      <c r="E11" s="428" t="str">
        <f>H12&amp;"f'c"</f>
        <v>0.375f'c</v>
      </c>
      <c r="F11" s="428" t="s">
        <v>38</v>
      </c>
      <c r="G11" s="40" t="s">
        <v>4</v>
      </c>
      <c r="H11" s="495">
        <f>H10*H12</f>
        <v>64.875</v>
      </c>
      <c r="I11" s="495"/>
      <c r="J11" s="451" t="s">
        <v>309</v>
      </c>
      <c r="K11" s="3"/>
      <c r="L11" s="3"/>
      <c r="M11" s="428" t="s">
        <v>241</v>
      </c>
      <c r="N11" s="428"/>
      <c r="O11" s="428"/>
      <c r="P11" s="3"/>
      <c r="Q11" s="428" t="s">
        <v>40</v>
      </c>
      <c r="R11" s="40" t="s">
        <v>4</v>
      </c>
      <c r="S11" s="513">
        <f>IF(S10="SR-24",2400,IF(S10="SD-30",3000,IF(S10="SD-40",4000)))</f>
        <v>3000</v>
      </c>
      <c r="T11" s="513"/>
      <c r="U11" s="451" t="s">
        <v>309</v>
      </c>
      <c r="V11" s="18"/>
    </row>
    <row r="12" spans="2:22" ht="11.25" customHeight="1">
      <c r="B12" s="419"/>
      <c r="C12" s="428" t="s">
        <v>237</v>
      </c>
      <c r="D12" s="428"/>
      <c r="E12" s="428"/>
      <c r="F12" s="428"/>
      <c r="G12" s="40" t="s">
        <v>4</v>
      </c>
      <c r="H12" s="485">
        <v>0.375</v>
      </c>
      <c r="I12" s="486"/>
      <c r="J12" s="3"/>
      <c r="K12" s="3"/>
      <c r="L12" s="3"/>
      <c r="M12" s="428" t="s">
        <v>242</v>
      </c>
      <c r="N12" s="428"/>
      <c r="O12" s="428"/>
      <c r="P12" s="3"/>
      <c r="Q12" s="428" t="s">
        <v>244</v>
      </c>
      <c r="R12" s="40" t="s">
        <v>4</v>
      </c>
      <c r="S12" s="514">
        <f>MIN(S11*0.5,1700)</f>
        <v>1500</v>
      </c>
      <c r="T12" s="514"/>
      <c r="U12" s="451" t="s">
        <v>309</v>
      </c>
      <c r="V12" s="18"/>
    </row>
    <row r="13" spans="2:22" ht="11.25" customHeight="1">
      <c r="B13" s="419"/>
      <c r="C13" s="428" t="s">
        <v>238</v>
      </c>
      <c r="D13" s="428"/>
      <c r="E13" s="428"/>
      <c r="F13" s="428" t="s">
        <v>39</v>
      </c>
      <c r="G13" s="40" t="s">
        <v>4</v>
      </c>
      <c r="H13" s="494">
        <f>INT(15210*SQRT(H10))</f>
        <v>200056</v>
      </c>
      <c r="I13" s="494"/>
      <c r="J13" s="451" t="s">
        <v>309</v>
      </c>
      <c r="K13" s="3"/>
      <c r="L13" s="3"/>
      <c r="M13" s="428" t="s">
        <v>243</v>
      </c>
      <c r="N13" s="428"/>
      <c r="O13" s="428"/>
      <c r="P13" s="3"/>
      <c r="Q13" s="428" t="s">
        <v>245</v>
      </c>
      <c r="R13" s="40" t="s">
        <v>4</v>
      </c>
      <c r="S13" s="485">
        <v>2040000</v>
      </c>
      <c r="T13" s="486"/>
      <c r="U13" s="451" t="s">
        <v>309</v>
      </c>
      <c r="V13" s="18"/>
    </row>
    <row r="14" spans="2:22" ht="11.25" customHeight="1">
      <c r="B14" s="356"/>
      <c r="C14" s="3"/>
      <c r="D14" s="3"/>
      <c r="E14" s="3"/>
      <c r="G14" s="3"/>
      <c r="H14" s="3"/>
      <c r="K14" s="3"/>
      <c r="L14" s="3"/>
      <c r="M14" s="3"/>
      <c r="N14" s="3"/>
      <c r="O14" s="3"/>
      <c r="P14" s="3"/>
      <c r="Q14" s="3"/>
      <c r="R14" s="3"/>
      <c r="S14" s="3"/>
      <c r="T14" s="3"/>
      <c r="U14" s="3"/>
      <c r="V14" s="18"/>
    </row>
    <row r="15" spans="2:22" ht="11.25" customHeight="1">
      <c r="B15" s="433" t="s">
        <v>9</v>
      </c>
      <c r="C15" s="434" t="s">
        <v>246</v>
      </c>
      <c r="D15" s="435"/>
      <c r="E15" s="435"/>
      <c r="F15" s="435"/>
      <c r="G15" s="435"/>
      <c r="H15" s="3"/>
      <c r="K15" s="3"/>
      <c r="L15" s="3"/>
      <c r="M15" s="3"/>
      <c r="N15" s="3"/>
      <c r="O15" s="3"/>
      <c r="P15" s="3"/>
      <c r="Q15" s="3"/>
      <c r="R15" s="3"/>
      <c r="S15" s="3"/>
      <c r="T15" s="3"/>
      <c r="U15" s="3"/>
      <c r="V15" s="18"/>
    </row>
    <row r="16" spans="2:22" ht="11.25" customHeight="1">
      <c r="B16" s="356"/>
      <c r="C16" s="3" t="s">
        <v>0</v>
      </c>
      <c r="E16" s="3" t="s">
        <v>3</v>
      </c>
      <c r="G16" s="40" t="s">
        <v>4</v>
      </c>
      <c r="H16" s="510">
        <f>ROUND((S13/H13),0)</f>
        <v>10</v>
      </c>
      <c r="I16" s="510"/>
      <c r="K16" s="3"/>
      <c r="L16" s="3"/>
      <c r="M16" s="3" t="s">
        <v>41</v>
      </c>
      <c r="N16" s="3"/>
      <c r="O16" s="3" t="s">
        <v>6</v>
      </c>
      <c r="P16" s="3"/>
      <c r="Q16" s="3"/>
      <c r="R16" s="40" t="s">
        <v>4</v>
      </c>
      <c r="S16" s="484">
        <f>1-(H17/3)</f>
        <v>0.8993600930773705</v>
      </c>
      <c r="T16" s="484"/>
      <c r="U16" s="3"/>
      <c r="V16" s="18"/>
    </row>
    <row r="17" spans="2:22" ht="11.25" customHeight="1">
      <c r="B17" s="356"/>
      <c r="C17" s="3" t="s">
        <v>1</v>
      </c>
      <c r="E17" s="3" t="s">
        <v>5</v>
      </c>
      <c r="G17" s="40" t="s">
        <v>4</v>
      </c>
      <c r="H17" s="484">
        <f>1/(1+S12/(H16*H11))</f>
        <v>0.3019197207678883</v>
      </c>
      <c r="I17" s="484"/>
      <c r="K17" s="3"/>
      <c r="L17" s="3"/>
      <c r="M17" s="3" t="s">
        <v>2</v>
      </c>
      <c r="N17" s="3"/>
      <c r="O17" s="3" t="s">
        <v>7</v>
      </c>
      <c r="P17" s="3"/>
      <c r="Q17" s="3"/>
      <c r="R17" s="40" t="s">
        <v>4</v>
      </c>
      <c r="S17" s="484">
        <f>(H11*S16*H17)/2</f>
        <v>8.807901906319575</v>
      </c>
      <c r="T17" s="484"/>
      <c r="U17" s="451" t="s">
        <v>309</v>
      </c>
      <c r="V17" s="18"/>
    </row>
    <row r="18" spans="2:22" ht="11.25" customHeight="1">
      <c r="B18" s="356"/>
      <c r="C18" s="3"/>
      <c r="D18" s="3"/>
      <c r="E18" s="3"/>
      <c r="F18" s="3"/>
      <c r="G18" s="3"/>
      <c r="H18" s="3"/>
      <c r="I18" s="3"/>
      <c r="J18" s="3"/>
      <c r="K18" s="3"/>
      <c r="L18" s="3"/>
      <c r="M18" s="3"/>
      <c r="N18" s="3"/>
      <c r="O18" s="3"/>
      <c r="P18" s="3"/>
      <c r="Q18" s="3"/>
      <c r="R18" s="3"/>
      <c r="S18" s="3"/>
      <c r="T18" s="3"/>
      <c r="U18" s="3"/>
      <c r="V18" s="18"/>
    </row>
    <row r="19" spans="2:22" ht="11.25" customHeight="1">
      <c r="B19" s="437" t="s">
        <v>10</v>
      </c>
      <c r="C19" s="438" t="s">
        <v>247</v>
      </c>
      <c r="D19" s="436"/>
      <c r="E19" s="439"/>
      <c r="F19" s="436"/>
      <c r="G19" s="436"/>
      <c r="H19" s="3"/>
      <c r="I19" s="3"/>
      <c r="J19" s="3"/>
      <c r="K19" s="3"/>
      <c r="L19" s="3"/>
      <c r="M19" s="3"/>
      <c r="N19" s="3"/>
      <c r="O19" s="113"/>
      <c r="P19" s="3"/>
      <c r="Q19" s="494" t="s">
        <v>50</v>
      </c>
      <c r="R19" s="494"/>
      <c r="S19" s="3"/>
      <c r="T19" s="115"/>
      <c r="U19" s="3"/>
      <c r="V19" s="18"/>
    </row>
    <row r="20" spans="2:22" ht="11.25" customHeight="1">
      <c r="B20" s="358"/>
      <c r="C20" s="392" t="s">
        <v>248</v>
      </c>
      <c r="F20" s="3"/>
      <c r="G20" s="40" t="s">
        <v>4</v>
      </c>
      <c r="H20" s="490" t="s">
        <v>203</v>
      </c>
      <c r="I20" s="491"/>
      <c r="J20" s="3"/>
      <c r="K20" s="3"/>
      <c r="L20" s="3"/>
      <c r="M20" s="3"/>
      <c r="N20" s="3"/>
      <c r="O20" s="113"/>
      <c r="P20" s="3"/>
      <c r="Q20" s="3"/>
      <c r="R20" s="40"/>
      <c r="S20" s="118"/>
      <c r="T20" s="367"/>
      <c r="U20" s="3"/>
      <c r="V20" s="18"/>
    </row>
    <row r="21" spans="2:22" ht="11.25" customHeight="1" thickBot="1">
      <c r="B21" s="358"/>
      <c r="C21" s="392" t="s">
        <v>249</v>
      </c>
      <c r="F21" s="3"/>
      <c r="G21" s="40" t="s">
        <v>4</v>
      </c>
      <c r="H21" s="455">
        <v>28</v>
      </c>
      <c r="I21" s="392" t="s">
        <v>310</v>
      </c>
      <c r="J21" s="3"/>
      <c r="K21" s="3"/>
      <c r="L21" s="3"/>
      <c r="O21" s="114"/>
      <c r="P21" s="20"/>
      <c r="Q21" s="20"/>
      <c r="R21" s="20"/>
      <c r="S21" s="20"/>
      <c r="T21" s="116"/>
      <c r="V21" s="18"/>
    </row>
    <row r="22" spans="2:22" ht="11.25" customHeight="1">
      <c r="B22" s="358"/>
      <c r="C22" s="392" t="s">
        <v>250</v>
      </c>
      <c r="F22" s="3"/>
      <c r="G22" s="40" t="s">
        <v>4</v>
      </c>
      <c r="H22" s="455">
        <v>5</v>
      </c>
      <c r="I22" s="392" t="s">
        <v>310</v>
      </c>
      <c r="J22" s="3"/>
      <c r="K22" s="3"/>
      <c r="M22" s="3"/>
      <c r="N22" s="111"/>
      <c r="O22" s="108"/>
      <c r="P22" s="366"/>
      <c r="Q22" s="13"/>
      <c r="R22" s="13"/>
      <c r="S22" s="13"/>
      <c r="T22" s="62"/>
      <c r="U22" s="368"/>
      <c r="V22" s="18"/>
    </row>
    <row r="23" spans="2:22" ht="11.25" customHeight="1">
      <c r="B23" s="358"/>
      <c r="C23" s="392" t="s">
        <v>251</v>
      </c>
      <c r="D23" s="3"/>
      <c r="F23" s="3"/>
      <c r="G23" s="40" t="s">
        <v>4</v>
      </c>
      <c r="H23" s="455">
        <v>8</v>
      </c>
      <c r="I23" s="392" t="s">
        <v>310</v>
      </c>
      <c r="J23" s="3"/>
      <c r="K23" s="3"/>
      <c r="M23" s="3"/>
      <c r="N23" s="18"/>
      <c r="O23" s="109"/>
      <c r="P23" s="3"/>
      <c r="Q23" s="3"/>
      <c r="R23" s="3"/>
      <c r="S23" s="3"/>
      <c r="T23" s="18"/>
      <c r="U23" s="109"/>
      <c r="V23" s="18"/>
    </row>
    <row r="24" spans="2:22" ht="11.25" customHeight="1">
      <c r="B24" s="358"/>
      <c r="J24" s="3"/>
      <c r="K24" s="3"/>
      <c r="M24" s="3"/>
      <c r="N24" s="18"/>
      <c r="O24" s="109"/>
      <c r="P24" s="3"/>
      <c r="Q24" s="3"/>
      <c r="R24" s="3"/>
      <c r="S24" s="3"/>
      <c r="T24" s="18"/>
      <c r="U24" s="109"/>
      <c r="V24" s="18"/>
    </row>
    <row r="25" spans="2:22" ht="11.25" customHeight="1">
      <c r="B25" s="437" t="s">
        <v>11</v>
      </c>
      <c r="C25" s="438" t="s">
        <v>328</v>
      </c>
      <c r="D25" s="436"/>
      <c r="E25" s="436"/>
      <c r="F25" s="436"/>
      <c r="G25" s="436"/>
      <c r="H25" s="3"/>
      <c r="I25" s="3"/>
      <c r="J25" s="3"/>
      <c r="M25" s="501" t="s">
        <v>51</v>
      </c>
      <c r="N25" s="502"/>
      <c r="O25" s="109"/>
      <c r="P25" s="40"/>
      <c r="Q25" s="3"/>
      <c r="R25" s="3"/>
      <c r="S25" s="3"/>
      <c r="T25" s="18"/>
      <c r="U25" s="109"/>
      <c r="V25" s="18"/>
    </row>
    <row r="26" spans="2:41" ht="11.25" customHeight="1">
      <c r="B26" s="358"/>
      <c r="C26" s="392" t="s">
        <v>255</v>
      </c>
      <c r="F26" s="3" t="s">
        <v>14</v>
      </c>
      <c r="G26" s="40" t="s">
        <v>4</v>
      </c>
      <c r="H26" s="455">
        <v>47.15</v>
      </c>
      <c r="I26" s="392" t="s">
        <v>310</v>
      </c>
      <c r="N26" s="18"/>
      <c r="O26" s="109"/>
      <c r="P26" s="3"/>
      <c r="Q26" s="3"/>
      <c r="R26" s="3"/>
      <c r="S26" s="3"/>
      <c r="T26" s="18"/>
      <c r="U26" s="109"/>
      <c r="V26" s="18"/>
      <c r="Z26" s="93"/>
      <c r="AA26" s="93"/>
      <c r="AB26" s="93"/>
      <c r="AC26" s="93"/>
      <c r="AD26" s="93"/>
      <c r="AE26" s="93"/>
      <c r="AF26" s="93"/>
      <c r="AG26" s="93"/>
      <c r="AH26" s="93"/>
      <c r="AI26" s="93"/>
      <c r="AJ26" s="93"/>
      <c r="AK26" s="93"/>
      <c r="AL26" s="93"/>
      <c r="AM26" s="93"/>
      <c r="AN26" s="93"/>
      <c r="AO26" s="93"/>
    </row>
    <row r="27" spans="2:41" ht="11.25" customHeight="1">
      <c r="B27" s="358"/>
      <c r="C27" s="392" t="s">
        <v>252</v>
      </c>
      <c r="F27" s="3" t="s">
        <v>15</v>
      </c>
      <c r="G27" s="40" t="s">
        <v>4</v>
      </c>
      <c r="H27" s="455">
        <v>0</v>
      </c>
      <c r="I27" s="392" t="s">
        <v>312</v>
      </c>
      <c r="J27" s="117"/>
      <c r="K27" s="117"/>
      <c r="N27" s="18"/>
      <c r="O27" s="109"/>
      <c r="P27" s="3"/>
      <c r="Q27" s="3"/>
      <c r="R27" s="3"/>
      <c r="S27" s="3"/>
      <c r="T27" s="18"/>
      <c r="U27" s="109"/>
      <c r="V27" s="18"/>
      <c r="Z27" s="93"/>
      <c r="AA27" s="93"/>
      <c r="AB27" s="93"/>
      <c r="AC27" s="93"/>
      <c r="AD27" s="93"/>
      <c r="AE27" s="93"/>
      <c r="AF27" s="93"/>
      <c r="AG27" s="93"/>
      <c r="AH27" s="93"/>
      <c r="AI27" s="93"/>
      <c r="AJ27" s="93"/>
      <c r="AK27" s="93"/>
      <c r="AL27" s="93"/>
      <c r="AM27" s="93"/>
      <c r="AN27" s="93"/>
      <c r="AO27" s="93"/>
    </row>
    <row r="28" spans="2:41" ht="11.25" customHeight="1" thickBot="1">
      <c r="B28" s="358"/>
      <c r="C28" s="392" t="s">
        <v>253</v>
      </c>
      <c r="F28" s="3" t="s">
        <v>16</v>
      </c>
      <c r="G28" s="40" t="s">
        <v>4</v>
      </c>
      <c r="H28" s="455">
        <v>0</v>
      </c>
      <c r="I28" s="392" t="s">
        <v>312</v>
      </c>
      <c r="J28" s="9">
        <f>IF(J27="Long Column","R   = ","")</f>
      </c>
      <c r="K28" s="32">
        <f>IF(J27="Long Column",1.07-(0.008*((H22*100)/(0.3*H21))),"")</f>
      </c>
      <c r="N28" s="112"/>
      <c r="O28" s="110"/>
      <c r="P28" s="20"/>
      <c r="Q28" s="20"/>
      <c r="R28" s="20"/>
      <c r="S28" s="20"/>
      <c r="T28" s="21"/>
      <c r="U28" s="369"/>
      <c r="V28" s="18"/>
      <c r="Z28" s="93"/>
      <c r="AA28" s="93"/>
      <c r="AB28" s="93"/>
      <c r="AC28" s="93"/>
      <c r="AD28" s="93"/>
      <c r="AE28" s="94"/>
      <c r="AF28" s="94"/>
      <c r="AG28" s="94"/>
      <c r="AH28" s="94"/>
      <c r="AI28" s="94"/>
      <c r="AJ28" s="94"/>
      <c r="AK28" s="94"/>
      <c r="AL28" s="94"/>
      <c r="AM28" s="94"/>
      <c r="AN28" s="94"/>
      <c r="AO28" s="94"/>
    </row>
    <row r="29" spans="2:41" ht="11.25" customHeight="1">
      <c r="B29" s="358"/>
      <c r="C29" s="430" t="s">
        <v>254</v>
      </c>
      <c r="G29" s="40" t="s">
        <v>4</v>
      </c>
      <c r="H29" s="27">
        <f>WF(H32,H33,H54,H31,H34,H35,1900)/1000</f>
        <v>2.3642499999999997</v>
      </c>
      <c r="I29" s="120" t="s">
        <v>311</v>
      </c>
      <c r="T29" s="3"/>
      <c r="V29" s="18"/>
      <c r="Z29" s="511"/>
      <c r="AA29" s="511"/>
      <c r="AB29" s="511"/>
      <c r="AC29" s="511"/>
      <c r="AD29" s="34"/>
      <c r="AE29" s="94"/>
      <c r="AF29" s="95"/>
      <c r="AG29" s="95"/>
      <c r="AH29" s="95"/>
      <c r="AI29" s="95"/>
      <c r="AJ29" s="95"/>
      <c r="AK29" s="95"/>
      <c r="AL29" s="95"/>
      <c r="AM29" s="95"/>
      <c r="AN29" s="95"/>
      <c r="AO29" s="95"/>
    </row>
    <row r="30" spans="2:47" ht="11.25" customHeight="1">
      <c r="B30" s="358"/>
      <c r="C30" s="431" t="s">
        <v>256</v>
      </c>
      <c r="D30" s="3"/>
      <c r="F30" s="9" t="s">
        <v>184</v>
      </c>
      <c r="G30" s="40" t="s">
        <v>4</v>
      </c>
      <c r="H30" s="27">
        <f>SUM(H26,H29)</f>
        <v>49.51425</v>
      </c>
      <c r="I30" s="119" t="s">
        <v>310</v>
      </c>
      <c r="T30" s="3"/>
      <c r="V30" s="18"/>
      <c r="Z30" s="512"/>
      <c r="AA30" s="512"/>
      <c r="AB30" s="512"/>
      <c r="AC30" s="512"/>
      <c r="AD30" s="35"/>
      <c r="AE30" s="94"/>
      <c r="AF30" s="95"/>
      <c r="AG30" s="94"/>
      <c r="AH30" s="95"/>
      <c r="AI30" s="95"/>
      <c r="AJ30" s="95"/>
      <c r="AK30" s="95"/>
      <c r="AL30" s="94"/>
      <c r="AM30" s="96"/>
      <c r="AN30" s="96"/>
      <c r="AO30" s="94"/>
      <c r="AU30" s="38"/>
    </row>
    <row r="31" spans="2:47" ht="11.25" customHeight="1">
      <c r="B31" s="358"/>
      <c r="C31" s="119" t="s">
        <v>257</v>
      </c>
      <c r="D31" s="121"/>
      <c r="E31" s="121"/>
      <c r="F31" s="121" t="s">
        <v>49</v>
      </c>
      <c r="G31" s="122" t="s">
        <v>4</v>
      </c>
      <c r="H31" s="455">
        <v>1</v>
      </c>
      <c r="I31" s="119" t="s">
        <v>313</v>
      </c>
      <c r="N31" s="3"/>
      <c r="V31" s="18"/>
      <c r="Z31" s="35"/>
      <c r="AA31" s="35"/>
      <c r="AB31" s="35"/>
      <c r="AC31" s="35"/>
      <c r="AD31" s="35"/>
      <c r="AE31" s="95"/>
      <c r="AF31" s="95"/>
      <c r="AG31" s="95"/>
      <c r="AH31" s="95"/>
      <c r="AI31" s="95"/>
      <c r="AJ31" s="95"/>
      <c r="AK31" s="95"/>
      <c r="AL31" s="95"/>
      <c r="AM31" s="95"/>
      <c r="AN31" s="95"/>
      <c r="AO31" s="95"/>
      <c r="AU31" s="38"/>
    </row>
    <row r="32" spans="2:47" ht="11.25" customHeight="1">
      <c r="B32" s="358"/>
      <c r="C32" s="121" t="s">
        <v>258</v>
      </c>
      <c r="D32" s="121"/>
      <c r="E32" s="121"/>
      <c r="F32" s="121" t="s">
        <v>50</v>
      </c>
      <c r="G32" s="122" t="s">
        <v>4</v>
      </c>
      <c r="H32" s="455">
        <v>1.5</v>
      </c>
      <c r="I32" s="119" t="s">
        <v>313</v>
      </c>
      <c r="M32" s="3"/>
      <c r="N32" s="3"/>
      <c r="O32" s="3"/>
      <c r="P32" s="3"/>
      <c r="Q32" s="494" t="s">
        <v>204</v>
      </c>
      <c r="R32" s="494"/>
      <c r="S32" s="3"/>
      <c r="T32" s="3"/>
      <c r="U32" s="3"/>
      <c r="V32" s="18"/>
      <c r="Z32" s="35"/>
      <c r="AA32" s="36"/>
      <c r="AB32" s="35"/>
      <c r="AC32" s="36"/>
      <c r="AD32" s="36"/>
      <c r="AE32" s="94"/>
      <c r="AF32" s="95"/>
      <c r="AG32" s="95"/>
      <c r="AH32" s="95"/>
      <c r="AI32" s="95"/>
      <c r="AJ32" s="95"/>
      <c r="AK32" s="95"/>
      <c r="AL32" s="95"/>
      <c r="AM32" s="95"/>
      <c r="AN32" s="95"/>
      <c r="AO32" s="95"/>
      <c r="AU32" s="38"/>
    </row>
    <row r="33" spans="2:47" ht="11.25" customHeight="1">
      <c r="B33" s="358"/>
      <c r="C33" s="121" t="s">
        <v>259</v>
      </c>
      <c r="D33" s="121"/>
      <c r="E33" s="121"/>
      <c r="F33" s="121" t="s">
        <v>51</v>
      </c>
      <c r="G33" s="123" t="s">
        <v>4</v>
      </c>
      <c r="H33" s="455">
        <v>0.7</v>
      </c>
      <c r="I33" s="119" t="s">
        <v>313</v>
      </c>
      <c r="M33" s="3"/>
      <c r="N33" s="3"/>
      <c r="O33" s="3"/>
      <c r="P33" s="3"/>
      <c r="Q33" s="3"/>
      <c r="R33" s="40"/>
      <c r="S33" s="118"/>
      <c r="T33" s="118"/>
      <c r="U33" s="3"/>
      <c r="V33" s="18"/>
      <c r="Z33" s="512"/>
      <c r="AA33" s="512"/>
      <c r="AB33" s="512"/>
      <c r="AC33" s="512"/>
      <c r="AD33" s="35"/>
      <c r="AE33" s="94"/>
      <c r="AF33" s="95"/>
      <c r="AG33" s="94"/>
      <c r="AH33" s="95"/>
      <c r="AI33" s="95"/>
      <c r="AJ33" s="95"/>
      <c r="AK33" s="95"/>
      <c r="AL33" s="94"/>
      <c r="AM33" s="96"/>
      <c r="AN33" s="96"/>
      <c r="AO33" s="94"/>
      <c r="AP33" s="38"/>
      <c r="AQ33" s="38"/>
      <c r="AR33" s="38"/>
      <c r="AS33" s="38"/>
      <c r="AT33" s="38"/>
      <c r="AU33" s="38"/>
    </row>
    <row r="34" spans="2:47" ht="11.25" customHeight="1" thickBot="1">
      <c r="B34" s="358"/>
      <c r="C34" s="121" t="s">
        <v>260</v>
      </c>
      <c r="D34" s="121"/>
      <c r="F34" s="9" t="s">
        <v>52</v>
      </c>
      <c r="G34" s="122" t="s">
        <v>4</v>
      </c>
      <c r="H34" s="456">
        <v>0.4</v>
      </c>
      <c r="I34" s="119" t="s">
        <v>313</v>
      </c>
      <c r="N34" s="3"/>
      <c r="O34" s="20"/>
      <c r="P34" s="20"/>
      <c r="Q34" s="20"/>
      <c r="R34" s="20"/>
      <c r="S34" s="20"/>
      <c r="T34" s="20"/>
      <c r="V34" s="18"/>
      <c r="Z34" s="35"/>
      <c r="AA34" s="35"/>
      <c r="AB34" s="35"/>
      <c r="AC34" s="35"/>
      <c r="AD34" s="35"/>
      <c r="AE34" s="94"/>
      <c r="AF34" s="95"/>
      <c r="AG34" s="94"/>
      <c r="AH34" s="95"/>
      <c r="AI34" s="95"/>
      <c r="AJ34" s="95"/>
      <c r="AK34" s="95"/>
      <c r="AL34" s="94"/>
      <c r="AM34" s="96"/>
      <c r="AN34" s="96"/>
      <c r="AO34" s="94"/>
      <c r="AP34" s="38"/>
      <c r="AQ34" s="38"/>
      <c r="AR34" s="38"/>
      <c r="AS34" s="38"/>
      <c r="AT34" s="38"/>
      <c r="AU34" s="38"/>
    </row>
    <row r="35" spans="2:47" ht="11.25" customHeight="1">
      <c r="B35" s="358"/>
      <c r="C35" s="121" t="s">
        <v>261</v>
      </c>
      <c r="D35" s="121"/>
      <c r="F35" s="9" t="s">
        <v>19</v>
      </c>
      <c r="G35" s="123" t="s">
        <v>4</v>
      </c>
      <c r="H35" s="456">
        <v>0.4</v>
      </c>
      <c r="I35" s="119" t="s">
        <v>313</v>
      </c>
      <c r="M35" s="3"/>
      <c r="N35" s="18"/>
      <c r="O35" s="108"/>
      <c r="P35" s="366"/>
      <c r="Q35" s="13"/>
      <c r="R35" s="13"/>
      <c r="S35" s="13"/>
      <c r="T35" s="62"/>
      <c r="U35" s="109"/>
      <c r="V35" s="18"/>
      <c r="Z35" s="35"/>
      <c r="AA35" s="36"/>
      <c r="AB35" s="35"/>
      <c r="AC35" s="36"/>
      <c r="AD35" s="36"/>
      <c r="AE35" s="97"/>
      <c r="AF35" s="97"/>
      <c r="AG35" s="97"/>
      <c r="AH35" s="97"/>
      <c r="AI35" s="97"/>
      <c r="AJ35" s="97"/>
      <c r="AK35" s="97"/>
      <c r="AL35" s="97"/>
      <c r="AM35" s="97"/>
      <c r="AN35" s="97"/>
      <c r="AO35" s="97"/>
      <c r="AP35" s="38"/>
      <c r="AQ35" s="38"/>
      <c r="AR35" s="38"/>
      <c r="AS35" s="38"/>
      <c r="AT35" s="38"/>
      <c r="AU35" s="38"/>
    </row>
    <row r="36" spans="2:47" ht="11.25" customHeight="1">
      <c r="B36" s="356"/>
      <c r="M36" s="3"/>
      <c r="N36" s="18"/>
      <c r="O36" s="109"/>
      <c r="P36" s="3"/>
      <c r="Q36" s="3"/>
      <c r="R36" s="3"/>
      <c r="S36" s="3"/>
      <c r="T36" s="18"/>
      <c r="U36" s="109"/>
      <c r="V36" s="18"/>
      <c r="Z36" s="512"/>
      <c r="AA36" s="512"/>
      <c r="AB36" s="511"/>
      <c r="AC36" s="511"/>
      <c r="AD36" s="34"/>
      <c r="AE36" s="97"/>
      <c r="AF36" s="98"/>
      <c r="AG36" s="97"/>
      <c r="AH36" s="97"/>
      <c r="AI36" s="97"/>
      <c r="AJ36" s="97"/>
      <c r="AK36" s="97"/>
      <c r="AL36" s="97"/>
      <c r="AM36" s="97"/>
      <c r="AN36" s="97"/>
      <c r="AO36" s="97"/>
      <c r="AP36" s="38"/>
      <c r="AQ36" s="38"/>
      <c r="AR36" s="38"/>
      <c r="AS36" s="38"/>
      <c r="AT36" s="38"/>
      <c r="AU36" s="38"/>
    </row>
    <row r="37" spans="2:47" ht="11.25" customHeight="1">
      <c r="B37" s="437" t="s">
        <v>32</v>
      </c>
      <c r="C37" s="438" t="s">
        <v>262</v>
      </c>
      <c r="D37" s="436"/>
      <c r="E37" s="436"/>
      <c r="F37" s="436"/>
      <c r="G37" s="440"/>
      <c r="H37" s="452" t="s">
        <v>314</v>
      </c>
      <c r="I37" s="452" t="s">
        <v>315</v>
      </c>
      <c r="J37" s="452" t="s">
        <v>316</v>
      </c>
      <c r="K37" s="452" t="s">
        <v>317</v>
      </c>
      <c r="L37" s="452" t="s">
        <v>318</v>
      </c>
      <c r="M37" s="3"/>
      <c r="N37" s="18"/>
      <c r="O37" s="109"/>
      <c r="P37" s="3"/>
      <c r="Q37" s="3"/>
      <c r="R37" s="3"/>
      <c r="S37" s="3"/>
      <c r="T37" s="18"/>
      <c r="U37" s="109"/>
      <c r="V37" s="18"/>
      <c r="Z37" s="35"/>
      <c r="AA37" s="35"/>
      <c r="AB37" s="34"/>
      <c r="AC37" s="34"/>
      <c r="AD37" s="34"/>
      <c r="AE37" s="94"/>
      <c r="AF37" s="95"/>
      <c r="AG37" s="94"/>
      <c r="AH37" s="95"/>
      <c r="AI37" s="95"/>
      <c r="AJ37" s="95"/>
      <c r="AK37" s="95"/>
      <c r="AL37" s="94"/>
      <c r="AM37" s="99"/>
      <c r="AN37" s="99"/>
      <c r="AO37" s="94"/>
      <c r="AP37" s="38"/>
      <c r="AQ37" s="38"/>
      <c r="AR37" s="38"/>
      <c r="AS37" s="38"/>
      <c r="AT37" s="38"/>
      <c r="AU37" s="38"/>
    </row>
    <row r="38" spans="2:47" ht="11.25" customHeight="1">
      <c r="B38" s="358"/>
      <c r="C38" s="396" t="s">
        <v>264</v>
      </c>
      <c r="F38" s="7"/>
      <c r="G38" s="123" t="s">
        <v>4</v>
      </c>
      <c r="H38" s="455">
        <v>0.35</v>
      </c>
      <c r="I38" s="455">
        <v>0.35</v>
      </c>
      <c r="J38" s="455">
        <v>0.35</v>
      </c>
      <c r="K38" s="455">
        <v>0.35</v>
      </c>
      <c r="L38" s="488">
        <v>0.8</v>
      </c>
      <c r="M38" s="365"/>
      <c r="N38" s="18"/>
      <c r="O38" s="109"/>
      <c r="P38" s="40"/>
      <c r="Q38" s="3"/>
      <c r="R38" s="3"/>
      <c r="S38" s="3"/>
      <c r="T38" s="18"/>
      <c r="U38" s="109"/>
      <c r="V38" s="18"/>
      <c r="Z38" s="35"/>
      <c r="AA38" s="36"/>
      <c r="AB38" s="34"/>
      <c r="AC38" s="37"/>
      <c r="AD38" s="37"/>
      <c r="AE38" s="94"/>
      <c r="AF38" s="95"/>
      <c r="AG38" s="94"/>
      <c r="AH38" s="95"/>
      <c r="AI38" s="95"/>
      <c r="AJ38" s="95"/>
      <c r="AK38" s="95"/>
      <c r="AL38" s="94"/>
      <c r="AM38" s="99"/>
      <c r="AN38" s="99"/>
      <c r="AO38" s="94"/>
      <c r="AP38" s="38"/>
      <c r="AQ38" s="38"/>
      <c r="AR38" s="38"/>
      <c r="AS38" s="38"/>
      <c r="AT38" s="38"/>
      <c r="AU38" s="38"/>
    </row>
    <row r="39" spans="2:47" ht="11.25" customHeight="1">
      <c r="B39" s="358"/>
      <c r="C39" s="396" t="s">
        <v>265</v>
      </c>
      <c r="F39" s="124"/>
      <c r="G39" s="123" t="s">
        <v>4</v>
      </c>
      <c r="H39" s="455">
        <v>1.15</v>
      </c>
      <c r="I39" s="455">
        <v>0.35</v>
      </c>
      <c r="J39" s="455">
        <v>0.35</v>
      </c>
      <c r="K39" s="455">
        <v>0.35</v>
      </c>
      <c r="L39" s="489"/>
      <c r="N39" s="18"/>
      <c r="O39" s="109"/>
      <c r="P39" s="3"/>
      <c r="Q39" s="3"/>
      <c r="R39" s="3"/>
      <c r="S39" s="40" t="s">
        <v>210</v>
      </c>
      <c r="T39" s="18"/>
      <c r="U39" s="109"/>
      <c r="V39" s="18"/>
      <c r="Z39" s="512"/>
      <c r="AA39" s="512"/>
      <c r="AB39" s="511"/>
      <c r="AC39" s="511"/>
      <c r="AD39" s="34"/>
      <c r="AE39" s="34"/>
      <c r="AF39" s="34"/>
      <c r="AG39" s="34"/>
      <c r="AH39" s="34"/>
      <c r="AI39" s="34"/>
      <c r="AJ39" s="34"/>
      <c r="AK39" s="34"/>
      <c r="AL39" s="34"/>
      <c r="AM39" s="34"/>
      <c r="AN39" s="34"/>
      <c r="AO39" s="34"/>
      <c r="AP39" s="38"/>
      <c r="AQ39" s="38"/>
      <c r="AR39" s="38"/>
      <c r="AS39" s="38"/>
      <c r="AT39" s="38"/>
      <c r="AU39" s="38"/>
    </row>
    <row r="40" spans="2:47" ht="11.25" customHeight="1">
      <c r="B40" s="358"/>
      <c r="C40" s="396" t="s">
        <v>263</v>
      </c>
      <c r="G40" s="123" t="s">
        <v>4</v>
      </c>
      <c r="H40" s="455">
        <v>0.75</v>
      </c>
      <c r="I40" s="455">
        <v>0.35</v>
      </c>
      <c r="J40" s="32"/>
      <c r="K40" s="32"/>
      <c r="L40" s="32"/>
      <c r="N40" s="18"/>
      <c r="O40" s="109"/>
      <c r="P40" s="3"/>
      <c r="Q40" s="3"/>
      <c r="R40" s="3"/>
      <c r="S40" s="3"/>
      <c r="T40" s="18"/>
      <c r="U40" s="109"/>
      <c r="V40" s="18"/>
      <c r="Z40" s="35"/>
      <c r="AA40" s="35"/>
      <c r="AB40" s="34"/>
      <c r="AC40" s="34"/>
      <c r="AD40" s="34"/>
      <c r="AE40" s="93"/>
      <c r="AF40" s="93"/>
      <c r="AG40" s="93"/>
      <c r="AH40" s="93"/>
      <c r="AI40" s="93"/>
      <c r="AJ40" s="93"/>
      <c r="AK40" s="93"/>
      <c r="AL40" s="34"/>
      <c r="AM40" s="34"/>
      <c r="AN40" s="34"/>
      <c r="AO40" s="34"/>
      <c r="AP40" s="38"/>
      <c r="AQ40" s="38"/>
      <c r="AR40" s="38"/>
      <c r="AS40" s="38"/>
      <c r="AT40" s="38"/>
      <c r="AU40" s="38"/>
    </row>
    <row r="41" spans="2:47" ht="11.25" customHeight="1" thickBot="1">
      <c r="B41" s="358"/>
      <c r="C41" s="396" t="s">
        <v>266</v>
      </c>
      <c r="F41" s="3" t="s">
        <v>207</v>
      </c>
      <c r="G41" s="123" t="s">
        <v>4</v>
      </c>
      <c r="H41" s="48">
        <f>+'Piles (&lt;=25)(metric) (2)'!E65/1000</f>
        <v>24.757125</v>
      </c>
      <c r="I41" s="392" t="s">
        <v>310</v>
      </c>
      <c r="N41" s="382" t="s">
        <v>206</v>
      </c>
      <c r="O41" s="110"/>
      <c r="P41" s="20"/>
      <c r="Q41" s="20"/>
      <c r="R41" s="20"/>
      <c r="S41" s="20"/>
      <c r="T41" s="21"/>
      <c r="U41" s="109"/>
      <c r="V41" s="18"/>
      <c r="AG41" s="93"/>
      <c r="AH41" s="93"/>
      <c r="AI41" s="93"/>
      <c r="AJ41" s="93"/>
      <c r="AK41" s="93"/>
      <c r="AL41" s="100"/>
      <c r="AM41" s="100"/>
      <c r="AN41" s="34"/>
      <c r="AO41" s="34"/>
      <c r="AP41" s="38"/>
      <c r="AQ41" s="38"/>
      <c r="AR41" s="38"/>
      <c r="AS41" s="38"/>
      <c r="AT41" s="38"/>
      <c r="AU41" s="38"/>
    </row>
    <row r="42" spans="2:47" ht="11.25" customHeight="1">
      <c r="B42" s="358"/>
      <c r="C42" s="396" t="s">
        <v>267</v>
      </c>
      <c r="F42" s="3" t="s">
        <v>208</v>
      </c>
      <c r="G42" s="123" t="s">
        <v>4</v>
      </c>
      <c r="H42" s="27">
        <f>+'Piles (&lt;=25)(metric) (2)'!E66/1000</f>
        <v>24.757125</v>
      </c>
      <c r="I42" s="392" t="s">
        <v>310</v>
      </c>
      <c r="O42" s="374"/>
      <c r="P42" s="13" t="s">
        <v>204</v>
      </c>
      <c r="Q42" s="375"/>
      <c r="U42" s="3"/>
      <c r="V42" s="18"/>
      <c r="AG42" s="101"/>
      <c r="AH42" s="102"/>
      <c r="AI42" s="103"/>
      <c r="AJ42" s="101"/>
      <c r="AK42" s="101"/>
      <c r="AL42" s="34"/>
      <c r="AM42" s="34"/>
      <c r="AN42" s="34"/>
      <c r="AO42" s="34"/>
      <c r="AP42" s="38"/>
      <c r="AQ42" s="38"/>
      <c r="AR42" s="38"/>
      <c r="AS42" s="38"/>
      <c r="AT42" s="38"/>
      <c r="AU42" s="38"/>
    </row>
    <row r="43" spans="2:47" ht="11.25" customHeight="1">
      <c r="B43" s="358"/>
      <c r="C43" s="441" t="s">
        <v>268</v>
      </c>
      <c r="D43" s="442"/>
      <c r="E43" s="442"/>
      <c r="O43" s="113"/>
      <c r="P43" s="3"/>
      <c r="Q43" s="115"/>
      <c r="V43" s="18"/>
      <c r="AG43" s="101"/>
      <c r="AH43" s="101"/>
      <c r="AI43" s="101"/>
      <c r="AJ43" s="101"/>
      <c r="AK43" s="101"/>
      <c r="AL43" s="34"/>
      <c r="AM43" s="34"/>
      <c r="AN43" s="34"/>
      <c r="AO43" s="34"/>
      <c r="AP43" s="38"/>
      <c r="AQ43" s="38"/>
      <c r="AR43" s="38"/>
      <c r="AS43" s="38"/>
      <c r="AT43" s="38"/>
      <c r="AU43" s="38"/>
    </row>
    <row r="44" spans="2:47" ht="11.25" customHeight="1">
      <c r="B44" s="358"/>
      <c r="C44" s="396" t="s">
        <v>270</v>
      </c>
      <c r="G44" s="123" t="s">
        <v>4</v>
      </c>
      <c r="H44" s="25">
        <f>IF(OR(H41&gt;0,H42&gt;0),MAX(H41,H42),0)</f>
        <v>24.757125</v>
      </c>
      <c r="I44" s="392" t="s">
        <v>310</v>
      </c>
      <c r="J44" s="33" t="str">
        <f>IF(H44&lt;H21,"OK.","NG.")</f>
        <v>OK.</v>
      </c>
      <c r="K44" s="3"/>
      <c r="V44" s="18"/>
      <c r="AG44" s="104"/>
      <c r="AH44" s="101"/>
      <c r="AI44" s="103"/>
      <c r="AJ44" s="101"/>
      <c r="AK44" s="105"/>
      <c r="AL44" s="34"/>
      <c r="AM44" s="34"/>
      <c r="AN44" s="34"/>
      <c r="AO44" s="34"/>
      <c r="AP44" s="38"/>
      <c r="AQ44" s="38"/>
      <c r="AR44" s="38"/>
      <c r="AS44" s="38"/>
      <c r="AT44" s="38"/>
      <c r="AU44" s="38"/>
    </row>
    <row r="45" spans="2:47" ht="11.25" customHeight="1">
      <c r="B45" s="358"/>
      <c r="C45" s="441" t="s">
        <v>269</v>
      </c>
      <c r="D45" s="442"/>
      <c r="E45" s="442"/>
      <c r="G45" s="40"/>
      <c r="H45" s="27"/>
      <c r="K45" s="3"/>
      <c r="V45" s="18"/>
      <c r="AG45" s="34"/>
      <c r="AH45" s="34"/>
      <c r="AI45" s="34"/>
      <c r="AJ45" s="34"/>
      <c r="AK45" s="34"/>
      <c r="AL45" s="34"/>
      <c r="AM45" s="34"/>
      <c r="AN45" s="34"/>
      <c r="AO45" s="34"/>
      <c r="AP45" s="38"/>
      <c r="AQ45" s="38"/>
      <c r="AR45" s="38"/>
      <c r="AS45" s="38"/>
      <c r="AT45" s="38"/>
      <c r="AU45" s="38"/>
    </row>
    <row r="46" spans="2:47" ht="11.25" customHeight="1">
      <c r="B46" s="358"/>
      <c r="C46" s="396" t="s">
        <v>271</v>
      </c>
      <c r="G46" s="123" t="s">
        <v>4</v>
      </c>
      <c r="H46" s="24">
        <f>IF(OR(H41&lt;0,H42&lt;0),MIN(H41,H42),0)</f>
        <v>0</v>
      </c>
      <c r="I46" s="392" t="s">
        <v>310</v>
      </c>
      <c r="J46" s="33" t="str">
        <f>IF(H46*-1&lt;H22,"OK.","NG.")</f>
        <v>OK.</v>
      </c>
      <c r="K46" s="3"/>
      <c r="V46" s="18"/>
      <c r="AG46" s="34"/>
      <c r="AH46" s="34"/>
      <c r="AI46" s="34"/>
      <c r="AJ46" s="34"/>
      <c r="AK46" s="34"/>
      <c r="AL46" s="34"/>
      <c r="AM46" s="34"/>
      <c r="AN46" s="34"/>
      <c r="AO46" s="34"/>
      <c r="AP46" s="38"/>
      <c r="AQ46" s="38"/>
      <c r="AR46" s="38"/>
      <c r="AS46" s="38"/>
      <c r="AT46" s="38"/>
      <c r="AU46" s="38"/>
    </row>
    <row r="47" spans="2:47" ht="11.25" customHeight="1">
      <c r="B47" s="356"/>
      <c r="K47" s="3"/>
      <c r="V47" s="18"/>
      <c r="AH47" s="34"/>
      <c r="AI47" s="34"/>
      <c r="AJ47" s="34"/>
      <c r="AK47" s="34"/>
      <c r="AL47" s="34"/>
      <c r="AM47" s="34"/>
      <c r="AN47" s="34"/>
      <c r="AO47" s="34"/>
      <c r="AP47" s="38"/>
      <c r="AQ47" s="38"/>
      <c r="AR47" s="38"/>
      <c r="AS47" s="38"/>
      <c r="AT47" s="38"/>
      <c r="AU47" s="38"/>
    </row>
    <row r="48" spans="2:47" ht="11.25" customHeight="1">
      <c r="B48" s="443" t="s">
        <v>33</v>
      </c>
      <c r="C48" s="444" t="s">
        <v>272</v>
      </c>
      <c r="D48" s="445"/>
      <c r="E48" s="445"/>
      <c r="F48" s="445"/>
      <c r="G48" s="445"/>
      <c r="H48" s="390" t="s">
        <v>207</v>
      </c>
      <c r="I48" s="391" t="s">
        <v>208</v>
      </c>
      <c r="J48" s="41"/>
      <c r="K48" s="8"/>
      <c r="V48" s="18"/>
      <c r="AH48" s="34"/>
      <c r="AI48" s="34"/>
      <c r="AJ48" s="34"/>
      <c r="AK48" s="34"/>
      <c r="AL48" s="34"/>
      <c r="AM48" s="34"/>
      <c r="AN48" s="34"/>
      <c r="AO48" s="34"/>
      <c r="AP48" s="38"/>
      <c r="AQ48" s="38"/>
      <c r="AR48" s="38"/>
      <c r="AS48" s="38"/>
      <c r="AT48" s="38"/>
      <c r="AU48" s="38"/>
    </row>
    <row r="49" spans="2:47" ht="11.25" customHeight="1" thickBot="1">
      <c r="B49" s="359"/>
      <c r="C49" s="396" t="s">
        <v>273</v>
      </c>
      <c r="G49" s="123" t="s">
        <v>4</v>
      </c>
      <c r="H49" s="455">
        <v>0.4</v>
      </c>
      <c r="I49" s="455">
        <v>0.4</v>
      </c>
      <c r="J49" s="119" t="s">
        <v>313</v>
      </c>
      <c r="K49" s="3"/>
      <c r="V49" s="18"/>
      <c r="AH49" s="34"/>
      <c r="AI49" s="34"/>
      <c r="AJ49" s="34"/>
      <c r="AK49" s="34"/>
      <c r="AL49" s="34"/>
      <c r="AM49" s="34"/>
      <c r="AN49" s="34"/>
      <c r="AO49" s="34"/>
      <c r="AP49" s="38"/>
      <c r="AQ49" s="38"/>
      <c r="AR49" s="38"/>
      <c r="AS49" s="38"/>
      <c r="AT49" s="38"/>
      <c r="AU49" s="38"/>
    </row>
    <row r="50" spans="2:47" ht="11.25" customHeight="1">
      <c r="B50" s="359"/>
      <c r="C50" s="430" t="s">
        <v>274</v>
      </c>
      <c r="D50" s="119"/>
      <c r="E50" s="119"/>
      <c r="F50" s="119"/>
      <c r="G50" s="123" t="s">
        <v>4</v>
      </c>
      <c r="H50" s="7">
        <f>Mmax2pile_col(H49,H34,(ABS(H41)))*1000</f>
        <v>4951.425</v>
      </c>
      <c r="I50" s="7">
        <f>Mmax2pile_col(I49,H34,(ABS(H42)))*1000</f>
        <v>4951.425</v>
      </c>
      <c r="J50" s="451" t="s">
        <v>319</v>
      </c>
      <c r="K50" s="3"/>
      <c r="N50" s="80"/>
      <c r="O50" s="80"/>
      <c r="P50" s="13"/>
      <c r="Q50" s="13"/>
      <c r="R50" s="13"/>
      <c r="S50" s="13"/>
      <c r="V50" s="18"/>
      <c r="AH50" s="34"/>
      <c r="AI50" s="34"/>
      <c r="AJ50" s="34"/>
      <c r="AK50" s="34"/>
      <c r="AL50" s="34"/>
      <c r="AM50" s="34"/>
      <c r="AN50" s="34"/>
      <c r="AO50" s="34"/>
      <c r="AP50" s="38"/>
      <c r="AQ50" s="38"/>
      <c r="AR50" s="38"/>
      <c r="AS50" s="38"/>
      <c r="AT50" s="38"/>
      <c r="AU50" s="38"/>
    </row>
    <row r="51" spans="2:47" ht="11.25" customHeight="1">
      <c r="B51" s="359"/>
      <c r="C51" s="430" t="s">
        <v>278</v>
      </c>
      <c r="D51" s="121"/>
      <c r="E51" s="121"/>
      <c r="F51" s="338"/>
      <c r="G51" s="123" t="s">
        <v>4</v>
      </c>
      <c r="H51" s="27">
        <f>DMINN(MAX(H50,I50),S17,H33*100)</f>
        <v>28.338695056101628</v>
      </c>
      <c r="I51" s="428" t="s">
        <v>320</v>
      </c>
      <c r="J51" s="3"/>
      <c r="N51" s="3"/>
      <c r="V51" s="18"/>
      <c r="AH51" s="34"/>
      <c r="AI51" s="34"/>
      <c r="AJ51" s="34"/>
      <c r="AK51" s="34"/>
      <c r="AL51" s="34"/>
      <c r="AM51" s="34"/>
      <c r="AN51" s="34"/>
      <c r="AO51" s="34"/>
      <c r="AP51" s="38"/>
      <c r="AQ51" s="38"/>
      <c r="AR51" s="38"/>
      <c r="AS51" s="38"/>
      <c r="AT51" s="38"/>
      <c r="AU51" s="38"/>
    </row>
    <row r="52" spans="2:47" ht="11.25" customHeight="1">
      <c r="B52" s="359"/>
      <c r="C52" s="430" t="s">
        <v>275</v>
      </c>
      <c r="D52" s="121"/>
      <c r="E52" s="121"/>
      <c r="F52" s="121" t="s">
        <v>185</v>
      </c>
      <c r="G52" s="123" t="s">
        <v>4</v>
      </c>
      <c r="H52" s="23">
        <f>(H54-H53)*100</f>
        <v>57.50000000000001</v>
      </c>
      <c r="I52" s="428" t="s">
        <v>320</v>
      </c>
      <c r="J52" s="33" t="str">
        <f>IF(H52&gt;H51,"OK.","NG.")</f>
        <v>OK.</v>
      </c>
      <c r="N52" s="3"/>
      <c r="U52" s="3"/>
      <c r="V52" s="18"/>
      <c r="AH52" s="34"/>
      <c r="AI52" s="34"/>
      <c r="AJ52" s="34"/>
      <c r="AK52" s="34"/>
      <c r="AL52" s="34"/>
      <c r="AM52" s="34"/>
      <c r="AN52" s="34"/>
      <c r="AO52" s="34"/>
      <c r="AP52" s="38"/>
      <c r="AQ52" s="38"/>
      <c r="AR52" s="38"/>
      <c r="AS52" s="38"/>
      <c r="AT52" s="38"/>
      <c r="AU52" s="38"/>
    </row>
    <row r="53" spans="2:47" ht="11.25" customHeight="1">
      <c r="B53" s="359"/>
      <c r="C53" s="430" t="s">
        <v>326</v>
      </c>
      <c r="D53" s="121"/>
      <c r="E53" s="121"/>
      <c r="F53" s="121"/>
      <c r="G53" s="123" t="s">
        <v>4</v>
      </c>
      <c r="H53" s="456">
        <v>0.075</v>
      </c>
      <c r="I53" s="119" t="s">
        <v>313</v>
      </c>
      <c r="J53" s="3"/>
      <c r="K53" s="3"/>
      <c r="N53" s="493" t="s">
        <v>49</v>
      </c>
      <c r="U53" s="3"/>
      <c r="V53" s="18"/>
      <c r="AH53" s="34"/>
      <c r="AI53" s="34"/>
      <c r="AJ53" s="34"/>
      <c r="AK53" s="34"/>
      <c r="AL53" s="34"/>
      <c r="AM53" s="34"/>
      <c r="AN53" s="34"/>
      <c r="AO53" s="34"/>
      <c r="AP53" s="38"/>
      <c r="AQ53" s="38"/>
      <c r="AR53" s="38"/>
      <c r="AS53" s="38"/>
      <c r="AT53" s="38"/>
      <c r="AU53" s="38"/>
    </row>
    <row r="54" spans="2:47" ht="11.25" customHeight="1" thickBot="1">
      <c r="B54" s="359"/>
      <c r="C54" s="430" t="s">
        <v>276</v>
      </c>
      <c r="D54" s="30"/>
      <c r="E54" s="119"/>
      <c r="F54" s="121" t="s">
        <v>186</v>
      </c>
      <c r="G54" s="123" t="s">
        <v>4</v>
      </c>
      <c r="H54" s="455">
        <v>0.65</v>
      </c>
      <c r="I54" s="119" t="s">
        <v>313</v>
      </c>
      <c r="J54" s="3"/>
      <c r="K54" s="3"/>
      <c r="N54" s="493"/>
      <c r="V54" s="18"/>
      <c r="AH54" s="34"/>
      <c r="AI54" s="34"/>
      <c r="AJ54" s="34"/>
      <c r="AK54" s="34"/>
      <c r="AL54" s="34"/>
      <c r="AM54" s="34"/>
      <c r="AN54" s="34"/>
      <c r="AO54" s="34"/>
      <c r="AP54" s="38"/>
      <c r="AQ54" s="38"/>
      <c r="AR54" s="38"/>
      <c r="AS54" s="38"/>
      <c r="AT54" s="38"/>
      <c r="AU54" s="38"/>
    </row>
    <row r="55" spans="2:47" ht="11.25" customHeight="1">
      <c r="B55" s="356"/>
      <c r="K55" s="3"/>
      <c r="N55" s="3"/>
      <c r="O55" s="108"/>
      <c r="P55" s="13"/>
      <c r="Q55" s="13"/>
      <c r="R55" s="13"/>
      <c r="S55" s="13"/>
      <c r="T55" s="62"/>
      <c r="U55" s="368"/>
      <c r="V55" s="111"/>
      <c r="AH55" s="34"/>
      <c r="AI55" s="34"/>
      <c r="AJ55" s="34"/>
      <c r="AK55" s="34"/>
      <c r="AL55" s="34"/>
      <c r="AM55" s="34"/>
      <c r="AN55" s="34"/>
      <c r="AO55" s="34"/>
      <c r="AP55" s="38"/>
      <c r="AQ55" s="38"/>
      <c r="AR55" s="38"/>
      <c r="AS55" s="38"/>
      <c r="AT55" s="38"/>
      <c r="AU55" s="38"/>
    </row>
    <row r="56" spans="2:47" ht="11.25" customHeight="1">
      <c r="B56" s="443" t="s">
        <v>36</v>
      </c>
      <c r="C56" s="444" t="s">
        <v>277</v>
      </c>
      <c r="D56" s="446"/>
      <c r="E56" s="447"/>
      <c r="F56" s="448"/>
      <c r="G56" s="442"/>
      <c r="H56" s="390" t="s">
        <v>207</v>
      </c>
      <c r="I56" s="391" t="s">
        <v>208</v>
      </c>
      <c r="K56" s="3"/>
      <c r="N56" s="3"/>
      <c r="O56" s="109"/>
      <c r="P56" s="3"/>
      <c r="Q56" s="3"/>
      <c r="R56" s="3"/>
      <c r="S56" s="6"/>
      <c r="T56" s="370"/>
      <c r="U56" s="356" t="s">
        <v>185</v>
      </c>
      <c r="V56" s="492" t="s">
        <v>186</v>
      </c>
      <c r="AH56" s="34"/>
      <c r="AI56" s="34"/>
      <c r="AJ56" s="34"/>
      <c r="AK56" s="34"/>
      <c r="AL56" s="34"/>
      <c r="AM56" s="34"/>
      <c r="AN56" s="34"/>
      <c r="AO56" s="34"/>
      <c r="AP56" s="38"/>
      <c r="AQ56" s="38"/>
      <c r="AR56" s="38"/>
      <c r="AS56" s="38"/>
      <c r="AT56" s="38"/>
      <c r="AU56" s="38"/>
    </row>
    <row r="57" spans="2:47" ht="11.25" customHeight="1">
      <c r="B57" s="339"/>
      <c r="C57" s="396" t="s">
        <v>279</v>
      </c>
      <c r="D57" s="122"/>
      <c r="E57" s="340"/>
      <c r="F57" s="340" t="s">
        <v>185</v>
      </c>
      <c r="G57" s="123" t="s">
        <v>4</v>
      </c>
      <c r="H57" s="27">
        <f>H52</f>
        <v>57.50000000000001</v>
      </c>
      <c r="I57" s="428" t="s">
        <v>320</v>
      </c>
      <c r="N57" s="3"/>
      <c r="O57" s="109"/>
      <c r="P57" s="3"/>
      <c r="Q57" s="3"/>
      <c r="R57" s="3"/>
      <c r="S57" s="3"/>
      <c r="T57" s="18"/>
      <c r="U57" s="109"/>
      <c r="V57" s="492"/>
      <c r="AH57" s="34"/>
      <c r="AI57" s="34"/>
      <c r="AJ57" s="34"/>
      <c r="AK57" s="34"/>
      <c r="AL57" s="34"/>
      <c r="AM57" s="34"/>
      <c r="AN57" s="34"/>
      <c r="AO57" s="34"/>
      <c r="AP57" s="38"/>
      <c r="AQ57" s="38"/>
      <c r="AR57" s="38"/>
      <c r="AS57" s="38"/>
      <c r="AT57" s="38"/>
      <c r="AU57" s="38"/>
    </row>
    <row r="58" spans="2:47" ht="11.25" customHeight="1" thickBot="1">
      <c r="B58" s="359"/>
      <c r="C58" s="396" t="s">
        <v>280</v>
      </c>
      <c r="D58" s="122"/>
      <c r="E58" s="119"/>
      <c r="F58" s="341"/>
      <c r="G58" s="123" t="s">
        <v>4</v>
      </c>
      <c r="H58" s="7">
        <f>(H49*100)-(H34*100/2)</f>
        <v>20</v>
      </c>
      <c r="I58" s="7">
        <f>(I49*100)-(H34*100/2)</f>
        <v>20</v>
      </c>
      <c r="J58" s="428" t="s">
        <v>320</v>
      </c>
      <c r="N58" s="82"/>
      <c r="O58" s="110"/>
      <c r="P58" s="20"/>
      <c r="Q58" s="20"/>
      <c r="R58" s="20"/>
      <c r="S58" s="20"/>
      <c r="T58" s="21"/>
      <c r="U58" s="371"/>
      <c r="V58" s="112"/>
      <c r="AH58" s="34"/>
      <c r="AI58" s="34"/>
      <c r="AJ58" s="34"/>
      <c r="AK58" s="34"/>
      <c r="AL58" s="34"/>
      <c r="AM58" s="34"/>
      <c r="AN58" s="34"/>
      <c r="AO58" s="34"/>
      <c r="AP58" s="38"/>
      <c r="AQ58" s="38"/>
      <c r="AR58" s="38"/>
      <c r="AS58" s="38"/>
      <c r="AT58" s="38"/>
      <c r="AU58" s="38"/>
    </row>
    <row r="59" spans="2:47" ht="11.25" customHeight="1">
      <c r="B59" s="359"/>
      <c r="C59" s="396" t="s">
        <v>285</v>
      </c>
      <c r="D59" s="122"/>
      <c r="E59" s="340"/>
      <c r="F59" s="340" t="s">
        <v>34</v>
      </c>
      <c r="G59" s="123" t="s">
        <v>4</v>
      </c>
      <c r="H59" s="48">
        <f>+H58-H57</f>
        <v>-37.50000000000001</v>
      </c>
      <c r="I59" s="48">
        <f>+I58-H57</f>
        <v>-37.50000000000001</v>
      </c>
      <c r="J59" s="428" t="s">
        <v>320</v>
      </c>
      <c r="U59" s="5"/>
      <c r="V59" s="18"/>
      <c r="AH59" s="34"/>
      <c r="AI59" s="34"/>
      <c r="AJ59" s="34"/>
      <c r="AK59" s="34"/>
      <c r="AL59" s="34"/>
      <c r="AM59" s="34"/>
      <c r="AN59" s="34"/>
      <c r="AO59" s="34"/>
      <c r="AP59" s="38"/>
      <c r="AQ59" s="38"/>
      <c r="AR59" s="38"/>
      <c r="AS59" s="38"/>
      <c r="AT59" s="38"/>
      <c r="AU59" s="38"/>
    </row>
    <row r="60" spans="2:47" ht="11.25" customHeight="1">
      <c r="B60" s="359"/>
      <c r="C60" s="529" t="s">
        <v>281</v>
      </c>
      <c r="D60" s="529"/>
      <c r="E60" s="119"/>
      <c r="F60" s="341"/>
      <c r="G60" s="123" t="s">
        <v>4</v>
      </c>
      <c r="H60" s="23">
        <f>pile_d(H41,H59)</f>
        <v>0</v>
      </c>
      <c r="I60" s="23">
        <f>pile_d(H42,I59)</f>
        <v>0</v>
      </c>
      <c r="J60" s="392" t="s">
        <v>310</v>
      </c>
      <c r="U60" s="5"/>
      <c r="V60" s="18"/>
      <c r="AH60" s="34"/>
      <c r="AI60" s="34"/>
      <c r="AJ60" s="34"/>
      <c r="AK60" s="34"/>
      <c r="AL60" s="34"/>
      <c r="AM60" s="34"/>
      <c r="AN60" s="34"/>
      <c r="AO60" s="34"/>
      <c r="AP60" s="38"/>
      <c r="AQ60" s="38"/>
      <c r="AR60" s="38"/>
      <c r="AS60" s="38"/>
      <c r="AT60" s="38"/>
      <c r="AU60" s="38"/>
    </row>
    <row r="61" spans="2:47" ht="11.25" customHeight="1" thickBot="1">
      <c r="B61" s="356"/>
      <c r="C61" s="119" t="s">
        <v>282</v>
      </c>
      <c r="G61" s="123" t="s">
        <v>4</v>
      </c>
      <c r="H61" s="23">
        <f>Vc_kg(H10,H33*100,H52)/1000</f>
        <v>15.352776729715703</v>
      </c>
      <c r="I61" s="392" t="s">
        <v>310</v>
      </c>
      <c r="J61" s="33" t="str">
        <f>IF(H62&lt;H61,"OK.","NG.")</f>
        <v>OK.</v>
      </c>
      <c r="K61" s="3"/>
      <c r="U61" s="3"/>
      <c r="V61" s="18"/>
      <c r="X61" s="392"/>
      <c r="Y61" s="392"/>
      <c r="Z61" s="392"/>
      <c r="AA61" s="392"/>
      <c r="AB61" s="392"/>
      <c r="AC61" s="392"/>
      <c r="AD61" s="392"/>
      <c r="AE61" s="392"/>
      <c r="AH61" s="34"/>
      <c r="AI61" s="34"/>
      <c r="AJ61" s="34"/>
      <c r="AK61" s="34"/>
      <c r="AL61" s="34"/>
      <c r="AM61" s="34"/>
      <c r="AN61" s="34"/>
      <c r="AO61" s="34"/>
      <c r="AP61" s="38"/>
      <c r="AQ61" s="38"/>
      <c r="AR61" s="38"/>
      <c r="AS61" s="38"/>
      <c r="AT61" s="38"/>
      <c r="AU61" s="38"/>
    </row>
    <row r="62" spans="2:47" ht="11.25" customHeight="1">
      <c r="B62" s="356"/>
      <c r="C62" s="430" t="s">
        <v>289</v>
      </c>
      <c r="G62" s="123" t="s">
        <v>4</v>
      </c>
      <c r="H62" s="23">
        <f>MAX(H60:I60)</f>
        <v>0</v>
      </c>
      <c r="I62" s="392" t="s">
        <v>310</v>
      </c>
      <c r="U62" s="3"/>
      <c r="V62" s="18"/>
      <c r="X62" s="392"/>
      <c r="Y62" s="393"/>
      <c r="Z62" s="394"/>
      <c r="AA62" s="393"/>
      <c r="AB62" s="392"/>
      <c r="AC62" s="392"/>
      <c r="AD62" s="392"/>
      <c r="AE62" s="392"/>
      <c r="AH62" s="34"/>
      <c r="AI62" s="34"/>
      <c r="AJ62" s="34"/>
      <c r="AK62" s="34"/>
      <c r="AL62" s="34"/>
      <c r="AM62" s="34"/>
      <c r="AN62" s="34"/>
      <c r="AO62" s="34"/>
      <c r="AP62" s="38"/>
      <c r="AQ62" s="38"/>
      <c r="AR62" s="38"/>
      <c r="AS62" s="38"/>
      <c r="AT62" s="38"/>
      <c r="AU62" s="38"/>
    </row>
    <row r="63" spans="2:47" ht="11.25" customHeight="1">
      <c r="B63" s="356"/>
      <c r="K63" s="28"/>
      <c r="U63" s="3"/>
      <c r="V63" s="18"/>
      <c r="X63" s="392"/>
      <c r="Y63" s="392"/>
      <c r="Z63" s="395"/>
      <c r="AA63" s="396"/>
      <c r="AB63" s="397" t="s">
        <v>212</v>
      </c>
      <c r="AC63" s="392"/>
      <c r="AD63" s="398" t="s">
        <v>213</v>
      </c>
      <c r="AE63" s="392"/>
      <c r="AH63" s="34"/>
      <c r="AI63" s="34"/>
      <c r="AJ63" s="34"/>
      <c r="AK63" s="34"/>
      <c r="AL63" s="34"/>
      <c r="AM63" s="34"/>
      <c r="AN63" s="34"/>
      <c r="AO63" s="34"/>
      <c r="AP63" s="38"/>
      <c r="AQ63" s="38"/>
      <c r="AR63" s="38"/>
      <c r="AS63" s="38"/>
      <c r="AT63" s="38"/>
      <c r="AU63" s="38"/>
    </row>
    <row r="64" spans="2:47" ht="11.25" customHeight="1" thickBot="1">
      <c r="B64" s="437" t="s">
        <v>188</v>
      </c>
      <c r="C64" s="444" t="s">
        <v>283</v>
      </c>
      <c r="D64" s="442"/>
      <c r="E64" s="442"/>
      <c r="F64" s="442"/>
      <c r="G64" s="442"/>
      <c r="H64" s="390" t="s">
        <v>207</v>
      </c>
      <c r="I64" s="391" t="s">
        <v>208</v>
      </c>
      <c r="J64" s="3"/>
      <c r="K64" s="3"/>
      <c r="U64" s="3"/>
      <c r="V64" s="18"/>
      <c r="X64" s="392"/>
      <c r="Y64" s="399"/>
      <c r="Z64" s="395"/>
      <c r="AA64" s="396"/>
      <c r="AB64" s="392"/>
      <c r="AC64" s="392"/>
      <c r="AD64" s="392"/>
      <c r="AE64" s="392"/>
      <c r="AF64" s="93"/>
      <c r="AG64" s="93"/>
      <c r="AH64" s="34"/>
      <c r="AI64" s="34"/>
      <c r="AJ64" s="34"/>
      <c r="AK64" s="34"/>
      <c r="AL64" s="34"/>
      <c r="AM64" s="34"/>
      <c r="AN64" s="34"/>
      <c r="AO64" s="34"/>
      <c r="AP64" s="38"/>
      <c r="AQ64" s="38"/>
      <c r="AR64" s="38"/>
      <c r="AS64" s="38"/>
      <c r="AT64" s="38"/>
      <c r="AU64" s="38"/>
    </row>
    <row r="65" spans="2:47" ht="11.25" customHeight="1">
      <c r="B65" s="339"/>
      <c r="C65" s="396" t="s">
        <v>284</v>
      </c>
      <c r="D65" s="122"/>
      <c r="E65" s="340"/>
      <c r="F65" s="340" t="s">
        <v>187</v>
      </c>
      <c r="G65" s="123" t="s">
        <v>4</v>
      </c>
      <c r="H65" s="7">
        <f>+H52/2</f>
        <v>28.750000000000004</v>
      </c>
      <c r="I65" s="428" t="s">
        <v>320</v>
      </c>
      <c r="J65" s="3"/>
      <c r="K65" s="39"/>
      <c r="N65" s="396"/>
      <c r="U65" s="3"/>
      <c r="V65" s="18"/>
      <c r="X65" s="392"/>
      <c r="Y65" s="400"/>
      <c r="Z65" s="392"/>
      <c r="AA65" s="401"/>
      <c r="AB65" s="401"/>
      <c r="AC65" s="401"/>
      <c r="AD65" s="401"/>
      <c r="AE65" s="402"/>
      <c r="AF65" s="93"/>
      <c r="AG65" s="93"/>
      <c r="AH65" s="34"/>
      <c r="AI65" s="34"/>
      <c r="AJ65" s="34"/>
      <c r="AK65" s="34"/>
      <c r="AL65" s="34"/>
      <c r="AM65" s="34"/>
      <c r="AN65" s="34"/>
      <c r="AO65" s="34"/>
      <c r="AP65" s="38"/>
      <c r="AQ65" s="38"/>
      <c r="AR65" s="38"/>
      <c r="AS65" s="38"/>
      <c r="AT65" s="38"/>
      <c r="AU65" s="38"/>
    </row>
    <row r="66" spans="2:47" ht="11.25" customHeight="1">
      <c r="B66" s="356"/>
      <c r="C66" s="396" t="s">
        <v>280</v>
      </c>
      <c r="D66" s="122"/>
      <c r="E66" s="119"/>
      <c r="F66" s="341"/>
      <c r="G66" s="123" t="s">
        <v>4</v>
      </c>
      <c r="H66" s="344">
        <f>+H58</f>
        <v>20</v>
      </c>
      <c r="I66" s="344">
        <f>+I58</f>
        <v>20</v>
      </c>
      <c r="J66" s="428" t="s">
        <v>320</v>
      </c>
      <c r="U66" s="39"/>
      <c r="V66" s="18"/>
      <c r="X66" s="392"/>
      <c r="Y66" s="399"/>
      <c r="Z66" s="392" t="s">
        <v>214</v>
      </c>
      <c r="AA66" s="392"/>
      <c r="AB66" s="392"/>
      <c r="AC66" s="392"/>
      <c r="AD66" s="392"/>
      <c r="AE66" s="403"/>
      <c r="AF66" s="93"/>
      <c r="AG66" s="93"/>
      <c r="AH66" s="34"/>
      <c r="AI66" s="34"/>
      <c r="AJ66" s="34"/>
      <c r="AK66" s="34"/>
      <c r="AL66" s="34"/>
      <c r="AM66" s="34"/>
      <c r="AN66" s="34"/>
      <c r="AO66" s="34"/>
      <c r="AP66" s="38"/>
      <c r="AQ66" s="38"/>
      <c r="AR66" s="38"/>
      <c r="AS66" s="38"/>
      <c r="AT66" s="38"/>
      <c r="AU66" s="38"/>
    </row>
    <row r="67" spans="2:47" ht="11.25" customHeight="1">
      <c r="B67" s="356"/>
      <c r="C67" s="431" t="s">
        <v>286</v>
      </c>
      <c r="D67" s="122"/>
      <c r="E67" s="340"/>
      <c r="F67" s="340" t="s">
        <v>34</v>
      </c>
      <c r="G67" s="123" t="s">
        <v>4</v>
      </c>
      <c r="H67" s="48">
        <f>+H66-H65</f>
        <v>-8.750000000000004</v>
      </c>
      <c r="I67" s="48">
        <f>+I66-H65</f>
        <v>-8.750000000000004</v>
      </c>
      <c r="J67" s="428" t="s">
        <v>320</v>
      </c>
      <c r="U67" s="3"/>
      <c r="V67" s="106"/>
      <c r="X67" s="392"/>
      <c r="Y67" s="399"/>
      <c r="Z67" s="392"/>
      <c r="AA67" s="392"/>
      <c r="AB67" s="392" t="s">
        <v>215</v>
      </c>
      <c r="AC67" s="392"/>
      <c r="AD67" s="392" t="s">
        <v>216</v>
      </c>
      <c r="AE67" s="403"/>
      <c r="AF67" s="93"/>
      <c r="AG67" s="93"/>
      <c r="AH67" s="34"/>
      <c r="AI67" s="34"/>
      <c r="AJ67" s="34"/>
      <c r="AK67" s="34"/>
      <c r="AL67" s="34"/>
      <c r="AM67" s="34"/>
      <c r="AN67" s="34"/>
      <c r="AO67" s="34"/>
      <c r="AP67" s="38"/>
      <c r="AQ67" s="38"/>
      <c r="AR67" s="38"/>
      <c r="AS67" s="38"/>
      <c r="AT67" s="38"/>
      <c r="AU67" s="38"/>
    </row>
    <row r="68" spans="2:47" ht="11.25" customHeight="1">
      <c r="B68" s="339"/>
      <c r="C68" s="119" t="s">
        <v>209</v>
      </c>
      <c r="D68" s="120"/>
      <c r="E68" s="119"/>
      <c r="F68" s="341"/>
      <c r="G68" s="123" t="s">
        <v>4</v>
      </c>
      <c r="H68" s="342">
        <f>pile_d(H41,H67)</f>
        <v>5.157734374999997</v>
      </c>
      <c r="I68" s="344">
        <f>pile_d(H42,I67)</f>
        <v>5.157734374999997</v>
      </c>
      <c r="J68" s="392" t="s">
        <v>310</v>
      </c>
      <c r="V68" s="107"/>
      <c r="X68" s="392"/>
      <c r="Y68" s="399"/>
      <c r="Z68" s="392"/>
      <c r="AA68" s="392"/>
      <c r="AB68" s="392"/>
      <c r="AC68" s="392"/>
      <c r="AD68" s="392"/>
      <c r="AE68" s="403"/>
      <c r="AF68" s="93"/>
      <c r="AG68" s="93"/>
      <c r="AH68" s="34"/>
      <c r="AI68" s="34"/>
      <c r="AJ68" s="34"/>
      <c r="AK68" s="34"/>
      <c r="AL68" s="34"/>
      <c r="AM68" s="34"/>
      <c r="AN68" s="34"/>
      <c r="AO68" s="34"/>
      <c r="AP68" s="38"/>
      <c r="AQ68" s="38"/>
      <c r="AR68" s="38"/>
      <c r="AS68" s="38"/>
      <c r="AT68" s="38"/>
      <c r="AU68" s="38"/>
    </row>
    <row r="69" spans="2:47" ht="11.25" customHeight="1" thickBot="1">
      <c r="B69" s="356"/>
      <c r="C69" s="429" t="s">
        <v>287</v>
      </c>
      <c r="G69" s="123" t="s">
        <v>4</v>
      </c>
      <c r="H69" s="343">
        <f>Vall_punch_kg(H10,H52,H34*100,H35*100)/1000</f>
        <v>156.32605665183428</v>
      </c>
      <c r="I69" s="392" t="s">
        <v>310</v>
      </c>
      <c r="J69" s="33" t="str">
        <f>IF(H70&lt;H69,"OK.","NG.")</f>
        <v>OK.</v>
      </c>
      <c r="P69" s="503" t="s">
        <v>306</v>
      </c>
      <c r="Q69" s="504"/>
      <c r="R69" s="504"/>
      <c r="S69" s="505"/>
      <c r="V69" s="107"/>
      <c r="X69" s="392"/>
      <c r="Y69" s="404"/>
      <c r="Z69" s="405"/>
      <c r="AA69" s="405"/>
      <c r="AB69" s="405"/>
      <c r="AC69" s="405"/>
      <c r="AD69" s="405"/>
      <c r="AE69" s="406"/>
      <c r="AF69" s="93"/>
      <c r="AG69" s="93"/>
      <c r="AH69" s="34"/>
      <c r="AI69" s="34"/>
      <c r="AJ69" s="34"/>
      <c r="AK69" s="34"/>
      <c r="AL69" s="34"/>
      <c r="AM69" s="34"/>
      <c r="AN69" s="34"/>
      <c r="AO69" s="34"/>
      <c r="AP69" s="38"/>
      <c r="AQ69" s="38"/>
      <c r="AR69" s="38"/>
      <c r="AS69" s="38"/>
      <c r="AT69" s="38"/>
      <c r="AU69" s="38"/>
    </row>
    <row r="70" spans="2:47" ht="11.25" customHeight="1">
      <c r="B70" s="356"/>
      <c r="C70" s="119" t="s">
        <v>288</v>
      </c>
      <c r="G70" s="123" t="s">
        <v>4</v>
      </c>
      <c r="H70" s="23">
        <f>SUM(H68:I68)</f>
        <v>10.315468749999994</v>
      </c>
      <c r="I70" s="392" t="s">
        <v>310</v>
      </c>
      <c r="J70" s="3"/>
      <c r="V70" s="107"/>
      <c r="X70" s="392"/>
      <c r="Y70" s="399"/>
      <c r="Z70" s="392"/>
      <c r="AA70" s="392"/>
      <c r="AB70" s="392"/>
      <c r="AC70" s="392"/>
      <c r="AD70" s="392"/>
      <c r="AE70" s="392"/>
      <c r="AF70" s="93"/>
      <c r="AG70" s="93"/>
      <c r="AH70" s="34"/>
      <c r="AI70" s="34"/>
      <c r="AJ70" s="34"/>
      <c r="AK70" s="34"/>
      <c r="AL70" s="34"/>
      <c r="AM70" s="34"/>
      <c r="AN70" s="34"/>
      <c r="AO70" s="34"/>
      <c r="AP70" s="38"/>
      <c r="AQ70" s="38"/>
      <c r="AR70" s="38"/>
      <c r="AS70" s="38"/>
      <c r="AT70" s="38"/>
      <c r="AU70" s="38"/>
    </row>
    <row r="71" spans="2:47" ht="11.25" customHeight="1">
      <c r="B71" s="356"/>
      <c r="V71" s="18"/>
      <c r="X71" s="392"/>
      <c r="Y71" s="392"/>
      <c r="Z71" s="392"/>
      <c r="AA71" s="392"/>
      <c r="AB71" s="392"/>
      <c r="AC71" s="392"/>
      <c r="AD71" s="392"/>
      <c r="AE71" s="392"/>
      <c r="AF71" s="93"/>
      <c r="AG71" s="93"/>
      <c r="AH71" s="34"/>
      <c r="AI71" s="34"/>
      <c r="AJ71" s="34"/>
      <c r="AK71" s="34"/>
      <c r="AL71" s="34"/>
      <c r="AM71" s="34"/>
      <c r="AN71" s="34"/>
      <c r="AO71" s="34"/>
      <c r="AP71" s="38"/>
      <c r="AQ71" s="38"/>
      <c r="AR71" s="38"/>
      <c r="AS71" s="38"/>
      <c r="AT71" s="38"/>
      <c r="AU71" s="38"/>
    </row>
    <row r="72" spans="2:47" ht="11.25" customHeight="1">
      <c r="B72" s="443" t="s">
        <v>196</v>
      </c>
      <c r="C72" s="444" t="s">
        <v>290</v>
      </c>
      <c r="D72" s="444"/>
      <c r="E72" s="449"/>
      <c r="F72" s="450"/>
      <c r="G72" s="481" t="s">
        <v>291</v>
      </c>
      <c r="H72" s="482"/>
      <c r="I72" s="483"/>
      <c r="J72" s="472" t="s">
        <v>292</v>
      </c>
      <c r="K72" s="473"/>
      <c r="L72" s="474"/>
      <c r="O72" s="113"/>
      <c r="Q72" s="527" t="str">
        <f>+K97</f>
        <v>1.50 ม.</v>
      </c>
      <c r="R72" s="527"/>
      <c r="T72" s="115"/>
      <c r="V72" s="18"/>
      <c r="X72" s="392"/>
      <c r="Y72" s="392"/>
      <c r="Z72" s="392"/>
      <c r="AA72" s="392"/>
      <c r="AB72" s="392"/>
      <c r="AC72" s="392"/>
      <c r="AD72" s="392"/>
      <c r="AE72" s="392"/>
      <c r="AF72" s="93"/>
      <c r="AG72" s="93"/>
      <c r="AH72" s="34"/>
      <c r="AI72" s="34"/>
      <c r="AJ72" s="34"/>
      <c r="AK72" s="34"/>
      <c r="AL72" s="34"/>
      <c r="AM72" s="34"/>
      <c r="AN72" s="34"/>
      <c r="AO72" s="34"/>
      <c r="AP72" s="38"/>
      <c r="AQ72" s="38"/>
      <c r="AR72" s="38"/>
      <c r="AS72" s="38"/>
      <c r="AT72" s="38"/>
      <c r="AU72" s="38"/>
    </row>
    <row r="73" spans="2:47" ht="11.25" customHeight="1" thickBot="1">
      <c r="B73" s="359"/>
      <c r="C73" s="121" t="s">
        <v>293</v>
      </c>
      <c r="D73" s="345"/>
      <c r="E73" s="346"/>
      <c r="F73" s="347" t="s">
        <v>294</v>
      </c>
      <c r="G73" s="347" t="s">
        <v>298</v>
      </c>
      <c r="H73" s="432" t="s">
        <v>299</v>
      </c>
      <c r="I73" s="347" t="s">
        <v>189</v>
      </c>
      <c r="J73" s="347" t="s">
        <v>298</v>
      </c>
      <c r="K73" s="432" t="s">
        <v>299</v>
      </c>
      <c r="L73" s="347" t="s">
        <v>189</v>
      </c>
      <c r="O73" s="114"/>
      <c r="T73" s="116"/>
      <c r="V73" s="18"/>
      <c r="X73" s="392"/>
      <c r="Y73" s="392"/>
      <c r="Z73" s="392"/>
      <c r="AA73" s="392"/>
      <c r="AB73" s="392"/>
      <c r="AC73" s="392"/>
      <c r="AD73" s="392"/>
      <c r="AE73" s="392"/>
      <c r="AF73" s="93"/>
      <c r="AG73" s="93"/>
      <c r="AH73" s="34"/>
      <c r="AI73" s="34"/>
      <c r="AJ73" s="34"/>
      <c r="AK73" s="34"/>
      <c r="AL73" s="34"/>
      <c r="AM73" s="34"/>
      <c r="AN73" s="34"/>
      <c r="AO73" s="34"/>
      <c r="AP73" s="38"/>
      <c r="AQ73" s="38"/>
      <c r="AR73" s="38"/>
      <c r="AS73" s="38"/>
      <c r="AT73" s="38"/>
      <c r="AU73" s="38"/>
    </row>
    <row r="74" spans="2:47" ht="11.25" customHeight="1">
      <c r="B74" s="359"/>
      <c r="C74" s="119" t="s">
        <v>190</v>
      </c>
      <c r="D74" s="119" t="s">
        <v>191</v>
      </c>
      <c r="E74" s="121"/>
      <c r="F74" s="347" t="s">
        <v>192</v>
      </c>
      <c r="G74" s="348">
        <f>Ast(MAX(H50,I50),S12,S16,H52)</f>
        <v>6.383185837223691</v>
      </c>
      <c r="H74" s="348">
        <f>(PI()/4*(H77/10)^2)*H76</f>
        <v>20.106192982974676</v>
      </c>
      <c r="I74" s="349" t="str">
        <f>IF(H74&gt;G74,"OK.","NG.")</f>
        <v>OK.</v>
      </c>
      <c r="J74" s="350">
        <f>Asmin_beam(S11,H32*100,H52)</f>
        <v>40.250000000000014</v>
      </c>
      <c r="K74" s="348">
        <f>(PI()/4*(K77/10)^2)*K76</f>
        <v>42.22300526424682</v>
      </c>
      <c r="L74" s="349" t="str">
        <f>IF(K74&gt;J74,"OK.","NG.")</f>
        <v>OK.</v>
      </c>
      <c r="N74" s="111"/>
      <c r="O74" s="108"/>
      <c r="P74" s="366"/>
      <c r="Q74" s="13"/>
      <c r="R74" s="13"/>
      <c r="S74" s="13"/>
      <c r="T74" s="62"/>
      <c r="U74" s="3"/>
      <c r="V74" s="18"/>
      <c r="X74" s="392"/>
      <c r="Y74" s="392"/>
      <c r="Z74" s="392"/>
      <c r="AA74" s="392"/>
      <c r="AB74" s="392"/>
      <c r="AC74" s="392"/>
      <c r="AD74" s="392"/>
      <c r="AE74" s="392"/>
      <c r="AF74" s="93"/>
      <c r="AG74" s="93"/>
      <c r="AH74" s="34"/>
      <c r="AI74" s="34"/>
      <c r="AJ74" s="34"/>
      <c r="AK74" s="34"/>
      <c r="AL74" s="34"/>
      <c r="AM74" s="34"/>
      <c r="AN74" s="34"/>
      <c r="AO74" s="34"/>
      <c r="AP74" s="38"/>
      <c r="AQ74" s="38"/>
      <c r="AR74" s="38"/>
      <c r="AS74" s="38"/>
      <c r="AT74" s="38"/>
      <c r="AU74" s="38"/>
    </row>
    <row r="75" spans="2:41" ht="11.25" customHeight="1" thickBot="1">
      <c r="B75" s="339"/>
      <c r="C75" s="119" t="s">
        <v>193</v>
      </c>
      <c r="D75" s="121" t="s">
        <v>194</v>
      </c>
      <c r="E75" s="121"/>
      <c r="F75" s="347" t="s">
        <v>192</v>
      </c>
      <c r="G75" s="348">
        <f>Asmin_beam(S11,H33*100,H52)</f>
        <v>18.78333333333334</v>
      </c>
      <c r="H75" s="348">
        <f>(PI()/4*(H77/10)^2)*H76</f>
        <v>20.106192982974676</v>
      </c>
      <c r="I75" s="349" t="str">
        <f>IF(H75&gt;G75,"OK.","NG.")</f>
        <v>OK.</v>
      </c>
      <c r="J75" s="348">
        <f>+J74</f>
        <v>40.250000000000014</v>
      </c>
      <c r="K75" s="348">
        <f>(PI()/4*(K77/10)^2)*K76</f>
        <v>42.22300526424682</v>
      </c>
      <c r="L75" s="349" t="str">
        <f>IF(K75&gt;J75,"OK.","NG.")</f>
        <v>OK.</v>
      </c>
      <c r="N75" s="18"/>
      <c r="O75" s="526" t="str">
        <f>+P135</f>
        <v>21-DB16 มม.</v>
      </c>
      <c r="P75" s="499" t="str">
        <f>+M129</f>
        <v>10-DB16 มม.</v>
      </c>
      <c r="Q75" s="500"/>
      <c r="R75" s="500"/>
      <c r="S75" s="500"/>
      <c r="T75" s="18"/>
      <c r="U75" s="3"/>
      <c r="V75" s="18"/>
      <c r="X75" s="392"/>
      <c r="Y75" s="392"/>
      <c r="Z75" s="392"/>
      <c r="AA75" s="392"/>
      <c r="AB75" s="392"/>
      <c r="AC75" s="392"/>
      <c r="AD75" s="392"/>
      <c r="AE75" s="392"/>
      <c r="AF75" s="93"/>
      <c r="AG75" s="93"/>
      <c r="AH75" s="93"/>
      <c r="AI75" s="93"/>
      <c r="AJ75" s="93"/>
      <c r="AK75" s="93"/>
      <c r="AL75" s="93"/>
      <c r="AM75" s="93"/>
      <c r="AN75" s="93"/>
      <c r="AO75" s="93"/>
    </row>
    <row r="76" spans="2:41" ht="11.25" customHeight="1" thickTop="1">
      <c r="B76" s="339"/>
      <c r="C76" s="121" t="s">
        <v>295</v>
      </c>
      <c r="D76" s="3"/>
      <c r="E76" s="3"/>
      <c r="F76" s="347" t="s">
        <v>195</v>
      </c>
      <c r="G76" s="351">
        <f>INT(ROUND(MAX(G74:G75)/As_rebar_cm2(H77),0))</f>
        <v>9</v>
      </c>
      <c r="H76" s="457">
        <v>10</v>
      </c>
      <c r="I76" s="349" t="str">
        <f>IF(H76&gt;=G76,"OK.","NG.")</f>
        <v>OK.</v>
      </c>
      <c r="J76" s="351">
        <f>INT(ROUND(MAX(J74:J75)/As_rebar_cm2(K77),0))</f>
        <v>20</v>
      </c>
      <c r="K76" s="457">
        <v>21</v>
      </c>
      <c r="L76" s="349" t="str">
        <f>IF(K76&gt;=J76,"OK.","NG.")</f>
        <v>OK.</v>
      </c>
      <c r="M76" s="3"/>
      <c r="N76" s="18"/>
      <c r="O76" s="526"/>
      <c r="P76" s="376"/>
      <c r="Q76" s="3"/>
      <c r="R76" s="3"/>
      <c r="S76" s="3"/>
      <c r="T76" s="18"/>
      <c r="U76" s="3"/>
      <c r="V76" s="18"/>
      <c r="X76" s="392"/>
      <c r="Y76" s="392"/>
      <c r="Z76" s="392"/>
      <c r="AA76" s="392"/>
      <c r="AB76" s="392"/>
      <c r="AC76" s="392"/>
      <c r="AD76" s="392"/>
      <c r="AE76" s="392"/>
      <c r="AF76" s="93"/>
      <c r="AG76" s="93"/>
      <c r="AH76" s="93"/>
      <c r="AI76" s="93"/>
      <c r="AJ76" s="93"/>
      <c r="AK76" s="93"/>
      <c r="AL76" s="93"/>
      <c r="AM76" s="93"/>
      <c r="AN76" s="93"/>
      <c r="AO76" s="93"/>
    </row>
    <row r="77" spans="2:41" ht="11.25" customHeight="1">
      <c r="B77" s="339"/>
      <c r="C77" s="119" t="s">
        <v>296</v>
      </c>
      <c r="D77" s="121"/>
      <c r="E77" s="121"/>
      <c r="F77" s="352" t="s">
        <v>321</v>
      </c>
      <c r="G77" s="353"/>
      <c r="H77" s="458">
        <v>16</v>
      </c>
      <c r="I77" s="354"/>
      <c r="J77" s="353"/>
      <c r="K77" s="457">
        <v>16</v>
      </c>
      <c r="L77" s="354"/>
      <c r="M77" s="468" t="str">
        <f>+D106</f>
        <v>0.70 ม.</v>
      </c>
      <c r="N77" s="469"/>
      <c r="O77" s="526"/>
      <c r="P77" s="377"/>
      <c r="Q77" s="3"/>
      <c r="R77" s="3"/>
      <c r="S77" s="3"/>
      <c r="T77" s="18"/>
      <c r="U77" s="3"/>
      <c r="V77" s="18"/>
      <c r="X77" s="392"/>
      <c r="Y77" s="392"/>
      <c r="Z77" s="392"/>
      <c r="AA77" s="407" t="s">
        <v>217</v>
      </c>
      <c r="AB77" s="392"/>
      <c r="AC77" s="392"/>
      <c r="AD77" s="392"/>
      <c r="AE77" s="392"/>
      <c r="AF77" s="93"/>
      <c r="AG77" s="93"/>
      <c r="AH77" s="93"/>
      <c r="AI77" s="93"/>
      <c r="AJ77" s="93"/>
      <c r="AK77" s="93"/>
      <c r="AL77" s="93"/>
      <c r="AM77" s="93"/>
      <c r="AN77" s="93"/>
      <c r="AO77" s="93"/>
    </row>
    <row r="78" spans="2:41" ht="11.25" customHeight="1">
      <c r="B78" s="359"/>
      <c r="C78" s="396" t="s">
        <v>297</v>
      </c>
      <c r="D78" s="457">
        <v>3</v>
      </c>
      <c r="E78" s="457" t="s">
        <v>202</v>
      </c>
      <c r="F78" s="457">
        <v>12</v>
      </c>
      <c r="G78" s="396" t="s">
        <v>321</v>
      </c>
      <c r="M78" s="8"/>
      <c r="N78" s="18"/>
      <c r="O78" s="526"/>
      <c r="P78" s="378"/>
      <c r="Q78" s="3"/>
      <c r="R78" s="3"/>
      <c r="S78" s="3"/>
      <c r="T78" s="18"/>
      <c r="U78" s="3"/>
      <c r="V78" s="18"/>
      <c r="X78" s="392"/>
      <c r="Y78" s="392"/>
      <c r="Z78" s="392"/>
      <c r="AA78" s="392"/>
      <c r="AB78" s="407" t="s">
        <v>218</v>
      </c>
      <c r="AC78" s="392"/>
      <c r="AD78" s="392"/>
      <c r="AE78" s="392"/>
      <c r="AF78" s="93"/>
      <c r="AG78" s="93"/>
      <c r="AH78" s="93"/>
      <c r="AI78" s="93"/>
      <c r="AJ78" s="93"/>
      <c r="AK78" s="93"/>
      <c r="AL78" s="93"/>
      <c r="AM78" s="93"/>
      <c r="AN78" s="93"/>
      <c r="AO78" s="93"/>
    </row>
    <row r="79" spans="2:31" ht="11.25" customHeight="1">
      <c r="B79" s="359"/>
      <c r="M79" s="8"/>
      <c r="N79" s="18"/>
      <c r="O79" s="526"/>
      <c r="P79" s="378"/>
      <c r="Q79" s="3"/>
      <c r="R79" s="3"/>
      <c r="S79" s="3"/>
      <c r="T79" s="18"/>
      <c r="U79" s="3"/>
      <c r="V79" s="18"/>
      <c r="X79" s="392"/>
      <c r="Y79" s="392"/>
      <c r="Z79" s="392"/>
      <c r="AA79" s="392"/>
      <c r="AB79" s="392"/>
      <c r="AC79" s="407" t="s">
        <v>219</v>
      </c>
      <c r="AD79" s="392"/>
      <c r="AE79" s="392"/>
    </row>
    <row r="80" spans="2:31" ht="11.25" customHeight="1" thickBot="1">
      <c r="B80" s="443" t="s">
        <v>200</v>
      </c>
      <c r="C80" s="444" t="s">
        <v>300</v>
      </c>
      <c r="D80" s="445"/>
      <c r="E80" s="445"/>
      <c r="F80" s="445"/>
      <c r="G80" s="481" t="s">
        <v>291</v>
      </c>
      <c r="H80" s="482"/>
      <c r="I80" s="483"/>
      <c r="J80" s="472" t="s">
        <v>292</v>
      </c>
      <c r="K80" s="473"/>
      <c r="L80" s="474"/>
      <c r="N80" s="112"/>
      <c r="O80" s="110"/>
      <c r="P80" s="20"/>
      <c r="Q80" s="20"/>
      <c r="R80" s="20"/>
      <c r="S80" s="20"/>
      <c r="T80" s="21"/>
      <c r="U80" s="3"/>
      <c r="V80" s="18"/>
      <c r="X80" s="392"/>
      <c r="Y80" s="392"/>
      <c r="Z80" s="392"/>
      <c r="AA80" s="392"/>
      <c r="AB80" s="392"/>
      <c r="AC80" s="392"/>
      <c r="AD80" s="407" t="s">
        <v>218</v>
      </c>
      <c r="AE80" s="392"/>
    </row>
    <row r="81" spans="2:31" ht="11.25" customHeight="1">
      <c r="B81" s="360"/>
      <c r="C81" s="121" t="s">
        <v>293</v>
      </c>
      <c r="D81" s="30"/>
      <c r="E81" s="119"/>
      <c r="F81" s="347" t="s">
        <v>294</v>
      </c>
      <c r="G81" s="347" t="s">
        <v>298</v>
      </c>
      <c r="H81" s="432" t="s">
        <v>299</v>
      </c>
      <c r="I81" s="347" t="s">
        <v>189</v>
      </c>
      <c r="J81" s="347" t="s">
        <v>298</v>
      </c>
      <c r="K81" s="432" t="s">
        <v>299</v>
      </c>
      <c r="L81" s="347" t="s">
        <v>189</v>
      </c>
      <c r="M81" s="3"/>
      <c r="V81" s="18"/>
      <c r="X81" s="392"/>
      <c r="Y81" s="392"/>
      <c r="Z81" s="392"/>
      <c r="AA81" s="392"/>
      <c r="AB81" s="392"/>
      <c r="AC81" s="392"/>
      <c r="AD81" s="392"/>
      <c r="AE81" s="407" t="s">
        <v>220</v>
      </c>
    </row>
    <row r="82" spans="2:31" ht="11.25" customHeight="1">
      <c r="B82" s="360"/>
      <c r="C82" s="361" t="s">
        <v>197</v>
      </c>
      <c r="D82" s="30"/>
      <c r="E82" s="119"/>
      <c r="F82" s="347" t="s">
        <v>320</v>
      </c>
      <c r="G82" s="348">
        <f>I83/(IF(S11=2400,MIN(1.615*SQRT(H10)/(H77/10),11),IF(OR(S11=3000,S11=4000),MIN(3.23*SQRT(H10)/(H77/10)),35))*S16*H52)</f>
        <v>18.029893467081177</v>
      </c>
      <c r="H82" s="362">
        <f>perimeter_rebar_cm(H77)*H76</f>
        <v>50.26548246400001</v>
      </c>
      <c r="I82" s="363" t="str">
        <f>IF(H82&gt;G82,"OK.","NG.")</f>
        <v>OK.</v>
      </c>
      <c r="J82" s="348">
        <f>I84/(IF(S11=2400,MIN(1.615*SQRT(H10)/(K77/10),11),IF(OR(S11=3000,S11=4000),MIN(3.23*SQRT(H10)/(K77/10)),35))*S16*H52)</f>
        <v>18.029893467081177</v>
      </c>
      <c r="K82" s="362">
        <f>perimeter_rebar_cm(K77)*K76</f>
        <v>105.55751317440001</v>
      </c>
      <c r="L82" s="349" t="str">
        <f>IF(K82&gt;J82,"OK.","NG.")</f>
        <v>OK.</v>
      </c>
      <c r="M82" s="3"/>
      <c r="N82" s="19"/>
      <c r="V82" s="18"/>
      <c r="X82" s="392"/>
      <c r="Y82" s="392"/>
      <c r="Z82" s="392"/>
      <c r="AA82" s="396"/>
      <c r="AB82" s="396"/>
      <c r="AC82" s="396"/>
      <c r="AD82" s="392"/>
      <c r="AE82" s="392"/>
    </row>
    <row r="83" spans="2:31" ht="11.25" customHeight="1">
      <c r="B83" s="360"/>
      <c r="C83" s="121" t="s">
        <v>301</v>
      </c>
      <c r="D83" s="121"/>
      <c r="E83" s="364"/>
      <c r="F83" s="121"/>
      <c r="G83" s="121" t="s">
        <v>198</v>
      </c>
      <c r="H83" s="122" t="s">
        <v>4</v>
      </c>
      <c r="I83" s="340">
        <f>MAX(H41:H42)*1000</f>
        <v>24757.125</v>
      </c>
      <c r="J83" s="120" t="s">
        <v>322</v>
      </c>
      <c r="K83" s="379"/>
      <c r="L83" s="380"/>
      <c r="M83" s="3"/>
      <c r="N83" s="19"/>
      <c r="O83" s="65"/>
      <c r="P83" s="65"/>
      <c r="Q83" s="65"/>
      <c r="R83" s="65"/>
      <c r="S83" s="65"/>
      <c r="T83" s="65"/>
      <c r="U83" s="65"/>
      <c r="V83" s="18"/>
      <c r="X83" s="392"/>
      <c r="Y83" s="392"/>
      <c r="Z83" s="392"/>
      <c r="AA83" s="392"/>
      <c r="AB83" s="515" t="s">
        <v>221</v>
      </c>
      <c r="AC83" s="516"/>
      <c r="AD83" s="517"/>
      <c r="AE83" s="392"/>
    </row>
    <row r="84" spans="2:22" ht="11.25" customHeight="1">
      <c r="B84" s="360"/>
      <c r="C84" s="121" t="s">
        <v>302</v>
      </c>
      <c r="D84" s="121"/>
      <c r="E84" s="364"/>
      <c r="F84" s="121"/>
      <c r="G84" s="121" t="s">
        <v>199</v>
      </c>
      <c r="H84" s="122" t="s">
        <v>4</v>
      </c>
      <c r="I84" s="340">
        <f>+I83</f>
        <v>24757.125</v>
      </c>
      <c r="J84" s="120" t="s">
        <v>322</v>
      </c>
      <c r="K84" s="121" t="s">
        <v>211</v>
      </c>
      <c r="L84" s="121"/>
      <c r="M84" s="3"/>
      <c r="N84" s="19"/>
      <c r="O84" s="39" t="str">
        <f>O3&amp;"  "&amp;Q3</f>
        <v>วิศวกรโครงสร้าง :  นาย สุธีร์     แก้วคำ  สย.9698</v>
      </c>
      <c r="P84" s="3"/>
      <c r="Q84" s="3"/>
      <c r="R84" s="3"/>
      <c r="S84" s="3"/>
      <c r="T84" s="19"/>
      <c r="U84" s="3"/>
      <c r="V84" s="18"/>
    </row>
    <row r="85" spans="2:22" ht="11.25" customHeight="1" thickBot="1">
      <c r="B85" s="357"/>
      <c r="C85" s="20"/>
      <c r="D85" s="20"/>
      <c r="E85" s="20"/>
      <c r="F85" s="20"/>
      <c r="G85" s="77"/>
      <c r="H85" s="78"/>
      <c r="I85" s="20"/>
      <c r="J85" s="20"/>
      <c r="K85" s="20"/>
      <c r="L85" s="20"/>
      <c r="M85" s="20"/>
      <c r="N85" s="79"/>
      <c r="O85" s="20"/>
      <c r="P85" s="20"/>
      <c r="Q85" s="20"/>
      <c r="R85" s="20"/>
      <c r="S85" s="20"/>
      <c r="T85" s="79"/>
      <c r="U85" s="20"/>
      <c r="V85" s="21"/>
    </row>
    <row r="86" spans="2:22" ht="11.25" customHeight="1">
      <c r="B86" s="410"/>
      <c r="C86" s="460" t="s">
        <v>330</v>
      </c>
      <c r="D86" s="460"/>
      <c r="E86" s="460"/>
      <c r="F86" s="460"/>
      <c r="G86" s="461"/>
      <c r="H86" s="411" t="s">
        <v>222</v>
      </c>
      <c r="I86" s="49"/>
      <c r="J86" s="49" t="str">
        <f>J2</f>
        <v>อาคารคอนกรีตเสริมเหล็ก 2 ชั้น</v>
      </c>
      <c r="K86" s="10"/>
      <c r="L86" s="11"/>
      <c r="M86" s="12"/>
      <c r="N86" s="62"/>
      <c r="O86" s="414" t="s">
        <v>224</v>
      </c>
      <c r="P86" s="414"/>
      <c r="Q86" s="507" t="str">
        <f>Q2</f>
        <v>F2</v>
      </c>
      <c r="R86" s="507"/>
      <c r="S86" s="507"/>
      <c r="T86" s="507"/>
      <c r="U86" s="528" t="s">
        <v>225</v>
      </c>
      <c r="V86" s="59">
        <f>V2+1</f>
        <v>2</v>
      </c>
    </row>
    <row r="87" spans="2:22" ht="11.25" customHeight="1">
      <c r="B87" s="415"/>
      <c r="C87" s="462"/>
      <c r="D87" s="462"/>
      <c r="E87" s="462"/>
      <c r="F87" s="462"/>
      <c r="G87" s="463"/>
      <c r="H87" s="63" t="s">
        <v>226</v>
      </c>
      <c r="I87" s="50"/>
      <c r="J87" s="50" t="str">
        <f>J3</f>
        <v>นาย สุธีร์   แก้วคำ</v>
      </c>
      <c r="K87" s="15"/>
      <c r="L87" s="16"/>
      <c r="M87" s="17"/>
      <c r="N87" s="18"/>
      <c r="O87" s="470" t="s">
        <v>228</v>
      </c>
      <c r="P87" s="471"/>
      <c r="Q87" s="508" t="str">
        <f>Q3</f>
        <v>นาย สุธีร์     แก้วคำ  สย.9698</v>
      </c>
      <c r="R87" s="508"/>
      <c r="S87" s="508"/>
      <c r="T87" s="508"/>
      <c r="U87" s="514"/>
      <c r="V87" s="60" t="s">
        <v>12</v>
      </c>
    </row>
    <row r="88" spans="2:22" ht="11.25" customHeight="1">
      <c r="B88" s="415"/>
      <c r="C88" s="462" t="s">
        <v>331</v>
      </c>
      <c r="D88" s="462"/>
      <c r="E88" s="462"/>
      <c r="F88" s="462"/>
      <c r="G88" s="463"/>
      <c r="H88" s="63" t="s">
        <v>230</v>
      </c>
      <c r="I88" s="50"/>
      <c r="J88" s="50" t="str">
        <f>J4</f>
        <v>กรุงเทพ</v>
      </c>
      <c r="K88" s="15"/>
      <c r="L88" s="1"/>
      <c r="M88" s="2"/>
      <c r="N88" s="18"/>
      <c r="O88" s="506" t="s">
        <v>232</v>
      </c>
      <c r="P88" s="506"/>
      <c r="Q88" s="509">
        <f>Q4</f>
        <v>39603</v>
      </c>
      <c r="R88" s="509"/>
      <c r="S88" s="509"/>
      <c r="T88" s="509"/>
      <c r="U88" s="514"/>
      <c r="V88" s="61">
        <f>V86</f>
        <v>2</v>
      </c>
    </row>
    <row r="89" spans="2:22" ht="11.25" customHeight="1" thickBot="1">
      <c r="B89" s="419"/>
      <c r="C89" s="464"/>
      <c r="D89" s="464"/>
      <c r="E89" s="464"/>
      <c r="F89" s="464"/>
      <c r="G89" s="465"/>
      <c r="H89" s="64"/>
      <c r="I89" s="51"/>
      <c r="J89" s="51"/>
      <c r="K89" s="53"/>
      <c r="L89" s="54"/>
      <c r="M89" s="55"/>
      <c r="N89" s="21"/>
      <c r="O89" s="56"/>
      <c r="P89" s="56"/>
      <c r="Q89" s="52"/>
      <c r="R89" s="52"/>
      <c r="S89" s="52"/>
      <c r="T89" s="52"/>
      <c r="U89" s="57"/>
      <c r="V89" s="58"/>
    </row>
    <row r="90" spans="2:22" ht="11.25" customHeight="1" thickBot="1">
      <c r="B90" s="523" t="str">
        <f>B6</f>
        <v>ออกแบบฐานรากคอนกรีตเสริมเหล็ก วางบนเข็ม  2 ต้น - วิธีหน่วยแรงใช้งาน</v>
      </c>
      <c r="C90" s="524"/>
      <c r="D90" s="524"/>
      <c r="E90" s="524"/>
      <c r="F90" s="524"/>
      <c r="G90" s="524"/>
      <c r="H90" s="524"/>
      <c r="I90" s="524"/>
      <c r="J90" s="524"/>
      <c r="K90" s="524"/>
      <c r="L90" s="524"/>
      <c r="M90" s="524"/>
      <c r="N90" s="524"/>
      <c r="O90" s="524"/>
      <c r="P90" s="524"/>
      <c r="Q90" s="524"/>
      <c r="R90" s="524"/>
      <c r="S90" s="524"/>
      <c r="T90" s="524"/>
      <c r="U90" s="524"/>
      <c r="V90" s="525"/>
    </row>
    <row r="91" spans="2:22" ht="11.25" customHeight="1">
      <c r="B91" s="355"/>
      <c r="C91" s="3"/>
      <c r="D91" s="3"/>
      <c r="E91" s="3"/>
      <c r="F91" s="3"/>
      <c r="G91" s="3"/>
      <c r="H91" s="3"/>
      <c r="I91" s="3"/>
      <c r="J91" s="3"/>
      <c r="K91" s="3"/>
      <c r="L91" s="3"/>
      <c r="M91" s="3"/>
      <c r="N91" s="3"/>
      <c r="O91" s="3"/>
      <c r="P91" s="3"/>
      <c r="Q91" s="3"/>
      <c r="R91" s="3"/>
      <c r="S91" s="3"/>
      <c r="T91" s="3"/>
      <c r="U91" s="3"/>
      <c r="V91" s="18"/>
    </row>
    <row r="92" spans="2:22" ht="11.25" customHeight="1">
      <c r="B92" s="437" t="s">
        <v>201</v>
      </c>
      <c r="C92" s="438" t="s">
        <v>303</v>
      </c>
      <c r="D92" s="442"/>
      <c r="E92" s="436"/>
      <c r="F92" s="436"/>
      <c r="V92" s="18"/>
    </row>
    <row r="93" spans="2:22" ht="11.25" customHeight="1">
      <c r="B93" s="356"/>
      <c r="N93" s="3"/>
      <c r="O93" s="3"/>
      <c r="P93" s="76"/>
      <c r="Q93" s="521"/>
      <c r="R93" s="521"/>
      <c r="S93" s="86"/>
      <c r="T93" s="86"/>
      <c r="V93" s="18"/>
    </row>
    <row r="94" spans="2:22" ht="11.25" customHeight="1" thickBot="1">
      <c r="B94" s="356"/>
      <c r="N94" s="3"/>
      <c r="O94" s="3"/>
      <c r="P94" s="76"/>
      <c r="Q94" s="521"/>
      <c r="R94" s="521"/>
      <c r="S94" s="87"/>
      <c r="T94" s="87"/>
      <c r="V94" s="18"/>
    </row>
    <row r="95" spans="2:22" ht="11.25" customHeight="1">
      <c r="B95" s="356"/>
      <c r="C95" s="384"/>
      <c r="D95" s="385"/>
      <c r="E95" s="385"/>
      <c r="F95" s="385"/>
      <c r="G95" s="385"/>
      <c r="H95" s="385"/>
      <c r="I95" s="385"/>
      <c r="J95" s="385"/>
      <c r="K95" s="385"/>
      <c r="L95" s="385"/>
      <c r="M95" s="385"/>
      <c r="N95" s="385"/>
      <c r="O95" s="385"/>
      <c r="P95" s="386"/>
      <c r="Q95" s="387"/>
      <c r="R95" s="385"/>
      <c r="S95" s="385"/>
      <c r="T95" s="388"/>
      <c r="U95" s="389"/>
      <c r="V95" s="18"/>
    </row>
    <row r="96" spans="2:22" ht="11.25" customHeight="1">
      <c r="B96" s="356"/>
      <c r="C96" s="42"/>
      <c r="D96" s="3"/>
      <c r="E96" s="3"/>
      <c r="F96" s="3"/>
      <c r="G96" s="3"/>
      <c r="H96" s="3"/>
      <c r="I96" s="3"/>
      <c r="J96" s="3"/>
      <c r="K96" s="3"/>
      <c r="L96" s="3"/>
      <c r="M96" s="3"/>
      <c r="N96" s="3"/>
      <c r="O96" s="3"/>
      <c r="P96" s="3"/>
      <c r="Q96" s="3"/>
      <c r="R96" s="3"/>
      <c r="S96" s="3"/>
      <c r="T96" s="3"/>
      <c r="U96" s="43"/>
      <c r="V96" s="18"/>
    </row>
    <row r="97" spans="2:22" ht="11.25" customHeight="1">
      <c r="B97" s="356"/>
      <c r="C97" s="42"/>
      <c r="D97" s="3"/>
      <c r="E97" s="3"/>
      <c r="F97" s="3"/>
      <c r="G97" s="3"/>
      <c r="H97" s="113"/>
      <c r="I97" s="3"/>
      <c r="J97" s="3"/>
      <c r="K97" s="467" t="str">
        <f>FIXED(H32,2)&amp;" ม."</f>
        <v>1.50 ม.</v>
      </c>
      <c r="L97" s="467"/>
      <c r="M97" s="3"/>
      <c r="N97" s="3"/>
      <c r="O97" s="115"/>
      <c r="P97" s="3"/>
      <c r="Q97" s="3"/>
      <c r="R97" s="3"/>
      <c r="S97" s="3"/>
      <c r="T97" s="3"/>
      <c r="U97" s="43"/>
      <c r="V97" s="18"/>
    </row>
    <row r="98" spans="2:22" ht="11.25" customHeight="1">
      <c r="B98" s="356"/>
      <c r="C98" s="42"/>
      <c r="D98" s="3"/>
      <c r="E98" s="3"/>
      <c r="F98" s="3"/>
      <c r="G98" s="3"/>
      <c r="H98" s="113"/>
      <c r="I98" s="3"/>
      <c r="J98" s="3"/>
      <c r="K98" s="3"/>
      <c r="L98" s="3"/>
      <c r="M98" s="3"/>
      <c r="N98" s="3"/>
      <c r="O98" s="115"/>
      <c r="P98" s="3"/>
      <c r="Q98" s="3"/>
      <c r="R98" s="3"/>
      <c r="S98" s="3"/>
      <c r="T98" s="3"/>
      <c r="U98" s="43"/>
      <c r="V98" s="18"/>
    </row>
    <row r="99" spans="2:22" ht="11.25" customHeight="1">
      <c r="B99" s="356"/>
      <c r="C99" s="42"/>
      <c r="D99" s="3"/>
      <c r="E99" s="3"/>
      <c r="F99" s="3"/>
      <c r="G99" s="3"/>
      <c r="H99" s="478" t="str">
        <f>FIXED(J38,2)&amp;" ม."</f>
        <v>0.35 ม.</v>
      </c>
      <c r="I99" s="479"/>
      <c r="J99" s="372"/>
      <c r="K99" s="487" t="str">
        <f>FIXED(L38,2)&amp;" ม."</f>
        <v>0.80 ม.</v>
      </c>
      <c r="L99" s="487"/>
      <c r="M99" s="373"/>
      <c r="N99" s="478" t="str">
        <f>FIXED(J39,2)&amp;" ม."</f>
        <v>0.35 ม.</v>
      </c>
      <c r="O99" s="479"/>
      <c r="P99" s="3"/>
      <c r="Q99" s="3"/>
      <c r="R99" s="3"/>
      <c r="S99" s="3"/>
      <c r="T99" s="3"/>
      <c r="U99" s="43"/>
      <c r="V99" s="18"/>
    </row>
    <row r="100" spans="2:22" ht="11.25" customHeight="1">
      <c r="B100" s="356"/>
      <c r="C100" s="42"/>
      <c r="D100" s="3"/>
      <c r="E100" s="3"/>
      <c r="F100" s="3"/>
      <c r="G100" s="3"/>
      <c r="H100" s="113"/>
      <c r="I100" s="3"/>
      <c r="J100" s="113"/>
      <c r="K100" s="3"/>
      <c r="L100" s="3"/>
      <c r="M100" s="115"/>
      <c r="N100" s="113"/>
      <c r="O100" s="115"/>
      <c r="P100" s="3"/>
      <c r="Q100" s="39"/>
      <c r="R100" s="3"/>
      <c r="S100" s="3"/>
      <c r="T100" s="3"/>
      <c r="U100" s="43"/>
      <c r="V100" s="18"/>
    </row>
    <row r="101" spans="2:81" ht="11.25" customHeight="1" thickBot="1">
      <c r="B101" s="356"/>
      <c r="C101" s="42"/>
      <c r="D101" s="3"/>
      <c r="E101" s="3"/>
      <c r="F101" s="3"/>
      <c r="G101" s="3"/>
      <c r="H101" s="114"/>
      <c r="I101" s="3"/>
      <c r="J101" s="114"/>
      <c r="K101" s="3"/>
      <c r="L101" s="20"/>
      <c r="M101" s="116"/>
      <c r="N101" s="114"/>
      <c r="O101" s="116"/>
      <c r="P101" s="3"/>
      <c r="R101" s="3"/>
      <c r="S101" s="3"/>
      <c r="T101" s="3"/>
      <c r="U101" s="43"/>
      <c r="V101" s="18"/>
      <c r="Y101" s="71">
        <f>+K76</f>
        <v>21</v>
      </c>
      <c r="Z101" s="71">
        <f>Y101</f>
        <v>21</v>
      </c>
      <c r="AA101" s="71">
        <f>Z101</f>
        <v>21</v>
      </c>
      <c r="AB101" s="67" t="s">
        <v>43</v>
      </c>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BE101" s="67" t="s">
        <v>44</v>
      </c>
      <c r="BF101" s="66">
        <v>1</v>
      </c>
      <c r="BG101" s="66">
        <v>2</v>
      </c>
      <c r="BH101" s="66">
        <v>3</v>
      </c>
      <c r="BI101" s="66">
        <v>4</v>
      </c>
      <c r="BJ101" s="66">
        <v>5</v>
      </c>
      <c r="BK101" s="66">
        <v>6</v>
      </c>
      <c r="BL101" s="66">
        <v>7</v>
      </c>
      <c r="BM101" s="66">
        <v>8</v>
      </c>
      <c r="BN101" s="66">
        <v>9</v>
      </c>
      <c r="BO101" s="66">
        <v>10</v>
      </c>
      <c r="BP101" s="66">
        <v>11</v>
      </c>
      <c r="BQ101" s="66">
        <v>12</v>
      </c>
      <c r="BR101" s="66">
        <v>13</v>
      </c>
      <c r="BS101" s="66">
        <v>14</v>
      </c>
      <c r="BT101" s="66">
        <v>15</v>
      </c>
      <c r="BU101" s="66">
        <v>16</v>
      </c>
      <c r="BV101" s="66">
        <v>17</v>
      </c>
      <c r="BW101" s="66">
        <v>18</v>
      </c>
      <c r="BX101" s="66">
        <v>19</v>
      </c>
      <c r="BY101" s="66">
        <v>20</v>
      </c>
      <c r="BZ101" s="66">
        <v>21</v>
      </c>
      <c r="CA101" s="66">
        <v>22</v>
      </c>
      <c r="CB101" s="66">
        <v>23</v>
      </c>
      <c r="CC101" s="66">
        <v>24</v>
      </c>
    </row>
    <row r="102" spans="2:81" ht="11.25" customHeight="1">
      <c r="B102" s="356"/>
      <c r="C102" s="42"/>
      <c r="D102" s="3"/>
      <c r="E102" s="80"/>
      <c r="F102" s="80"/>
      <c r="G102" s="111"/>
      <c r="H102" s="108"/>
      <c r="I102" s="13"/>
      <c r="J102" s="13"/>
      <c r="K102" s="13"/>
      <c r="L102" s="13"/>
      <c r="M102" s="13"/>
      <c r="N102" s="13"/>
      <c r="O102" s="62"/>
      <c r="P102" s="3"/>
      <c r="Q102" s="39"/>
      <c r="R102" s="3"/>
      <c r="S102" s="3"/>
      <c r="T102" s="3"/>
      <c r="U102" s="43"/>
      <c r="V102" s="18"/>
      <c r="Y102" s="66" t="s">
        <v>34</v>
      </c>
      <c r="Z102" s="66" t="s">
        <v>45</v>
      </c>
      <c r="AA102" s="66" t="s">
        <v>46</v>
      </c>
      <c r="AB102" s="68" t="s">
        <v>42</v>
      </c>
      <c r="AC102" s="68">
        <v>2</v>
      </c>
      <c r="AD102" s="68">
        <v>3</v>
      </c>
      <c r="AE102" s="68">
        <v>4</v>
      </c>
      <c r="AF102" s="68">
        <v>5</v>
      </c>
      <c r="AG102" s="68">
        <v>6</v>
      </c>
      <c r="AH102" s="68">
        <v>7</v>
      </c>
      <c r="AI102" s="68">
        <v>8</v>
      </c>
      <c r="AJ102" s="68">
        <v>9</v>
      </c>
      <c r="AK102" s="68">
        <v>10</v>
      </c>
      <c r="AL102" s="68">
        <v>11</v>
      </c>
      <c r="AM102" s="68">
        <v>12</v>
      </c>
      <c r="AN102" s="68">
        <v>13</v>
      </c>
      <c r="AO102" s="68">
        <v>14</v>
      </c>
      <c r="AP102" s="68">
        <v>15</v>
      </c>
      <c r="AQ102" s="68">
        <v>16</v>
      </c>
      <c r="AR102" s="68">
        <v>17</v>
      </c>
      <c r="AS102" s="68">
        <v>18</v>
      </c>
      <c r="AT102" s="68">
        <v>19</v>
      </c>
      <c r="AU102" s="68">
        <v>20</v>
      </c>
      <c r="AV102" s="68">
        <v>21</v>
      </c>
      <c r="AW102" s="68">
        <v>22</v>
      </c>
      <c r="AX102" s="68">
        <v>23</v>
      </c>
      <c r="AY102" s="68">
        <v>24</v>
      </c>
      <c r="AZ102" s="68">
        <v>25</v>
      </c>
      <c r="BA102" s="74"/>
      <c r="BB102" s="71">
        <f>D78+1</f>
        <v>4</v>
      </c>
      <c r="BC102" s="71">
        <f>BB102</f>
        <v>4</v>
      </c>
      <c r="BD102" s="71">
        <f>BC102</f>
        <v>4</v>
      </c>
      <c r="BE102" s="70" t="s">
        <v>42</v>
      </c>
      <c r="BF102" s="70">
        <v>2</v>
      </c>
      <c r="BG102" s="70">
        <v>3</v>
      </c>
      <c r="BH102" s="70">
        <v>4</v>
      </c>
      <c r="BI102" s="70">
        <v>5</v>
      </c>
      <c r="BJ102" s="70">
        <v>6</v>
      </c>
      <c r="BK102" s="70">
        <v>7</v>
      </c>
      <c r="BL102" s="70">
        <v>8</v>
      </c>
      <c r="BM102" s="70">
        <v>9</v>
      </c>
      <c r="BN102" s="70">
        <v>10</v>
      </c>
      <c r="BO102" s="70">
        <v>11</v>
      </c>
      <c r="BP102" s="70">
        <v>12</v>
      </c>
      <c r="BQ102" s="70">
        <v>13</v>
      </c>
      <c r="BR102" s="70">
        <v>14</v>
      </c>
      <c r="BS102" s="70">
        <v>15</v>
      </c>
      <c r="BT102" s="70">
        <v>16</v>
      </c>
      <c r="BU102" s="70">
        <v>17</v>
      </c>
      <c r="BV102" s="70">
        <v>18</v>
      </c>
      <c r="BW102" s="70">
        <v>19</v>
      </c>
      <c r="BX102" s="70">
        <v>20</v>
      </c>
      <c r="BY102" s="70">
        <v>21</v>
      </c>
      <c r="BZ102" s="70">
        <v>22</v>
      </c>
      <c r="CA102" s="70">
        <v>23</v>
      </c>
      <c r="CB102" s="70">
        <v>24</v>
      </c>
      <c r="CC102" s="70">
        <v>25</v>
      </c>
    </row>
    <row r="103" spans="2:81" ht="11.25" customHeight="1">
      <c r="B103" s="356"/>
      <c r="C103" s="383"/>
      <c r="D103" s="3"/>
      <c r="E103" s="3"/>
      <c r="F103" s="3"/>
      <c r="G103" s="18"/>
      <c r="H103" s="109"/>
      <c r="I103" s="3"/>
      <c r="J103" s="3"/>
      <c r="K103" s="3"/>
      <c r="L103" s="3"/>
      <c r="M103" s="3"/>
      <c r="N103" s="3"/>
      <c r="O103" s="18"/>
      <c r="P103" s="3"/>
      <c r="Q103" s="3"/>
      <c r="R103" s="3"/>
      <c r="S103" s="3"/>
      <c r="T103" s="3"/>
      <c r="U103" s="43"/>
      <c r="V103" s="18"/>
      <c r="Y103" s="72">
        <f aca="true" t="shared" si="0" ref="Y103:Y127">HLOOKUP($Y$101,$AC$102:$AZ$127,AB103,FALSE)</f>
        <v>3</v>
      </c>
      <c r="Z103" s="73">
        <v>75</v>
      </c>
      <c r="AA103" s="73">
        <v>5</v>
      </c>
      <c r="AB103" s="31">
        <v>2</v>
      </c>
      <c r="AC103" s="69">
        <v>3</v>
      </c>
      <c r="AD103" s="69">
        <f>AC103</f>
        <v>3</v>
      </c>
      <c r="AE103" s="69">
        <f aca="true" t="shared" si="1" ref="AE103:AZ103">AD103</f>
        <v>3</v>
      </c>
      <c r="AF103" s="69">
        <f t="shared" si="1"/>
        <v>3</v>
      </c>
      <c r="AG103" s="69">
        <f t="shared" si="1"/>
        <v>3</v>
      </c>
      <c r="AH103" s="69">
        <f t="shared" si="1"/>
        <v>3</v>
      </c>
      <c r="AI103" s="69">
        <f t="shared" si="1"/>
        <v>3</v>
      </c>
      <c r="AJ103" s="69">
        <f t="shared" si="1"/>
        <v>3</v>
      </c>
      <c r="AK103" s="69">
        <f t="shared" si="1"/>
        <v>3</v>
      </c>
      <c r="AL103" s="69">
        <f t="shared" si="1"/>
        <v>3</v>
      </c>
      <c r="AM103" s="69">
        <f t="shared" si="1"/>
        <v>3</v>
      </c>
      <c r="AN103" s="69">
        <f t="shared" si="1"/>
        <v>3</v>
      </c>
      <c r="AO103" s="69">
        <f t="shared" si="1"/>
        <v>3</v>
      </c>
      <c r="AP103" s="69">
        <f t="shared" si="1"/>
        <v>3</v>
      </c>
      <c r="AQ103" s="69">
        <f t="shared" si="1"/>
        <v>3</v>
      </c>
      <c r="AR103" s="69">
        <f t="shared" si="1"/>
        <v>3</v>
      </c>
      <c r="AS103" s="69">
        <f t="shared" si="1"/>
        <v>3</v>
      </c>
      <c r="AT103" s="69">
        <f t="shared" si="1"/>
        <v>3</v>
      </c>
      <c r="AU103" s="69">
        <f t="shared" si="1"/>
        <v>3</v>
      </c>
      <c r="AV103" s="69">
        <f t="shared" si="1"/>
        <v>3</v>
      </c>
      <c r="AW103" s="69">
        <f t="shared" si="1"/>
        <v>3</v>
      </c>
      <c r="AX103" s="69">
        <f t="shared" si="1"/>
        <v>3</v>
      </c>
      <c r="AY103" s="69">
        <f t="shared" si="1"/>
        <v>3</v>
      </c>
      <c r="AZ103" s="69">
        <f t="shared" si="1"/>
        <v>3</v>
      </c>
      <c r="BA103" s="75"/>
      <c r="BB103" s="66" t="s">
        <v>47</v>
      </c>
      <c r="BC103" s="66" t="s">
        <v>48</v>
      </c>
      <c r="BD103" s="66" t="s">
        <v>35</v>
      </c>
      <c r="BE103" s="31">
        <v>2</v>
      </c>
      <c r="BF103" s="69">
        <v>5</v>
      </c>
      <c r="BG103" s="69">
        <v>5</v>
      </c>
      <c r="BH103" s="69">
        <v>5</v>
      </c>
      <c r="BI103" s="69">
        <v>5</v>
      </c>
      <c r="BJ103" s="69">
        <v>5</v>
      </c>
      <c r="BK103" s="69">
        <v>5</v>
      </c>
      <c r="BL103" s="69">
        <v>5</v>
      </c>
      <c r="BM103" s="69">
        <v>5</v>
      </c>
      <c r="BN103" s="69">
        <v>5</v>
      </c>
      <c r="BO103" s="69">
        <v>5</v>
      </c>
      <c r="BP103" s="69">
        <v>5</v>
      </c>
      <c r="BQ103" s="69">
        <v>5</v>
      </c>
      <c r="BR103" s="69">
        <v>5</v>
      </c>
      <c r="BS103" s="69">
        <v>5</v>
      </c>
      <c r="BT103" s="69">
        <v>5</v>
      </c>
      <c r="BU103" s="69">
        <v>5</v>
      </c>
      <c r="BV103" s="69">
        <v>5</v>
      </c>
      <c r="BW103" s="69">
        <v>5</v>
      </c>
      <c r="BX103" s="69">
        <v>5</v>
      </c>
      <c r="BY103" s="69">
        <v>5</v>
      </c>
      <c r="BZ103" s="69">
        <v>5</v>
      </c>
      <c r="CA103" s="69">
        <v>5</v>
      </c>
      <c r="CB103" s="69">
        <v>5</v>
      </c>
      <c r="CC103" s="69">
        <v>5</v>
      </c>
    </row>
    <row r="104" spans="2:81" ht="11.25" customHeight="1">
      <c r="B104" s="356"/>
      <c r="C104" s="42"/>
      <c r="D104" s="3"/>
      <c r="F104" s="30" t="str">
        <f>FIXED(K38,2)&amp;" ม."</f>
        <v>0.35 ม.</v>
      </c>
      <c r="G104" s="18"/>
      <c r="H104" s="109"/>
      <c r="I104" s="3"/>
      <c r="J104" s="3"/>
      <c r="K104" s="3"/>
      <c r="L104" s="3"/>
      <c r="M104" s="3"/>
      <c r="N104" s="3"/>
      <c r="O104" s="18"/>
      <c r="P104" s="3"/>
      <c r="Q104" s="3"/>
      <c r="R104" s="3"/>
      <c r="S104" s="3"/>
      <c r="T104" s="3"/>
      <c r="U104" s="43"/>
      <c r="V104" s="18"/>
      <c r="Y104" s="72">
        <f t="shared" si="0"/>
        <v>5.2</v>
      </c>
      <c r="Z104" s="73">
        <v>75</v>
      </c>
      <c r="AA104" s="73">
        <v>5</v>
      </c>
      <c r="AB104" s="31">
        <v>3</v>
      </c>
      <c r="AC104" s="69">
        <v>47</v>
      </c>
      <c r="AD104" s="69">
        <v>25</v>
      </c>
      <c r="AE104" s="69">
        <v>16</v>
      </c>
      <c r="AF104" s="69">
        <v>12</v>
      </c>
      <c r="AG104" s="69">
        <v>11.8</v>
      </c>
      <c r="AH104" s="69">
        <v>10.33</v>
      </c>
      <c r="AI104" s="69">
        <f>44/(AI102-1)+AI103</f>
        <v>9.285714285714285</v>
      </c>
      <c r="AJ104" s="69">
        <f>44/(AJ102-1)+AJ103</f>
        <v>8.5</v>
      </c>
      <c r="AK104" s="69">
        <f aca="true" t="shared" si="2" ref="AK104:AZ104">44/(AK102-1)+AK103</f>
        <v>7.888888888888889</v>
      </c>
      <c r="AL104" s="69">
        <f t="shared" si="2"/>
        <v>7.4</v>
      </c>
      <c r="AM104" s="69">
        <f t="shared" si="2"/>
        <v>7</v>
      </c>
      <c r="AN104" s="69">
        <f t="shared" si="2"/>
        <v>6.666666666666666</v>
      </c>
      <c r="AO104" s="69">
        <f t="shared" si="2"/>
        <v>6.384615384615385</v>
      </c>
      <c r="AP104" s="69">
        <f t="shared" si="2"/>
        <v>6.142857142857142</v>
      </c>
      <c r="AQ104" s="69">
        <f t="shared" si="2"/>
        <v>5.933333333333334</v>
      </c>
      <c r="AR104" s="69">
        <f t="shared" si="2"/>
        <v>5.75</v>
      </c>
      <c r="AS104" s="69">
        <f t="shared" si="2"/>
        <v>5.588235294117647</v>
      </c>
      <c r="AT104" s="69">
        <f t="shared" si="2"/>
        <v>5.444444444444445</v>
      </c>
      <c r="AU104" s="69">
        <f t="shared" si="2"/>
        <v>5.315789473684211</v>
      </c>
      <c r="AV104" s="69">
        <f>44/(AV102-1)+AV103</f>
        <v>5.2</v>
      </c>
      <c r="AW104" s="69">
        <f t="shared" si="2"/>
        <v>5.095238095238095</v>
      </c>
      <c r="AX104" s="69">
        <f t="shared" si="2"/>
        <v>5</v>
      </c>
      <c r="AY104" s="69">
        <f t="shared" si="2"/>
        <v>4.913043478260869</v>
      </c>
      <c r="AZ104" s="69">
        <f t="shared" si="2"/>
        <v>4.833333333333333</v>
      </c>
      <c r="BA104" s="75"/>
      <c r="BB104" s="72">
        <v>3</v>
      </c>
      <c r="BC104" s="73">
        <v>47</v>
      </c>
      <c r="BD104" s="72">
        <f>HLOOKUP($BB$102,$BF$102:$CC$127,BE103,FALSE)</f>
        <v>5</v>
      </c>
      <c r="BE104" s="31">
        <v>3</v>
      </c>
      <c r="BF104" s="69">
        <v>75</v>
      </c>
      <c r="BG104" s="69">
        <f>70/(BG$102-1)+BG103</f>
        <v>40</v>
      </c>
      <c r="BH104" s="69">
        <f aca="true" t="shared" si="3" ref="BH104:CC104">70/(BH$102-1)+BH103</f>
        <v>28.333333333333332</v>
      </c>
      <c r="BI104" s="69">
        <f t="shared" si="3"/>
        <v>22.5</v>
      </c>
      <c r="BJ104" s="69">
        <f t="shared" si="3"/>
        <v>19</v>
      </c>
      <c r="BK104" s="69">
        <f t="shared" si="3"/>
        <v>16.666666666666664</v>
      </c>
      <c r="BL104" s="69">
        <f t="shared" si="3"/>
        <v>15</v>
      </c>
      <c r="BM104" s="69">
        <f t="shared" si="3"/>
        <v>13.75</v>
      </c>
      <c r="BN104" s="69">
        <f t="shared" si="3"/>
        <v>12.777777777777779</v>
      </c>
      <c r="BO104" s="69">
        <f t="shared" si="3"/>
        <v>12</v>
      </c>
      <c r="BP104" s="69">
        <f t="shared" si="3"/>
        <v>11.363636363636363</v>
      </c>
      <c r="BQ104" s="69">
        <f t="shared" si="3"/>
        <v>10.833333333333332</v>
      </c>
      <c r="BR104" s="69">
        <f t="shared" si="3"/>
        <v>10.384615384615385</v>
      </c>
      <c r="BS104" s="69">
        <f t="shared" si="3"/>
        <v>10</v>
      </c>
      <c r="BT104" s="69">
        <f t="shared" si="3"/>
        <v>9.666666666666668</v>
      </c>
      <c r="BU104" s="69">
        <f t="shared" si="3"/>
        <v>9.375</v>
      </c>
      <c r="BV104" s="69">
        <f t="shared" si="3"/>
        <v>9.117647058823529</v>
      </c>
      <c r="BW104" s="69">
        <f t="shared" si="3"/>
        <v>8.88888888888889</v>
      </c>
      <c r="BX104" s="69">
        <f t="shared" si="3"/>
        <v>8.68421052631579</v>
      </c>
      <c r="BY104" s="69">
        <f t="shared" si="3"/>
        <v>8.5</v>
      </c>
      <c r="BZ104" s="69">
        <f t="shared" si="3"/>
        <v>8.333333333333334</v>
      </c>
      <c r="CA104" s="69">
        <f t="shared" si="3"/>
        <v>8.181818181818182</v>
      </c>
      <c r="CB104" s="69">
        <f t="shared" si="3"/>
        <v>8.043478260869566</v>
      </c>
      <c r="CC104" s="69">
        <f t="shared" si="3"/>
        <v>7.916666666666666</v>
      </c>
    </row>
    <row r="105" spans="2:81" ht="11.25" customHeight="1">
      <c r="B105" s="356"/>
      <c r="C105" s="42"/>
      <c r="D105" s="3"/>
      <c r="E105" s="30"/>
      <c r="F105" s="3"/>
      <c r="G105" s="18"/>
      <c r="H105" s="109"/>
      <c r="I105" s="3"/>
      <c r="J105" s="3"/>
      <c r="K105" s="3"/>
      <c r="L105" s="3"/>
      <c r="M105" s="3"/>
      <c r="N105" s="3"/>
      <c r="O105" s="18"/>
      <c r="P105" s="3"/>
      <c r="Q105" s="3"/>
      <c r="R105" s="3"/>
      <c r="S105" s="3"/>
      <c r="T105" s="3"/>
      <c r="U105" s="43"/>
      <c r="V105" s="18"/>
      <c r="Y105" s="72">
        <f t="shared" si="0"/>
        <v>7.4</v>
      </c>
      <c r="Z105" s="73">
        <v>75</v>
      </c>
      <c r="AA105" s="73">
        <v>5</v>
      </c>
      <c r="AB105" s="31">
        <v>4</v>
      </c>
      <c r="AC105" s="31">
        <f>AC104</f>
        <v>47</v>
      </c>
      <c r="AD105" s="69">
        <v>47</v>
      </c>
      <c r="AE105" s="69">
        <v>31</v>
      </c>
      <c r="AF105" s="69">
        <v>24</v>
      </c>
      <c r="AG105" s="69">
        <f>AG104+8.8</f>
        <v>20.6</v>
      </c>
      <c r="AH105" s="69">
        <f>AH104+7.3</f>
        <v>17.63</v>
      </c>
      <c r="AI105" s="69">
        <f aca="true" t="shared" si="4" ref="AI105:AJ109">(44/(AI$102-1))+AI104</f>
        <v>15.57142857142857</v>
      </c>
      <c r="AJ105" s="69">
        <f t="shared" si="4"/>
        <v>14</v>
      </c>
      <c r="AK105" s="69">
        <f aca="true" t="shared" si="5" ref="AK105:AZ113">(44/(AK$102-1))+AK104</f>
        <v>12.777777777777779</v>
      </c>
      <c r="AL105" s="69">
        <f t="shared" si="5"/>
        <v>11.8</v>
      </c>
      <c r="AM105" s="69">
        <f t="shared" si="5"/>
        <v>11</v>
      </c>
      <c r="AN105" s="69">
        <f t="shared" si="5"/>
        <v>10.333333333333332</v>
      </c>
      <c r="AO105" s="69">
        <f t="shared" si="5"/>
        <v>9.76923076923077</v>
      </c>
      <c r="AP105" s="69">
        <f t="shared" si="5"/>
        <v>9.285714285714285</v>
      </c>
      <c r="AQ105" s="69">
        <f t="shared" si="5"/>
        <v>8.866666666666667</v>
      </c>
      <c r="AR105" s="69">
        <f t="shared" si="5"/>
        <v>8.5</v>
      </c>
      <c r="AS105" s="69">
        <f t="shared" si="5"/>
        <v>8.176470588235293</v>
      </c>
      <c r="AT105" s="69">
        <f t="shared" si="5"/>
        <v>7.888888888888889</v>
      </c>
      <c r="AU105" s="69">
        <f t="shared" si="5"/>
        <v>7.631578947368421</v>
      </c>
      <c r="AV105" s="69">
        <f t="shared" si="5"/>
        <v>7.4</v>
      </c>
      <c r="AW105" s="69">
        <f t="shared" si="5"/>
        <v>7.19047619047619</v>
      </c>
      <c r="AX105" s="69">
        <f t="shared" si="5"/>
        <v>7</v>
      </c>
      <c r="AY105" s="69">
        <f t="shared" si="5"/>
        <v>6.826086956521738</v>
      </c>
      <c r="AZ105" s="69">
        <f t="shared" si="5"/>
        <v>6.666666666666666</v>
      </c>
      <c r="BA105" s="75"/>
      <c r="BB105" s="72">
        <v>3</v>
      </c>
      <c r="BC105" s="73">
        <v>47</v>
      </c>
      <c r="BD105" s="72">
        <f aca="true" t="shared" si="6" ref="BD105:BD128">HLOOKUP($BB$102,$BF$102:$CC$127,BE104,FALSE)</f>
        <v>28.333333333333332</v>
      </c>
      <c r="BE105" s="31">
        <v>4</v>
      </c>
      <c r="BF105" s="31">
        <f>BF104</f>
        <v>75</v>
      </c>
      <c r="BG105" s="69">
        <v>75</v>
      </c>
      <c r="BH105" s="69">
        <f aca="true" t="shared" si="7" ref="BH105:CC105">70/(BH$102-1)+BH104</f>
        <v>51.666666666666664</v>
      </c>
      <c r="BI105" s="69">
        <f t="shared" si="7"/>
        <v>40</v>
      </c>
      <c r="BJ105" s="69">
        <f t="shared" si="7"/>
        <v>33</v>
      </c>
      <c r="BK105" s="69">
        <f t="shared" si="7"/>
        <v>28.33333333333333</v>
      </c>
      <c r="BL105" s="69">
        <f t="shared" si="7"/>
        <v>25</v>
      </c>
      <c r="BM105" s="69">
        <f t="shared" si="7"/>
        <v>22.5</v>
      </c>
      <c r="BN105" s="69">
        <f t="shared" si="7"/>
        <v>20.555555555555557</v>
      </c>
      <c r="BO105" s="69">
        <f t="shared" si="7"/>
        <v>19</v>
      </c>
      <c r="BP105" s="69">
        <f t="shared" si="7"/>
        <v>17.727272727272727</v>
      </c>
      <c r="BQ105" s="69">
        <f t="shared" si="7"/>
        <v>16.666666666666664</v>
      </c>
      <c r="BR105" s="69">
        <f t="shared" si="7"/>
        <v>15.76923076923077</v>
      </c>
      <c r="BS105" s="69">
        <f t="shared" si="7"/>
        <v>15</v>
      </c>
      <c r="BT105" s="69">
        <f t="shared" si="7"/>
        <v>14.333333333333336</v>
      </c>
      <c r="BU105" s="69">
        <f t="shared" si="7"/>
        <v>13.75</v>
      </c>
      <c r="BV105" s="69">
        <f t="shared" si="7"/>
        <v>13.235294117647058</v>
      </c>
      <c r="BW105" s="69">
        <f t="shared" si="7"/>
        <v>12.777777777777779</v>
      </c>
      <c r="BX105" s="69">
        <f t="shared" si="7"/>
        <v>12.368421052631579</v>
      </c>
      <c r="BY105" s="69">
        <f t="shared" si="7"/>
        <v>12</v>
      </c>
      <c r="BZ105" s="69">
        <f t="shared" si="7"/>
        <v>11.666666666666668</v>
      </c>
      <c r="CA105" s="69">
        <f t="shared" si="7"/>
        <v>11.363636363636363</v>
      </c>
      <c r="CB105" s="69">
        <f t="shared" si="7"/>
        <v>11.086956521739133</v>
      </c>
      <c r="CC105" s="69">
        <f t="shared" si="7"/>
        <v>10.833333333333332</v>
      </c>
    </row>
    <row r="106" spans="2:81" ht="11.25" customHeight="1">
      <c r="B106" s="356"/>
      <c r="C106" s="42"/>
      <c r="D106" s="92" t="str">
        <f>FIXED(H33,2)&amp;" ม."</f>
        <v>0.70 ม.</v>
      </c>
      <c r="E106" s="30"/>
      <c r="F106" s="82"/>
      <c r="G106" s="112"/>
      <c r="H106" s="109"/>
      <c r="I106" s="30"/>
      <c r="J106" s="3"/>
      <c r="K106" s="3"/>
      <c r="L106" s="3"/>
      <c r="M106" s="3"/>
      <c r="N106" s="3"/>
      <c r="O106" s="18"/>
      <c r="P106" s="3"/>
      <c r="Q106" s="3"/>
      <c r="R106" s="3"/>
      <c r="S106" s="3"/>
      <c r="T106" s="3"/>
      <c r="U106" s="43"/>
      <c r="V106" s="18"/>
      <c r="Y106" s="72">
        <f t="shared" si="0"/>
        <v>9.600000000000001</v>
      </c>
      <c r="Z106" s="73">
        <v>75</v>
      </c>
      <c r="AA106" s="73">
        <v>5</v>
      </c>
      <c r="AB106" s="31">
        <v>5</v>
      </c>
      <c r="AC106" s="31">
        <f aca="true" t="shared" si="8" ref="AC106:AC127">AC105</f>
        <v>47</v>
      </c>
      <c r="AD106" s="31">
        <f>AD105</f>
        <v>47</v>
      </c>
      <c r="AE106" s="69">
        <v>47</v>
      </c>
      <c r="AF106" s="69">
        <v>35</v>
      </c>
      <c r="AG106" s="69">
        <f>AG105+8.8</f>
        <v>29.400000000000002</v>
      </c>
      <c r="AH106" s="69">
        <f>AH105+7.3</f>
        <v>24.93</v>
      </c>
      <c r="AI106" s="69">
        <f t="shared" si="4"/>
        <v>21.857142857142854</v>
      </c>
      <c r="AJ106" s="69">
        <f t="shared" si="4"/>
        <v>19.5</v>
      </c>
      <c r="AK106" s="69">
        <f t="shared" si="5"/>
        <v>17.666666666666668</v>
      </c>
      <c r="AL106" s="69">
        <f t="shared" si="5"/>
        <v>16.200000000000003</v>
      </c>
      <c r="AM106" s="69">
        <f t="shared" si="5"/>
        <v>15</v>
      </c>
      <c r="AN106" s="69">
        <f t="shared" si="5"/>
        <v>13.999999999999998</v>
      </c>
      <c r="AO106" s="69">
        <f t="shared" si="5"/>
        <v>13.153846153846155</v>
      </c>
      <c r="AP106" s="69">
        <f t="shared" si="5"/>
        <v>12.428571428571427</v>
      </c>
      <c r="AQ106" s="69">
        <f t="shared" si="5"/>
        <v>11.8</v>
      </c>
      <c r="AR106" s="69">
        <f t="shared" si="5"/>
        <v>11.25</v>
      </c>
      <c r="AS106" s="69">
        <f t="shared" si="5"/>
        <v>10.76470588235294</v>
      </c>
      <c r="AT106" s="69">
        <f t="shared" si="5"/>
        <v>10.333333333333334</v>
      </c>
      <c r="AU106" s="69">
        <f t="shared" si="5"/>
        <v>9.947368421052632</v>
      </c>
      <c r="AV106" s="69">
        <f t="shared" si="5"/>
        <v>9.600000000000001</v>
      </c>
      <c r="AW106" s="69">
        <f t="shared" si="5"/>
        <v>9.285714285714285</v>
      </c>
      <c r="AX106" s="69">
        <f t="shared" si="5"/>
        <v>9</v>
      </c>
      <c r="AY106" s="69">
        <f t="shared" si="5"/>
        <v>8.739130434782608</v>
      </c>
      <c r="AZ106" s="69">
        <f t="shared" si="5"/>
        <v>8.5</v>
      </c>
      <c r="BA106" s="75"/>
      <c r="BB106" s="72">
        <v>3</v>
      </c>
      <c r="BC106" s="73">
        <v>47</v>
      </c>
      <c r="BD106" s="72">
        <f t="shared" si="6"/>
        <v>51.666666666666664</v>
      </c>
      <c r="BE106" s="31">
        <v>5</v>
      </c>
      <c r="BF106" s="31">
        <f aca="true" t="shared" si="9" ref="BF106:BF127">BF105</f>
        <v>75</v>
      </c>
      <c r="BG106" s="31">
        <f>BG105</f>
        <v>75</v>
      </c>
      <c r="BH106" s="69">
        <v>75</v>
      </c>
      <c r="BI106" s="69">
        <f aca="true" t="shared" si="10" ref="BI106:CC106">70/(BI$102-1)+BI105</f>
        <v>57.5</v>
      </c>
      <c r="BJ106" s="69">
        <f t="shared" si="10"/>
        <v>47</v>
      </c>
      <c r="BK106" s="69">
        <f t="shared" si="10"/>
        <v>39.99999999999999</v>
      </c>
      <c r="BL106" s="69">
        <f t="shared" si="10"/>
        <v>35</v>
      </c>
      <c r="BM106" s="69">
        <f t="shared" si="10"/>
        <v>31.25</v>
      </c>
      <c r="BN106" s="69">
        <f t="shared" si="10"/>
        <v>28.333333333333336</v>
      </c>
      <c r="BO106" s="69">
        <f t="shared" si="10"/>
        <v>26</v>
      </c>
      <c r="BP106" s="69">
        <f t="shared" si="10"/>
        <v>24.09090909090909</v>
      </c>
      <c r="BQ106" s="69">
        <f t="shared" si="10"/>
        <v>22.499999999999996</v>
      </c>
      <c r="BR106" s="69">
        <f t="shared" si="10"/>
        <v>21.153846153846153</v>
      </c>
      <c r="BS106" s="69">
        <f t="shared" si="10"/>
        <v>20</v>
      </c>
      <c r="BT106" s="69">
        <f t="shared" si="10"/>
        <v>19.000000000000004</v>
      </c>
      <c r="BU106" s="69">
        <f t="shared" si="10"/>
        <v>18.125</v>
      </c>
      <c r="BV106" s="69">
        <f t="shared" si="10"/>
        <v>17.352941176470587</v>
      </c>
      <c r="BW106" s="69">
        <f t="shared" si="10"/>
        <v>16.666666666666668</v>
      </c>
      <c r="BX106" s="69">
        <f t="shared" si="10"/>
        <v>16.05263157894737</v>
      </c>
      <c r="BY106" s="69">
        <f t="shared" si="10"/>
        <v>15.5</v>
      </c>
      <c r="BZ106" s="69">
        <f t="shared" si="10"/>
        <v>15.000000000000002</v>
      </c>
      <c r="CA106" s="69">
        <f t="shared" si="10"/>
        <v>14.545454545454545</v>
      </c>
      <c r="CB106" s="69">
        <f t="shared" si="10"/>
        <v>14.130434782608699</v>
      </c>
      <c r="CC106" s="69">
        <f t="shared" si="10"/>
        <v>13.749999999999998</v>
      </c>
    </row>
    <row r="107" spans="2:81" ht="11.25" customHeight="1">
      <c r="B107" s="356"/>
      <c r="C107" s="42"/>
      <c r="E107" s="30"/>
      <c r="F107" s="3"/>
      <c r="G107" s="18"/>
      <c r="H107" s="109"/>
      <c r="I107" s="3"/>
      <c r="J107" s="3"/>
      <c r="K107" s="3"/>
      <c r="L107" s="3"/>
      <c r="M107" s="3"/>
      <c r="N107" s="3"/>
      <c r="O107" s="18"/>
      <c r="P107" s="3"/>
      <c r="Q107" s="3"/>
      <c r="R107" s="3"/>
      <c r="S107" s="3"/>
      <c r="T107" s="3"/>
      <c r="U107" s="43"/>
      <c r="V107" s="18"/>
      <c r="Y107" s="72">
        <f t="shared" si="0"/>
        <v>11.8</v>
      </c>
      <c r="Z107" s="73">
        <v>75</v>
      </c>
      <c r="AA107" s="73">
        <v>5</v>
      </c>
      <c r="AB107" s="31">
        <v>6</v>
      </c>
      <c r="AC107" s="31">
        <f t="shared" si="8"/>
        <v>47</v>
      </c>
      <c r="AD107" s="31">
        <f aca="true" t="shared" si="11" ref="AD107:AD127">AD106</f>
        <v>47</v>
      </c>
      <c r="AE107" s="31">
        <f>AE106</f>
        <v>47</v>
      </c>
      <c r="AF107" s="69">
        <v>47</v>
      </c>
      <c r="AG107" s="69">
        <f>AG106+8.8</f>
        <v>38.2</v>
      </c>
      <c r="AH107" s="69">
        <f>AH106+7.3</f>
        <v>32.23</v>
      </c>
      <c r="AI107" s="69">
        <f t="shared" si="4"/>
        <v>28.14285714285714</v>
      </c>
      <c r="AJ107" s="69">
        <f t="shared" si="4"/>
        <v>25</v>
      </c>
      <c r="AK107" s="69">
        <f t="shared" si="5"/>
        <v>22.555555555555557</v>
      </c>
      <c r="AL107" s="69">
        <f t="shared" si="5"/>
        <v>20.6</v>
      </c>
      <c r="AM107" s="69">
        <f t="shared" si="5"/>
        <v>19</v>
      </c>
      <c r="AN107" s="69">
        <f t="shared" si="5"/>
        <v>17.666666666666664</v>
      </c>
      <c r="AO107" s="69">
        <f t="shared" si="5"/>
        <v>16.53846153846154</v>
      </c>
      <c r="AP107" s="69">
        <f t="shared" si="5"/>
        <v>15.57142857142857</v>
      </c>
      <c r="AQ107" s="69">
        <f t="shared" si="5"/>
        <v>14.733333333333334</v>
      </c>
      <c r="AR107" s="69">
        <f t="shared" si="5"/>
        <v>14</v>
      </c>
      <c r="AS107" s="69">
        <f t="shared" si="5"/>
        <v>13.352941176470587</v>
      </c>
      <c r="AT107" s="69">
        <f t="shared" si="5"/>
        <v>12.777777777777779</v>
      </c>
      <c r="AU107" s="69">
        <f t="shared" si="5"/>
        <v>12.263157894736842</v>
      </c>
      <c r="AV107" s="69">
        <f aca="true" t="shared" si="12" ref="AV107:AV122">(44/(AV$102-1))+AV106</f>
        <v>11.8</v>
      </c>
      <c r="AW107" s="69">
        <f t="shared" si="5"/>
        <v>11.38095238095238</v>
      </c>
      <c r="AX107" s="69">
        <f t="shared" si="5"/>
        <v>11</v>
      </c>
      <c r="AY107" s="69">
        <f t="shared" si="5"/>
        <v>10.652173913043477</v>
      </c>
      <c r="AZ107" s="69">
        <f t="shared" si="5"/>
        <v>10.333333333333334</v>
      </c>
      <c r="BA107" s="75"/>
      <c r="BB107" s="72">
        <v>3</v>
      </c>
      <c r="BC107" s="73">
        <v>47</v>
      </c>
      <c r="BD107" s="72">
        <f t="shared" si="6"/>
        <v>75</v>
      </c>
      <c r="BE107" s="31">
        <v>6</v>
      </c>
      <c r="BF107" s="31">
        <f t="shared" si="9"/>
        <v>75</v>
      </c>
      <c r="BG107" s="31">
        <f aca="true" t="shared" si="13" ref="BG107:BG127">BG106</f>
        <v>75</v>
      </c>
      <c r="BH107" s="31">
        <f>BH106</f>
        <v>75</v>
      </c>
      <c r="BI107" s="69">
        <v>75</v>
      </c>
      <c r="BJ107" s="69">
        <f aca="true" t="shared" si="14" ref="BJ107:CC107">70/(BJ$102-1)+BJ106</f>
        <v>61</v>
      </c>
      <c r="BK107" s="69">
        <f t="shared" si="14"/>
        <v>51.66666666666666</v>
      </c>
      <c r="BL107" s="69">
        <f t="shared" si="14"/>
        <v>45</v>
      </c>
      <c r="BM107" s="69">
        <f t="shared" si="14"/>
        <v>40</v>
      </c>
      <c r="BN107" s="69">
        <f t="shared" si="14"/>
        <v>36.111111111111114</v>
      </c>
      <c r="BO107" s="69">
        <f t="shared" si="14"/>
        <v>33</v>
      </c>
      <c r="BP107" s="69">
        <f t="shared" si="14"/>
        <v>30.454545454545453</v>
      </c>
      <c r="BQ107" s="69">
        <f t="shared" si="14"/>
        <v>28.33333333333333</v>
      </c>
      <c r="BR107" s="69">
        <f t="shared" si="14"/>
        <v>26.53846153846154</v>
      </c>
      <c r="BS107" s="69">
        <f t="shared" si="14"/>
        <v>25</v>
      </c>
      <c r="BT107" s="69">
        <f t="shared" si="14"/>
        <v>23.66666666666667</v>
      </c>
      <c r="BU107" s="69">
        <f t="shared" si="14"/>
        <v>22.5</v>
      </c>
      <c r="BV107" s="69">
        <f t="shared" si="14"/>
        <v>21.470588235294116</v>
      </c>
      <c r="BW107" s="69">
        <f t="shared" si="14"/>
        <v>20.555555555555557</v>
      </c>
      <c r="BX107" s="69">
        <f t="shared" si="14"/>
        <v>19.736842105263158</v>
      </c>
      <c r="BY107" s="69">
        <f t="shared" si="14"/>
        <v>19</v>
      </c>
      <c r="BZ107" s="69">
        <f t="shared" si="14"/>
        <v>18.333333333333336</v>
      </c>
      <c r="CA107" s="69">
        <f t="shared" si="14"/>
        <v>17.727272727272727</v>
      </c>
      <c r="CB107" s="69">
        <f t="shared" si="14"/>
        <v>17.173913043478265</v>
      </c>
      <c r="CC107" s="69">
        <f t="shared" si="14"/>
        <v>16.666666666666664</v>
      </c>
    </row>
    <row r="108" spans="2:81" ht="11.25" customHeight="1">
      <c r="B108" s="356"/>
      <c r="C108" s="42"/>
      <c r="E108" s="3"/>
      <c r="F108" s="3"/>
      <c r="G108" s="18"/>
      <c r="H108" s="109"/>
      <c r="I108" s="3"/>
      <c r="J108" s="3"/>
      <c r="K108" s="3"/>
      <c r="L108" s="3"/>
      <c r="M108" s="3"/>
      <c r="N108" s="3"/>
      <c r="O108" s="18"/>
      <c r="P108" s="3"/>
      <c r="Q108" s="3"/>
      <c r="R108" s="3"/>
      <c r="S108" s="3"/>
      <c r="T108" s="3"/>
      <c r="U108" s="43"/>
      <c r="V108" s="18"/>
      <c r="Y108" s="72">
        <f t="shared" si="0"/>
        <v>14</v>
      </c>
      <c r="Z108" s="73">
        <v>75</v>
      </c>
      <c r="AA108" s="73">
        <v>5</v>
      </c>
      <c r="AB108" s="31">
        <v>7</v>
      </c>
      <c r="AC108" s="31">
        <f t="shared" si="8"/>
        <v>47</v>
      </c>
      <c r="AD108" s="31">
        <f t="shared" si="11"/>
        <v>47</v>
      </c>
      <c r="AE108" s="31">
        <f aca="true" t="shared" si="15" ref="AE108:AE127">AE107</f>
        <v>47</v>
      </c>
      <c r="AF108" s="31">
        <f>AF107</f>
        <v>47</v>
      </c>
      <c r="AG108" s="69">
        <v>47</v>
      </c>
      <c r="AH108" s="69">
        <f>AH107+7.3</f>
        <v>39.529999999999994</v>
      </c>
      <c r="AI108" s="69">
        <f t="shared" si="4"/>
        <v>34.42857142857142</v>
      </c>
      <c r="AJ108" s="69">
        <f t="shared" si="4"/>
        <v>30.5</v>
      </c>
      <c r="AK108" s="69">
        <f t="shared" si="5"/>
        <v>27.444444444444446</v>
      </c>
      <c r="AL108" s="69">
        <f t="shared" si="5"/>
        <v>25</v>
      </c>
      <c r="AM108" s="69">
        <f t="shared" si="5"/>
        <v>23</v>
      </c>
      <c r="AN108" s="69">
        <f t="shared" si="5"/>
        <v>21.333333333333332</v>
      </c>
      <c r="AO108" s="69">
        <f t="shared" si="5"/>
        <v>19.923076923076923</v>
      </c>
      <c r="AP108" s="69">
        <f t="shared" si="5"/>
        <v>18.71428571428571</v>
      </c>
      <c r="AQ108" s="69">
        <f t="shared" si="5"/>
        <v>17.666666666666668</v>
      </c>
      <c r="AR108" s="69">
        <f t="shared" si="5"/>
        <v>16.75</v>
      </c>
      <c r="AS108" s="69">
        <f t="shared" si="5"/>
        <v>15.941176470588234</v>
      </c>
      <c r="AT108" s="69">
        <f t="shared" si="5"/>
        <v>15.222222222222223</v>
      </c>
      <c r="AU108" s="69">
        <f t="shared" si="5"/>
        <v>14.578947368421053</v>
      </c>
      <c r="AV108" s="69">
        <f t="shared" si="12"/>
        <v>14</v>
      </c>
      <c r="AW108" s="69">
        <f t="shared" si="5"/>
        <v>13.476190476190474</v>
      </c>
      <c r="AX108" s="69">
        <f t="shared" si="5"/>
        <v>13</v>
      </c>
      <c r="AY108" s="69">
        <f t="shared" si="5"/>
        <v>12.565217391304346</v>
      </c>
      <c r="AZ108" s="69">
        <f t="shared" si="5"/>
        <v>12.166666666666668</v>
      </c>
      <c r="BA108" s="75"/>
      <c r="BB108" s="72">
        <v>3</v>
      </c>
      <c r="BC108" s="73">
        <v>47</v>
      </c>
      <c r="BD108" s="72">
        <f t="shared" si="6"/>
        <v>75</v>
      </c>
      <c r="BE108" s="31">
        <v>7</v>
      </c>
      <c r="BF108" s="31">
        <f t="shared" si="9"/>
        <v>75</v>
      </c>
      <c r="BG108" s="31">
        <f t="shared" si="13"/>
        <v>75</v>
      </c>
      <c r="BH108" s="31">
        <f aca="true" t="shared" si="16" ref="BH108:BH127">BH107</f>
        <v>75</v>
      </c>
      <c r="BI108" s="31">
        <f>BI107</f>
        <v>75</v>
      </c>
      <c r="BJ108" s="69">
        <v>75</v>
      </c>
      <c r="BK108" s="69">
        <f aca="true" t="shared" si="17" ref="BK108:CC108">70/(BK$102-1)+BK107</f>
        <v>63.33333333333332</v>
      </c>
      <c r="BL108" s="69">
        <f t="shared" si="17"/>
        <v>55</v>
      </c>
      <c r="BM108" s="69">
        <f t="shared" si="17"/>
        <v>48.75</v>
      </c>
      <c r="BN108" s="69">
        <f t="shared" si="17"/>
        <v>43.88888888888889</v>
      </c>
      <c r="BO108" s="69">
        <f t="shared" si="17"/>
        <v>40</v>
      </c>
      <c r="BP108" s="69">
        <f t="shared" si="17"/>
        <v>36.81818181818181</v>
      </c>
      <c r="BQ108" s="69">
        <f t="shared" si="17"/>
        <v>34.166666666666664</v>
      </c>
      <c r="BR108" s="69">
        <f t="shared" si="17"/>
        <v>31.923076923076927</v>
      </c>
      <c r="BS108" s="69">
        <f t="shared" si="17"/>
        <v>30</v>
      </c>
      <c r="BT108" s="69">
        <f t="shared" si="17"/>
        <v>28.33333333333334</v>
      </c>
      <c r="BU108" s="69">
        <f t="shared" si="17"/>
        <v>26.875</v>
      </c>
      <c r="BV108" s="69">
        <f t="shared" si="17"/>
        <v>25.588235294117645</v>
      </c>
      <c r="BW108" s="69">
        <f t="shared" si="17"/>
        <v>24.444444444444446</v>
      </c>
      <c r="BX108" s="69">
        <f t="shared" si="17"/>
        <v>23.421052631578945</v>
      </c>
      <c r="BY108" s="69">
        <f t="shared" si="17"/>
        <v>22.5</v>
      </c>
      <c r="BZ108" s="69">
        <f t="shared" si="17"/>
        <v>21.666666666666668</v>
      </c>
      <c r="CA108" s="69">
        <f t="shared" si="17"/>
        <v>20.909090909090907</v>
      </c>
      <c r="CB108" s="69">
        <f t="shared" si="17"/>
        <v>20.21739130434783</v>
      </c>
      <c r="CC108" s="69">
        <f t="shared" si="17"/>
        <v>19.583333333333332</v>
      </c>
    </row>
    <row r="109" spans="2:81" ht="11.25" customHeight="1">
      <c r="B109" s="356"/>
      <c r="C109" s="42"/>
      <c r="E109" s="3"/>
      <c r="F109" s="39" t="str">
        <f>FIXED(K39,2)&amp;" ม."</f>
        <v>0.35 ม.</v>
      </c>
      <c r="G109" s="18"/>
      <c r="H109" s="109"/>
      <c r="I109" s="3"/>
      <c r="J109" s="3"/>
      <c r="K109" s="3"/>
      <c r="L109" s="3"/>
      <c r="M109" s="3"/>
      <c r="N109" s="3"/>
      <c r="O109" s="18"/>
      <c r="P109" s="3"/>
      <c r="Q109" s="3"/>
      <c r="R109" s="3"/>
      <c r="S109" s="3"/>
      <c r="T109" s="3"/>
      <c r="U109" s="43"/>
      <c r="V109" s="18"/>
      <c r="Y109" s="72">
        <f t="shared" si="0"/>
        <v>16.2</v>
      </c>
      <c r="Z109" s="73">
        <v>75</v>
      </c>
      <c r="AA109" s="73">
        <v>5</v>
      </c>
      <c r="AB109" s="31">
        <v>8</v>
      </c>
      <c r="AC109" s="31">
        <f t="shared" si="8"/>
        <v>47</v>
      </c>
      <c r="AD109" s="31">
        <f t="shared" si="11"/>
        <v>47</v>
      </c>
      <c r="AE109" s="31">
        <f t="shared" si="15"/>
        <v>47</v>
      </c>
      <c r="AF109" s="31">
        <f aca="true" t="shared" si="18" ref="AF109:AF127">AF108</f>
        <v>47</v>
      </c>
      <c r="AG109" s="31">
        <f>AG108</f>
        <v>47</v>
      </c>
      <c r="AH109" s="69">
        <v>47</v>
      </c>
      <c r="AI109" s="69">
        <f t="shared" si="4"/>
        <v>40.71428571428571</v>
      </c>
      <c r="AJ109" s="69">
        <f t="shared" si="4"/>
        <v>36</v>
      </c>
      <c r="AK109" s="69">
        <f t="shared" si="5"/>
        <v>32.333333333333336</v>
      </c>
      <c r="AL109" s="69">
        <f t="shared" si="5"/>
        <v>29.4</v>
      </c>
      <c r="AM109" s="69">
        <f t="shared" si="5"/>
        <v>27</v>
      </c>
      <c r="AN109" s="69">
        <f t="shared" si="5"/>
        <v>25</v>
      </c>
      <c r="AO109" s="69">
        <f t="shared" si="5"/>
        <v>23.307692307692307</v>
      </c>
      <c r="AP109" s="69">
        <f t="shared" si="5"/>
        <v>21.857142857142854</v>
      </c>
      <c r="AQ109" s="69">
        <f t="shared" si="5"/>
        <v>20.6</v>
      </c>
      <c r="AR109" s="69">
        <f t="shared" si="5"/>
        <v>19.5</v>
      </c>
      <c r="AS109" s="69">
        <f t="shared" si="5"/>
        <v>18.52941176470588</v>
      </c>
      <c r="AT109" s="69">
        <f t="shared" si="5"/>
        <v>17.666666666666668</v>
      </c>
      <c r="AU109" s="69">
        <f t="shared" si="5"/>
        <v>16.894736842105264</v>
      </c>
      <c r="AV109" s="69">
        <f t="shared" si="12"/>
        <v>16.2</v>
      </c>
      <c r="AW109" s="69">
        <f t="shared" si="5"/>
        <v>15.57142857142857</v>
      </c>
      <c r="AX109" s="69">
        <f t="shared" si="5"/>
        <v>15</v>
      </c>
      <c r="AY109" s="69">
        <f t="shared" si="5"/>
        <v>14.478260869565215</v>
      </c>
      <c r="AZ109" s="69">
        <f t="shared" si="5"/>
        <v>14.000000000000002</v>
      </c>
      <c r="BA109" s="75"/>
      <c r="BB109" s="72">
        <v>3</v>
      </c>
      <c r="BC109" s="73">
        <v>47</v>
      </c>
      <c r="BD109" s="72">
        <f t="shared" si="6"/>
        <v>75</v>
      </c>
      <c r="BE109" s="31">
        <v>8</v>
      </c>
      <c r="BF109" s="31">
        <f t="shared" si="9"/>
        <v>75</v>
      </c>
      <c r="BG109" s="31">
        <f t="shared" si="13"/>
        <v>75</v>
      </c>
      <c r="BH109" s="31">
        <f t="shared" si="16"/>
        <v>75</v>
      </c>
      <c r="BI109" s="31">
        <f aca="true" t="shared" si="19" ref="BI109:BI127">BI108</f>
        <v>75</v>
      </c>
      <c r="BJ109" s="31">
        <f>BJ108</f>
        <v>75</v>
      </c>
      <c r="BK109" s="69">
        <v>75</v>
      </c>
      <c r="BL109" s="69">
        <f aca="true" t="shared" si="20" ref="BL109:CC109">70/(BL$102-1)+BL108</f>
        <v>65</v>
      </c>
      <c r="BM109" s="69">
        <f t="shared" si="20"/>
        <v>57.5</v>
      </c>
      <c r="BN109" s="69">
        <f t="shared" si="20"/>
        <v>51.66666666666667</v>
      </c>
      <c r="BO109" s="69">
        <f t="shared" si="20"/>
        <v>47</v>
      </c>
      <c r="BP109" s="69">
        <f t="shared" si="20"/>
        <v>43.18181818181817</v>
      </c>
      <c r="BQ109" s="69">
        <f t="shared" si="20"/>
        <v>40</v>
      </c>
      <c r="BR109" s="69">
        <f t="shared" si="20"/>
        <v>37.307692307692314</v>
      </c>
      <c r="BS109" s="69">
        <f t="shared" si="20"/>
        <v>35</v>
      </c>
      <c r="BT109" s="69">
        <f t="shared" si="20"/>
        <v>33.00000000000001</v>
      </c>
      <c r="BU109" s="69">
        <f t="shared" si="20"/>
        <v>31.25</v>
      </c>
      <c r="BV109" s="69">
        <f t="shared" si="20"/>
        <v>29.705882352941174</v>
      </c>
      <c r="BW109" s="69">
        <f t="shared" si="20"/>
        <v>28.333333333333336</v>
      </c>
      <c r="BX109" s="69">
        <f t="shared" si="20"/>
        <v>27.105263157894733</v>
      </c>
      <c r="BY109" s="69">
        <f t="shared" si="20"/>
        <v>26</v>
      </c>
      <c r="BZ109" s="69">
        <f t="shared" si="20"/>
        <v>25</v>
      </c>
      <c r="CA109" s="69">
        <f t="shared" si="20"/>
        <v>24.090909090909086</v>
      </c>
      <c r="CB109" s="69">
        <f t="shared" si="20"/>
        <v>23.260869565217398</v>
      </c>
      <c r="CC109" s="69">
        <f t="shared" si="20"/>
        <v>22.5</v>
      </c>
    </row>
    <row r="110" spans="2:81" ht="11.25" customHeight="1">
      <c r="B110" s="356"/>
      <c r="C110" s="42"/>
      <c r="D110" s="3"/>
      <c r="E110" s="3"/>
      <c r="F110" s="3"/>
      <c r="G110" s="18"/>
      <c r="H110" s="109"/>
      <c r="I110" s="3"/>
      <c r="J110" s="3"/>
      <c r="K110" s="3"/>
      <c r="L110" s="3"/>
      <c r="M110" s="3"/>
      <c r="N110" s="3"/>
      <c r="O110" s="18"/>
      <c r="P110" s="3"/>
      <c r="Q110" s="3"/>
      <c r="R110" s="3"/>
      <c r="S110" s="3"/>
      <c r="T110" s="3"/>
      <c r="U110" s="43"/>
      <c r="V110" s="18"/>
      <c r="Y110" s="72">
        <f t="shared" si="0"/>
        <v>18.4</v>
      </c>
      <c r="Z110" s="73">
        <v>75</v>
      </c>
      <c r="AA110" s="73">
        <v>5</v>
      </c>
      <c r="AB110" s="31">
        <v>9</v>
      </c>
      <c r="AC110" s="31">
        <f t="shared" si="8"/>
        <v>47</v>
      </c>
      <c r="AD110" s="31">
        <f t="shared" si="11"/>
        <v>47</v>
      </c>
      <c r="AE110" s="31">
        <f t="shared" si="15"/>
        <v>47</v>
      </c>
      <c r="AF110" s="31">
        <f t="shared" si="18"/>
        <v>47</v>
      </c>
      <c r="AG110" s="31">
        <f aca="true" t="shared" si="21" ref="AG110:AG127">AG109</f>
        <v>47</v>
      </c>
      <c r="AH110" s="31">
        <f>AH109</f>
        <v>47</v>
      </c>
      <c r="AI110" s="69">
        <v>47</v>
      </c>
      <c r="AJ110" s="69">
        <f>(44/(AJ$102-1))+AJ109</f>
        <v>41.5</v>
      </c>
      <c r="AK110" s="69">
        <f t="shared" si="5"/>
        <v>37.22222222222223</v>
      </c>
      <c r="AL110" s="69">
        <f t="shared" si="5"/>
        <v>33.8</v>
      </c>
      <c r="AM110" s="69">
        <f t="shared" si="5"/>
        <v>31</v>
      </c>
      <c r="AN110" s="69">
        <f t="shared" si="5"/>
        <v>28.666666666666668</v>
      </c>
      <c r="AO110" s="69">
        <f t="shared" si="5"/>
        <v>26.69230769230769</v>
      </c>
      <c r="AP110" s="69">
        <f t="shared" si="5"/>
        <v>24.999999999999996</v>
      </c>
      <c r="AQ110" s="69">
        <f t="shared" si="5"/>
        <v>23.533333333333335</v>
      </c>
      <c r="AR110" s="69">
        <f t="shared" si="5"/>
        <v>22.25</v>
      </c>
      <c r="AS110" s="69">
        <f t="shared" si="5"/>
        <v>21.11764705882353</v>
      </c>
      <c r="AT110" s="69">
        <f t="shared" si="5"/>
        <v>20.111111111111114</v>
      </c>
      <c r="AU110" s="69">
        <f t="shared" si="5"/>
        <v>19.210526315789473</v>
      </c>
      <c r="AV110" s="69">
        <f t="shared" si="12"/>
        <v>18.4</v>
      </c>
      <c r="AW110" s="69">
        <f t="shared" si="5"/>
        <v>17.666666666666664</v>
      </c>
      <c r="AX110" s="69">
        <f t="shared" si="5"/>
        <v>17</v>
      </c>
      <c r="AY110" s="69">
        <f t="shared" si="5"/>
        <v>16.391304347826086</v>
      </c>
      <c r="AZ110" s="69">
        <f t="shared" si="5"/>
        <v>15.833333333333336</v>
      </c>
      <c r="BA110" s="75"/>
      <c r="BB110" s="72">
        <v>3</v>
      </c>
      <c r="BC110" s="73">
        <v>47</v>
      </c>
      <c r="BD110" s="72">
        <f t="shared" si="6"/>
        <v>75</v>
      </c>
      <c r="BE110" s="31">
        <v>9</v>
      </c>
      <c r="BF110" s="31">
        <f t="shared" si="9"/>
        <v>75</v>
      </c>
      <c r="BG110" s="31">
        <f t="shared" si="13"/>
        <v>75</v>
      </c>
      <c r="BH110" s="31">
        <f t="shared" si="16"/>
        <v>75</v>
      </c>
      <c r="BI110" s="31">
        <f t="shared" si="19"/>
        <v>75</v>
      </c>
      <c r="BJ110" s="31">
        <f aca="true" t="shared" si="22" ref="BJ110:BJ127">BJ109</f>
        <v>75</v>
      </c>
      <c r="BK110" s="31">
        <f>BK109</f>
        <v>75</v>
      </c>
      <c r="BL110" s="69">
        <v>75</v>
      </c>
      <c r="BM110" s="69">
        <f aca="true" t="shared" si="23" ref="BM110:CC110">70/(BM$102-1)+BM109</f>
        <v>66.25</v>
      </c>
      <c r="BN110" s="69">
        <f t="shared" si="23"/>
        <v>59.44444444444445</v>
      </c>
      <c r="BO110" s="69">
        <f t="shared" si="23"/>
        <v>54</v>
      </c>
      <c r="BP110" s="69">
        <f t="shared" si="23"/>
        <v>49.54545454545453</v>
      </c>
      <c r="BQ110" s="69">
        <f t="shared" si="23"/>
        <v>45.833333333333336</v>
      </c>
      <c r="BR110" s="69">
        <f t="shared" si="23"/>
        <v>42.6923076923077</v>
      </c>
      <c r="BS110" s="69">
        <f t="shared" si="23"/>
        <v>40</v>
      </c>
      <c r="BT110" s="69">
        <f t="shared" si="23"/>
        <v>37.66666666666667</v>
      </c>
      <c r="BU110" s="69">
        <f t="shared" si="23"/>
        <v>35.625</v>
      </c>
      <c r="BV110" s="69">
        <f t="shared" si="23"/>
        <v>33.8235294117647</v>
      </c>
      <c r="BW110" s="69">
        <f t="shared" si="23"/>
        <v>32.22222222222222</v>
      </c>
      <c r="BX110" s="69">
        <f t="shared" si="23"/>
        <v>30.78947368421052</v>
      </c>
      <c r="BY110" s="69">
        <f t="shared" si="23"/>
        <v>29.5</v>
      </c>
      <c r="BZ110" s="69">
        <f t="shared" si="23"/>
        <v>28.333333333333332</v>
      </c>
      <c r="CA110" s="69">
        <f t="shared" si="23"/>
        <v>27.272727272727266</v>
      </c>
      <c r="CB110" s="69">
        <f t="shared" si="23"/>
        <v>26.304347826086964</v>
      </c>
      <c r="CC110" s="69">
        <f t="shared" si="23"/>
        <v>25.416666666666668</v>
      </c>
    </row>
    <row r="111" spans="2:81" ht="11.25" customHeight="1" thickBot="1">
      <c r="B111" s="356"/>
      <c r="C111" s="42"/>
      <c r="D111" s="3"/>
      <c r="E111" s="82"/>
      <c r="F111" s="82"/>
      <c r="G111" s="112"/>
      <c r="H111" s="110"/>
      <c r="I111" s="20"/>
      <c r="J111" s="20"/>
      <c r="K111" s="20"/>
      <c r="L111" s="20"/>
      <c r="M111" s="20"/>
      <c r="N111" s="20"/>
      <c r="O111" s="21"/>
      <c r="P111" s="3"/>
      <c r="Q111" s="3"/>
      <c r="R111" s="3"/>
      <c r="S111" s="3"/>
      <c r="T111" s="3"/>
      <c r="U111" s="43"/>
      <c r="V111" s="18"/>
      <c r="Y111" s="72">
        <f t="shared" si="0"/>
        <v>20.599999999999998</v>
      </c>
      <c r="Z111" s="73">
        <v>75</v>
      </c>
      <c r="AA111" s="73">
        <v>5</v>
      </c>
      <c r="AB111" s="31">
        <v>10</v>
      </c>
      <c r="AC111" s="31">
        <f t="shared" si="8"/>
        <v>47</v>
      </c>
      <c r="AD111" s="31">
        <f t="shared" si="11"/>
        <v>47</v>
      </c>
      <c r="AE111" s="31">
        <f t="shared" si="15"/>
        <v>47</v>
      </c>
      <c r="AF111" s="31">
        <f t="shared" si="18"/>
        <v>47</v>
      </c>
      <c r="AG111" s="31">
        <f t="shared" si="21"/>
        <v>47</v>
      </c>
      <c r="AH111" s="31">
        <f aca="true" t="shared" si="24" ref="AH111:AH127">AH110</f>
        <v>47</v>
      </c>
      <c r="AI111" s="31">
        <f>AI110</f>
        <v>47</v>
      </c>
      <c r="AJ111" s="69">
        <v>47</v>
      </c>
      <c r="AK111" s="69">
        <f t="shared" si="5"/>
        <v>42.111111111111114</v>
      </c>
      <c r="AL111" s="69">
        <f t="shared" si="5"/>
        <v>38.199999999999996</v>
      </c>
      <c r="AM111" s="69">
        <f t="shared" si="5"/>
        <v>35</v>
      </c>
      <c r="AN111" s="69">
        <f aca="true" t="shared" si="25" ref="AN111:AU114">(44/(AN$102-1))+AN110</f>
        <v>32.333333333333336</v>
      </c>
      <c r="AO111" s="69">
        <f t="shared" si="25"/>
        <v>30.076923076923073</v>
      </c>
      <c r="AP111" s="69">
        <f t="shared" si="25"/>
        <v>28.14285714285714</v>
      </c>
      <c r="AQ111" s="69">
        <f t="shared" si="25"/>
        <v>26.46666666666667</v>
      </c>
      <c r="AR111" s="69">
        <f t="shared" si="25"/>
        <v>25</v>
      </c>
      <c r="AS111" s="69">
        <f t="shared" si="25"/>
        <v>23.705882352941178</v>
      </c>
      <c r="AT111" s="69">
        <f t="shared" si="25"/>
        <v>22.555555555555557</v>
      </c>
      <c r="AU111" s="69">
        <f t="shared" si="25"/>
        <v>21.526315789473685</v>
      </c>
      <c r="AV111" s="69">
        <f t="shared" si="12"/>
        <v>20.599999999999998</v>
      </c>
      <c r="AW111" s="69">
        <f>(44/(AW$102-1))+AW110</f>
        <v>19.76190476190476</v>
      </c>
      <c r="AX111" s="69">
        <f t="shared" si="5"/>
        <v>19</v>
      </c>
      <c r="AY111" s="69">
        <f t="shared" si="5"/>
        <v>18.304347826086957</v>
      </c>
      <c r="AZ111" s="69">
        <f t="shared" si="5"/>
        <v>17.666666666666668</v>
      </c>
      <c r="BA111" s="75"/>
      <c r="BB111" s="72">
        <v>3</v>
      </c>
      <c r="BC111" s="73">
        <v>47</v>
      </c>
      <c r="BD111" s="72">
        <f t="shared" si="6"/>
        <v>75</v>
      </c>
      <c r="BE111" s="31">
        <v>10</v>
      </c>
      <c r="BF111" s="31">
        <f t="shared" si="9"/>
        <v>75</v>
      </c>
      <c r="BG111" s="31">
        <f t="shared" si="13"/>
        <v>75</v>
      </c>
      <c r="BH111" s="31">
        <f t="shared" si="16"/>
        <v>75</v>
      </c>
      <c r="BI111" s="31">
        <f t="shared" si="19"/>
        <v>75</v>
      </c>
      <c r="BJ111" s="31">
        <f t="shared" si="22"/>
        <v>75</v>
      </c>
      <c r="BK111" s="31">
        <f aca="true" t="shared" si="26" ref="BK111:BK127">BK110</f>
        <v>75</v>
      </c>
      <c r="BL111" s="31">
        <f>BL110</f>
        <v>75</v>
      </c>
      <c r="BM111" s="69">
        <v>75</v>
      </c>
      <c r="BN111" s="69">
        <f aca="true" t="shared" si="27" ref="BN111:CC111">70/(BN$102-1)+BN110</f>
        <v>67.22222222222223</v>
      </c>
      <c r="BO111" s="69">
        <f t="shared" si="27"/>
        <v>61</v>
      </c>
      <c r="BP111" s="69">
        <f t="shared" si="27"/>
        <v>55.90909090909089</v>
      </c>
      <c r="BQ111" s="69">
        <f t="shared" si="27"/>
        <v>51.66666666666667</v>
      </c>
      <c r="BR111" s="69">
        <f t="shared" si="27"/>
        <v>48.07692307692309</v>
      </c>
      <c r="BS111" s="69">
        <f t="shared" si="27"/>
        <v>45</v>
      </c>
      <c r="BT111" s="69">
        <f t="shared" si="27"/>
        <v>42.333333333333336</v>
      </c>
      <c r="BU111" s="69">
        <f t="shared" si="27"/>
        <v>40</v>
      </c>
      <c r="BV111" s="69">
        <f t="shared" si="27"/>
        <v>37.94117647058823</v>
      </c>
      <c r="BW111" s="69">
        <f t="shared" si="27"/>
        <v>36.11111111111111</v>
      </c>
      <c r="BX111" s="69">
        <f t="shared" si="27"/>
        <v>34.47368421052631</v>
      </c>
      <c r="BY111" s="69">
        <f t="shared" si="27"/>
        <v>33</v>
      </c>
      <c r="BZ111" s="69">
        <f t="shared" si="27"/>
        <v>31.666666666666664</v>
      </c>
      <c r="CA111" s="69">
        <f t="shared" si="27"/>
        <v>30.454545454545446</v>
      </c>
      <c r="CB111" s="69">
        <f t="shared" si="27"/>
        <v>29.34782608695653</v>
      </c>
      <c r="CC111" s="69">
        <f t="shared" si="27"/>
        <v>28.333333333333336</v>
      </c>
    </row>
    <row r="112" spans="2:81" ht="11.25" customHeight="1">
      <c r="B112" s="356"/>
      <c r="C112" s="42"/>
      <c r="R112" s="3"/>
      <c r="S112" s="3"/>
      <c r="T112" s="3"/>
      <c r="U112" s="43"/>
      <c r="V112" s="18"/>
      <c r="Y112" s="72">
        <f t="shared" si="0"/>
        <v>22.799999999999997</v>
      </c>
      <c r="Z112" s="73">
        <v>75</v>
      </c>
      <c r="AA112" s="73">
        <v>5</v>
      </c>
      <c r="AB112" s="31">
        <v>11</v>
      </c>
      <c r="AC112" s="31">
        <f t="shared" si="8"/>
        <v>47</v>
      </c>
      <c r="AD112" s="31">
        <f t="shared" si="11"/>
        <v>47</v>
      </c>
      <c r="AE112" s="31">
        <f t="shared" si="15"/>
        <v>47</v>
      </c>
      <c r="AF112" s="31">
        <f t="shared" si="18"/>
        <v>47</v>
      </c>
      <c r="AG112" s="31">
        <f t="shared" si="21"/>
        <v>47</v>
      </c>
      <c r="AH112" s="31">
        <f t="shared" si="24"/>
        <v>47</v>
      </c>
      <c r="AI112" s="31">
        <f aca="true" t="shared" si="28" ref="AI112:AI127">AI111</f>
        <v>47</v>
      </c>
      <c r="AJ112" s="31">
        <f>AJ111</f>
        <v>47</v>
      </c>
      <c r="AK112" s="69">
        <v>47</v>
      </c>
      <c r="AL112" s="69">
        <f t="shared" si="5"/>
        <v>42.599999999999994</v>
      </c>
      <c r="AM112" s="69">
        <f t="shared" si="5"/>
        <v>39</v>
      </c>
      <c r="AN112" s="69">
        <f t="shared" si="25"/>
        <v>36</v>
      </c>
      <c r="AO112" s="69">
        <f t="shared" si="25"/>
        <v>33.46153846153846</v>
      </c>
      <c r="AP112" s="69">
        <f t="shared" si="25"/>
        <v>31.28571428571428</v>
      </c>
      <c r="AQ112" s="69">
        <f t="shared" si="25"/>
        <v>29.400000000000002</v>
      </c>
      <c r="AR112" s="69">
        <f t="shared" si="25"/>
        <v>27.75</v>
      </c>
      <c r="AS112" s="69">
        <f t="shared" si="25"/>
        <v>26.294117647058826</v>
      </c>
      <c r="AT112" s="69">
        <f t="shared" si="25"/>
        <v>25</v>
      </c>
      <c r="AU112" s="69">
        <f t="shared" si="25"/>
        <v>23.842105263157897</v>
      </c>
      <c r="AV112" s="69">
        <f t="shared" si="12"/>
        <v>22.799999999999997</v>
      </c>
      <c r="AW112" s="69">
        <f t="shared" si="5"/>
        <v>21.857142857142854</v>
      </c>
      <c r="AX112" s="69">
        <f t="shared" si="5"/>
        <v>21</v>
      </c>
      <c r="AY112" s="69">
        <f t="shared" si="5"/>
        <v>20.217391304347828</v>
      </c>
      <c r="AZ112" s="69">
        <f t="shared" si="5"/>
        <v>19.5</v>
      </c>
      <c r="BA112" s="75"/>
      <c r="BB112" s="72">
        <v>3</v>
      </c>
      <c r="BC112" s="73">
        <v>47</v>
      </c>
      <c r="BD112" s="72">
        <f t="shared" si="6"/>
        <v>75</v>
      </c>
      <c r="BE112" s="31">
        <v>11</v>
      </c>
      <c r="BF112" s="31">
        <f t="shared" si="9"/>
        <v>75</v>
      </c>
      <c r="BG112" s="31">
        <f t="shared" si="13"/>
        <v>75</v>
      </c>
      <c r="BH112" s="31">
        <f t="shared" si="16"/>
        <v>75</v>
      </c>
      <c r="BI112" s="31">
        <f t="shared" si="19"/>
        <v>75</v>
      </c>
      <c r="BJ112" s="31">
        <f t="shared" si="22"/>
        <v>75</v>
      </c>
      <c r="BK112" s="31">
        <f t="shared" si="26"/>
        <v>75</v>
      </c>
      <c r="BL112" s="31">
        <f aca="true" t="shared" si="29" ref="BL112:BL127">BL111</f>
        <v>75</v>
      </c>
      <c r="BM112" s="31">
        <f>BM111</f>
        <v>75</v>
      </c>
      <c r="BN112" s="69">
        <v>75</v>
      </c>
      <c r="BO112" s="69">
        <f aca="true" t="shared" si="30" ref="BO112:CC112">70/(BO$102-1)+BO111</f>
        <v>68</v>
      </c>
      <c r="BP112" s="69">
        <f t="shared" si="30"/>
        <v>62.27272727272725</v>
      </c>
      <c r="BQ112" s="69">
        <f t="shared" si="30"/>
        <v>57.50000000000001</v>
      </c>
      <c r="BR112" s="69">
        <f t="shared" si="30"/>
        <v>53.461538461538474</v>
      </c>
      <c r="BS112" s="69">
        <f t="shared" si="30"/>
        <v>50</v>
      </c>
      <c r="BT112" s="69">
        <f t="shared" si="30"/>
        <v>47</v>
      </c>
      <c r="BU112" s="69">
        <f t="shared" si="30"/>
        <v>44.375</v>
      </c>
      <c r="BV112" s="69">
        <f t="shared" si="30"/>
        <v>42.05882352941176</v>
      </c>
      <c r="BW112" s="69">
        <f t="shared" si="30"/>
        <v>39.99999999999999</v>
      </c>
      <c r="BX112" s="69">
        <f t="shared" si="30"/>
        <v>38.157894736842096</v>
      </c>
      <c r="BY112" s="69">
        <f t="shared" si="30"/>
        <v>36.5</v>
      </c>
      <c r="BZ112" s="69">
        <f t="shared" si="30"/>
        <v>35</v>
      </c>
      <c r="CA112" s="69">
        <f t="shared" si="30"/>
        <v>33.636363636363626</v>
      </c>
      <c r="CB112" s="69">
        <f t="shared" si="30"/>
        <v>32.39130434782609</v>
      </c>
      <c r="CC112" s="69">
        <f t="shared" si="30"/>
        <v>31.250000000000004</v>
      </c>
    </row>
    <row r="113" spans="2:81" ht="11.25" customHeight="1">
      <c r="B113" s="356"/>
      <c r="C113" s="42"/>
      <c r="R113" s="3"/>
      <c r="S113" s="3"/>
      <c r="T113" s="3"/>
      <c r="U113" s="43"/>
      <c r="V113" s="18"/>
      <c r="Y113" s="72">
        <f t="shared" si="0"/>
        <v>24.999999999999996</v>
      </c>
      <c r="Z113" s="73">
        <v>75</v>
      </c>
      <c r="AA113" s="73">
        <v>5</v>
      </c>
      <c r="AB113" s="31">
        <v>12</v>
      </c>
      <c r="AC113" s="31">
        <f t="shared" si="8"/>
        <v>47</v>
      </c>
      <c r="AD113" s="31">
        <f t="shared" si="11"/>
        <v>47</v>
      </c>
      <c r="AE113" s="31">
        <f t="shared" si="15"/>
        <v>47</v>
      </c>
      <c r="AF113" s="31">
        <f t="shared" si="18"/>
        <v>47</v>
      </c>
      <c r="AG113" s="31">
        <f t="shared" si="21"/>
        <v>47</v>
      </c>
      <c r="AH113" s="31">
        <f t="shared" si="24"/>
        <v>47</v>
      </c>
      <c r="AI113" s="31">
        <f t="shared" si="28"/>
        <v>47</v>
      </c>
      <c r="AJ113" s="31">
        <f aca="true" t="shared" si="31" ref="AJ113:AJ127">AJ112</f>
        <v>47</v>
      </c>
      <c r="AK113" s="31">
        <f>AK112</f>
        <v>47</v>
      </c>
      <c r="AL113" s="69">
        <v>47</v>
      </c>
      <c r="AM113" s="69">
        <f t="shared" si="5"/>
        <v>43</v>
      </c>
      <c r="AN113" s="69">
        <f t="shared" si="25"/>
        <v>39.666666666666664</v>
      </c>
      <c r="AO113" s="69">
        <f t="shared" si="25"/>
        <v>36.84615384615385</v>
      </c>
      <c r="AP113" s="69">
        <f t="shared" si="25"/>
        <v>34.42857142857142</v>
      </c>
      <c r="AQ113" s="69">
        <f t="shared" si="25"/>
        <v>32.333333333333336</v>
      </c>
      <c r="AR113" s="69">
        <f t="shared" si="25"/>
        <v>30.5</v>
      </c>
      <c r="AS113" s="69">
        <f t="shared" si="25"/>
        <v>28.882352941176475</v>
      </c>
      <c r="AT113" s="69">
        <f t="shared" si="25"/>
        <v>27.444444444444443</v>
      </c>
      <c r="AU113" s="69">
        <f t="shared" si="25"/>
        <v>26.15789473684211</v>
      </c>
      <c r="AV113" s="69">
        <f t="shared" si="12"/>
        <v>24.999999999999996</v>
      </c>
      <c r="AW113" s="69">
        <f t="shared" si="5"/>
        <v>23.95238095238095</v>
      </c>
      <c r="AX113" s="69">
        <f t="shared" si="5"/>
        <v>23</v>
      </c>
      <c r="AY113" s="69">
        <f t="shared" si="5"/>
        <v>22.1304347826087</v>
      </c>
      <c r="AZ113" s="69">
        <f t="shared" si="5"/>
        <v>21.333333333333332</v>
      </c>
      <c r="BA113" s="75"/>
      <c r="BB113" s="72">
        <v>3</v>
      </c>
      <c r="BC113" s="73">
        <v>47</v>
      </c>
      <c r="BD113" s="72">
        <f t="shared" si="6"/>
        <v>75</v>
      </c>
      <c r="BE113" s="31">
        <v>12</v>
      </c>
      <c r="BF113" s="31">
        <f t="shared" si="9"/>
        <v>75</v>
      </c>
      <c r="BG113" s="31">
        <f t="shared" si="13"/>
        <v>75</v>
      </c>
      <c r="BH113" s="31">
        <f t="shared" si="16"/>
        <v>75</v>
      </c>
      <c r="BI113" s="31">
        <f t="shared" si="19"/>
        <v>75</v>
      </c>
      <c r="BJ113" s="31">
        <f t="shared" si="22"/>
        <v>75</v>
      </c>
      <c r="BK113" s="31">
        <f t="shared" si="26"/>
        <v>75</v>
      </c>
      <c r="BL113" s="31">
        <f t="shared" si="29"/>
        <v>75</v>
      </c>
      <c r="BM113" s="31">
        <f aca="true" t="shared" si="32" ref="BM113:BM127">BM112</f>
        <v>75</v>
      </c>
      <c r="BN113" s="31">
        <f>BN112</f>
        <v>75</v>
      </c>
      <c r="BO113" s="69">
        <v>75</v>
      </c>
      <c r="BP113" s="69">
        <f aca="true" t="shared" si="33" ref="BP113:BV113">70/(BP$102-1)+BP112</f>
        <v>68.63636363636361</v>
      </c>
      <c r="BQ113" s="69">
        <f t="shared" si="33"/>
        <v>63.33333333333334</v>
      </c>
      <c r="BR113" s="69">
        <f t="shared" si="33"/>
        <v>58.84615384615386</v>
      </c>
      <c r="BS113" s="69">
        <f t="shared" si="33"/>
        <v>55</v>
      </c>
      <c r="BT113" s="69">
        <f t="shared" si="33"/>
        <v>51.666666666666664</v>
      </c>
      <c r="BU113" s="69">
        <f t="shared" si="33"/>
        <v>48.75</v>
      </c>
      <c r="BV113" s="69">
        <f t="shared" si="33"/>
        <v>46.17647058823529</v>
      </c>
      <c r="BW113" s="69">
        <f aca="true" t="shared" si="34" ref="BW113:BW120">70/(BW$102-1)+BW112</f>
        <v>43.88888888888888</v>
      </c>
      <c r="BX113" s="69">
        <f aca="true" t="shared" si="35" ref="BX113:BX120">70/(BX$102-1)+BX112</f>
        <v>41.84210526315788</v>
      </c>
      <c r="BY113" s="69">
        <f aca="true" t="shared" si="36" ref="BY113:BY120">70/(BY$102-1)+BY112</f>
        <v>40</v>
      </c>
      <c r="BZ113" s="69">
        <f aca="true" t="shared" si="37" ref="BZ113:BZ120">70/(BZ$102-1)+BZ112</f>
        <v>38.333333333333336</v>
      </c>
      <c r="CA113" s="69">
        <f aca="true" t="shared" si="38" ref="CA113:CA120">70/(CA$102-1)+CA112</f>
        <v>36.818181818181806</v>
      </c>
      <c r="CB113" s="69">
        <f aca="true" t="shared" si="39" ref="CB113:CB120">70/(CB$102-1)+CB112</f>
        <v>35.434782608695656</v>
      </c>
      <c r="CC113" s="69">
        <f aca="true" t="shared" si="40" ref="CC113:CC120">70/(CC$102-1)+CC112</f>
        <v>34.16666666666667</v>
      </c>
    </row>
    <row r="114" spans="2:81" ht="11.25" customHeight="1">
      <c r="B114" s="356"/>
      <c r="C114" s="42"/>
      <c r="R114" s="3"/>
      <c r="S114" s="3"/>
      <c r="T114" s="3"/>
      <c r="U114" s="43"/>
      <c r="V114" s="18"/>
      <c r="Y114" s="72">
        <f t="shared" si="0"/>
        <v>27.199999999999996</v>
      </c>
      <c r="Z114" s="73">
        <v>75</v>
      </c>
      <c r="AA114" s="73">
        <v>5</v>
      </c>
      <c r="AB114" s="31">
        <v>13</v>
      </c>
      <c r="AC114" s="31">
        <f t="shared" si="8"/>
        <v>47</v>
      </c>
      <c r="AD114" s="31">
        <f t="shared" si="11"/>
        <v>47</v>
      </c>
      <c r="AE114" s="31">
        <f t="shared" si="15"/>
        <v>47</v>
      </c>
      <c r="AF114" s="31">
        <f t="shared" si="18"/>
        <v>47</v>
      </c>
      <c r="AG114" s="31">
        <f t="shared" si="21"/>
        <v>47</v>
      </c>
      <c r="AH114" s="31">
        <f t="shared" si="24"/>
        <v>47</v>
      </c>
      <c r="AI114" s="31">
        <f t="shared" si="28"/>
        <v>47</v>
      </c>
      <c r="AJ114" s="31">
        <f t="shared" si="31"/>
        <v>47</v>
      </c>
      <c r="AK114" s="31">
        <f aca="true" t="shared" si="41" ref="AK114:AK127">AK113</f>
        <v>47</v>
      </c>
      <c r="AL114" s="31">
        <f>AL113</f>
        <v>47</v>
      </c>
      <c r="AM114" s="69">
        <v>47</v>
      </c>
      <c r="AN114" s="69">
        <f t="shared" si="25"/>
        <v>43.33333333333333</v>
      </c>
      <c r="AO114" s="69">
        <f t="shared" si="25"/>
        <v>40.23076923076923</v>
      </c>
      <c r="AP114" s="69">
        <f t="shared" si="25"/>
        <v>37.57142857142857</v>
      </c>
      <c r="AQ114" s="69">
        <f t="shared" si="25"/>
        <v>35.266666666666666</v>
      </c>
      <c r="AR114" s="69">
        <f t="shared" si="25"/>
        <v>33.25</v>
      </c>
      <c r="AS114" s="69">
        <f t="shared" si="25"/>
        <v>31.470588235294123</v>
      </c>
      <c r="AT114" s="69">
        <f t="shared" si="25"/>
        <v>29.888888888888886</v>
      </c>
      <c r="AU114" s="69">
        <f t="shared" si="25"/>
        <v>28.473684210526322</v>
      </c>
      <c r="AV114" s="69">
        <f t="shared" si="12"/>
        <v>27.199999999999996</v>
      </c>
      <c r="AW114" s="69">
        <f aca="true" t="shared" si="42" ref="AW114:AZ123">(44/(AW$102-1))+AW113</f>
        <v>26.047619047619044</v>
      </c>
      <c r="AX114" s="69">
        <f t="shared" si="42"/>
        <v>25</v>
      </c>
      <c r="AY114" s="69">
        <f t="shared" si="42"/>
        <v>24.04347826086957</v>
      </c>
      <c r="AZ114" s="69">
        <f t="shared" si="42"/>
        <v>23.166666666666664</v>
      </c>
      <c r="BA114" s="75"/>
      <c r="BB114" s="72">
        <v>3</v>
      </c>
      <c r="BC114" s="73">
        <v>47</v>
      </c>
      <c r="BD114" s="72">
        <f t="shared" si="6"/>
        <v>75</v>
      </c>
      <c r="BE114" s="31">
        <v>13</v>
      </c>
      <c r="BF114" s="31">
        <f t="shared" si="9"/>
        <v>75</v>
      </c>
      <c r="BG114" s="31">
        <f t="shared" si="13"/>
        <v>75</v>
      </c>
      <c r="BH114" s="31">
        <f t="shared" si="16"/>
        <v>75</v>
      </c>
      <c r="BI114" s="31">
        <f t="shared" si="19"/>
        <v>75</v>
      </c>
      <c r="BJ114" s="31">
        <f t="shared" si="22"/>
        <v>75</v>
      </c>
      <c r="BK114" s="31">
        <f t="shared" si="26"/>
        <v>75</v>
      </c>
      <c r="BL114" s="31">
        <f t="shared" si="29"/>
        <v>75</v>
      </c>
      <c r="BM114" s="31">
        <f t="shared" si="32"/>
        <v>75</v>
      </c>
      <c r="BN114" s="31">
        <f aca="true" t="shared" si="43" ref="BN114:BN127">BN113</f>
        <v>75</v>
      </c>
      <c r="BO114" s="31">
        <f>BO113</f>
        <v>75</v>
      </c>
      <c r="BP114" s="69">
        <v>75</v>
      </c>
      <c r="BQ114" s="69">
        <f aca="true" t="shared" si="44" ref="BQ114:BV114">70/(BQ$102-1)+BQ113</f>
        <v>69.16666666666667</v>
      </c>
      <c r="BR114" s="69">
        <f t="shared" si="44"/>
        <v>64.23076923076924</v>
      </c>
      <c r="BS114" s="69">
        <f t="shared" si="44"/>
        <v>60</v>
      </c>
      <c r="BT114" s="69">
        <f t="shared" si="44"/>
        <v>56.33333333333333</v>
      </c>
      <c r="BU114" s="69">
        <f t="shared" si="44"/>
        <v>53.125</v>
      </c>
      <c r="BV114" s="69">
        <f t="shared" si="44"/>
        <v>50.29411764705882</v>
      </c>
      <c r="BW114" s="69">
        <f t="shared" si="34"/>
        <v>47.777777777777764</v>
      </c>
      <c r="BX114" s="69">
        <f t="shared" si="35"/>
        <v>45.52631578947367</v>
      </c>
      <c r="BY114" s="69">
        <f t="shared" si="36"/>
        <v>43.5</v>
      </c>
      <c r="BZ114" s="69">
        <f t="shared" si="37"/>
        <v>41.66666666666667</v>
      </c>
      <c r="CA114" s="69">
        <f t="shared" si="38"/>
        <v>39.999999999999986</v>
      </c>
      <c r="CB114" s="69">
        <f t="shared" si="39"/>
        <v>38.47826086956522</v>
      </c>
      <c r="CC114" s="69">
        <f t="shared" si="40"/>
        <v>37.083333333333336</v>
      </c>
    </row>
    <row r="115" spans="2:81" ht="11.25" customHeight="1">
      <c r="B115" s="356"/>
      <c r="C115" s="42"/>
      <c r="J115" s="518" t="str">
        <f>"แปลน "&amp;Q2</f>
        <v>แปลน F2</v>
      </c>
      <c r="K115" s="519"/>
      <c r="L115" s="519"/>
      <c r="M115" s="520"/>
      <c r="R115" s="3"/>
      <c r="S115" s="3"/>
      <c r="T115" s="3"/>
      <c r="U115" s="43"/>
      <c r="V115" s="18"/>
      <c r="Y115" s="72">
        <f t="shared" si="0"/>
        <v>29.399999999999995</v>
      </c>
      <c r="Z115" s="73">
        <v>75</v>
      </c>
      <c r="AA115" s="73">
        <v>5</v>
      </c>
      <c r="AB115" s="31">
        <v>14</v>
      </c>
      <c r="AC115" s="31">
        <f t="shared" si="8"/>
        <v>47</v>
      </c>
      <c r="AD115" s="31">
        <f t="shared" si="11"/>
        <v>47</v>
      </c>
      <c r="AE115" s="31">
        <f t="shared" si="15"/>
        <v>47</v>
      </c>
      <c r="AF115" s="31">
        <f t="shared" si="18"/>
        <v>47</v>
      </c>
      <c r="AG115" s="31">
        <f t="shared" si="21"/>
        <v>47</v>
      </c>
      <c r="AH115" s="31">
        <f t="shared" si="24"/>
        <v>47</v>
      </c>
      <c r="AI115" s="31">
        <f t="shared" si="28"/>
        <v>47</v>
      </c>
      <c r="AJ115" s="31">
        <f t="shared" si="31"/>
        <v>47</v>
      </c>
      <c r="AK115" s="31">
        <f t="shared" si="41"/>
        <v>47</v>
      </c>
      <c r="AL115" s="31">
        <f aca="true" t="shared" si="45" ref="AL115:AL127">AL114</f>
        <v>47</v>
      </c>
      <c r="AM115" s="31">
        <f>AM114</f>
        <v>47</v>
      </c>
      <c r="AN115" s="69">
        <v>47</v>
      </c>
      <c r="AO115" s="69">
        <f aca="true" t="shared" si="46" ref="AO115:AU115">(44/(AO$102-1))+AO114</f>
        <v>43.61538461538462</v>
      </c>
      <c r="AP115" s="69">
        <f t="shared" si="46"/>
        <v>40.714285714285715</v>
      </c>
      <c r="AQ115" s="69">
        <f t="shared" si="46"/>
        <v>38.199999999999996</v>
      </c>
      <c r="AR115" s="69">
        <f t="shared" si="46"/>
        <v>36</v>
      </c>
      <c r="AS115" s="69">
        <f t="shared" si="46"/>
        <v>34.05882352941177</v>
      </c>
      <c r="AT115" s="69">
        <f t="shared" si="46"/>
        <v>32.33333333333333</v>
      </c>
      <c r="AU115" s="69">
        <f t="shared" si="46"/>
        <v>30.789473684210535</v>
      </c>
      <c r="AV115" s="69">
        <f t="shared" si="12"/>
        <v>29.399999999999995</v>
      </c>
      <c r="AW115" s="69">
        <f t="shared" si="42"/>
        <v>28.14285714285714</v>
      </c>
      <c r="AX115" s="69">
        <f t="shared" si="42"/>
        <v>27</v>
      </c>
      <c r="AY115" s="69">
        <f t="shared" si="42"/>
        <v>25.95652173913044</v>
      </c>
      <c r="AZ115" s="69">
        <f t="shared" si="42"/>
        <v>24.999999999999996</v>
      </c>
      <c r="BA115" s="75"/>
      <c r="BB115" s="72">
        <v>3</v>
      </c>
      <c r="BC115" s="73">
        <v>47</v>
      </c>
      <c r="BD115" s="72">
        <f t="shared" si="6"/>
        <v>75</v>
      </c>
      <c r="BE115" s="31">
        <v>14</v>
      </c>
      <c r="BF115" s="31">
        <f t="shared" si="9"/>
        <v>75</v>
      </c>
      <c r="BG115" s="31">
        <f t="shared" si="13"/>
        <v>75</v>
      </c>
      <c r="BH115" s="31">
        <f t="shared" si="16"/>
        <v>75</v>
      </c>
      <c r="BI115" s="31">
        <f t="shared" si="19"/>
        <v>75</v>
      </c>
      <c r="BJ115" s="31">
        <f t="shared" si="22"/>
        <v>75</v>
      </c>
      <c r="BK115" s="31">
        <f t="shared" si="26"/>
        <v>75</v>
      </c>
      <c r="BL115" s="31">
        <f t="shared" si="29"/>
        <v>75</v>
      </c>
      <c r="BM115" s="31">
        <f t="shared" si="32"/>
        <v>75</v>
      </c>
      <c r="BN115" s="31">
        <f t="shared" si="43"/>
        <v>75</v>
      </c>
      <c r="BO115" s="31">
        <f aca="true" t="shared" si="47" ref="BO115:BO127">BO114</f>
        <v>75</v>
      </c>
      <c r="BP115" s="31">
        <f>BP114</f>
        <v>75</v>
      </c>
      <c r="BQ115" s="69">
        <v>75</v>
      </c>
      <c r="BR115" s="69">
        <f>70/(BR$102-1)+BR114</f>
        <v>69.61538461538463</v>
      </c>
      <c r="BS115" s="69">
        <f>70/(BS$102-1)+BS114</f>
        <v>65</v>
      </c>
      <c r="BT115" s="69">
        <f>70/(BT$102-1)+BT114</f>
        <v>60.99999999999999</v>
      </c>
      <c r="BU115" s="69">
        <f>70/(BU$102-1)+BU114</f>
        <v>57.5</v>
      </c>
      <c r="BV115" s="69">
        <f>70/(BV$102-1)+BV114</f>
        <v>54.41176470588235</v>
      </c>
      <c r="BW115" s="69">
        <f t="shared" si="34"/>
        <v>51.66666666666665</v>
      </c>
      <c r="BX115" s="69">
        <f t="shared" si="35"/>
        <v>49.21052631578946</v>
      </c>
      <c r="BY115" s="69">
        <f t="shared" si="36"/>
        <v>47</v>
      </c>
      <c r="BZ115" s="69">
        <f t="shared" si="37"/>
        <v>45.00000000000001</v>
      </c>
      <c r="CA115" s="69">
        <f t="shared" si="38"/>
        <v>43.181818181818166</v>
      </c>
      <c r="CB115" s="69">
        <f t="shared" si="39"/>
        <v>41.52173913043478</v>
      </c>
      <c r="CC115" s="69">
        <f t="shared" si="40"/>
        <v>40</v>
      </c>
    </row>
    <row r="116" spans="2:81" ht="11.25" customHeight="1">
      <c r="B116" s="356"/>
      <c r="C116" s="42"/>
      <c r="R116" s="3"/>
      <c r="S116" s="84"/>
      <c r="T116" s="84"/>
      <c r="U116" s="43"/>
      <c r="V116" s="18"/>
      <c r="Y116" s="72">
        <f t="shared" si="0"/>
        <v>31.599999999999994</v>
      </c>
      <c r="Z116" s="73">
        <v>75</v>
      </c>
      <c r="AA116" s="73">
        <v>5</v>
      </c>
      <c r="AB116" s="31">
        <v>15</v>
      </c>
      <c r="AC116" s="31">
        <f t="shared" si="8"/>
        <v>47</v>
      </c>
      <c r="AD116" s="31">
        <f t="shared" si="11"/>
        <v>47</v>
      </c>
      <c r="AE116" s="31">
        <f t="shared" si="15"/>
        <v>47</v>
      </c>
      <c r="AF116" s="31">
        <f t="shared" si="18"/>
        <v>47</v>
      </c>
      <c r="AG116" s="31">
        <f t="shared" si="21"/>
        <v>47</v>
      </c>
      <c r="AH116" s="31">
        <f t="shared" si="24"/>
        <v>47</v>
      </c>
      <c r="AI116" s="31">
        <f t="shared" si="28"/>
        <v>47</v>
      </c>
      <c r="AJ116" s="31">
        <f t="shared" si="31"/>
        <v>47</v>
      </c>
      <c r="AK116" s="31">
        <f t="shared" si="41"/>
        <v>47</v>
      </c>
      <c r="AL116" s="31">
        <f t="shared" si="45"/>
        <v>47</v>
      </c>
      <c r="AM116" s="31">
        <f aca="true" t="shared" si="48" ref="AM116:AM127">AM115</f>
        <v>47</v>
      </c>
      <c r="AN116" s="31">
        <f>AN115</f>
        <v>47</v>
      </c>
      <c r="AO116" s="69">
        <v>47</v>
      </c>
      <c r="AP116" s="69">
        <f aca="true" t="shared" si="49" ref="AP116:AU116">(44/(AP$102-1))+AP115</f>
        <v>43.85714285714286</v>
      </c>
      <c r="AQ116" s="69">
        <f t="shared" si="49"/>
        <v>41.133333333333326</v>
      </c>
      <c r="AR116" s="69">
        <f t="shared" si="49"/>
        <v>38.75</v>
      </c>
      <c r="AS116" s="69">
        <f t="shared" si="49"/>
        <v>36.64705882352941</v>
      </c>
      <c r="AT116" s="69">
        <f t="shared" si="49"/>
        <v>34.77777777777777</v>
      </c>
      <c r="AU116" s="69">
        <f t="shared" si="49"/>
        <v>33.10526315789475</v>
      </c>
      <c r="AV116" s="69">
        <f t="shared" si="12"/>
        <v>31.599999999999994</v>
      </c>
      <c r="AW116" s="69">
        <f t="shared" si="42"/>
        <v>30.238095238095234</v>
      </c>
      <c r="AX116" s="69">
        <f t="shared" si="42"/>
        <v>29</v>
      </c>
      <c r="AY116" s="69">
        <f t="shared" si="42"/>
        <v>27.86956521739131</v>
      </c>
      <c r="AZ116" s="69">
        <f t="shared" si="42"/>
        <v>26.83333333333333</v>
      </c>
      <c r="BA116" s="75"/>
      <c r="BB116" s="72">
        <v>3</v>
      </c>
      <c r="BC116" s="73">
        <v>47</v>
      </c>
      <c r="BD116" s="72">
        <f t="shared" si="6"/>
        <v>75</v>
      </c>
      <c r="BE116" s="31">
        <v>15</v>
      </c>
      <c r="BF116" s="31">
        <f t="shared" si="9"/>
        <v>75</v>
      </c>
      <c r="BG116" s="31">
        <f t="shared" si="13"/>
        <v>75</v>
      </c>
      <c r="BH116" s="31">
        <f t="shared" si="16"/>
        <v>75</v>
      </c>
      <c r="BI116" s="31">
        <f t="shared" si="19"/>
        <v>75</v>
      </c>
      <c r="BJ116" s="31">
        <f t="shared" si="22"/>
        <v>75</v>
      </c>
      <c r="BK116" s="31">
        <f t="shared" si="26"/>
        <v>75</v>
      </c>
      <c r="BL116" s="31">
        <f t="shared" si="29"/>
        <v>75</v>
      </c>
      <c r="BM116" s="31">
        <f t="shared" si="32"/>
        <v>75</v>
      </c>
      <c r="BN116" s="31">
        <f t="shared" si="43"/>
        <v>75</v>
      </c>
      <c r="BO116" s="31">
        <f t="shared" si="47"/>
        <v>75</v>
      </c>
      <c r="BP116" s="31">
        <f aca="true" t="shared" si="50" ref="BP116:BV127">BP115</f>
        <v>75</v>
      </c>
      <c r="BQ116" s="31">
        <f>BQ115</f>
        <v>75</v>
      </c>
      <c r="BR116" s="69">
        <v>75</v>
      </c>
      <c r="BS116" s="69">
        <f>70/(BS$102-1)+BS115</f>
        <v>70</v>
      </c>
      <c r="BT116" s="69">
        <f>70/(BT$102-1)+BT115</f>
        <v>65.66666666666666</v>
      </c>
      <c r="BU116" s="69">
        <f>70/(BU$102-1)+BU115</f>
        <v>61.875</v>
      </c>
      <c r="BV116" s="69">
        <f>70/(BV$102-1)+BV115</f>
        <v>58.52941176470588</v>
      </c>
      <c r="BW116" s="69">
        <f t="shared" si="34"/>
        <v>55.555555555555536</v>
      </c>
      <c r="BX116" s="69">
        <f t="shared" si="35"/>
        <v>52.894736842105246</v>
      </c>
      <c r="BY116" s="69">
        <f t="shared" si="36"/>
        <v>50.5</v>
      </c>
      <c r="BZ116" s="69">
        <f t="shared" si="37"/>
        <v>48.33333333333334</v>
      </c>
      <c r="CA116" s="69">
        <f t="shared" si="38"/>
        <v>46.363636363636346</v>
      </c>
      <c r="CB116" s="69">
        <f t="shared" si="39"/>
        <v>44.565217391304344</v>
      </c>
      <c r="CC116" s="69">
        <f t="shared" si="40"/>
        <v>42.916666666666664</v>
      </c>
    </row>
    <row r="117" spans="2:81" ht="11.25" customHeight="1">
      <c r="B117" s="356"/>
      <c r="C117" s="42"/>
      <c r="R117" s="3"/>
      <c r="S117" s="84"/>
      <c r="T117" s="84"/>
      <c r="U117" s="43"/>
      <c r="V117" s="18"/>
      <c r="Y117" s="72">
        <f t="shared" si="0"/>
        <v>33.8</v>
      </c>
      <c r="Z117" s="73">
        <v>75</v>
      </c>
      <c r="AA117" s="73">
        <v>5</v>
      </c>
      <c r="AB117" s="31">
        <v>16</v>
      </c>
      <c r="AC117" s="31">
        <f t="shared" si="8"/>
        <v>47</v>
      </c>
      <c r="AD117" s="31">
        <f t="shared" si="11"/>
        <v>47</v>
      </c>
      <c r="AE117" s="31">
        <f t="shared" si="15"/>
        <v>47</v>
      </c>
      <c r="AF117" s="31">
        <f t="shared" si="18"/>
        <v>47</v>
      </c>
      <c r="AG117" s="31">
        <f t="shared" si="21"/>
        <v>47</v>
      </c>
      <c r="AH117" s="31">
        <f t="shared" si="24"/>
        <v>47</v>
      </c>
      <c r="AI117" s="31">
        <f t="shared" si="28"/>
        <v>47</v>
      </c>
      <c r="AJ117" s="31">
        <f t="shared" si="31"/>
        <v>47</v>
      </c>
      <c r="AK117" s="31">
        <f t="shared" si="41"/>
        <v>47</v>
      </c>
      <c r="AL117" s="31">
        <f t="shared" si="45"/>
        <v>47</v>
      </c>
      <c r="AM117" s="31">
        <f t="shared" si="48"/>
        <v>47</v>
      </c>
      <c r="AN117" s="31">
        <f aca="true" t="shared" si="51" ref="AN117:AN127">AN116</f>
        <v>47</v>
      </c>
      <c r="AO117" s="31">
        <f>AO116</f>
        <v>47</v>
      </c>
      <c r="AP117" s="69">
        <v>47</v>
      </c>
      <c r="AQ117" s="69">
        <f>(44/(AQ$102-1))+AQ116</f>
        <v>44.066666666666656</v>
      </c>
      <c r="AR117" s="69">
        <f>(44/(AR$102-1))+AR116</f>
        <v>41.5</v>
      </c>
      <c r="AS117" s="69">
        <f>(44/(AS$102-1))+AS116</f>
        <v>39.23529411764706</v>
      </c>
      <c r="AT117" s="69">
        <f>(44/(AT$102-1))+AT116</f>
        <v>37.222222222222214</v>
      </c>
      <c r="AU117" s="69">
        <f>(44/(AU$102-1))+AU116</f>
        <v>35.42105263157896</v>
      </c>
      <c r="AV117" s="69">
        <f t="shared" si="12"/>
        <v>33.8</v>
      </c>
      <c r="AW117" s="69">
        <f t="shared" si="42"/>
        <v>32.33333333333333</v>
      </c>
      <c r="AX117" s="69">
        <f t="shared" si="42"/>
        <v>31</v>
      </c>
      <c r="AY117" s="69">
        <f t="shared" si="42"/>
        <v>29.782608695652183</v>
      </c>
      <c r="AZ117" s="69">
        <f t="shared" si="42"/>
        <v>28.66666666666666</v>
      </c>
      <c r="BA117" s="75"/>
      <c r="BB117" s="72">
        <v>3</v>
      </c>
      <c r="BC117" s="73">
        <v>47</v>
      </c>
      <c r="BD117" s="72">
        <f t="shared" si="6"/>
        <v>75</v>
      </c>
      <c r="BE117" s="31">
        <v>16</v>
      </c>
      <c r="BF117" s="31">
        <f t="shared" si="9"/>
        <v>75</v>
      </c>
      <c r="BG117" s="31">
        <f t="shared" si="13"/>
        <v>75</v>
      </c>
      <c r="BH117" s="31">
        <f t="shared" si="16"/>
        <v>75</v>
      </c>
      <c r="BI117" s="31">
        <f t="shared" si="19"/>
        <v>75</v>
      </c>
      <c r="BJ117" s="31">
        <f t="shared" si="22"/>
        <v>75</v>
      </c>
      <c r="BK117" s="31">
        <f t="shared" si="26"/>
        <v>75</v>
      </c>
      <c r="BL117" s="31">
        <f t="shared" si="29"/>
        <v>75</v>
      </c>
      <c r="BM117" s="31">
        <f t="shared" si="32"/>
        <v>75</v>
      </c>
      <c r="BN117" s="31">
        <f t="shared" si="43"/>
        <v>75</v>
      </c>
      <c r="BO117" s="31">
        <f t="shared" si="47"/>
        <v>75</v>
      </c>
      <c r="BP117" s="31">
        <f t="shared" si="50"/>
        <v>75</v>
      </c>
      <c r="BQ117" s="31">
        <f t="shared" si="50"/>
        <v>75</v>
      </c>
      <c r="BR117" s="31">
        <f>BR116</f>
        <v>75</v>
      </c>
      <c r="BS117" s="69">
        <v>75</v>
      </c>
      <c r="BT117" s="69">
        <f>70/(BT$102-1)+BT116</f>
        <v>70.33333333333333</v>
      </c>
      <c r="BU117" s="69">
        <f>70/(BU$102-1)+BU116</f>
        <v>66.25</v>
      </c>
      <c r="BV117" s="69">
        <f>70/(BV$102-1)+BV116</f>
        <v>62.647058823529406</v>
      </c>
      <c r="BW117" s="69">
        <f t="shared" si="34"/>
        <v>59.44444444444442</v>
      </c>
      <c r="BX117" s="69">
        <f t="shared" si="35"/>
        <v>56.578947368421034</v>
      </c>
      <c r="BY117" s="69">
        <f t="shared" si="36"/>
        <v>54</v>
      </c>
      <c r="BZ117" s="69">
        <f t="shared" si="37"/>
        <v>51.66666666666668</v>
      </c>
      <c r="CA117" s="69">
        <f t="shared" si="38"/>
        <v>49.545454545454525</v>
      </c>
      <c r="CB117" s="69">
        <f t="shared" si="39"/>
        <v>47.60869565217391</v>
      </c>
      <c r="CC117" s="69">
        <f t="shared" si="40"/>
        <v>45.83333333333333</v>
      </c>
    </row>
    <row r="118" spans="2:81" ht="11.25" customHeight="1">
      <c r="B118" s="356"/>
      <c r="C118" s="42"/>
      <c r="R118" s="3"/>
      <c r="S118" s="3"/>
      <c r="T118" s="3"/>
      <c r="U118" s="43"/>
      <c r="V118" s="18"/>
      <c r="Y118" s="72">
        <f t="shared" si="0"/>
        <v>36</v>
      </c>
      <c r="Z118" s="73">
        <v>75</v>
      </c>
      <c r="AA118" s="73">
        <v>5</v>
      </c>
      <c r="AB118" s="31">
        <v>17</v>
      </c>
      <c r="AC118" s="31">
        <f t="shared" si="8"/>
        <v>47</v>
      </c>
      <c r="AD118" s="31">
        <f t="shared" si="11"/>
        <v>47</v>
      </c>
      <c r="AE118" s="31">
        <f t="shared" si="15"/>
        <v>47</v>
      </c>
      <c r="AF118" s="31">
        <f t="shared" si="18"/>
        <v>47</v>
      </c>
      <c r="AG118" s="31">
        <f t="shared" si="21"/>
        <v>47</v>
      </c>
      <c r="AH118" s="31">
        <f t="shared" si="24"/>
        <v>47</v>
      </c>
      <c r="AI118" s="31">
        <f t="shared" si="28"/>
        <v>47</v>
      </c>
      <c r="AJ118" s="31">
        <f t="shared" si="31"/>
        <v>47</v>
      </c>
      <c r="AK118" s="31">
        <f t="shared" si="41"/>
        <v>47</v>
      </c>
      <c r="AL118" s="31">
        <f t="shared" si="45"/>
        <v>47</v>
      </c>
      <c r="AM118" s="31">
        <f t="shared" si="48"/>
        <v>47</v>
      </c>
      <c r="AN118" s="31">
        <f t="shared" si="51"/>
        <v>47</v>
      </c>
      <c r="AO118" s="31">
        <f aca="true" t="shared" si="52" ref="AO118:AO127">AO117</f>
        <v>47</v>
      </c>
      <c r="AP118" s="31">
        <f>AP117</f>
        <v>47</v>
      </c>
      <c r="AQ118" s="69">
        <v>47</v>
      </c>
      <c r="AR118" s="69">
        <f>(44/(AR$102-1))+AR117</f>
        <v>44.25</v>
      </c>
      <c r="AS118" s="69">
        <f>(44/(AS$102-1))+AS117</f>
        <v>41.8235294117647</v>
      </c>
      <c r="AT118" s="69">
        <f>(44/(AT$102-1))+AT117</f>
        <v>39.66666666666666</v>
      </c>
      <c r="AU118" s="69">
        <f>(44/(AU$102-1))+AU117</f>
        <v>37.73684210526317</v>
      </c>
      <c r="AV118" s="69">
        <f t="shared" si="12"/>
        <v>36</v>
      </c>
      <c r="AW118" s="69">
        <f t="shared" si="42"/>
        <v>34.42857142857142</v>
      </c>
      <c r="AX118" s="69">
        <f t="shared" si="42"/>
        <v>33</v>
      </c>
      <c r="AY118" s="69">
        <f t="shared" si="42"/>
        <v>31.695652173913054</v>
      </c>
      <c r="AZ118" s="69">
        <f t="shared" si="42"/>
        <v>30.499999999999993</v>
      </c>
      <c r="BA118" s="75"/>
      <c r="BB118" s="72">
        <v>3</v>
      </c>
      <c r="BC118" s="73">
        <v>47</v>
      </c>
      <c r="BD118" s="72">
        <f t="shared" si="6"/>
        <v>75</v>
      </c>
      <c r="BE118" s="31">
        <v>17</v>
      </c>
      <c r="BF118" s="31">
        <f t="shared" si="9"/>
        <v>75</v>
      </c>
      <c r="BG118" s="31">
        <f t="shared" si="13"/>
        <v>75</v>
      </c>
      <c r="BH118" s="31">
        <f t="shared" si="16"/>
        <v>75</v>
      </c>
      <c r="BI118" s="31">
        <f t="shared" si="19"/>
        <v>75</v>
      </c>
      <c r="BJ118" s="31">
        <f t="shared" si="22"/>
        <v>75</v>
      </c>
      <c r="BK118" s="31">
        <f t="shared" si="26"/>
        <v>75</v>
      </c>
      <c r="BL118" s="31">
        <f t="shared" si="29"/>
        <v>75</v>
      </c>
      <c r="BM118" s="31">
        <f t="shared" si="32"/>
        <v>75</v>
      </c>
      <c r="BN118" s="31">
        <f t="shared" si="43"/>
        <v>75</v>
      </c>
      <c r="BO118" s="31">
        <f t="shared" si="47"/>
        <v>75</v>
      </c>
      <c r="BP118" s="31">
        <f t="shared" si="50"/>
        <v>75</v>
      </c>
      <c r="BQ118" s="31">
        <f t="shared" si="50"/>
        <v>75</v>
      </c>
      <c r="BR118" s="31">
        <f t="shared" si="50"/>
        <v>75</v>
      </c>
      <c r="BS118" s="31">
        <f>BS117</f>
        <v>75</v>
      </c>
      <c r="BT118" s="69">
        <v>75</v>
      </c>
      <c r="BU118" s="69">
        <f>70/(BU$102-1)+BU117</f>
        <v>70.625</v>
      </c>
      <c r="BV118" s="69">
        <f>70/(BV$102-1)+BV117</f>
        <v>66.76470588235293</v>
      </c>
      <c r="BW118" s="69">
        <f t="shared" si="34"/>
        <v>63.33333333333331</v>
      </c>
      <c r="BX118" s="69">
        <f t="shared" si="35"/>
        <v>60.26315789473682</v>
      </c>
      <c r="BY118" s="69">
        <f t="shared" si="36"/>
        <v>57.5</v>
      </c>
      <c r="BZ118" s="69">
        <f t="shared" si="37"/>
        <v>55.000000000000014</v>
      </c>
      <c r="CA118" s="69">
        <f t="shared" si="38"/>
        <v>52.727272727272705</v>
      </c>
      <c r="CB118" s="69">
        <f t="shared" si="39"/>
        <v>50.65217391304347</v>
      </c>
      <c r="CC118" s="69">
        <f t="shared" si="40"/>
        <v>48.74999999999999</v>
      </c>
    </row>
    <row r="119" spans="2:81" ht="11.25" customHeight="1" thickBot="1">
      <c r="B119" s="356"/>
      <c r="C119" s="42"/>
      <c r="D119" s="3"/>
      <c r="E119" s="3"/>
      <c r="F119" s="3"/>
      <c r="G119" s="3"/>
      <c r="H119" s="83"/>
      <c r="I119" s="3"/>
      <c r="J119" s="3"/>
      <c r="K119" s="91"/>
      <c r="L119" s="91"/>
      <c r="N119" s="3"/>
      <c r="O119" s="22"/>
      <c r="P119" s="3"/>
      <c r="Q119" s="3"/>
      <c r="R119" s="3"/>
      <c r="S119" s="3"/>
      <c r="T119" s="3"/>
      <c r="U119" s="43"/>
      <c r="V119" s="18"/>
      <c r="Y119" s="72">
        <f t="shared" si="0"/>
        <v>38.2</v>
      </c>
      <c r="Z119" s="73">
        <v>75</v>
      </c>
      <c r="AA119" s="73">
        <v>5</v>
      </c>
      <c r="AB119" s="31">
        <v>18</v>
      </c>
      <c r="AC119" s="31">
        <f t="shared" si="8"/>
        <v>47</v>
      </c>
      <c r="AD119" s="31">
        <f t="shared" si="11"/>
        <v>47</v>
      </c>
      <c r="AE119" s="31">
        <f t="shared" si="15"/>
        <v>47</v>
      </c>
      <c r="AF119" s="31">
        <f t="shared" si="18"/>
        <v>47</v>
      </c>
      <c r="AG119" s="31">
        <f t="shared" si="21"/>
        <v>47</v>
      </c>
      <c r="AH119" s="31">
        <f t="shared" si="24"/>
        <v>47</v>
      </c>
      <c r="AI119" s="31">
        <f t="shared" si="28"/>
        <v>47</v>
      </c>
      <c r="AJ119" s="31">
        <f t="shared" si="31"/>
        <v>47</v>
      </c>
      <c r="AK119" s="31">
        <f t="shared" si="41"/>
        <v>47</v>
      </c>
      <c r="AL119" s="31">
        <f t="shared" si="45"/>
        <v>47</v>
      </c>
      <c r="AM119" s="31">
        <f t="shared" si="48"/>
        <v>47</v>
      </c>
      <c r="AN119" s="31">
        <f t="shared" si="51"/>
        <v>47</v>
      </c>
      <c r="AO119" s="31">
        <f t="shared" si="52"/>
        <v>47</v>
      </c>
      <c r="AP119" s="31">
        <f aca="true" t="shared" si="53" ref="AP119:AP127">AP118</f>
        <v>47</v>
      </c>
      <c r="AQ119" s="31">
        <f>AQ118</f>
        <v>47</v>
      </c>
      <c r="AR119" s="69">
        <v>47</v>
      </c>
      <c r="AS119" s="69">
        <f>(44/(AS$102-1))+AS118</f>
        <v>44.41176470588235</v>
      </c>
      <c r="AT119" s="69">
        <f>(44/(AT$102-1))+AT118</f>
        <v>42.1111111111111</v>
      </c>
      <c r="AU119" s="69">
        <f>(44/(AU$102-1))+AU118</f>
        <v>40.052631578947384</v>
      </c>
      <c r="AV119" s="69">
        <f t="shared" si="12"/>
        <v>38.2</v>
      </c>
      <c r="AW119" s="69">
        <f t="shared" si="42"/>
        <v>36.52380952380952</v>
      </c>
      <c r="AX119" s="69">
        <f t="shared" si="42"/>
        <v>35</v>
      </c>
      <c r="AY119" s="69">
        <f t="shared" si="42"/>
        <v>33.60869565217392</v>
      </c>
      <c r="AZ119" s="69">
        <f t="shared" si="42"/>
        <v>32.33333333333333</v>
      </c>
      <c r="BA119" s="75"/>
      <c r="BB119" s="72">
        <v>3</v>
      </c>
      <c r="BC119" s="73">
        <v>47</v>
      </c>
      <c r="BD119" s="72">
        <f t="shared" si="6"/>
        <v>75</v>
      </c>
      <c r="BE119" s="31">
        <v>18</v>
      </c>
      <c r="BF119" s="31">
        <f t="shared" si="9"/>
        <v>75</v>
      </c>
      <c r="BG119" s="31">
        <f t="shared" si="13"/>
        <v>75</v>
      </c>
      <c r="BH119" s="31">
        <f t="shared" si="16"/>
        <v>75</v>
      </c>
      <c r="BI119" s="31">
        <f t="shared" si="19"/>
        <v>75</v>
      </c>
      <c r="BJ119" s="31">
        <f t="shared" si="22"/>
        <v>75</v>
      </c>
      <c r="BK119" s="31">
        <f t="shared" si="26"/>
        <v>75</v>
      </c>
      <c r="BL119" s="31">
        <f t="shared" si="29"/>
        <v>75</v>
      </c>
      <c r="BM119" s="31">
        <f t="shared" si="32"/>
        <v>75</v>
      </c>
      <c r="BN119" s="31">
        <f t="shared" si="43"/>
        <v>75</v>
      </c>
      <c r="BO119" s="31">
        <f t="shared" si="47"/>
        <v>75</v>
      </c>
      <c r="BP119" s="31">
        <f t="shared" si="50"/>
        <v>75</v>
      </c>
      <c r="BQ119" s="31">
        <f t="shared" si="50"/>
        <v>75</v>
      </c>
      <c r="BR119" s="31">
        <f t="shared" si="50"/>
        <v>75</v>
      </c>
      <c r="BS119" s="31">
        <f t="shared" si="50"/>
        <v>75</v>
      </c>
      <c r="BT119" s="31">
        <f>BT118</f>
        <v>75</v>
      </c>
      <c r="BU119" s="69">
        <v>75</v>
      </c>
      <c r="BV119" s="69">
        <f>70/(BV$102-1)+BV118</f>
        <v>70.88235294117646</v>
      </c>
      <c r="BW119" s="69">
        <f t="shared" si="34"/>
        <v>67.2222222222222</v>
      </c>
      <c r="BX119" s="69">
        <f t="shared" si="35"/>
        <v>63.94736842105261</v>
      </c>
      <c r="BY119" s="69">
        <f t="shared" si="36"/>
        <v>61</v>
      </c>
      <c r="BZ119" s="69">
        <f t="shared" si="37"/>
        <v>58.33333333333335</v>
      </c>
      <c r="CA119" s="69">
        <f t="shared" si="38"/>
        <v>55.909090909090885</v>
      </c>
      <c r="CB119" s="69">
        <f t="shared" si="39"/>
        <v>53.69565217391303</v>
      </c>
      <c r="CC119" s="69">
        <f t="shared" si="40"/>
        <v>51.66666666666666</v>
      </c>
    </row>
    <row r="120" spans="2:81" ht="11.25" customHeight="1" thickBot="1">
      <c r="B120" s="356"/>
      <c r="C120" s="42"/>
      <c r="D120" s="3"/>
      <c r="E120" s="3"/>
      <c r="F120" s="3"/>
      <c r="G120" s="3"/>
      <c r="H120" s="20"/>
      <c r="I120" s="381" t="s">
        <v>323</v>
      </c>
      <c r="J120" s="20"/>
      <c r="K120" s="3"/>
      <c r="L120" s="3"/>
      <c r="M120" s="39" t="s">
        <v>304</v>
      </c>
      <c r="O120" s="3"/>
      <c r="P120" s="3"/>
      <c r="Q120" s="3"/>
      <c r="R120" s="3"/>
      <c r="S120" s="3"/>
      <c r="T120" s="3"/>
      <c r="U120" s="43"/>
      <c r="V120" s="18"/>
      <c r="Y120" s="72">
        <f t="shared" si="0"/>
        <v>40.400000000000006</v>
      </c>
      <c r="Z120" s="73">
        <v>75</v>
      </c>
      <c r="AA120" s="73">
        <v>5</v>
      </c>
      <c r="AB120" s="31">
        <v>19</v>
      </c>
      <c r="AC120" s="31">
        <f t="shared" si="8"/>
        <v>47</v>
      </c>
      <c r="AD120" s="31">
        <f t="shared" si="11"/>
        <v>47</v>
      </c>
      <c r="AE120" s="31">
        <f t="shared" si="15"/>
        <v>47</v>
      </c>
      <c r="AF120" s="31">
        <f t="shared" si="18"/>
        <v>47</v>
      </c>
      <c r="AG120" s="31">
        <f t="shared" si="21"/>
        <v>47</v>
      </c>
      <c r="AH120" s="31">
        <f t="shared" si="24"/>
        <v>47</v>
      </c>
      <c r="AI120" s="31">
        <f t="shared" si="28"/>
        <v>47</v>
      </c>
      <c r="AJ120" s="31">
        <f t="shared" si="31"/>
        <v>47</v>
      </c>
      <c r="AK120" s="31">
        <f t="shared" si="41"/>
        <v>47</v>
      </c>
      <c r="AL120" s="31">
        <f t="shared" si="45"/>
        <v>47</v>
      </c>
      <c r="AM120" s="31">
        <f t="shared" si="48"/>
        <v>47</v>
      </c>
      <c r="AN120" s="31">
        <f t="shared" si="51"/>
        <v>47</v>
      </c>
      <c r="AO120" s="31">
        <f t="shared" si="52"/>
        <v>47</v>
      </c>
      <c r="AP120" s="31">
        <f t="shared" si="53"/>
        <v>47</v>
      </c>
      <c r="AQ120" s="31">
        <f aca="true" t="shared" si="54" ref="AQ120:AQ127">AQ119</f>
        <v>47</v>
      </c>
      <c r="AR120" s="31">
        <f>AR119</f>
        <v>47</v>
      </c>
      <c r="AS120" s="69">
        <v>47</v>
      </c>
      <c r="AT120" s="69">
        <f>(44/(AT$102-1))+AT119</f>
        <v>44.55555555555554</v>
      </c>
      <c r="AU120" s="69">
        <f>(44/(AU$102-1))+AU119</f>
        <v>42.3684210526316</v>
      </c>
      <c r="AV120" s="69">
        <f t="shared" si="12"/>
        <v>40.400000000000006</v>
      </c>
      <c r="AW120" s="69">
        <f t="shared" si="42"/>
        <v>38.61904761904761</v>
      </c>
      <c r="AX120" s="69">
        <f t="shared" si="42"/>
        <v>37</v>
      </c>
      <c r="AY120" s="69">
        <f t="shared" si="42"/>
        <v>35.52173913043479</v>
      </c>
      <c r="AZ120" s="69">
        <f t="shared" si="42"/>
        <v>34.166666666666664</v>
      </c>
      <c r="BA120" s="75"/>
      <c r="BB120" s="72">
        <v>3</v>
      </c>
      <c r="BC120" s="73">
        <v>47</v>
      </c>
      <c r="BD120" s="72">
        <f t="shared" si="6"/>
        <v>75</v>
      </c>
      <c r="BE120" s="31">
        <v>19</v>
      </c>
      <c r="BF120" s="31">
        <f t="shared" si="9"/>
        <v>75</v>
      </c>
      <c r="BG120" s="31">
        <f t="shared" si="13"/>
        <v>75</v>
      </c>
      <c r="BH120" s="31">
        <f t="shared" si="16"/>
        <v>75</v>
      </c>
      <c r="BI120" s="31">
        <f t="shared" si="19"/>
        <v>75</v>
      </c>
      <c r="BJ120" s="31">
        <f t="shared" si="22"/>
        <v>75</v>
      </c>
      <c r="BK120" s="31">
        <f t="shared" si="26"/>
        <v>75</v>
      </c>
      <c r="BL120" s="31">
        <f t="shared" si="29"/>
        <v>75</v>
      </c>
      <c r="BM120" s="31">
        <f t="shared" si="32"/>
        <v>75</v>
      </c>
      <c r="BN120" s="31">
        <f t="shared" si="43"/>
        <v>75</v>
      </c>
      <c r="BO120" s="31">
        <f t="shared" si="47"/>
        <v>75</v>
      </c>
      <c r="BP120" s="31">
        <f t="shared" si="50"/>
        <v>75</v>
      </c>
      <c r="BQ120" s="31">
        <f t="shared" si="50"/>
        <v>75</v>
      </c>
      <c r="BR120" s="31">
        <f t="shared" si="50"/>
        <v>75</v>
      </c>
      <c r="BS120" s="31">
        <f t="shared" si="50"/>
        <v>75</v>
      </c>
      <c r="BT120" s="31">
        <f t="shared" si="50"/>
        <v>75</v>
      </c>
      <c r="BU120" s="31">
        <f>BU119</f>
        <v>75</v>
      </c>
      <c r="BV120" s="69">
        <v>75</v>
      </c>
      <c r="BW120" s="69">
        <f t="shared" si="34"/>
        <v>71.11111111111109</v>
      </c>
      <c r="BX120" s="69">
        <f t="shared" si="35"/>
        <v>67.6315789473684</v>
      </c>
      <c r="BY120" s="69">
        <f t="shared" si="36"/>
        <v>64.5</v>
      </c>
      <c r="BZ120" s="69">
        <f t="shared" si="37"/>
        <v>61.666666666666686</v>
      </c>
      <c r="CA120" s="69">
        <f t="shared" si="38"/>
        <v>59.090909090909065</v>
      </c>
      <c r="CB120" s="69">
        <f t="shared" si="39"/>
        <v>56.739130434782595</v>
      </c>
      <c r="CC120" s="69">
        <f t="shared" si="40"/>
        <v>54.58333333333332</v>
      </c>
    </row>
    <row r="121" spans="2:81" ht="11.25" customHeight="1">
      <c r="B121" s="356"/>
      <c r="C121" s="408"/>
      <c r="D121" s="80"/>
      <c r="E121" s="80"/>
      <c r="F121" s="80"/>
      <c r="G121" s="80"/>
      <c r="H121" s="29"/>
      <c r="I121" s="3"/>
      <c r="J121" s="3"/>
      <c r="K121" s="13"/>
      <c r="L121" s="13"/>
      <c r="M121" s="13"/>
      <c r="N121" s="13"/>
      <c r="O121" s="13"/>
      <c r="P121" s="3"/>
      <c r="Q121" s="3"/>
      <c r="R121" s="3"/>
      <c r="S121" s="3"/>
      <c r="T121" s="3"/>
      <c r="U121" s="43"/>
      <c r="V121" s="18"/>
      <c r="Y121" s="72">
        <f t="shared" si="0"/>
        <v>42.60000000000001</v>
      </c>
      <c r="Z121" s="73">
        <v>75</v>
      </c>
      <c r="AA121" s="73">
        <v>5</v>
      </c>
      <c r="AB121" s="31">
        <v>20</v>
      </c>
      <c r="AC121" s="31">
        <f t="shared" si="8"/>
        <v>47</v>
      </c>
      <c r="AD121" s="31">
        <f t="shared" si="11"/>
        <v>47</v>
      </c>
      <c r="AE121" s="31">
        <f t="shared" si="15"/>
        <v>47</v>
      </c>
      <c r="AF121" s="31">
        <f t="shared" si="18"/>
        <v>47</v>
      </c>
      <c r="AG121" s="31">
        <f t="shared" si="21"/>
        <v>47</v>
      </c>
      <c r="AH121" s="31">
        <f t="shared" si="24"/>
        <v>47</v>
      </c>
      <c r="AI121" s="31">
        <f t="shared" si="28"/>
        <v>47</v>
      </c>
      <c r="AJ121" s="31">
        <f t="shared" si="31"/>
        <v>47</v>
      </c>
      <c r="AK121" s="31">
        <f t="shared" si="41"/>
        <v>47</v>
      </c>
      <c r="AL121" s="31">
        <f t="shared" si="45"/>
        <v>47</v>
      </c>
      <c r="AM121" s="31">
        <f t="shared" si="48"/>
        <v>47</v>
      </c>
      <c r="AN121" s="31">
        <f t="shared" si="51"/>
        <v>47</v>
      </c>
      <c r="AO121" s="31">
        <f t="shared" si="52"/>
        <v>47</v>
      </c>
      <c r="AP121" s="31">
        <f t="shared" si="53"/>
        <v>47</v>
      </c>
      <c r="AQ121" s="31">
        <f t="shared" si="54"/>
        <v>47</v>
      </c>
      <c r="AR121" s="31">
        <f aca="true" t="shared" si="55" ref="AR121:AR127">AR120</f>
        <v>47</v>
      </c>
      <c r="AS121" s="31">
        <f aca="true" t="shared" si="56" ref="AS121:AS127">AS120</f>
        <v>47</v>
      </c>
      <c r="AT121" s="69">
        <f>(44/(AT$102-1))+AT120</f>
        <v>46.999999999999986</v>
      </c>
      <c r="AU121" s="69">
        <f>(44/(AU$102-1))+AU120</f>
        <v>44.68421052631581</v>
      </c>
      <c r="AV121" s="69">
        <f t="shared" si="12"/>
        <v>42.60000000000001</v>
      </c>
      <c r="AW121" s="69">
        <f t="shared" si="42"/>
        <v>40.71428571428571</v>
      </c>
      <c r="AX121" s="69">
        <f t="shared" si="42"/>
        <v>39</v>
      </c>
      <c r="AY121" s="69">
        <f t="shared" si="42"/>
        <v>37.434782608695656</v>
      </c>
      <c r="AZ121" s="69">
        <f t="shared" si="42"/>
        <v>36</v>
      </c>
      <c r="BA121" s="75"/>
      <c r="BB121" s="72">
        <v>3</v>
      </c>
      <c r="BC121" s="73">
        <v>47</v>
      </c>
      <c r="BD121" s="72">
        <f t="shared" si="6"/>
        <v>75</v>
      </c>
      <c r="BE121" s="31">
        <v>20</v>
      </c>
      <c r="BF121" s="31">
        <f t="shared" si="9"/>
        <v>75</v>
      </c>
      <c r="BG121" s="31">
        <f t="shared" si="13"/>
        <v>75</v>
      </c>
      <c r="BH121" s="31">
        <f t="shared" si="16"/>
        <v>75</v>
      </c>
      <c r="BI121" s="31">
        <f t="shared" si="19"/>
        <v>75</v>
      </c>
      <c r="BJ121" s="31">
        <f t="shared" si="22"/>
        <v>75</v>
      </c>
      <c r="BK121" s="31">
        <f t="shared" si="26"/>
        <v>75</v>
      </c>
      <c r="BL121" s="31">
        <f t="shared" si="29"/>
        <v>75</v>
      </c>
      <c r="BM121" s="31">
        <f t="shared" si="32"/>
        <v>75</v>
      </c>
      <c r="BN121" s="31">
        <f t="shared" si="43"/>
        <v>75</v>
      </c>
      <c r="BO121" s="31">
        <f t="shared" si="47"/>
        <v>75</v>
      </c>
      <c r="BP121" s="31">
        <f t="shared" si="50"/>
        <v>75</v>
      </c>
      <c r="BQ121" s="31">
        <f t="shared" si="50"/>
        <v>75</v>
      </c>
      <c r="BR121" s="31">
        <f t="shared" si="50"/>
        <v>75</v>
      </c>
      <c r="BS121" s="31">
        <f t="shared" si="50"/>
        <v>75</v>
      </c>
      <c r="BT121" s="31">
        <f t="shared" si="50"/>
        <v>75</v>
      </c>
      <c r="BU121" s="31">
        <f t="shared" si="50"/>
        <v>75</v>
      </c>
      <c r="BV121" s="31">
        <f>BV120</f>
        <v>75</v>
      </c>
      <c r="BW121" s="69">
        <v>75</v>
      </c>
      <c r="BX121" s="69">
        <f aca="true" t="shared" si="57" ref="BX121:CC121">70/(BX$102-1)+BX120</f>
        <v>71.31578947368419</v>
      </c>
      <c r="BY121" s="69">
        <f t="shared" si="57"/>
        <v>68</v>
      </c>
      <c r="BZ121" s="69">
        <f t="shared" si="57"/>
        <v>65.00000000000001</v>
      </c>
      <c r="CA121" s="69">
        <f t="shared" si="57"/>
        <v>62.272727272727245</v>
      </c>
      <c r="CB121" s="69">
        <f t="shared" si="57"/>
        <v>59.78260869565216</v>
      </c>
      <c r="CC121" s="69">
        <f t="shared" si="57"/>
        <v>57.499999999999986</v>
      </c>
    </row>
    <row r="122" spans="2:81" ht="11.25" customHeight="1">
      <c r="B122" s="356"/>
      <c r="C122" s="42"/>
      <c r="D122" s="3"/>
      <c r="E122" s="3"/>
      <c r="F122" s="3"/>
      <c r="G122" s="29"/>
      <c r="H122" s="3"/>
      <c r="I122" s="3"/>
      <c r="J122" s="3"/>
      <c r="K122" s="3"/>
      <c r="L122" s="3"/>
      <c r="M122" s="3"/>
      <c r="N122" s="3"/>
      <c r="O122" s="3"/>
      <c r="P122" s="3"/>
      <c r="Q122" s="3"/>
      <c r="R122" s="3"/>
      <c r="S122" s="3"/>
      <c r="T122" s="3"/>
      <c r="U122" s="43"/>
      <c r="V122" s="18"/>
      <c r="Y122" s="72">
        <f t="shared" si="0"/>
        <v>44.80000000000001</v>
      </c>
      <c r="Z122" s="73">
        <v>75</v>
      </c>
      <c r="AA122" s="73">
        <v>5</v>
      </c>
      <c r="AB122" s="31">
        <v>21</v>
      </c>
      <c r="AC122" s="31">
        <f t="shared" si="8"/>
        <v>47</v>
      </c>
      <c r="AD122" s="31">
        <f t="shared" si="11"/>
        <v>47</v>
      </c>
      <c r="AE122" s="31">
        <f t="shared" si="15"/>
        <v>47</v>
      </c>
      <c r="AF122" s="31">
        <f t="shared" si="18"/>
        <v>47</v>
      </c>
      <c r="AG122" s="31">
        <f t="shared" si="21"/>
        <v>47</v>
      </c>
      <c r="AH122" s="31">
        <f t="shared" si="24"/>
        <v>47</v>
      </c>
      <c r="AI122" s="31">
        <f t="shared" si="28"/>
        <v>47</v>
      </c>
      <c r="AJ122" s="31">
        <f t="shared" si="31"/>
        <v>47</v>
      </c>
      <c r="AK122" s="31">
        <f t="shared" si="41"/>
        <v>47</v>
      </c>
      <c r="AL122" s="31">
        <f t="shared" si="45"/>
        <v>47</v>
      </c>
      <c r="AM122" s="31">
        <f t="shared" si="48"/>
        <v>47</v>
      </c>
      <c r="AN122" s="31">
        <f t="shared" si="51"/>
        <v>47</v>
      </c>
      <c r="AO122" s="31">
        <f t="shared" si="52"/>
        <v>47</v>
      </c>
      <c r="AP122" s="31">
        <f t="shared" si="53"/>
        <v>47</v>
      </c>
      <c r="AQ122" s="31">
        <f t="shared" si="54"/>
        <v>47</v>
      </c>
      <c r="AR122" s="31">
        <f t="shared" si="55"/>
        <v>47</v>
      </c>
      <c r="AS122" s="31">
        <f t="shared" si="56"/>
        <v>47</v>
      </c>
      <c r="AT122" s="31">
        <f aca="true" t="shared" si="58" ref="AT122:AT127">AT121</f>
        <v>46.999999999999986</v>
      </c>
      <c r="AU122" s="69">
        <f>(44/(AU$102-1))+AU121</f>
        <v>47.00000000000002</v>
      </c>
      <c r="AV122" s="69">
        <f t="shared" si="12"/>
        <v>44.80000000000001</v>
      </c>
      <c r="AW122" s="69">
        <f t="shared" si="42"/>
        <v>42.8095238095238</v>
      </c>
      <c r="AX122" s="69">
        <f t="shared" si="42"/>
        <v>41</v>
      </c>
      <c r="AY122" s="69">
        <f t="shared" si="42"/>
        <v>39.34782608695652</v>
      </c>
      <c r="AZ122" s="69">
        <f t="shared" si="42"/>
        <v>37.833333333333336</v>
      </c>
      <c r="BA122" s="75"/>
      <c r="BB122" s="72">
        <v>3</v>
      </c>
      <c r="BC122" s="73">
        <v>47</v>
      </c>
      <c r="BD122" s="72">
        <f t="shared" si="6"/>
        <v>75</v>
      </c>
      <c r="BE122" s="31">
        <v>21</v>
      </c>
      <c r="BF122" s="31">
        <f t="shared" si="9"/>
        <v>75</v>
      </c>
      <c r="BG122" s="31">
        <f t="shared" si="13"/>
        <v>75</v>
      </c>
      <c r="BH122" s="31">
        <f t="shared" si="16"/>
        <v>75</v>
      </c>
      <c r="BI122" s="31">
        <f t="shared" si="19"/>
        <v>75</v>
      </c>
      <c r="BJ122" s="31">
        <f t="shared" si="22"/>
        <v>75</v>
      </c>
      <c r="BK122" s="31">
        <f t="shared" si="26"/>
        <v>75</v>
      </c>
      <c r="BL122" s="31">
        <f t="shared" si="29"/>
        <v>75</v>
      </c>
      <c r="BM122" s="31">
        <f t="shared" si="32"/>
        <v>75</v>
      </c>
      <c r="BN122" s="31">
        <f t="shared" si="43"/>
        <v>75</v>
      </c>
      <c r="BO122" s="31">
        <f t="shared" si="47"/>
        <v>75</v>
      </c>
      <c r="BP122" s="31">
        <f t="shared" si="50"/>
        <v>75</v>
      </c>
      <c r="BQ122" s="31">
        <f t="shared" si="50"/>
        <v>75</v>
      </c>
      <c r="BR122" s="31">
        <f t="shared" si="50"/>
        <v>75</v>
      </c>
      <c r="BS122" s="31">
        <f t="shared" si="50"/>
        <v>75</v>
      </c>
      <c r="BT122" s="31">
        <f t="shared" si="50"/>
        <v>75</v>
      </c>
      <c r="BU122" s="31">
        <f t="shared" si="50"/>
        <v>75</v>
      </c>
      <c r="BV122" s="31">
        <f>BV121</f>
        <v>75</v>
      </c>
      <c r="BW122" s="31">
        <f aca="true" t="shared" si="59" ref="BW122:BW127">BW121</f>
        <v>75</v>
      </c>
      <c r="BX122" s="69">
        <v>75</v>
      </c>
      <c r="BY122" s="69">
        <f>75/(BY$102-1)+BY121</f>
        <v>71.75</v>
      </c>
      <c r="BZ122" s="69">
        <f aca="true" t="shared" si="60" ref="BZ122:CC123">70/(BZ$102-1)+BZ121</f>
        <v>68.33333333333334</v>
      </c>
      <c r="CA122" s="69">
        <f t="shared" si="60"/>
        <v>65.45454545454542</v>
      </c>
      <c r="CB122" s="69">
        <f t="shared" si="60"/>
        <v>62.82608695652172</v>
      </c>
      <c r="CC122" s="69">
        <f t="shared" si="60"/>
        <v>60.41666666666665</v>
      </c>
    </row>
    <row r="123" spans="2:81" ht="11.25" customHeight="1">
      <c r="B123" s="356"/>
      <c r="C123" s="42"/>
      <c r="D123" s="3"/>
      <c r="E123" s="3"/>
      <c r="F123" s="3"/>
      <c r="G123" s="29"/>
      <c r="H123" s="3"/>
      <c r="I123" s="3"/>
      <c r="J123" s="3"/>
      <c r="K123" s="3"/>
      <c r="P123" s="3"/>
      <c r="Q123" s="3"/>
      <c r="R123" s="3"/>
      <c r="S123" s="3"/>
      <c r="T123" s="3"/>
      <c r="U123" s="43"/>
      <c r="V123" s="18"/>
      <c r="Y123" s="72">
        <f t="shared" si="0"/>
        <v>47</v>
      </c>
      <c r="Z123" s="73">
        <v>75</v>
      </c>
      <c r="AA123" s="73">
        <v>5</v>
      </c>
      <c r="AB123" s="31">
        <v>22</v>
      </c>
      <c r="AC123" s="31">
        <f t="shared" si="8"/>
        <v>47</v>
      </c>
      <c r="AD123" s="31">
        <f t="shared" si="11"/>
        <v>47</v>
      </c>
      <c r="AE123" s="31">
        <f t="shared" si="15"/>
        <v>47</v>
      </c>
      <c r="AF123" s="31">
        <f t="shared" si="18"/>
        <v>47</v>
      </c>
      <c r="AG123" s="31">
        <f t="shared" si="21"/>
        <v>47</v>
      </c>
      <c r="AH123" s="31">
        <f t="shared" si="24"/>
        <v>47</v>
      </c>
      <c r="AI123" s="31">
        <f t="shared" si="28"/>
        <v>47</v>
      </c>
      <c r="AJ123" s="31">
        <f t="shared" si="31"/>
        <v>47</v>
      </c>
      <c r="AK123" s="31">
        <f t="shared" si="41"/>
        <v>47</v>
      </c>
      <c r="AL123" s="31">
        <f t="shared" si="45"/>
        <v>47</v>
      </c>
      <c r="AM123" s="31">
        <f t="shared" si="48"/>
        <v>47</v>
      </c>
      <c r="AN123" s="31">
        <f t="shared" si="51"/>
        <v>47</v>
      </c>
      <c r="AO123" s="31">
        <f t="shared" si="52"/>
        <v>47</v>
      </c>
      <c r="AP123" s="31">
        <f t="shared" si="53"/>
        <v>47</v>
      </c>
      <c r="AQ123" s="31">
        <f t="shared" si="54"/>
        <v>47</v>
      </c>
      <c r="AR123" s="31">
        <f t="shared" si="55"/>
        <v>47</v>
      </c>
      <c r="AS123" s="31">
        <f t="shared" si="56"/>
        <v>47</v>
      </c>
      <c r="AT123" s="31">
        <f t="shared" si="58"/>
        <v>46.999999999999986</v>
      </c>
      <c r="AU123" s="31">
        <f>AU122</f>
        <v>47.00000000000002</v>
      </c>
      <c r="AV123" s="69">
        <v>47</v>
      </c>
      <c r="AW123" s="69">
        <f t="shared" si="42"/>
        <v>44.9047619047619</v>
      </c>
      <c r="AX123" s="69">
        <f t="shared" si="42"/>
        <v>43</v>
      </c>
      <c r="AY123" s="69">
        <f t="shared" si="42"/>
        <v>41.26086956521739</v>
      </c>
      <c r="AZ123" s="69">
        <f t="shared" si="42"/>
        <v>39.66666666666667</v>
      </c>
      <c r="BA123" s="75"/>
      <c r="BB123" s="72">
        <v>3</v>
      </c>
      <c r="BC123" s="73">
        <v>47</v>
      </c>
      <c r="BD123" s="72">
        <f t="shared" si="6"/>
        <v>75</v>
      </c>
      <c r="BE123" s="31">
        <v>22</v>
      </c>
      <c r="BF123" s="31">
        <f t="shared" si="9"/>
        <v>75</v>
      </c>
      <c r="BG123" s="31">
        <f t="shared" si="13"/>
        <v>75</v>
      </c>
      <c r="BH123" s="31">
        <f t="shared" si="16"/>
        <v>75</v>
      </c>
      <c r="BI123" s="31">
        <f t="shared" si="19"/>
        <v>75</v>
      </c>
      <c r="BJ123" s="31">
        <f t="shared" si="22"/>
        <v>75</v>
      </c>
      <c r="BK123" s="31">
        <f t="shared" si="26"/>
        <v>75</v>
      </c>
      <c r="BL123" s="31">
        <f t="shared" si="29"/>
        <v>75</v>
      </c>
      <c r="BM123" s="31">
        <f t="shared" si="32"/>
        <v>75</v>
      </c>
      <c r="BN123" s="31">
        <f t="shared" si="43"/>
        <v>75</v>
      </c>
      <c r="BO123" s="31">
        <f t="shared" si="47"/>
        <v>75</v>
      </c>
      <c r="BP123" s="31">
        <f t="shared" si="50"/>
        <v>75</v>
      </c>
      <c r="BQ123" s="31">
        <f t="shared" si="50"/>
        <v>75</v>
      </c>
      <c r="BR123" s="31">
        <f t="shared" si="50"/>
        <v>75</v>
      </c>
      <c r="BS123" s="31">
        <f t="shared" si="50"/>
        <v>75</v>
      </c>
      <c r="BT123" s="31">
        <f t="shared" si="50"/>
        <v>75</v>
      </c>
      <c r="BU123" s="31">
        <f t="shared" si="50"/>
        <v>75</v>
      </c>
      <c r="BV123" s="31">
        <f t="shared" si="50"/>
        <v>75</v>
      </c>
      <c r="BW123" s="31">
        <f t="shared" si="59"/>
        <v>75</v>
      </c>
      <c r="BX123" s="31">
        <f>BX122</f>
        <v>75</v>
      </c>
      <c r="BY123" s="69">
        <v>75</v>
      </c>
      <c r="BZ123" s="69">
        <f t="shared" si="60"/>
        <v>71.66666666666667</v>
      </c>
      <c r="CA123" s="69">
        <f t="shared" si="60"/>
        <v>68.63636363636361</v>
      </c>
      <c r="CB123" s="69">
        <f t="shared" si="60"/>
        <v>65.86956521739128</v>
      </c>
      <c r="CC123" s="69">
        <f t="shared" si="60"/>
        <v>63.333333333333314</v>
      </c>
    </row>
    <row r="124" spans="2:81" ht="11.25" customHeight="1">
      <c r="B124" s="356"/>
      <c r="C124" s="42"/>
      <c r="D124" s="3"/>
      <c r="E124" s="3"/>
      <c r="F124" s="3"/>
      <c r="G124" s="29"/>
      <c r="P124" s="3"/>
      <c r="Q124" s="3"/>
      <c r="R124" s="3"/>
      <c r="S124" s="3"/>
      <c r="T124" s="3"/>
      <c r="U124" s="43"/>
      <c r="V124" s="18"/>
      <c r="Y124" s="72">
        <f t="shared" si="0"/>
        <v>47</v>
      </c>
      <c r="Z124" s="73">
        <v>75</v>
      </c>
      <c r="AA124" s="73">
        <v>5</v>
      </c>
      <c r="AB124" s="31">
        <v>23</v>
      </c>
      <c r="AC124" s="31">
        <f t="shared" si="8"/>
        <v>47</v>
      </c>
      <c r="AD124" s="31">
        <f t="shared" si="11"/>
        <v>47</v>
      </c>
      <c r="AE124" s="31">
        <f t="shared" si="15"/>
        <v>47</v>
      </c>
      <c r="AF124" s="31">
        <f t="shared" si="18"/>
        <v>47</v>
      </c>
      <c r="AG124" s="31">
        <f t="shared" si="21"/>
        <v>47</v>
      </c>
      <c r="AH124" s="31">
        <f t="shared" si="24"/>
        <v>47</v>
      </c>
      <c r="AI124" s="31">
        <f t="shared" si="28"/>
        <v>47</v>
      </c>
      <c r="AJ124" s="31">
        <f t="shared" si="31"/>
        <v>47</v>
      </c>
      <c r="AK124" s="31">
        <f t="shared" si="41"/>
        <v>47</v>
      </c>
      <c r="AL124" s="31">
        <f t="shared" si="45"/>
        <v>47</v>
      </c>
      <c r="AM124" s="31">
        <f t="shared" si="48"/>
        <v>47</v>
      </c>
      <c r="AN124" s="31">
        <f t="shared" si="51"/>
        <v>47</v>
      </c>
      <c r="AO124" s="31">
        <f t="shared" si="52"/>
        <v>47</v>
      </c>
      <c r="AP124" s="31">
        <f t="shared" si="53"/>
        <v>47</v>
      </c>
      <c r="AQ124" s="31">
        <f t="shared" si="54"/>
        <v>47</v>
      </c>
      <c r="AR124" s="31">
        <f t="shared" si="55"/>
        <v>47</v>
      </c>
      <c r="AS124" s="31">
        <f t="shared" si="56"/>
        <v>47</v>
      </c>
      <c r="AT124" s="31">
        <f t="shared" si="58"/>
        <v>46.999999999999986</v>
      </c>
      <c r="AU124" s="31">
        <f>AU123</f>
        <v>47.00000000000002</v>
      </c>
      <c r="AV124" s="31">
        <f>AV123</f>
        <v>47</v>
      </c>
      <c r="AW124" s="69">
        <v>47</v>
      </c>
      <c r="AX124" s="69">
        <f>(44/(AX$102-1))+AX123</f>
        <v>45</v>
      </c>
      <c r="AY124" s="69">
        <f>(44/(AY$102-1))+AY123</f>
        <v>43.17391304347826</v>
      </c>
      <c r="AZ124" s="69">
        <f>(44/(AZ$102-1))+AZ123</f>
        <v>41.50000000000001</v>
      </c>
      <c r="BA124" s="75"/>
      <c r="BB124" s="72">
        <v>3</v>
      </c>
      <c r="BC124" s="73">
        <v>47</v>
      </c>
      <c r="BD124" s="72">
        <f t="shared" si="6"/>
        <v>75</v>
      </c>
      <c r="BE124" s="31">
        <v>23</v>
      </c>
      <c r="BF124" s="31">
        <f t="shared" si="9"/>
        <v>75</v>
      </c>
      <c r="BG124" s="31">
        <f t="shared" si="13"/>
        <v>75</v>
      </c>
      <c r="BH124" s="31">
        <f t="shared" si="16"/>
        <v>75</v>
      </c>
      <c r="BI124" s="31">
        <f t="shared" si="19"/>
        <v>75</v>
      </c>
      <c r="BJ124" s="31">
        <f t="shared" si="22"/>
        <v>75</v>
      </c>
      <c r="BK124" s="31">
        <f t="shared" si="26"/>
        <v>75</v>
      </c>
      <c r="BL124" s="31">
        <f t="shared" si="29"/>
        <v>75</v>
      </c>
      <c r="BM124" s="31">
        <f t="shared" si="32"/>
        <v>75</v>
      </c>
      <c r="BN124" s="31">
        <f t="shared" si="43"/>
        <v>75</v>
      </c>
      <c r="BO124" s="31">
        <f t="shared" si="47"/>
        <v>75</v>
      </c>
      <c r="BP124" s="31">
        <f t="shared" si="50"/>
        <v>75</v>
      </c>
      <c r="BQ124" s="31">
        <f t="shared" si="50"/>
        <v>75</v>
      </c>
      <c r="BR124" s="31">
        <f t="shared" si="50"/>
        <v>75</v>
      </c>
      <c r="BS124" s="31">
        <f t="shared" si="50"/>
        <v>75</v>
      </c>
      <c r="BT124" s="31">
        <f t="shared" si="50"/>
        <v>75</v>
      </c>
      <c r="BU124" s="31">
        <f t="shared" si="50"/>
        <v>75</v>
      </c>
      <c r="BV124" s="31">
        <f t="shared" si="50"/>
        <v>75</v>
      </c>
      <c r="BW124" s="31">
        <f t="shared" si="59"/>
        <v>75</v>
      </c>
      <c r="BX124" s="31">
        <f>BX123</f>
        <v>75</v>
      </c>
      <c r="BY124" s="31">
        <f>BY123</f>
        <v>75</v>
      </c>
      <c r="BZ124" s="69">
        <v>75</v>
      </c>
      <c r="CA124" s="69">
        <f>70/(CA$102-1)+CA123</f>
        <v>71.8181818181818</v>
      </c>
      <c r="CB124" s="69">
        <f>70/(CB$102-1)+CB123</f>
        <v>68.91304347826085</v>
      </c>
      <c r="CC124" s="69">
        <f>70/(CC$102-1)+CC123</f>
        <v>66.24999999999999</v>
      </c>
    </row>
    <row r="125" spans="2:81" ht="11.25" customHeight="1">
      <c r="B125" s="356"/>
      <c r="C125" s="42"/>
      <c r="D125" s="3"/>
      <c r="E125" s="3"/>
      <c r="F125" s="3"/>
      <c r="G125" s="29"/>
      <c r="P125" s="3"/>
      <c r="Q125" s="3"/>
      <c r="R125" s="3"/>
      <c r="S125" s="3"/>
      <c r="T125" s="3"/>
      <c r="U125" s="43"/>
      <c r="V125" s="18"/>
      <c r="Y125" s="72">
        <f t="shared" si="0"/>
        <v>47</v>
      </c>
      <c r="Z125" s="73">
        <v>75</v>
      </c>
      <c r="AA125" s="73">
        <v>5</v>
      </c>
      <c r="AB125" s="31">
        <v>24</v>
      </c>
      <c r="AC125" s="31">
        <f t="shared" si="8"/>
        <v>47</v>
      </c>
      <c r="AD125" s="31">
        <f t="shared" si="11"/>
        <v>47</v>
      </c>
      <c r="AE125" s="31">
        <f t="shared" si="15"/>
        <v>47</v>
      </c>
      <c r="AF125" s="31">
        <f t="shared" si="18"/>
        <v>47</v>
      </c>
      <c r="AG125" s="31">
        <f t="shared" si="21"/>
        <v>47</v>
      </c>
      <c r="AH125" s="31">
        <f t="shared" si="24"/>
        <v>47</v>
      </c>
      <c r="AI125" s="31">
        <f t="shared" si="28"/>
        <v>47</v>
      </c>
      <c r="AJ125" s="31">
        <f t="shared" si="31"/>
        <v>47</v>
      </c>
      <c r="AK125" s="31">
        <f t="shared" si="41"/>
        <v>47</v>
      </c>
      <c r="AL125" s="31">
        <f t="shared" si="45"/>
        <v>47</v>
      </c>
      <c r="AM125" s="31">
        <f t="shared" si="48"/>
        <v>47</v>
      </c>
      <c r="AN125" s="31">
        <f t="shared" si="51"/>
        <v>47</v>
      </c>
      <c r="AO125" s="31">
        <f t="shared" si="52"/>
        <v>47</v>
      </c>
      <c r="AP125" s="31">
        <f t="shared" si="53"/>
        <v>47</v>
      </c>
      <c r="AQ125" s="31">
        <f t="shared" si="54"/>
        <v>47</v>
      </c>
      <c r="AR125" s="31">
        <f t="shared" si="55"/>
        <v>47</v>
      </c>
      <c r="AS125" s="31">
        <f t="shared" si="56"/>
        <v>47</v>
      </c>
      <c r="AT125" s="31">
        <f t="shared" si="58"/>
        <v>46.999999999999986</v>
      </c>
      <c r="AU125" s="31">
        <f>AU124</f>
        <v>47.00000000000002</v>
      </c>
      <c r="AV125" s="31">
        <f>AV124</f>
        <v>47</v>
      </c>
      <c r="AW125" s="31">
        <f>AW124</f>
        <v>47</v>
      </c>
      <c r="AX125" s="69">
        <v>47</v>
      </c>
      <c r="AY125" s="69">
        <f>(44/(AY$102-1))+AY124</f>
        <v>45.086956521739125</v>
      </c>
      <c r="AZ125" s="69">
        <f>(44/(AZ$102-1))+AZ124</f>
        <v>43.33333333333334</v>
      </c>
      <c r="BA125" s="75"/>
      <c r="BB125" s="72">
        <v>3</v>
      </c>
      <c r="BC125" s="73">
        <v>47</v>
      </c>
      <c r="BD125" s="72">
        <f t="shared" si="6"/>
        <v>75</v>
      </c>
      <c r="BE125" s="31">
        <v>24</v>
      </c>
      <c r="BF125" s="31">
        <f t="shared" si="9"/>
        <v>75</v>
      </c>
      <c r="BG125" s="31">
        <f t="shared" si="13"/>
        <v>75</v>
      </c>
      <c r="BH125" s="31">
        <f t="shared" si="16"/>
        <v>75</v>
      </c>
      <c r="BI125" s="31">
        <f t="shared" si="19"/>
        <v>75</v>
      </c>
      <c r="BJ125" s="31">
        <f t="shared" si="22"/>
        <v>75</v>
      </c>
      <c r="BK125" s="31">
        <f t="shared" si="26"/>
        <v>75</v>
      </c>
      <c r="BL125" s="31">
        <f t="shared" si="29"/>
        <v>75</v>
      </c>
      <c r="BM125" s="31">
        <f t="shared" si="32"/>
        <v>75</v>
      </c>
      <c r="BN125" s="31">
        <f t="shared" si="43"/>
        <v>75</v>
      </c>
      <c r="BO125" s="31">
        <f t="shared" si="47"/>
        <v>75</v>
      </c>
      <c r="BP125" s="31">
        <f t="shared" si="50"/>
        <v>75</v>
      </c>
      <c r="BQ125" s="31">
        <f t="shared" si="50"/>
        <v>75</v>
      </c>
      <c r="BR125" s="31">
        <f t="shared" si="50"/>
        <v>75</v>
      </c>
      <c r="BS125" s="31">
        <f t="shared" si="50"/>
        <v>75</v>
      </c>
      <c r="BT125" s="31">
        <f t="shared" si="50"/>
        <v>75</v>
      </c>
      <c r="BU125" s="31">
        <f t="shared" si="50"/>
        <v>75</v>
      </c>
      <c r="BV125" s="31">
        <f t="shared" si="50"/>
        <v>75</v>
      </c>
      <c r="BW125" s="31">
        <f t="shared" si="59"/>
        <v>75</v>
      </c>
      <c r="BX125" s="31">
        <f>BX124</f>
        <v>75</v>
      </c>
      <c r="BY125" s="31">
        <f>BY124</f>
        <v>75</v>
      </c>
      <c r="BZ125" s="31">
        <f>BZ124</f>
        <v>75</v>
      </c>
      <c r="CA125" s="69">
        <v>75</v>
      </c>
      <c r="CB125" s="69">
        <f>70/(CB$102-1)+CB124</f>
        <v>71.95652173913041</v>
      </c>
      <c r="CC125" s="69">
        <f>70/(CC$102-1)+CC124</f>
        <v>69.16666666666666</v>
      </c>
    </row>
    <row r="126" spans="2:81" ht="11.25" customHeight="1">
      <c r="B126" s="356"/>
      <c r="C126" s="42"/>
      <c r="D126" s="477">
        <f>+H31-H54</f>
        <v>0.35</v>
      </c>
      <c r="E126" s="477"/>
      <c r="F126" s="3"/>
      <c r="G126" s="3"/>
      <c r="P126" s="3"/>
      <c r="Q126" s="3"/>
      <c r="R126" s="3"/>
      <c r="S126" s="3"/>
      <c r="T126" s="3"/>
      <c r="U126" s="43"/>
      <c r="V126" s="18"/>
      <c r="Y126" s="72">
        <f t="shared" si="0"/>
        <v>47</v>
      </c>
      <c r="Z126" s="73">
        <v>75</v>
      </c>
      <c r="AA126" s="73">
        <v>5</v>
      </c>
      <c r="AB126" s="31">
        <v>25</v>
      </c>
      <c r="AC126" s="31">
        <f t="shared" si="8"/>
        <v>47</v>
      </c>
      <c r="AD126" s="31">
        <f t="shared" si="11"/>
        <v>47</v>
      </c>
      <c r="AE126" s="31">
        <f t="shared" si="15"/>
        <v>47</v>
      </c>
      <c r="AF126" s="31">
        <f t="shared" si="18"/>
        <v>47</v>
      </c>
      <c r="AG126" s="31">
        <f t="shared" si="21"/>
        <v>47</v>
      </c>
      <c r="AH126" s="31">
        <f t="shared" si="24"/>
        <v>47</v>
      </c>
      <c r="AI126" s="31">
        <f t="shared" si="28"/>
        <v>47</v>
      </c>
      <c r="AJ126" s="31">
        <f t="shared" si="31"/>
        <v>47</v>
      </c>
      <c r="AK126" s="31">
        <f t="shared" si="41"/>
        <v>47</v>
      </c>
      <c r="AL126" s="31">
        <f t="shared" si="45"/>
        <v>47</v>
      </c>
      <c r="AM126" s="31">
        <f t="shared" si="48"/>
        <v>47</v>
      </c>
      <c r="AN126" s="31">
        <f t="shared" si="51"/>
        <v>47</v>
      </c>
      <c r="AO126" s="31">
        <f t="shared" si="52"/>
        <v>47</v>
      </c>
      <c r="AP126" s="31">
        <f t="shared" si="53"/>
        <v>47</v>
      </c>
      <c r="AQ126" s="31">
        <f t="shared" si="54"/>
        <v>47</v>
      </c>
      <c r="AR126" s="31">
        <f t="shared" si="55"/>
        <v>47</v>
      </c>
      <c r="AS126" s="31">
        <f t="shared" si="56"/>
        <v>47</v>
      </c>
      <c r="AT126" s="31">
        <f t="shared" si="58"/>
        <v>46.999999999999986</v>
      </c>
      <c r="AU126" s="31">
        <f>AU125</f>
        <v>47.00000000000002</v>
      </c>
      <c r="AV126" s="31">
        <f>AV125</f>
        <v>47</v>
      </c>
      <c r="AW126" s="31">
        <f>AW125</f>
        <v>47</v>
      </c>
      <c r="AX126" s="31">
        <f>AX125</f>
        <v>47</v>
      </c>
      <c r="AY126" s="69">
        <v>47</v>
      </c>
      <c r="AZ126" s="69">
        <f>(44/(AZ$102-1))+AZ125</f>
        <v>45.16666666666668</v>
      </c>
      <c r="BA126" s="75"/>
      <c r="BB126" s="72">
        <v>3</v>
      </c>
      <c r="BC126" s="73">
        <v>47</v>
      </c>
      <c r="BD126" s="72">
        <f t="shared" si="6"/>
        <v>75</v>
      </c>
      <c r="BE126" s="31">
        <v>25</v>
      </c>
      <c r="BF126" s="31">
        <f t="shared" si="9"/>
        <v>75</v>
      </c>
      <c r="BG126" s="31">
        <f t="shared" si="13"/>
        <v>75</v>
      </c>
      <c r="BH126" s="31">
        <f t="shared" si="16"/>
        <v>75</v>
      </c>
      <c r="BI126" s="31">
        <f t="shared" si="19"/>
        <v>75</v>
      </c>
      <c r="BJ126" s="31">
        <f t="shared" si="22"/>
        <v>75</v>
      </c>
      <c r="BK126" s="31">
        <f t="shared" si="26"/>
        <v>75</v>
      </c>
      <c r="BL126" s="31">
        <f t="shared" si="29"/>
        <v>75</v>
      </c>
      <c r="BM126" s="31">
        <f t="shared" si="32"/>
        <v>75</v>
      </c>
      <c r="BN126" s="31">
        <f t="shared" si="43"/>
        <v>75</v>
      </c>
      <c r="BO126" s="31">
        <f t="shared" si="47"/>
        <v>75</v>
      </c>
      <c r="BP126" s="31">
        <f t="shared" si="50"/>
        <v>75</v>
      </c>
      <c r="BQ126" s="31">
        <f t="shared" si="50"/>
        <v>75</v>
      </c>
      <c r="BR126" s="31">
        <f t="shared" si="50"/>
        <v>75</v>
      </c>
      <c r="BS126" s="31">
        <f t="shared" si="50"/>
        <v>75</v>
      </c>
      <c r="BT126" s="31">
        <f t="shared" si="50"/>
        <v>75</v>
      </c>
      <c r="BU126" s="31">
        <f t="shared" si="50"/>
        <v>75</v>
      </c>
      <c r="BV126" s="31">
        <f t="shared" si="50"/>
        <v>75</v>
      </c>
      <c r="BW126" s="31">
        <f t="shared" si="59"/>
        <v>75</v>
      </c>
      <c r="BX126" s="31">
        <f>BX125</f>
        <v>75</v>
      </c>
      <c r="BY126" s="31">
        <f>BY125</f>
        <v>75</v>
      </c>
      <c r="BZ126" s="31">
        <f>BZ125</f>
        <v>75</v>
      </c>
      <c r="CA126" s="31">
        <f>CA125</f>
        <v>75</v>
      </c>
      <c r="CB126" s="69">
        <v>75</v>
      </c>
      <c r="CC126" s="69">
        <f>70/(CC$102-1)+CC125</f>
        <v>72.08333333333333</v>
      </c>
    </row>
    <row r="127" spans="2:81" ht="11.25" customHeight="1">
      <c r="B127" s="356"/>
      <c r="C127" s="42"/>
      <c r="D127" s="3"/>
      <c r="E127" s="3"/>
      <c r="F127" s="3"/>
      <c r="G127" s="3"/>
      <c r="P127" s="3"/>
      <c r="Q127" s="3"/>
      <c r="R127" s="3"/>
      <c r="S127" s="3"/>
      <c r="T127" s="3"/>
      <c r="U127" s="43"/>
      <c r="V127" s="18"/>
      <c r="Y127" s="72">
        <f t="shared" si="0"/>
        <v>47</v>
      </c>
      <c r="Z127" s="73">
        <v>75</v>
      </c>
      <c r="AA127" s="73">
        <v>5</v>
      </c>
      <c r="AB127" s="31">
        <v>26</v>
      </c>
      <c r="AC127" s="31">
        <f t="shared" si="8"/>
        <v>47</v>
      </c>
      <c r="AD127" s="31">
        <f t="shared" si="11"/>
        <v>47</v>
      </c>
      <c r="AE127" s="31">
        <f t="shared" si="15"/>
        <v>47</v>
      </c>
      <c r="AF127" s="31">
        <f t="shared" si="18"/>
        <v>47</v>
      </c>
      <c r="AG127" s="31">
        <f t="shared" si="21"/>
        <v>47</v>
      </c>
      <c r="AH127" s="31">
        <f t="shared" si="24"/>
        <v>47</v>
      </c>
      <c r="AI127" s="31">
        <f t="shared" si="28"/>
        <v>47</v>
      </c>
      <c r="AJ127" s="31">
        <f t="shared" si="31"/>
        <v>47</v>
      </c>
      <c r="AK127" s="31">
        <f t="shared" si="41"/>
        <v>47</v>
      </c>
      <c r="AL127" s="31">
        <f t="shared" si="45"/>
        <v>47</v>
      </c>
      <c r="AM127" s="31">
        <f t="shared" si="48"/>
        <v>47</v>
      </c>
      <c r="AN127" s="31">
        <f t="shared" si="51"/>
        <v>47</v>
      </c>
      <c r="AO127" s="31">
        <f t="shared" si="52"/>
        <v>47</v>
      </c>
      <c r="AP127" s="31">
        <f t="shared" si="53"/>
        <v>47</v>
      </c>
      <c r="AQ127" s="31">
        <f t="shared" si="54"/>
        <v>47</v>
      </c>
      <c r="AR127" s="31">
        <f t="shared" si="55"/>
        <v>47</v>
      </c>
      <c r="AS127" s="31">
        <f t="shared" si="56"/>
        <v>47</v>
      </c>
      <c r="AT127" s="31">
        <f t="shared" si="58"/>
        <v>46.999999999999986</v>
      </c>
      <c r="AU127" s="31">
        <f>AU126</f>
        <v>47.00000000000002</v>
      </c>
      <c r="AV127" s="31">
        <f>AV126</f>
        <v>47</v>
      </c>
      <c r="AW127" s="31">
        <f>AW126</f>
        <v>47</v>
      </c>
      <c r="AX127" s="31">
        <f>AX126</f>
        <v>47</v>
      </c>
      <c r="AY127" s="31">
        <f>AY126</f>
        <v>47</v>
      </c>
      <c r="AZ127" s="69">
        <v>47</v>
      </c>
      <c r="BA127" s="75"/>
      <c r="BB127" s="72">
        <v>3</v>
      </c>
      <c r="BC127" s="73">
        <v>47</v>
      </c>
      <c r="BD127" s="72">
        <f t="shared" si="6"/>
        <v>75</v>
      </c>
      <c r="BE127" s="31">
        <v>26</v>
      </c>
      <c r="BF127" s="31">
        <f t="shared" si="9"/>
        <v>75</v>
      </c>
      <c r="BG127" s="31">
        <f t="shared" si="13"/>
        <v>75</v>
      </c>
      <c r="BH127" s="31">
        <f t="shared" si="16"/>
        <v>75</v>
      </c>
      <c r="BI127" s="31">
        <f t="shared" si="19"/>
        <v>75</v>
      </c>
      <c r="BJ127" s="31">
        <f t="shared" si="22"/>
        <v>75</v>
      </c>
      <c r="BK127" s="31">
        <f t="shared" si="26"/>
        <v>75</v>
      </c>
      <c r="BL127" s="31">
        <f t="shared" si="29"/>
        <v>75</v>
      </c>
      <c r="BM127" s="31">
        <f t="shared" si="32"/>
        <v>75</v>
      </c>
      <c r="BN127" s="31">
        <f t="shared" si="43"/>
        <v>75</v>
      </c>
      <c r="BO127" s="31">
        <f t="shared" si="47"/>
        <v>75</v>
      </c>
      <c r="BP127" s="31">
        <f t="shared" si="50"/>
        <v>75</v>
      </c>
      <c r="BQ127" s="31">
        <f t="shared" si="50"/>
        <v>75</v>
      </c>
      <c r="BR127" s="31">
        <f t="shared" si="50"/>
        <v>75</v>
      </c>
      <c r="BS127" s="31">
        <f t="shared" si="50"/>
        <v>75</v>
      </c>
      <c r="BT127" s="31">
        <f t="shared" si="50"/>
        <v>75</v>
      </c>
      <c r="BU127" s="31">
        <f t="shared" si="50"/>
        <v>75</v>
      </c>
      <c r="BV127" s="31">
        <f t="shared" si="50"/>
        <v>75</v>
      </c>
      <c r="BW127" s="31">
        <f t="shared" si="59"/>
        <v>75</v>
      </c>
      <c r="BX127" s="31">
        <f>BX126</f>
        <v>75</v>
      </c>
      <c r="BY127" s="31">
        <f>BY126</f>
        <v>75</v>
      </c>
      <c r="BZ127" s="31">
        <f>BZ126</f>
        <v>75</v>
      </c>
      <c r="CA127" s="31">
        <f>CA126</f>
        <v>75</v>
      </c>
      <c r="CB127" s="31">
        <f>CB126</f>
        <v>75</v>
      </c>
      <c r="CC127" s="69">
        <v>75</v>
      </c>
    </row>
    <row r="128" spans="2:81" ht="11.25" customHeight="1">
      <c r="B128" s="356"/>
      <c r="C128" s="42"/>
      <c r="F128" s="480" t="str">
        <f>CONCATENATE("เหล็กรัดรอบ ",D78,"-",E78,F78," ","มม.")</f>
        <v>เหล็กรัดรอบ 3-RB12 มม.</v>
      </c>
      <c r="G128" s="480"/>
      <c r="H128" s="480"/>
      <c r="I128" s="480"/>
      <c r="P128" s="3"/>
      <c r="Q128" s="3"/>
      <c r="R128" s="3"/>
      <c r="S128" s="3"/>
      <c r="T128" s="3"/>
      <c r="U128" s="43"/>
      <c r="V128" s="18"/>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76"/>
      <c r="BB128" s="72">
        <v>3</v>
      </c>
      <c r="BC128" s="73">
        <v>47</v>
      </c>
      <c r="BD128" s="72">
        <f t="shared" si="6"/>
        <v>75</v>
      </c>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row>
    <row r="129" spans="2:51" ht="11.25" customHeight="1">
      <c r="B129" s="356"/>
      <c r="C129" s="42"/>
      <c r="D129" s="409"/>
      <c r="E129" s="409"/>
      <c r="F129" s="3"/>
      <c r="G129" s="3"/>
      <c r="H129" s="3"/>
      <c r="I129" s="3"/>
      <c r="J129" s="3"/>
      <c r="K129" s="3"/>
      <c r="L129" s="3"/>
      <c r="M129" s="467" t="str">
        <f>IF(S10="SR-24",CONCATENATE(H76,"-","RB",H77," ","มม."),CONCATENATE(H76,"-","DB",H77," ","มม."))</f>
        <v>10-DB16 มม.</v>
      </c>
      <c r="N129" s="467"/>
      <c r="O129" s="467"/>
      <c r="P129" s="467"/>
      <c r="Q129" s="3"/>
      <c r="R129" s="3"/>
      <c r="S129" s="3"/>
      <c r="T129" s="3"/>
      <c r="U129" s="43"/>
      <c r="V129" s="18"/>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row>
    <row r="130" spans="2:51" ht="11.25" customHeight="1">
      <c r="B130" s="356"/>
      <c r="C130" s="42"/>
      <c r="D130" s="3"/>
      <c r="E130" s="3"/>
      <c r="F130" s="3"/>
      <c r="G130" s="3"/>
      <c r="P130" s="3"/>
      <c r="Q130" s="3"/>
      <c r="R130" s="3"/>
      <c r="S130" s="3"/>
      <c r="T130" s="3"/>
      <c r="U130" s="43"/>
      <c r="V130" s="18"/>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5"/>
      <c r="AY130" s="35"/>
    </row>
    <row r="131" spans="2:51" ht="11.25" customHeight="1">
      <c r="B131" s="356"/>
      <c r="C131" s="466">
        <f>+H31</f>
        <v>1</v>
      </c>
      <c r="D131" s="3"/>
      <c r="E131" s="3"/>
      <c r="F131" s="82"/>
      <c r="G131" s="3"/>
      <c r="H131" s="3"/>
      <c r="I131" s="3"/>
      <c r="J131" s="3"/>
      <c r="K131" s="3"/>
      <c r="L131" s="3"/>
      <c r="M131" s="3"/>
      <c r="N131" s="3"/>
      <c r="O131" s="3"/>
      <c r="P131" s="3"/>
      <c r="Q131" s="3"/>
      <c r="R131" s="3"/>
      <c r="S131" s="3"/>
      <c r="T131" s="3"/>
      <c r="U131" s="43"/>
      <c r="V131" s="18"/>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5"/>
      <c r="AY131" s="35"/>
    </row>
    <row r="132" spans="2:51" ht="11.25" customHeight="1">
      <c r="B132" s="356"/>
      <c r="C132" s="466"/>
      <c r="D132" s="3"/>
      <c r="E132" s="80"/>
      <c r="G132" s="80"/>
      <c r="H132" s="3"/>
      <c r="I132" s="3"/>
      <c r="J132" s="3"/>
      <c r="K132" s="3"/>
      <c r="L132" s="3"/>
      <c r="M132" s="3"/>
      <c r="N132" s="3"/>
      <c r="O132" s="22"/>
      <c r="P132" s="3"/>
      <c r="Q132" s="3"/>
      <c r="R132" s="3"/>
      <c r="S132" s="3"/>
      <c r="T132" s="3"/>
      <c r="U132" s="43"/>
      <c r="V132" s="18"/>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row>
    <row r="133" spans="2:51" ht="11.25" customHeight="1">
      <c r="B133" s="356"/>
      <c r="C133" s="42"/>
      <c r="D133" s="3"/>
      <c r="E133" s="3"/>
      <c r="G133" s="3"/>
      <c r="H133" s="3"/>
      <c r="I133" s="3"/>
      <c r="J133" s="3"/>
      <c r="K133" s="3"/>
      <c r="L133" s="3"/>
      <c r="M133" s="3"/>
      <c r="N133" s="3"/>
      <c r="P133" s="3"/>
      <c r="Q133" s="3"/>
      <c r="R133" s="3"/>
      <c r="S133" s="39"/>
      <c r="T133" s="3"/>
      <c r="U133" s="43"/>
      <c r="V133" s="18"/>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row>
    <row r="134" spans="2:51" ht="11.25" customHeight="1">
      <c r="B134" s="356"/>
      <c r="C134" s="42"/>
      <c r="D134" s="3"/>
      <c r="E134" s="3"/>
      <c r="G134" s="3"/>
      <c r="H134" s="3"/>
      <c r="I134" s="3"/>
      <c r="J134" s="3"/>
      <c r="K134" s="3"/>
      <c r="L134" s="3"/>
      <c r="M134" s="3"/>
      <c r="N134" s="3"/>
      <c r="O134" s="3"/>
      <c r="P134" s="3"/>
      <c r="Q134" s="3"/>
      <c r="R134" s="3"/>
      <c r="S134" s="3"/>
      <c r="T134" s="3"/>
      <c r="U134" s="43"/>
      <c r="V134" s="18"/>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row>
    <row r="135" spans="2:51" ht="11.25" customHeight="1">
      <c r="B135" s="356"/>
      <c r="C135" s="42"/>
      <c r="D135" s="3"/>
      <c r="E135" s="3"/>
      <c r="G135" s="3"/>
      <c r="H135" s="3"/>
      <c r="I135" s="3"/>
      <c r="J135" s="3"/>
      <c r="K135" s="3"/>
      <c r="L135" s="3"/>
      <c r="M135" s="3"/>
      <c r="N135" s="3"/>
      <c r="O135" s="3"/>
      <c r="P135" s="467" t="str">
        <f>IF(S10="SR-24",CONCATENATE(K76,"-","RB",K77," ","มม."),CONCATENATE(K76,"-","DB",K77," ","มม."))</f>
        <v>21-DB16 มม.</v>
      </c>
      <c r="Q135" s="467"/>
      <c r="R135" s="467"/>
      <c r="S135" s="467"/>
      <c r="T135" s="3"/>
      <c r="U135" s="43"/>
      <c r="V135" s="18"/>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row>
    <row r="136" spans="2:51" ht="11.25" customHeight="1">
      <c r="B136" s="356"/>
      <c r="C136" s="42"/>
      <c r="D136" s="477">
        <f>H54</f>
        <v>0.65</v>
      </c>
      <c r="E136" s="477"/>
      <c r="G136" s="3"/>
      <c r="H136" s="3"/>
      <c r="I136" s="3"/>
      <c r="J136" s="3"/>
      <c r="K136" s="3"/>
      <c r="L136" s="3"/>
      <c r="M136" s="3"/>
      <c r="N136" s="3"/>
      <c r="O136" s="3"/>
      <c r="P136" s="3"/>
      <c r="Q136" s="3"/>
      <c r="R136" s="3"/>
      <c r="S136" s="3"/>
      <c r="T136" s="3"/>
      <c r="U136" s="43"/>
      <c r="V136" s="18"/>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row>
    <row r="137" spans="2:51" ht="11.25" customHeight="1">
      <c r="B137" s="356"/>
      <c r="C137" s="42"/>
      <c r="D137" s="477"/>
      <c r="E137" s="477"/>
      <c r="G137" s="3"/>
      <c r="H137" s="3"/>
      <c r="I137" s="3"/>
      <c r="J137" s="3"/>
      <c r="K137" s="3"/>
      <c r="L137" s="3"/>
      <c r="M137" s="3"/>
      <c r="N137" s="3"/>
      <c r="P137" s="3"/>
      <c r="Q137" s="3"/>
      <c r="R137" s="3"/>
      <c r="S137" s="47"/>
      <c r="T137" s="3"/>
      <c r="U137" s="43"/>
      <c r="V137" s="18"/>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row>
    <row r="138" spans="2:51" ht="11.25" customHeight="1">
      <c r="B138" s="356"/>
      <c r="C138" s="42"/>
      <c r="D138" s="477"/>
      <c r="E138" s="477"/>
      <c r="G138" s="3"/>
      <c r="H138" s="3"/>
      <c r="I138" s="3"/>
      <c r="J138" s="3"/>
      <c r="K138" s="3"/>
      <c r="L138" s="3"/>
      <c r="M138" s="3"/>
      <c r="N138" s="3"/>
      <c r="O138" s="3"/>
      <c r="P138" s="3"/>
      <c r="Q138" s="3"/>
      <c r="R138" s="3"/>
      <c r="S138" s="3"/>
      <c r="T138" s="3"/>
      <c r="U138" s="43"/>
      <c r="V138" s="18"/>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row>
    <row r="139" spans="2:51" ht="11.25" customHeight="1">
      <c r="B139" s="356"/>
      <c r="C139" s="42"/>
      <c r="D139" s="3"/>
      <c r="E139" s="3"/>
      <c r="G139" s="3"/>
      <c r="H139" s="3"/>
      <c r="I139" s="3"/>
      <c r="J139" s="3"/>
      <c r="K139" s="3"/>
      <c r="L139" s="3"/>
      <c r="M139" s="3"/>
      <c r="N139" s="3"/>
      <c r="O139" s="3"/>
      <c r="P139" s="3"/>
      <c r="Q139" s="3"/>
      <c r="S139" s="3"/>
      <c r="T139" s="3"/>
      <c r="U139" s="43"/>
      <c r="V139" s="18"/>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5"/>
      <c r="AY139" s="35"/>
    </row>
    <row r="140" spans="2:22" ht="11.25" customHeight="1">
      <c r="B140" s="356"/>
      <c r="C140" s="42"/>
      <c r="D140" s="3"/>
      <c r="E140" s="3"/>
      <c r="G140" s="3"/>
      <c r="H140" s="3"/>
      <c r="I140" s="3"/>
      <c r="J140" s="3"/>
      <c r="K140" s="3"/>
      <c r="L140" s="3"/>
      <c r="M140" s="3"/>
      <c r="N140" s="3"/>
      <c r="O140" s="3"/>
      <c r="P140" s="3"/>
      <c r="Q140" s="3"/>
      <c r="S140" s="3"/>
      <c r="T140" s="3"/>
      <c r="U140" s="43"/>
      <c r="V140" s="18"/>
    </row>
    <row r="141" spans="2:22" ht="11.25" customHeight="1">
      <c r="B141" s="356"/>
      <c r="C141" s="42"/>
      <c r="D141" s="3"/>
      <c r="E141" s="3"/>
      <c r="G141" s="3"/>
      <c r="H141" s="3"/>
      <c r="I141" s="3"/>
      <c r="J141" s="3"/>
      <c r="K141" s="3"/>
      <c r="L141" s="3"/>
      <c r="M141" s="3"/>
      <c r="N141" s="3"/>
      <c r="O141" s="3"/>
      <c r="P141" s="3"/>
      <c r="Q141" s="3"/>
      <c r="R141" s="3"/>
      <c r="S141" s="3"/>
      <c r="T141" s="3"/>
      <c r="U141" s="43"/>
      <c r="V141" s="18"/>
    </row>
    <row r="142" spans="2:22" ht="11.25" customHeight="1">
      <c r="B142" s="356"/>
      <c r="C142" s="42"/>
      <c r="D142" s="3"/>
      <c r="E142" s="3"/>
      <c r="G142" s="3"/>
      <c r="H142" s="3"/>
      <c r="I142" s="3"/>
      <c r="J142" s="3"/>
      <c r="K142" s="3"/>
      <c r="L142" s="3"/>
      <c r="M142" s="3"/>
      <c r="N142" s="3"/>
      <c r="O142" s="3"/>
      <c r="P142" s="3"/>
      <c r="Q142" s="3"/>
      <c r="R142" s="3"/>
      <c r="S142" s="3"/>
      <c r="T142" s="3"/>
      <c r="U142" s="43"/>
      <c r="V142" s="18"/>
    </row>
    <row r="143" spans="2:22" ht="11.25" customHeight="1">
      <c r="B143" s="356"/>
      <c r="C143" s="42"/>
      <c r="D143" s="459" t="s">
        <v>325</v>
      </c>
      <c r="E143" s="81"/>
      <c r="F143" s="81"/>
      <c r="G143" s="81"/>
      <c r="H143" s="3"/>
      <c r="I143" s="3"/>
      <c r="J143" s="3"/>
      <c r="K143" s="3"/>
      <c r="L143" s="3"/>
      <c r="M143" s="3"/>
      <c r="N143" s="3"/>
      <c r="Q143" s="39" t="s">
        <v>305</v>
      </c>
      <c r="R143" s="3"/>
      <c r="S143" s="3"/>
      <c r="T143" s="3"/>
      <c r="U143" s="43"/>
      <c r="V143" s="18"/>
    </row>
    <row r="144" spans="2:22" ht="11.25" customHeight="1">
      <c r="B144" s="356"/>
      <c r="C144" s="42"/>
      <c r="D144" s="475" t="s">
        <v>324</v>
      </c>
      <c r="E144" s="80"/>
      <c r="G144" s="80"/>
      <c r="H144" s="3"/>
      <c r="I144" s="3"/>
      <c r="J144" s="3"/>
      <c r="K144" s="3"/>
      <c r="L144" s="3"/>
      <c r="M144" s="3"/>
      <c r="N144" s="3"/>
      <c r="Q144" s="522" t="s">
        <v>307</v>
      </c>
      <c r="R144" s="522"/>
      <c r="S144" s="522"/>
      <c r="T144" s="3"/>
      <c r="U144" s="43"/>
      <c r="V144" s="18"/>
    </row>
    <row r="145" spans="2:22" ht="11.25" customHeight="1">
      <c r="B145" s="356"/>
      <c r="C145" s="42"/>
      <c r="D145" s="476"/>
      <c r="E145" s="82"/>
      <c r="G145" s="82"/>
      <c r="H145" s="3"/>
      <c r="I145" s="3"/>
      <c r="J145" s="3"/>
      <c r="K145" s="3"/>
      <c r="L145" s="3"/>
      <c r="M145" s="3"/>
      <c r="N145" s="3"/>
      <c r="O145" s="30"/>
      <c r="Q145" s="522"/>
      <c r="R145" s="522"/>
      <c r="S145" s="522"/>
      <c r="T145" s="3"/>
      <c r="U145" s="43"/>
      <c r="V145" s="18"/>
    </row>
    <row r="146" spans="2:22" ht="11.25" customHeight="1">
      <c r="B146" s="356"/>
      <c r="C146" s="42"/>
      <c r="D146" s="3"/>
      <c r="E146" s="3"/>
      <c r="F146" s="80"/>
      <c r="G146" s="3"/>
      <c r="H146" s="3"/>
      <c r="I146" s="3"/>
      <c r="J146" s="3"/>
      <c r="K146" s="3"/>
      <c r="L146" s="3"/>
      <c r="M146" s="3"/>
      <c r="N146" s="3"/>
      <c r="O146" s="3"/>
      <c r="P146" s="3"/>
      <c r="Q146" s="3"/>
      <c r="R146" s="3"/>
      <c r="S146" s="3"/>
      <c r="T146" s="3"/>
      <c r="U146" s="43"/>
      <c r="V146" s="18"/>
    </row>
    <row r="147" spans="2:22" ht="11.25" customHeight="1">
      <c r="B147" s="356"/>
      <c r="C147" s="42"/>
      <c r="D147" s="3"/>
      <c r="E147" s="3"/>
      <c r="F147" s="3"/>
      <c r="G147" s="3"/>
      <c r="H147" s="3"/>
      <c r="I147" s="3"/>
      <c r="J147" s="3"/>
      <c r="K147" s="3"/>
      <c r="L147" s="3"/>
      <c r="M147" s="3"/>
      <c r="N147" s="3"/>
      <c r="O147" s="3"/>
      <c r="P147" s="3"/>
      <c r="Q147" s="3"/>
      <c r="R147" s="3"/>
      <c r="S147" s="3"/>
      <c r="T147" s="3"/>
      <c r="U147" s="43"/>
      <c r="V147" s="18"/>
    </row>
    <row r="148" spans="2:22" ht="11.25" customHeight="1">
      <c r="B148" s="356"/>
      <c r="C148" s="42"/>
      <c r="D148" s="3"/>
      <c r="E148" s="3"/>
      <c r="F148" s="3"/>
      <c r="G148" s="3"/>
      <c r="H148" s="3"/>
      <c r="I148" s="3"/>
      <c r="J148" s="3"/>
      <c r="K148" s="3"/>
      <c r="L148" s="3"/>
      <c r="N148" s="3"/>
      <c r="O148" s="3"/>
      <c r="P148" s="3"/>
      <c r="Q148" s="3"/>
      <c r="R148" s="3"/>
      <c r="S148" s="3"/>
      <c r="T148" s="3"/>
      <c r="U148" s="43"/>
      <c r="V148" s="18"/>
    </row>
    <row r="149" spans="2:22" ht="11.25" customHeight="1">
      <c r="B149" s="356"/>
      <c r="C149" s="42"/>
      <c r="D149" s="3"/>
      <c r="E149" s="3"/>
      <c r="F149" s="3"/>
      <c r="G149" s="3"/>
      <c r="L149" s="88"/>
      <c r="P149" s="89" t="str">
        <f>"เสาเข็มคอนกรีตอัดแรง 2 ต้น "&amp;H20</f>
        <v>เสาเข็มคอนกรีตอัดแรง 2 ต้น I-22x22</v>
      </c>
      <c r="Q149" s="3"/>
      <c r="R149" s="3"/>
      <c r="S149" s="3"/>
      <c r="T149" s="3"/>
      <c r="U149" s="43"/>
      <c r="V149" s="18"/>
    </row>
    <row r="150" spans="2:22" ht="11.25" customHeight="1">
      <c r="B150" s="356"/>
      <c r="C150" s="42"/>
      <c r="D150" s="3"/>
      <c r="E150" s="3"/>
      <c r="F150" s="3"/>
      <c r="G150" s="3"/>
      <c r="H150" s="3"/>
      <c r="I150" s="3"/>
      <c r="J150" s="3"/>
      <c r="K150" s="3"/>
      <c r="L150" s="3"/>
      <c r="N150" s="3"/>
      <c r="O150" s="3"/>
      <c r="P150" s="28" t="str">
        <f>"รับน้ำหนักปลอดภัยได้ไม่น้อยกว่า "&amp;H21&amp;" ตัน / ต้น"</f>
        <v>รับน้ำหนักปลอดภัยได้ไม่น้อยกว่า 28 ตัน / ต้น</v>
      </c>
      <c r="Q150" s="3"/>
      <c r="R150" s="3"/>
      <c r="S150" s="3"/>
      <c r="T150" s="3"/>
      <c r="U150" s="43"/>
      <c r="V150" s="18"/>
    </row>
    <row r="151" spans="2:22" ht="11.25" customHeight="1">
      <c r="B151" s="356"/>
      <c r="C151" s="42"/>
      <c r="D151" s="3"/>
      <c r="E151" s="3"/>
      <c r="F151" s="3"/>
      <c r="G151" s="3"/>
      <c r="H151" s="3"/>
      <c r="I151" s="3"/>
      <c r="J151" s="3"/>
      <c r="K151" s="3"/>
      <c r="L151" s="3"/>
      <c r="M151" s="3"/>
      <c r="N151" s="3"/>
      <c r="O151" s="3"/>
      <c r="P151" s="3"/>
      <c r="Q151" s="3"/>
      <c r="R151" s="3"/>
      <c r="S151" s="3"/>
      <c r="T151" s="3"/>
      <c r="U151" s="43"/>
      <c r="V151" s="18"/>
    </row>
    <row r="152" spans="2:22" ht="11.25" customHeight="1">
      <c r="B152" s="356"/>
      <c r="C152" s="42"/>
      <c r="D152" s="3"/>
      <c r="E152" s="3"/>
      <c r="F152" s="3"/>
      <c r="G152" s="3"/>
      <c r="H152" s="3"/>
      <c r="I152" s="3"/>
      <c r="J152" s="3"/>
      <c r="K152" s="3"/>
      <c r="L152" s="3"/>
      <c r="M152" s="3"/>
      <c r="N152" s="3"/>
      <c r="O152" s="3"/>
      <c r="P152" s="3"/>
      <c r="Q152" s="3"/>
      <c r="R152" s="3"/>
      <c r="S152" s="3"/>
      <c r="T152" s="3"/>
      <c r="U152" s="43"/>
      <c r="V152" s="18"/>
    </row>
    <row r="153" spans="2:22" ht="11.25" customHeight="1">
      <c r="B153" s="356"/>
      <c r="C153" s="42"/>
      <c r="D153" s="3"/>
      <c r="E153" s="3"/>
      <c r="F153" s="3"/>
      <c r="G153" s="3"/>
      <c r="H153" s="3"/>
      <c r="I153" s="3"/>
      <c r="J153" s="3"/>
      <c r="K153" s="3"/>
      <c r="L153" s="3"/>
      <c r="M153" s="3"/>
      <c r="N153" s="3"/>
      <c r="O153" s="3"/>
      <c r="P153" s="3"/>
      <c r="R153" s="3"/>
      <c r="S153" s="3"/>
      <c r="T153" s="3"/>
      <c r="U153" s="43"/>
      <c r="V153" s="18"/>
    </row>
    <row r="154" spans="2:22" ht="11.25" customHeight="1">
      <c r="B154" s="356"/>
      <c r="C154" s="42"/>
      <c r="D154" s="3"/>
      <c r="E154" s="3"/>
      <c r="F154" s="3"/>
      <c r="G154" s="3"/>
      <c r="H154" s="3"/>
      <c r="I154" s="3"/>
      <c r="J154" s="3"/>
      <c r="K154" s="3"/>
      <c r="L154" s="3"/>
      <c r="M154" s="3"/>
      <c r="N154" s="3"/>
      <c r="O154" s="3"/>
      <c r="P154" s="3"/>
      <c r="Q154" s="90"/>
      <c r="R154" s="3"/>
      <c r="S154" s="3"/>
      <c r="T154" s="3"/>
      <c r="U154" s="43"/>
      <c r="V154" s="18"/>
    </row>
    <row r="155" spans="2:22" ht="11.25" customHeight="1">
      <c r="B155" s="356"/>
      <c r="C155" s="42"/>
      <c r="D155" s="3"/>
      <c r="E155" s="3"/>
      <c r="F155" s="3"/>
      <c r="G155" s="3"/>
      <c r="H155" s="3"/>
      <c r="I155" s="3"/>
      <c r="J155" s="518" t="str">
        <f>"รูปตัดด้านยาว "&amp;Q2</f>
        <v>รูปตัดด้านยาว F2</v>
      </c>
      <c r="K155" s="519"/>
      <c r="L155" s="519"/>
      <c r="M155" s="520"/>
      <c r="N155" s="3"/>
      <c r="O155" s="3"/>
      <c r="P155" s="3"/>
      <c r="R155" s="3"/>
      <c r="S155" s="3"/>
      <c r="T155" s="3"/>
      <c r="U155" s="43"/>
      <c r="V155" s="18"/>
    </row>
    <row r="156" spans="2:22" ht="11.25" customHeight="1">
      <c r="B156" s="356"/>
      <c r="C156" s="42"/>
      <c r="D156" s="3"/>
      <c r="E156" s="3"/>
      <c r="F156" s="3"/>
      <c r="G156" s="3"/>
      <c r="I156" s="85"/>
      <c r="N156" s="85"/>
      <c r="O156" s="85"/>
      <c r="P156" s="3"/>
      <c r="Q156" s="3"/>
      <c r="R156" s="3"/>
      <c r="S156" s="3"/>
      <c r="T156" s="3"/>
      <c r="U156" s="43"/>
      <c r="V156" s="18"/>
    </row>
    <row r="157" spans="2:22" ht="11.25" customHeight="1">
      <c r="B157" s="356"/>
      <c r="C157" s="42"/>
      <c r="D157" s="3"/>
      <c r="E157" s="3"/>
      <c r="F157" s="3"/>
      <c r="G157" s="3"/>
      <c r="H157" s="3"/>
      <c r="I157" s="3"/>
      <c r="J157" s="3"/>
      <c r="K157" s="3"/>
      <c r="L157" s="3"/>
      <c r="M157" s="3"/>
      <c r="N157" s="3"/>
      <c r="O157" s="3"/>
      <c r="P157" s="3"/>
      <c r="Q157" s="3"/>
      <c r="R157" s="3"/>
      <c r="S157" s="3"/>
      <c r="T157" s="3"/>
      <c r="U157" s="43"/>
      <c r="V157" s="18"/>
    </row>
    <row r="158" spans="2:22" ht="11.25" customHeight="1" thickBot="1">
      <c r="B158" s="356"/>
      <c r="C158" s="44"/>
      <c r="D158" s="45"/>
      <c r="E158" s="45"/>
      <c r="F158" s="45"/>
      <c r="G158" s="45"/>
      <c r="H158" s="45"/>
      <c r="I158" s="45"/>
      <c r="J158" s="45"/>
      <c r="K158" s="45"/>
      <c r="L158" s="45"/>
      <c r="M158" s="45"/>
      <c r="N158" s="45"/>
      <c r="O158" s="45"/>
      <c r="P158" s="45"/>
      <c r="Q158" s="45"/>
      <c r="R158" s="45"/>
      <c r="S158" s="45"/>
      <c r="T158" s="45"/>
      <c r="U158" s="46"/>
      <c r="V158" s="18"/>
    </row>
    <row r="159" spans="2:22" ht="11.25" customHeight="1">
      <c r="B159" s="356"/>
      <c r="C159" s="3"/>
      <c r="D159" s="3"/>
      <c r="E159" s="3"/>
      <c r="F159" s="3"/>
      <c r="G159" s="3"/>
      <c r="H159" s="3"/>
      <c r="I159" s="3"/>
      <c r="J159" s="3"/>
      <c r="K159" s="3"/>
      <c r="L159" s="3"/>
      <c r="M159" s="3"/>
      <c r="N159" s="3"/>
      <c r="O159" s="3"/>
      <c r="P159" s="3"/>
      <c r="Q159" s="3"/>
      <c r="R159" s="3"/>
      <c r="S159" s="3"/>
      <c r="T159" s="3"/>
      <c r="U159" s="3"/>
      <c r="V159" s="18"/>
    </row>
    <row r="160" spans="2:22" ht="11.25" customHeight="1">
      <c r="B160" s="356"/>
      <c r="C160" s="3"/>
      <c r="D160" s="3"/>
      <c r="E160" s="3"/>
      <c r="F160" s="3"/>
      <c r="G160" s="3"/>
      <c r="H160" s="3"/>
      <c r="I160" s="3"/>
      <c r="J160" s="3"/>
      <c r="K160" s="3"/>
      <c r="L160" s="3"/>
      <c r="M160" s="3"/>
      <c r="N160" s="3"/>
      <c r="O160" s="3"/>
      <c r="P160" s="3"/>
      <c r="Q160" s="3"/>
      <c r="R160" s="3"/>
      <c r="S160" s="3"/>
      <c r="T160" s="3"/>
      <c r="U160" s="3"/>
      <c r="V160" s="18"/>
    </row>
    <row r="161" spans="2:22" ht="11.25" customHeight="1">
      <c r="B161" s="356"/>
      <c r="C161" s="3"/>
      <c r="D161" s="3"/>
      <c r="E161" s="3"/>
      <c r="F161" s="3"/>
      <c r="G161" s="3"/>
      <c r="H161" s="3"/>
      <c r="I161" s="3"/>
      <c r="J161" s="3"/>
      <c r="K161" s="3"/>
      <c r="L161" s="3"/>
      <c r="M161" s="3"/>
      <c r="N161" s="3"/>
      <c r="O161" s="3"/>
      <c r="P161" s="3"/>
      <c r="Q161" s="3"/>
      <c r="R161" s="3"/>
      <c r="S161" s="3"/>
      <c r="T161" s="3"/>
      <c r="U161" s="3"/>
      <c r="V161" s="18"/>
    </row>
    <row r="162" spans="2:22" ht="11.25" customHeight="1">
      <c r="B162" s="356"/>
      <c r="C162" s="3"/>
      <c r="D162" s="3"/>
      <c r="E162" s="3"/>
      <c r="F162" s="3"/>
      <c r="G162" s="3"/>
      <c r="H162" s="3"/>
      <c r="I162" s="3"/>
      <c r="J162" s="3"/>
      <c r="K162" s="3"/>
      <c r="L162" s="3"/>
      <c r="M162" s="3"/>
      <c r="N162" s="3"/>
      <c r="O162" s="3"/>
      <c r="P162" s="3"/>
      <c r="Q162" s="3"/>
      <c r="R162" s="3"/>
      <c r="S162" s="3"/>
      <c r="T162" s="3"/>
      <c r="U162" s="3"/>
      <c r="V162" s="18"/>
    </row>
    <row r="163" spans="2:22" ht="11.25" customHeight="1">
      <c r="B163" s="356"/>
      <c r="C163" s="3"/>
      <c r="D163" s="3"/>
      <c r="E163" s="3"/>
      <c r="F163" s="3"/>
      <c r="G163" s="3"/>
      <c r="H163" s="3"/>
      <c r="I163" s="3"/>
      <c r="J163" s="3"/>
      <c r="K163" s="3"/>
      <c r="L163" s="3"/>
      <c r="M163" s="3"/>
      <c r="N163" s="3"/>
      <c r="O163" s="3"/>
      <c r="P163" s="3"/>
      <c r="Q163" s="3"/>
      <c r="R163" s="3"/>
      <c r="S163" s="3"/>
      <c r="T163" s="3"/>
      <c r="U163" s="3"/>
      <c r="V163" s="18"/>
    </row>
    <row r="164" spans="2:22" ht="11.25" customHeight="1">
      <c r="B164" s="356"/>
      <c r="C164" s="3"/>
      <c r="D164" s="3"/>
      <c r="E164" s="3"/>
      <c r="F164" s="3"/>
      <c r="G164" s="3"/>
      <c r="H164" s="3"/>
      <c r="I164" s="3"/>
      <c r="J164" s="3"/>
      <c r="K164" s="3"/>
      <c r="L164" s="3"/>
      <c r="M164" s="3"/>
      <c r="N164" s="3"/>
      <c r="O164" s="3"/>
      <c r="P164" s="3"/>
      <c r="Q164" s="3"/>
      <c r="R164" s="3"/>
      <c r="S164" s="3"/>
      <c r="T164" s="3"/>
      <c r="U164" s="3"/>
      <c r="V164" s="18"/>
    </row>
    <row r="165" spans="2:22" ht="11.25" customHeight="1">
      <c r="B165" s="356"/>
      <c r="C165" s="3"/>
      <c r="D165" s="3"/>
      <c r="E165" s="3"/>
      <c r="F165" s="3"/>
      <c r="G165" s="3"/>
      <c r="H165" s="3"/>
      <c r="I165" s="3"/>
      <c r="J165" s="3"/>
      <c r="K165" s="3"/>
      <c r="L165" s="3"/>
      <c r="M165" s="3"/>
      <c r="N165" s="3"/>
      <c r="O165" s="3"/>
      <c r="P165" s="3"/>
      <c r="Q165" s="3"/>
      <c r="R165" s="3"/>
      <c r="S165" s="3"/>
      <c r="T165" s="3"/>
      <c r="U165" s="3"/>
      <c r="V165" s="18"/>
    </row>
    <row r="166" spans="2:22" ht="11.25" customHeight="1">
      <c r="B166" s="356"/>
      <c r="C166" s="3"/>
      <c r="D166" s="3"/>
      <c r="E166" s="3"/>
      <c r="F166" s="3"/>
      <c r="G166" s="3"/>
      <c r="H166" s="3"/>
      <c r="I166" s="3"/>
      <c r="J166" s="3"/>
      <c r="K166" s="3"/>
      <c r="L166" s="3"/>
      <c r="M166" s="3"/>
      <c r="N166" s="3"/>
      <c r="O166" s="3"/>
      <c r="P166" s="3"/>
      <c r="Q166" s="3"/>
      <c r="R166" s="3"/>
      <c r="S166" s="3"/>
      <c r="T166" s="3"/>
      <c r="U166" s="3"/>
      <c r="V166" s="18"/>
    </row>
    <row r="167" spans="2:22" ht="11.25" customHeight="1">
      <c r="B167" s="356"/>
      <c r="C167" s="3"/>
      <c r="D167" s="3"/>
      <c r="E167" s="3"/>
      <c r="F167" s="3"/>
      <c r="G167" s="3"/>
      <c r="H167" s="3"/>
      <c r="I167" s="3"/>
      <c r="J167" s="3"/>
      <c r="K167" s="3"/>
      <c r="L167" s="3"/>
      <c r="M167" s="3"/>
      <c r="N167" s="3"/>
      <c r="O167" s="65"/>
      <c r="P167" s="65"/>
      <c r="Q167" s="65"/>
      <c r="R167" s="65"/>
      <c r="S167" s="65"/>
      <c r="T167" s="65"/>
      <c r="U167" s="65"/>
      <c r="V167" s="18"/>
    </row>
    <row r="168" spans="2:22" ht="11.25" customHeight="1">
      <c r="B168" s="356"/>
      <c r="C168" s="3"/>
      <c r="D168" s="3"/>
      <c r="E168" s="3"/>
      <c r="F168" s="3"/>
      <c r="G168" s="3"/>
      <c r="H168" s="3"/>
      <c r="I168" s="3"/>
      <c r="J168" s="3"/>
      <c r="K168" s="3"/>
      <c r="L168" s="3"/>
      <c r="M168" s="3"/>
      <c r="N168" s="3"/>
      <c r="O168" s="39" t="str">
        <f>O84</f>
        <v>วิศวกรโครงสร้าง :  นาย สุธีร์     แก้วคำ  สย.9698</v>
      </c>
      <c r="P168" s="3"/>
      <c r="Q168" s="3"/>
      <c r="R168" s="3"/>
      <c r="S168" s="3"/>
      <c r="T168" s="3"/>
      <c r="U168" s="3"/>
      <c r="V168" s="18"/>
    </row>
    <row r="169" spans="2:22" ht="11.25" customHeight="1" thickBot="1">
      <c r="B169" s="357"/>
      <c r="C169" s="20"/>
      <c r="D169" s="20"/>
      <c r="E169" s="20"/>
      <c r="F169" s="20"/>
      <c r="G169" s="20"/>
      <c r="H169" s="20"/>
      <c r="I169" s="20"/>
      <c r="J169" s="20"/>
      <c r="K169" s="20"/>
      <c r="L169" s="20"/>
      <c r="M169" s="20"/>
      <c r="N169" s="20"/>
      <c r="O169" s="20"/>
      <c r="P169" s="20"/>
      <c r="Q169" s="20"/>
      <c r="R169" s="20"/>
      <c r="S169" s="20"/>
      <c r="T169" s="20"/>
      <c r="U169" s="20"/>
      <c r="V169" s="21"/>
    </row>
    <row r="170" spans="2:22" ht="11.25" customHeight="1">
      <c r="B170" s="38"/>
      <c r="C170" s="14"/>
      <c r="D170" s="14"/>
      <c r="E170" s="14"/>
      <c r="F170" s="14"/>
      <c r="G170" s="14"/>
      <c r="H170" s="14"/>
      <c r="I170" s="14"/>
      <c r="J170" s="14"/>
      <c r="K170" s="14"/>
      <c r="L170" s="14"/>
      <c r="M170" s="14"/>
      <c r="N170" s="14"/>
      <c r="O170" s="14"/>
      <c r="P170" s="14"/>
      <c r="Q170" s="14"/>
      <c r="R170" s="14"/>
      <c r="S170" s="14"/>
      <c r="T170" s="14"/>
      <c r="U170" s="14"/>
      <c r="V170" s="14"/>
    </row>
    <row r="171" spans="2:22" ht="11.25" customHeight="1">
      <c r="B171" s="38"/>
      <c r="C171" s="14"/>
      <c r="D171" s="14"/>
      <c r="E171" s="14"/>
      <c r="F171" s="14"/>
      <c r="G171" s="14"/>
      <c r="H171" s="14"/>
      <c r="I171" s="14"/>
      <c r="J171" s="14"/>
      <c r="K171" s="14"/>
      <c r="L171" s="14"/>
      <c r="M171" s="14"/>
      <c r="N171" s="14"/>
      <c r="O171" s="14"/>
      <c r="P171" s="14"/>
      <c r="Q171" s="14"/>
      <c r="R171" s="14"/>
      <c r="S171" s="14"/>
      <c r="T171" s="14"/>
      <c r="U171" s="14"/>
      <c r="V171" s="14"/>
    </row>
    <row r="172" spans="2:22" ht="11.25" customHeight="1">
      <c r="B172" s="38"/>
      <c r="C172" s="14"/>
      <c r="D172" s="14"/>
      <c r="E172" s="14"/>
      <c r="F172" s="14"/>
      <c r="G172" s="14"/>
      <c r="H172" s="14"/>
      <c r="I172" s="14"/>
      <c r="J172" s="14"/>
      <c r="K172" s="14"/>
      <c r="L172" s="14"/>
      <c r="M172" s="14"/>
      <c r="N172" s="14"/>
      <c r="O172" s="14"/>
      <c r="P172" s="14"/>
      <c r="Q172" s="14"/>
      <c r="R172" s="14"/>
      <c r="S172" s="14"/>
      <c r="T172" s="14"/>
      <c r="U172" s="14"/>
      <c r="V172" s="14"/>
    </row>
    <row r="173" spans="2:22" ht="11.25" customHeight="1">
      <c r="B173" s="38"/>
      <c r="C173" s="14"/>
      <c r="D173" s="14"/>
      <c r="E173" s="14"/>
      <c r="F173" s="14"/>
      <c r="G173" s="14"/>
      <c r="H173" s="14"/>
      <c r="I173" s="14"/>
      <c r="J173" s="14"/>
      <c r="K173" s="14"/>
      <c r="L173" s="14"/>
      <c r="M173" s="14"/>
      <c r="N173" s="14"/>
      <c r="O173" s="14"/>
      <c r="P173" s="14"/>
      <c r="Q173" s="14"/>
      <c r="R173" s="14"/>
      <c r="S173" s="14"/>
      <c r="T173" s="14"/>
      <c r="U173" s="14"/>
      <c r="V173" s="14"/>
    </row>
    <row r="174" spans="2:22" ht="11.25" customHeight="1">
      <c r="B174" s="38"/>
      <c r="C174" s="14"/>
      <c r="D174" s="14"/>
      <c r="E174" s="14"/>
      <c r="F174" s="14"/>
      <c r="G174" s="14"/>
      <c r="H174" s="14"/>
      <c r="I174" s="14"/>
      <c r="J174" s="14"/>
      <c r="K174" s="14"/>
      <c r="L174" s="14"/>
      <c r="M174" s="14"/>
      <c r="N174" s="14"/>
      <c r="O174" s="14"/>
      <c r="P174" s="14"/>
      <c r="Q174" s="14"/>
      <c r="R174" s="14"/>
      <c r="S174" s="14"/>
      <c r="T174" s="14"/>
      <c r="U174" s="14"/>
      <c r="V174" s="14"/>
    </row>
    <row r="175" spans="2:22" ht="11.25" customHeight="1">
      <c r="B175" s="38"/>
      <c r="C175" s="14"/>
      <c r="D175" s="14"/>
      <c r="E175" s="14"/>
      <c r="F175" s="14"/>
      <c r="G175" s="14"/>
      <c r="H175" s="14"/>
      <c r="I175" s="14"/>
      <c r="J175" s="14"/>
      <c r="K175" s="14"/>
      <c r="L175" s="14"/>
      <c r="M175" s="14"/>
      <c r="N175" s="14"/>
      <c r="O175" s="14"/>
      <c r="P175" s="14"/>
      <c r="Q175" s="14"/>
      <c r="R175" s="14"/>
      <c r="S175" s="14"/>
      <c r="T175" s="14"/>
      <c r="U175" s="14"/>
      <c r="V175" s="14"/>
    </row>
    <row r="176" spans="2:22" ht="11.25" customHeight="1">
      <c r="B176" s="38"/>
      <c r="C176" s="14"/>
      <c r="D176" s="14"/>
      <c r="E176" s="14"/>
      <c r="F176" s="14"/>
      <c r="G176" s="14"/>
      <c r="H176" s="14"/>
      <c r="I176" s="14"/>
      <c r="J176" s="14"/>
      <c r="K176" s="14"/>
      <c r="L176" s="14"/>
      <c r="M176" s="14"/>
      <c r="N176" s="14"/>
      <c r="O176" s="14"/>
      <c r="P176" s="14"/>
      <c r="Q176" s="14"/>
      <c r="R176" s="14"/>
      <c r="S176" s="14"/>
      <c r="T176" s="14"/>
      <c r="U176" s="14"/>
      <c r="V176" s="14"/>
    </row>
    <row r="177" spans="1:2" s="14" customFormat="1" ht="11.25" customHeight="1">
      <c r="A177" s="4"/>
      <c r="B177" s="38"/>
    </row>
    <row r="178" spans="1:2" s="14" customFormat="1" ht="11.25" customHeight="1">
      <c r="A178" s="4"/>
      <c r="B178" s="38"/>
    </row>
    <row r="179" spans="1:2" s="14" customFormat="1" ht="11.25" customHeight="1">
      <c r="A179" s="4"/>
      <c r="B179" s="38"/>
    </row>
    <row r="180" spans="1:2" s="14" customFormat="1" ht="11.25" customHeight="1">
      <c r="A180" s="4"/>
      <c r="B180" s="38"/>
    </row>
    <row r="181" spans="1:2" s="14" customFormat="1" ht="11.25" customHeight="1">
      <c r="A181" s="4"/>
      <c r="B181" s="38"/>
    </row>
    <row r="182" spans="1:2" s="14" customFormat="1" ht="11.25" customHeight="1">
      <c r="A182" s="4"/>
      <c r="B182" s="38"/>
    </row>
    <row r="183" spans="1:2" s="14" customFormat="1" ht="11.25" customHeight="1">
      <c r="A183" s="4"/>
      <c r="B183" s="38"/>
    </row>
    <row r="184" spans="1:2" s="14" customFormat="1" ht="11.25" customHeight="1">
      <c r="A184" s="4"/>
      <c r="B184" s="38"/>
    </row>
    <row r="185" spans="1:2" s="14" customFormat="1" ht="11.25" customHeight="1">
      <c r="A185" s="4"/>
      <c r="B185" s="38"/>
    </row>
    <row r="186" spans="1:2" s="14" customFormat="1" ht="11.25" customHeight="1">
      <c r="A186" s="4"/>
      <c r="B186" s="38"/>
    </row>
    <row r="187" spans="1:2" s="14" customFormat="1" ht="11.25" customHeight="1">
      <c r="A187" s="4"/>
      <c r="B187" s="38"/>
    </row>
    <row r="188" spans="1:2" s="14" customFormat="1" ht="11.25" customHeight="1">
      <c r="A188" s="4"/>
      <c r="B188" s="38"/>
    </row>
    <row r="189" spans="1:2" s="14" customFormat="1" ht="11.25" customHeight="1">
      <c r="A189" s="4"/>
      <c r="B189" s="38"/>
    </row>
    <row r="190" spans="1:2" s="14" customFormat="1" ht="11.25" customHeight="1">
      <c r="A190" s="4"/>
      <c r="B190" s="38"/>
    </row>
    <row r="191" spans="1:2" s="14" customFormat="1" ht="11.25" customHeight="1">
      <c r="A191" s="4"/>
      <c r="B191" s="38"/>
    </row>
    <row r="192" spans="1:2" s="14" customFormat="1" ht="11.25" customHeight="1">
      <c r="A192" s="4"/>
      <c r="B192" s="38"/>
    </row>
    <row r="193" spans="1:2" s="14" customFormat="1" ht="11.25" customHeight="1">
      <c r="A193" s="4"/>
      <c r="B193" s="38"/>
    </row>
    <row r="194" spans="1:2" s="14" customFormat="1" ht="11.25" customHeight="1">
      <c r="A194" s="4"/>
      <c r="B194" s="38"/>
    </row>
    <row r="195" spans="1:2" s="14" customFormat="1" ht="11.25" customHeight="1">
      <c r="A195" s="4"/>
      <c r="B195" s="38"/>
    </row>
    <row r="196" spans="1:2" s="14" customFormat="1" ht="11.25" customHeight="1">
      <c r="A196" s="4"/>
      <c r="B196" s="38"/>
    </row>
    <row r="197" spans="1:2" s="14" customFormat="1" ht="11.25" customHeight="1">
      <c r="A197" s="4"/>
      <c r="B197" s="38"/>
    </row>
    <row r="198" spans="1:2" s="14" customFormat="1" ht="11.25" customHeight="1">
      <c r="A198" s="4"/>
      <c r="B198" s="38"/>
    </row>
    <row r="199" spans="1:2" s="14" customFormat="1" ht="11.25" customHeight="1">
      <c r="A199" s="4"/>
      <c r="B199" s="38"/>
    </row>
    <row r="200" spans="1:2" s="14" customFormat="1" ht="11.25" customHeight="1">
      <c r="A200" s="4"/>
      <c r="B200" s="38"/>
    </row>
    <row r="201" spans="1:2" s="14" customFormat="1" ht="11.25" customHeight="1">
      <c r="A201" s="4"/>
      <c r="B201" s="38"/>
    </row>
    <row r="202" spans="1:2" s="14" customFormat="1" ht="11.25" customHeight="1">
      <c r="A202" s="4"/>
      <c r="B202" s="38"/>
    </row>
    <row r="203" spans="1:2" s="14" customFormat="1" ht="11.25" customHeight="1">
      <c r="A203" s="4"/>
      <c r="B203" s="38"/>
    </row>
    <row r="204" spans="1:2" s="14" customFormat="1" ht="11.25" customHeight="1">
      <c r="A204" s="4"/>
      <c r="B204" s="38"/>
    </row>
    <row r="205" spans="1:2" s="14" customFormat="1" ht="11.25" customHeight="1">
      <c r="A205" s="4"/>
      <c r="B205" s="38"/>
    </row>
    <row r="206" spans="1:2" s="14" customFormat="1" ht="11.25" customHeight="1">
      <c r="A206" s="4"/>
      <c r="B206" s="38"/>
    </row>
    <row r="207" spans="1:2" s="14" customFormat="1" ht="11.25" customHeight="1">
      <c r="A207" s="4"/>
      <c r="B207" s="38"/>
    </row>
    <row r="208" spans="1:2" s="14" customFormat="1" ht="11.25" customHeight="1">
      <c r="A208" s="4"/>
      <c r="B208" s="38"/>
    </row>
    <row r="209" spans="1:2" s="14" customFormat="1" ht="11.25" customHeight="1">
      <c r="A209" s="4"/>
      <c r="B209" s="38"/>
    </row>
    <row r="210" spans="1:2" s="14" customFormat="1" ht="11.25" customHeight="1">
      <c r="A210" s="4"/>
      <c r="B210" s="38"/>
    </row>
    <row r="211" spans="1:2" s="14" customFormat="1" ht="11.25" customHeight="1">
      <c r="A211" s="4"/>
      <c r="B211" s="38"/>
    </row>
    <row r="212" spans="1:2" s="14" customFormat="1" ht="11.25" customHeight="1">
      <c r="A212" s="4"/>
      <c r="B212" s="38"/>
    </row>
    <row r="213" spans="1:2" s="14" customFormat="1" ht="11.25" customHeight="1">
      <c r="A213" s="4"/>
      <c r="B213" s="38"/>
    </row>
    <row r="214" spans="1:2" s="14" customFormat="1" ht="11.25" customHeight="1">
      <c r="A214" s="4"/>
      <c r="B214" s="38"/>
    </row>
    <row r="215" spans="1:2" s="14" customFormat="1" ht="11.25" customHeight="1">
      <c r="A215" s="4"/>
      <c r="B215" s="38"/>
    </row>
    <row r="216" spans="1:2" s="14" customFormat="1" ht="11.25" customHeight="1">
      <c r="A216" s="4"/>
      <c r="B216" s="38"/>
    </row>
    <row r="217" spans="1:2" s="14" customFormat="1" ht="11.25" customHeight="1">
      <c r="A217" s="4"/>
      <c r="B217" s="38"/>
    </row>
    <row r="218" spans="1:2" s="14" customFormat="1" ht="11.25" customHeight="1">
      <c r="A218" s="4"/>
      <c r="B218" s="38"/>
    </row>
    <row r="219" spans="1:2" s="14" customFormat="1" ht="11.25" customHeight="1">
      <c r="A219" s="4"/>
      <c r="B219" s="38"/>
    </row>
    <row r="220" spans="1:2" s="14" customFormat="1" ht="11.25" customHeight="1">
      <c r="A220" s="4"/>
      <c r="B220" s="38"/>
    </row>
    <row r="221" spans="1:2" s="14" customFormat="1" ht="11.25" customHeight="1">
      <c r="A221" s="4"/>
      <c r="B221" s="38"/>
    </row>
    <row r="222" spans="1:2" s="14" customFormat="1" ht="11.25" customHeight="1">
      <c r="A222" s="4"/>
      <c r="B222" s="38"/>
    </row>
    <row r="223" spans="1:2" s="14" customFormat="1" ht="11.25" customHeight="1">
      <c r="A223" s="4"/>
      <c r="B223" s="38"/>
    </row>
    <row r="224" spans="1:2" s="14" customFormat="1" ht="11.25" customHeight="1">
      <c r="A224" s="4"/>
      <c r="B224" s="38"/>
    </row>
    <row r="225" spans="1:2" s="14" customFormat="1" ht="11.25" customHeight="1">
      <c r="A225" s="4"/>
      <c r="B225" s="38"/>
    </row>
    <row r="226" spans="1:2" s="14" customFormat="1" ht="11.25" customHeight="1">
      <c r="A226" s="4"/>
      <c r="B226" s="38"/>
    </row>
    <row r="227" spans="1:2" s="14" customFormat="1" ht="11.25" customHeight="1">
      <c r="A227" s="4"/>
      <c r="B227" s="38"/>
    </row>
    <row r="228" spans="1:2" s="14" customFormat="1" ht="11.25" customHeight="1">
      <c r="A228" s="4"/>
      <c r="B228" s="38"/>
    </row>
    <row r="229" spans="1:2" s="14" customFormat="1" ht="11.25" customHeight="1">
      <c r="A229" s="4"/>
      <c r="B229" s="38"/>
    </row>
    <row r="230" spans="1:2" s="14" customFormat="1" ht="11.25" customHeight="1">
      <c r="A230" s="4"/>
      <c r="B230" s="38"/>
    </row>
    <row r="231" spans="1:2" s="14" customFormat="1" ht="11.25" customHeight="1">
      <c r="A231" s="4"/>
      <c r="B231" s="38"/>
    </row>
    <row r="232" spans="1:2" s="14" customFormat="1" ht="11.25" customHeight="1">
      <c r="A232" s="4"/>
      <c r="B232" s="38"/>
    </row>
    <row r="233" spans="1:2" s="14" customFormat="1" ht="11.25" customHeight="1">
      <c r="A233" s="4"/>
      <c r="B233" s="38"/>
    </row>
    <row r="234" spans="1:2" s="14" customFormat="1" ht="11.25" customHeight="1">
      <c r="A234" s="4"/>
      <c r="B234" s="38"/>
    </row>
    <row r="235" spans="1:2" s="14" customFormat="1" ht="11.25" customHeight="1">
      <c r="A235" s="4"/>
      <c r="B235" s="38"/>
    </row>
    <row r="236" spans="1:2" s="14" customFormat="1" ht="11.25" customHeight="1">
      <c r="A236" s="4"/>
      <c r="B236" s="38"/>
    </row>
    <row r="237" spans="1:2" s="14" customFormat="1" ht="11.25" customHeight="1">
      <c r="A237" s="4"/>
      <c r="B237" s="38"/>
    </row>
    <row r="238" spans="1:2" s="14" customFormat="1" ht="11.25" customHeight="1">
      <c r="A238" s="4"/>
      <c r="B238" s="38"/>
    </row>
    <row r="239" spans="1:2" s="14" customFormat="1" ht="11.25" customHeight="1">
      <c r="A239" s="4"/>
      <c r="B239" s="38"/>
    </row>
    <row r="240" spans="1:2" s="14" customFormat="1" ht="11.25" customHeight="1">
      <c r="A240" s="4"/>
      <c r="B240" s="38"/>
    </row>
    <row r="241" spans="1:2" s="14" customFormat="1" ht="11.25" customHeight="1">
      <c r="A241" s="4"/>
      <c r="B241" s="38"/>
    </row>
    <row r="242" spans="1:2" s="14" customFormat="1" ht="11.25" customHeight="1">
      <c r="A242" s="4"/>
      <c r="B242" s="38"/>
    </row>
    <row r="243" spans="1:2" s="14" customFormat="1" ht="11.25" customHeight="1">
      <c r="A243" s="4"/>
      <c r="B243" s="38"/>
    </row>
    <row r="244" spans="1:2" s="14" customFormat="1" ht="11.25" customHeight="1">
      <c r="A244" s="4"/>
      <c r="B244" s="38"/>
    </row>
    <row r="245" spans="1:2" s="14" customFormat="1" ht="11.25" customHeight="1">
      <c r="A245" s="4"/>
      <c r="B245" s="38"/>
    </row>
    <row r="246" spans="1:2" s="14" customFormat="1" ht="11.25" customHeight="1">
      <c r="A246" s="4"/>
      <c r="B246" s="38"/>
    </row>
    <row r="247" spans="1:2" s="14" customFormat="1" ht="11.25" customHeight="1">
      <c r="A247" s="4"/>
      <c r="B247" s="38"/>
    </row>
    <row r="248" spans="1:2" s="14" customFormat="1" ht="11.25" customHeight="1">
      <c r="A248" s="4"/>
      <c r="B248" s="38"/>
    </row>
    <row r="249" spans="1:2" s="14" customFormat="1" ht="11.25" customHeight="1">
      <c r="A249" s="4"/>
      <c r="B249" s="38"/>
    </row>
    <row r="250" spans="1:2" s="14" customFormat="1" ht="11.25" customHeight="1">
      <c r="A250" s="4"/>
      <c r="B250" s="38"/>
    </row>
    <row r="251" spans="1:2" s="14" customFormat="1" ht="11.25" customHeight="1">
      <c r="A251" s="4"/>
      <c r="B251" s="38"/>
    </row>
    <row r="252" spans="1:2" s="14" customFormat="1" ht="11.25" customHeight="1">
      <c r="A252" s="4"/>
      <c r="B252" s="38"/>
    </row>
    <row r="253" spans="1:2" s="14" customFormat="1" ht="11.25" customHeight="1">
      <c r="A253" s="4"/>
      <c r="B253" s="38"/>
    </row>
    <row r="254" spans="1:2" s="14" customFormat="1" ht="11.25" customHeight="1">
      <c r="A254" s="4"/>
      <c r="B254" s="38"/>
    </row>
    <row r="255" spans="1:2" s="14" customFormat="1" ht="11.25" customHeight="1">
      <c r="A255" s="4"/>
      <c r="B255" s="38"/>
    </row>
    <row r="256" spans="1:2" s="14" customFormat="1" ht="11.25" customHeight="1">
      <c r="A256" s="4"/>
      <c r="B256" s="38"/>
    </row>
    <row r="257" spans="1:2" s="14" customFormat="1" ht="11.25" customHeight="1">
      <c r="A257" s="4"/>
      <c r="B257" s="38"/>
    </row>
    <row r="258" spans="1:2" s="14" customFormat="1" ht="11.25" customHeight="1">
      <c r="A258" s="4"/>
      <c r="B258" s="38"/>
    </row>
    <row r="259" spans="1:2" s="14" customFormat="1" ht="11.25" customHeight="1">
      <c r="A259" s="4"/>
      <c r="B259" s="38"/>
    </row>
    <row r="260" spans="1:2" s="14" customFormat="1" ht="11.25" customHeight="1">
      <c r="A260" s="4"/>
      <c r="B260" s="38"/>
    </row>
    <row r="261" spans="1:2" s="14" customFormat="1" ht="11.25" customHeight="1">
      <c r="A261" s="4"/>
      <c r="B261" s="38"/>
    </row>
    <row r="262" spans="1:2" s="14" customFormat="1" ht="11.25" customHeight="1">
      <c r="A262" s="4"/>
      <c r="B262" s="38"/>
    </row>
    <row r="263" spans="1:2" s="14" customFormat="1" ht="11.25" customHeight="1">
      <c r="A263" s="4"/>
      <c r="B263" s="38"/>
    </row>
    <row r="264" spans="1:2" s="14" customFormat="1" ht="11.25" customHeight="1">
      <c r="A264" s="4"/>
      <c r="B264" s="38"/>
    </row>
    <row r="265" spans="1:2" s="14" customFormat="1" ht="11.25" customHeight="1">
      <c r="A265" s="4"/>
      <c r="B265" s="38"/>
    </row>
    <row r="266" spans="1:2" s="14" customFormat="1" ht="11.25" customHeight="1">
      <c r="A266" s="4"/>
      <c r="B266" s="38"/>
    </row>
    <row r="267" spans="1:2" s="14" customFormat="1" ht="11.25" customHeight="1">
      <c r="A267" s="4"/>
      <c r="B267" s="38"/>
    </row>
    <row r="268" spans="1:2" s="14" customFormat="1" ht="11.25" customHeight="1">
      <c r="A268" s="4"/>
      <c r="B268" s="38"/>
    </row>
    <row r="269" spans="1:2" s="14" customFormat="1" ht="11.25" customHeight="1">
      <c r="A269" s="4"/>
      <c r="B269" s="38"/>
    </row>
    <row r="270" spans="1:2" s="14" customFormat="1" ht="11.25" customHeight="1">
      <c r="A270" s="4"/>
      <c r="B270" s="38"/>
    </row>
    <row r="271" spans="1:2" s="14" customFormat="1" ht="11.25" customHeight="1">
      <c r="A271" s="4"/>
      <c r="B271" s="38"/>
    </row>
    <row r="272" spans="1:2" s="14" customFormat="1" ht="11.25" customHeight="1">
      <c r="A272" s="4"/>
      <c r="B272" s="38"/>
    </row>
    <row r="273" spans="1:2" s="14" customFormat="1" ht="11.25" customHeight="1">
      <c r="A273" s="4"/>
      <c r="B273" s="38"/>
    </row>
    <row r="274" spans="1:2" s="14" customFormat="1" ht="11.25" customHeight="1">
      <c r="A274" s="4"/>
      <c r="B274" s="38"/>
    </row>
    <row r="275" spans="1:2" s="14" customFormat="1" ht="11.25" customHeight="1">
      <c r="A275" s="4"/>
      <c r="B275" s="38"/>
    </row>
    <row r="276" spans="1:2" s="14" customFormat="1" ht="11.25" customHeight="1">
      <c r="A276" s="4"/>
      <c r="B276" s="38"/>
    </row>
    <row r="277" spans="1:2" s="14" customFormat="1" ht="11.25" customHeight="1">
      <c r="A277" s="4"/>
      <c r="B277" s="38"/>
    </row>
    <row r="278" spans="1:2" s="14" customFormat="1" ht="11.25" customHeight="1">
      <c r="A278" s="4"/>
      <c r="B278" s="38"/>
    </row>
    <row r="279" spans="1:2" s="14" customFormat="1" ht="11.25" customHeight="1">
      <c r="A279" s="4"/>
      <c r="B279" s="38"/>
    </row>
    <row r="280" spans="1:2" s="14" customFormat="1" ht="11.25" customHeight="1">
      <c r="A280" s="4"/>
      <c r="B280" s="38"/>
    </row>
    <row r="281" spans="1:2" s="14" customFormat="1" ht="11.25" customHeight="1">
      <c r="A281" s="4"/>
      <c r="B281" s="38"/>
    </row>
    <row r="282" spans="1:2" s="14" customFormat="1" ht="11.25" customHeight="1">
      <c r="A282" s="4"/>
      <c r="B282" s="38"/>
    </row>
    <row r="283" spans="1:2" s="14" customFormat="1" ht="11.25" customHeight="1">
      <c r="A283" s="4"/>
      <c r="B283" s="38"/>
    </row>
    <row r="284" spans="1:2" s="14" customFormat="1" ht="11.25" customHeight="1">
      <c r="A284" s="4"/>
      <c r="B284" s="38"/>
    </row>
    <row r="285" spans="1:2" s="14" customFormat="1" ht="11.25" customHeight="1">
      <c r="A285" s="4"/>
      <c r="B285" s="38"/>
    </row>
    <row r="286" spans="1:2" s="14" customFormat="1" ht="11.25" customHeight="1">
      <c r="A286" s="4"/>
      <c r="B286" s="38"/>
    </row>
    <row r="287" spans="1:2" s="14" customFormat="1" ht="11.25" customHeight="1">
      <c r="A287" s="4"/>
      <c r="B287" s="38"/>
    </row>
    <row r="288" spans="1:2" s="14" customFormat="1" ht="11.25" customHeight="1">
      <c r="A288" s="4"/>
      <c r="B288" s="38"/>
    </row>
    <row r="289" spans="1:2" s="14" customFormat="1" ht="11.25" customHeight="1">
      <c r="A289" s="4"/>
      <c r="B289" s="38"/>
    </row>
    <row r="290" spans="1:2" s="14" customFormat="1" ht="11.25" customHeight="1">
      <c r="A290" s="4"/>
      <c r="B290" s="38"/>
    </row>
    <row r="291" spans="1:2" s="14" customFormat="1" ht="11.25" customHeight="1">
      <c r="A291" s="4"/>
      <c r="B291" s="38"/>
    </row>
    <row r="292" spans="1:2" s="14" customFormat="1" ht="11.25" customHeight="1">
      <c r="A292" s="4"/>
      <c r="B292" s="38"/>
    </row>
    <row r="293" spans="1:2" s="14" customFormat="1" ht="11.25" customHeight="1">
      <c r="A293" s="4"/>
      <c r="B293" s="38"/>
    </row>
    <row r="294" spans="1:2" s="14" customFormat="1" ht="11.25" customHeight="1">
      <c r="A294" s="4"/>
      <c r="B294" s="38"/>
    </row>
    <row r="295" spans="1:2" s="14" customFormat="1" ht="11.25" customHeight="1">
      <c r="A295" s="4"/>
      <c r="B295" s="38"/>
    </row>
    <row r="296" spans="1:2" s="14" customFormat="1" ht="11.25" customHeight="1">
      <c r="A296" s="4"/>
      <c r="B296" s="38"/>
    </row>
    <row r="297" spans="1:2" s="14" customFormat="1" ht="11.25" customHeight="1">
      <c r="A297" s="4"/>
      <c r="B297" s="38"/>
    </row>
    <row r="298" spans="1:2" s="14" customFormat="1" ht="11.25" customHeight="1">
      <c r="A298" s="4"/>
      <c r="B298" s="38"/>
    </row>
    <row r="299" spans="1:2" s="14" customFormat="1" ht="11.25" customHeight="1">
      <c r="A299" s="4"/>
      <c r="B299" s="38"/>
    </row>
    <row r="300" spans="1:2" s="14" customFormat="1" ht="11.25" customHeight="1">
      <c r="A300" s="4"/>
      <c r="B300" s="38"/>
    </row>
    <row r="301" spans="1:2" s="14" customFormat="1" ht="11.25" customHeight="1">
      <c r="A301" s="4"/>
      <c r="B301" s="38"/>
    </row>
    <row r="302" spans="1:2" s="14" customFormat="1" ht="11.25" customHeight="1">
      <c r="A302" s="4"/>
      <c r="B302" s="38"/>
    </row>
    <row r="303" spans="1:2" s="14" customFormat="1" ht="11.25" customHeight="1">
      <c r="A303" s="4"/>
      <c r="B303" s="38"/>
    </row>
    <row r="304" spans="1:2" s="14" customFormat="1" ht="11.25" customHeight="1">
      <c r="A304" s="4"/>
      <c r="B304" s="38"/>
    </row>
    <row r="305" spans="1:2" s="14" customFormat="1" ht="11.25" customHeight="1">
      <c r="A305" s="4"/>
      <c r="B305" s="38"/>
    </row>
    <row r="306" spans="1:2" s="14" customFormat="1" ht="11.25" customHeight="1">
      <c r="A306" s="4"/>
      <c r="B306" s="38"/>
    </row>
    <row r="307" spans="1:2" s="14" customFormat="1" ht="11.25" customHeight="1">
      <c r="A307" s="4"/>
      <c r="B307" s="38"/>
    </row>
    <row r="308" spans="1:2" s="14" customFormat="1" ht="11.25" customHeight="1">
      <c r="A308" s="4"/>
      <c r="B308" s="38"/>
    </row>
    <row r="309" spans="1:2" s="14" customFormat="1" ht="11.25" customHeight="1">
      <c r="A309" s="4"/>
      <c r="B309" s="38"/>
    </row>
    <row r="310" spans="1:2" s="14" customFormat="1" ht="11.25" customHeight="1">
      <c r="A310" s="4"/>
      <c r="B310" s="38"/>
    </row>
    <row r="311" spans="1:2" s="14" customFormat="1" ht="11.25" customHeight="1">
      <c r="A311" s="4"/>
      <c r="B311" s="38"/>
    </row>
    <row r="312" spans="1:2" s="14" customFormat="1" ht="11.25" customHeight="1">
      <c r="A312" s="4"/>
      <c r="B312" s="38"/>
    </row>
    <row r="313" spans="1:2" s="14" customFormat="1" ht="11.25" customHeight="1">
      <c r="A313" s="4"/>
      <c r="B313" s="38"/>
    </row>
    <row r="314" spans="1:2" s="14" customFormat="1" ht="11.25" customHeight="1">
      <c r="A314" s="4"/>
      <c r="B314" s="38"/>
    </row>
    <row r="315" spans="1:2" s="14" customFormat="1" ht="11.25" customHeight="1">
      <c r="A315" s="4"/>
      <c r="B315" s="38"/>
    </row>
    <row r="316" spans="1:2" s="14" customFormat="1" ht="11.25" customHeight="1">
      <c r="A316" s="4"/>
      <c r="B316" s="38"/>
    </row>
    <row r="317" spans="1:2" s="14" customFormat="1" ht="11.25" customHeight="1">
      <c r="A317" s="4"/>
      <c r="B317" s="38"/>
    </row>
    <row r="318" spans="1:2" s="14" customFormat="1" ht="11.25" customHeight="1">
      <c r="A318" s="4"/>
      <c r="B318" s="38"/>
    </row>
    <row r="319" spans="1:2" s="14" customFormat="1" ht="11.25" customHeight="1">
      <c r="A319" s="4"/>
      <c r="B319" s="38"/>
    </row>
    <row r="320" spans="1:2" s="14" customFormat="1" ht="11.25" customHeight="1">
      <c r="A320" s="4"/>
      <c r="B320" s="38"/>
    </row>
    <row r="321" spans="1:2" s="14" customFormat="1" ht="11.25" customHeight="1">
      <c r="A321" s="4"/>
      <c r="B321" s="38"/>
    </row>
    <row r="322" spans="1:2" s="14" customFormat="1" ht="11.25" customHeight="1">
      <c r="A322" s="4"/>
      <c r="B322" s="38"/>
    </row>
    <row r="323" spans="1:2" s="14" customFormat="1" ht="11.25" customHeight="1">
      <c r="A323" s="4"/>
      <c r="B323" s="38"/>
    </row>
    <row r="324" spans="1:2" s="14" customFormat="1" ht="11.25" customHeight="1">
      <c r="A324" s="4"/>
      <c r="B324" s="38"/>
    </row>
    <row r="325" spans="1:2" s="14" customFormat="1" ht="11.25" customHeight="1">
      <c r="A325" s="4"/>
      <c r="B325" s="38"/>
    </row>
    <row r="326" spans="1:2" s="14" customFormat="1" ht="11.25" customHeight="1">
      <c r="A326" s="4"/>
      <c r="B326" s="38"/>
    </row>
    <row r="327" spans="1:2" s="14" customFormat="1" ht="11.25" customHeight="1">
      <c r="A327" s="4"/>
      <c r="B327" s="38"/>
    </row>
    <row r="328" spans="1:2" s="14" customFormat="1" ht="11.25" customHeight="1">
      <c r="A328" s="4"/>
      <c r="B328" s="38"/>
    </row>
    <row r="329" spans="1:2" s="14" customFormat="1" ht="11.25" customHeight="1">
      <c r="A329" s="4"/>
      <c r="B329" s="38"/>
    </row>
    <row r="330" spans="1:2" s="14" customFormat="1" ht="11.25" customHeight="1">
      <c r="A330" s="4"/>
      <c r="B330" s="38"/>
    </row>
    <row r="331" spans="1:2" s="14" customFormat="1" ht="11.25" customHeight="1">
      <c r="A331" s="4"/>
      <c r="B331" s="38"/>
    </row>
    <row r="332" spans="1:2" s="14" customFormat="1" ht="11.25" customHeight="1">
      <c r="A332" s="4"/>
      <c r="B332" s="38"/>
    </row>
    <row r="333" spans="1:2" s="14" customFormat="1" ht="11.25" customHeight="1">
      <c r="A333" s="4"/>
      <c r="B333" s="38"/>
    </row>
    <row r="334" spans="1:2" s="14" customFormat="1" ht="11.25" customHeight="1">
      <c r="A334" s="4"/>
      <c r="B334" s="38"/>
    </row>
    <row r="335" spans="1:2" s="14" customFormat="1" ht="11.25" customHeight="1">
      <c r="A335" s="4"/>
      <c r="B335" s="38"/>
    </row>
    <row r="336" spans="1:2" s="14" customFormat="1" ht="11.25" customHeight="1">
      <c r="A336" s="4"/>
      <c r="B336" s="38"/>
    </row>
    <row r="337" spans="1:2" s="14" customFormat="1" ht="11.25" customHeight="1">
      <c r="A337" s="4"/>
      <c r="B337" s="38"/>
    </row>
    <row r="338" spans="1:2" s="14" customFormat="1" ht="11.25" customHeight="1">
      <c r="A338" s="4"/>
      <c r="B338" s="38"/>
    </row>
    <row r="339" spans="1:2" s="14" customFormat="1" ht="11.25" customHeight="1">
      <c r="A339" s="4"/>
      <c r="B339" s="38"/>
    </row>
    <row r="340" spans="1:2" s="14" customFormat="1" ht="11.25" customHeight="1">
      <c r="A340" s="4"/>
      <c r="B340" s="38"/>
    </row>
    <row r="341" spans="1:2" s="14" customFormat="1" ht="11.25" customHeight="1">
      <c r="A341" s="4"/>
      <c r="B341" s="38"/>
    </row>
    <row r="342" spans="1:2" s="14" customFormat="1" ht="11.25" customHeight="1">
      <c r="A342" s="4"/>
      <c r="B342" s="38"/>
    </row>
    <row r="343" spans="1:2" s="14" customFormat="1" ht="11.25" customHeight="1">
      <c r="A343" s="4"/>
      <c r="B343" s="38"/>
    </row>
    <row r="344" spans="1:2" s="14" customFormat="1" ht="11.25" customHeight="1">
      <c r="A344" s="4"/>
      <c r="B344" s="38"/>
    </row>
    <row r="345" spans="1:2" s="14" customFormat="1" ht="11.25" customHeight="1">
      <c r="A345" s="4"/>
      <c r="B345" s="38"/>
    </row>
    <row r="346" spans="1:2" s="14" customFormat="1" ht="11.25" customHeight="1">
      <c r="A346" s="4"/>
      <c r="B346" s="38"/>
    </row>
    <row r="347" spans="1:2" s="14" customFormat="1" ht="11.25" customHeight="1">
      <c r="A347" s="4"/>
      <c r="B347" s="38"/>
    </row>
    <row r="348" spans="1:2" s="14" customFormat="1" ht="11.25" customHeight="1">
      <c r="A348" s="4"/>
      <c r="B348" s="38"/>
    </row>
    <row r="349" spans="1:2" s="14" customFormat="1" ht="11.25" customHeight="1">
      <c r="A349" s="4"/>
      <c r="B349" s="38"/>
    </row>
    <row r="350" spans="1:2" s="14" customFormat="1" ht="11.25" customHeight="1">
      <c r="A350" s="4"/>
      <c r="B350" s="38"/>
    </row>
    <row r="351" spans="1:2" s="14" customFormat="1" ht="11.25" customHeight="1">
      <c r="A351" s="4"/>
      <c r="B351" s="38"/>
    </row>
    <row r="352" spans="1:2" s="14" customFormat="1" ht="11.25" customHeight="1">
      <c r="A352" s="4"/>
      <c r="B352" s="38"/>
    </row>
    <row r="353" spans="1:2" s="14" customFormat="1" ht="11.25" customHeight="1">
      <c r="A353" s="4"/>
      <c r="B353" s="38"/>
    </row>
    <row r="354" spans="1:2" s="14" customFormat="1" ht="11.25" customHeight="1">
      <c r="A354" s="4"/>
      <c r="B354" s="38"/>
    </row>
    <row r="355" spans="1:2" s="14" customFormat="1" ht="11.25" customHeight="1">
      <c r="A355" s="4"/>
      <c r="B355" s="38"/>
    </row>
    <row r="356" spans="1:2" s="14" customFormat="1" ht="11.25" customHeight="1">
      <c r="A356" s="4"/>
      <c r="B356" s="38"/>
    </row>
    <row r="357" spans="1:2" s="14" customFormat="1" ht="11.25" customHeight="1">
      <c r="A357" s="4"/>
      <c r="B357" s="38"/>
    </row>
    <row r="358" spans="1:2" s="14" customFormat="1" ht="11.25" customHeight="1">
      <c r="A358" s="4"/>
      <c r="B358" s="38"/>
    </row>
    <row r="359" spans="1:2" s="14" customFormat="1" ht="11.25" customHeight="1">
      <c r="A359" s="4"/>
      <c r="B359" s="38"/>
    </row>
    <row r="360" spans="1:2" s="14" customFormat="1" ht="11.25" customHeight="1">
      <c r="A360" s="4"/>
      <c r="B360" s="38"/>
    </row>
    <row r="361" spans="1:2" s="14" customFormat="1" ht="11.25" customHeight="1">
      <c r="A361" s="4"/>
      <c r="B361" s="38"/>
    </row>
    <row r="362" spans="1:2" s="14" customFormat="1" ht="11.25" customHeight="1">
      <c r="A362" s="4"/>
      <c r="B362" s="38"/>
    </row>
    <row r="363" spans="1:2" s="14" customFormat="1" ht="11.25" customHeight="1">
      <c r="A363" s="4"/>
      <c r="B363" s="38"/>
    </row>
    <row r="364" spans="1:2" s="14" customFormat="1" ht="11.25" customHeight="1">
      <c r="A364" s="4"/>
      <c r="B364" s="38"/>
    </row>
    <row r="365" spans="1:2" s="14" customFormat="1" ht="11.25" customHeight="1">
      <c r="A365" s="4"/>
      <c r="B365" s="38"/>
    </row>
    <row r="366" spans="1:2" s="14" customFormat="1" ht="11.25" customHeight="1">
      <c r="A366" s="4"/>
      <c r="B366" s="38"/>
    </row>
    <row r="367" spans="1:2" s="14" customFormat="1" ht="11.25" customHeight="1">
      <c r="A367" s="4"/>
      <c r="B367" s="38"/>
    </row>
    <row r="368" spans="1:2" s="14" customFormat="1" ht="11.25" customHeight="1">
      <c r="A368" s="4"/>
      <c r="B368" s="38"/>
    </row>
    <row r="369" spans="1:2" s="14" customFormat="1" ht="11.25" customHeight="1">
      <c r="A369" s="4"/>
      <c r="B369" s="38"/>
    </row>
    <row r="370" spans="1:2" s="14" customFormat="1" ht="11.25" customHeight="1">
      <c r="A370" s="4"/>
      <c r="B370" s="38"/>
    </row>
    <row r="371" spans="1:2" s="14" customFormat="1" ht="11.25" customHeight="1">
      <c r="A371" s="4"/>
      <c r="B371" s="38"/>
    </row>
    <row r="372" spans="1:2" s="14" customFormat="1" ht="11.25" customHeight="1">
      <c r="A372" s="4"/>
      <c r="B372" s="38"/>
    </row>
    <row r="373" spans="1:2" s="14" customFormat="1" ht="11.25" customHeight="1">
      <c r="A373" s="4"/>
      <c r="B373" s="38"/>
    </row>
    <row r="374" spans="1:2" s="14" customFormat="1" ht="11.25" customHeight="1">
      <c r="A374" s="4"/>
      <c r="B374" s="38"/>
    </row>
    <row r="375" spans="1:2" s="14" customFormat="1" ht="11.25" customHeight="1">
      <c r="A375" s="4"/>
      <c r="B375" s="38"/>
    </row>
    <row r="376" spans="1:2" s="14" customFormat="1" ht="11.25" customHeight="1">
      <c r="A376" s="4"/>
      <c r="B376" s="38"/>
    </row>
    <row r="377" spans="1:2" s="14" customFormat="1" ht="11.25" customHeight="1">
      <c r="A377" s="4"/>
      <c r="B377" s="38"/>
    </row>
    <row r="378" spans="1:2" s="14" customFormat="1" ht="11.25" customHeight="1">
      <c r="A378" s="4"/>
      <c r="B378" s="38"/>
    </row>
    <row r="379" spans="1:2" s="14" customFormat="1" ht="11.25" customHeight="1">
      <c r="A379" s="4"/>
      <c r="B379" s="38"/>
    </row>
    <row r="380" spans="1:2" s="14" customFormat="1" ht="11.25" customHeight="1">
      <c r="A380" s="4"/>
      <c r="B380" s="38"/>
    </row>
    <row r="381" spans="1:2" s="14" customFormat="1" ht="11.25" customHeight="1">
      <c r="A381" s="4"/>
      <c r="B381" s="38"/>
    </row>
    <row r="382" spans="1:2" s="14" customFormat="1" ht="11.25" customHeight="1">
      <c r="A382" s="4"/>
      <c r="B382" s="38"/>
    </row>
    <row r="383" spans="1:2" s="14" customFormat="1" ht="11.25" customHeight="1">
      <c r="A383" s="4"/>
      <c r="B383" s="38"/>
    </row>
    <row r="384" spans="1:2" s="14" customFormat="1" ht="11.25" customHeight="1">
      <c r="A384" s="4"/>
      <c r="B384" s="38"/>
    </row>
    <row r="385" spans="1:2" s="14" customFormat="1" ht="11.25" customHeight="1">
      <c r="A385" s="4"/>
      <c r="B385" s="38"/>
    </row>
    <row r="386" spans="1:2" s="14" customFormat="1" ht="11.25" customHeight="1">
      <c r="A386" s="4"/>
      <c r="B386" s="38"/>
    </row>
    <row r="387" spans="1:2" s="14" customFormat="1" ht="11.25" customHeight="1">
      <c r="A387" s="4"/>
      <c r="B387" s="38"/>
    </row>
    <row r="388" spans="1:2" s="14" customFormat="1" ht="11.25" customHeight="1">
      <c r="A388" s="4"/>
      <c r="B388" s="38"/>
    </row>
    <row r="389" spans="1:2" s="14" customFormat="1" ht="11.25" customHeight="1">
      <c r="A389" s="4"/>
      <c r="B389" s="38"/>
    </row>
    <row r="390" spans="1:2" s="14" customFormat="1" ht="11.25" customHeight="1">
      <c r="A390" s="4"/>
      <c r="B390" s="38"/>
    </row>
    <row r="391" spans="1:2" s="14" customFormat="1" ht="11.25" customHeight="1">
      <c r="A391" s="4"/>
      <c r="B391" s="38"/>
    </row>
    <row r="392" spans="1:2" s="14" customFormat="1" ht="11.25" customHeight="1">
      <c r="A392" s="4"/>
      <c r="B392" s="38"/>
    </row>
    <row r="393" spans="1:2" s="14" customFormat="1" ht="11.25" customHeight="1">
      <c r="A393" s="4"/>
      <c r="B393" s="38"/>
    </row>
    <row r="394" spans="1:2" s="14" customFormat="1" ht="11.25" customHeight="1">
      <c r="A394" s="4"/>
      <c r="B394" s="38"/>
    </row>
    <row r="395" spans="1:2" s="14" customFormat="1" ht="11.25" customHeight="1">
      <c r="A395" s="4"/>
      <c r="B395" s="38"/>
    </row>
    <row r="396" spans="1:2" s="14" customFormat="1" ht="11.25" customHeight="1">
      <c r="A396" s="4"/>
      <c r="B396" s="38"/>
    </row>
    <row r="397" spans="1:2" s="14" customFormat="1" ht="11.25" customHeight="1">
      <c r="A397" s="4"/>
      <c r="B397" s="38"/>
    </row>
    <row r="398" spans="1:2" s="14" customFormat="1" ht="11.25" customHeight="1">
      <c r="A398" s="4"/>
      <c r="B398" s="38"/>
    </row>
    <row r="399" spans="1:2" s="14" customFormat="1" ht="11.25" customHeight="1">
      <c r="A399" s="4"/>
      <c r="B399" s="38"/>
    </row>
    <row r="400" spans="1:2" s="14" customFormat="1" ht="11.25" customHeight="1">
      <c r="A400" s="4"/>
      <c r="B400" s="38"/>
    </row>
    <row r="401" spans="1:2" s="14" customFormat="1" ht="11.25" customHeight="1">
      <c r="A401" s="4"/>
      <c r="B401" s="38"/>
    </row>
    <row r="402" spans="1:2" s="14" customFormat="1" ht="11.25" customHeight="1">
      <c r="A402" s="4"/>
      <c r="B402" s="38"/>
    </row>
    <row r="403" spans="1:2" s="14" customFormat="1" ht="11.25" customHeight="1">
      <c r="A403" s="4"/>
      <c r="B403" s="38"/>
    </row>
    <row r="404" spans="1:2" s="14" customFormat="1" ht="11.25" customHeight="1">
      <c r="A404" s="4"/>
      <c r="B404" s="38"/>
    </row>
    <row r="405" spans="1:2" s="14" customFormat="1" ht="11.25" customHeight="1">
      <c r="A405" s="4"/>
      <c r="B405" s="38"/>
    </row>
    <row r="406" spans="1:2" s="14" customFormat="1" ht="11.25" customHeight="1">
      <c r="A406" s="4"/>
      <c r="B406" s="38"/>
    </row>
    <row r="407" spans="1:2" s="14" customFormat="1" ht="11.25" customHeight="1">
      <c r="A407" s="4"/>
      <c r="B407" s="38"/>
    </row>
    <row r="408" spans="1:2" s="14" customFormat="1" ht="11.25" customHeight="1">
      <c r="A408" s="4"/>
      <c r="B408" s="38"/>
    </row>
    <row r="409" spans="1:2" s="14" customFormat="1" ht="11.25" customHeight="1">
      <c r="A409" s="4"/>
      <c r="B409" s="38"/>
    </row>
    <row r="410" spans="1:2" s="14" customFormat="1" ht="11.25" customHeight="1">
      <c r="A410" s="4"/>
      <c r="B410" s="38"/>
    </row>
    <row r="411" spans="1:2" s="14" customFormat="1" ht="11.25" customHeight="1">
      <c r="A411" s="4"/>
      <c r="B411" s="38"/>
    </row>
    <row r="412" spans="1:2" s="14" customFormat="1" ht="11.25" customHeight="1">
      <c r="A412" s="4"/>
      <c r="B412" s="38"/>
    </row>
    <row r="413" spans="1:2" s="14" customFormat="1" ht="11.25" customHeight="1">
      <c r="A413" s="4"/>
      <c r="B413" s="38"/>
    </row>
    <row r="414" spans="1:2" s="14" customFormat="1" ht="11.25" customHeight="1">
      <c r="A414" s="4"/>
      <c r="B414" s="38"/>
    </row>
    <row r="415" spans="1:2" s="14" customFormat="1" ht="11.25" customHeight="1">
      <c r="A415" s="4"/>
      <c r="B415" s="38"/>
    </row>
    <row r="416" spans="1:2" s="14" customFormat="1" ht="11.25" customHeight="1">
      <c r="A416" s="4"/>
      <c r="B416" s="38"/>
    </row>
    <row r="417" spans="1:2" s="14" customFormat="1" ht="11.25" customHeight="1">
      <c r="A417" s="4"/>
      <c r="B417" s="38"/>
    </row>
    <row r="418" spans="1:2" s="14" customFormat="1" ht="11.25" customHeight="1">
      <c r="A418" s="4"/>
      <c r="B418" s="38"/>
    </row>
    <row r="419" spans="1:2" s="14" customFormat="1" ht="11.25" customHeight="1">
      <c r="A419" s="4"/>
      <c r="B419" s="38"/>
    </row>
    <row r="420" spans="1:2" s="14" customFormat="1" ht="11.25" customHeight="1">
      <c r="A420" s="4"/>
      <c r="B420" s="38"/>
    </row>
    <row r="421" spans="1:2" s="14" customFormat="1" ht="11.25" customHeight="1">
      <c r="A421" s="4"/>
      <c r="B421" s="38"/>
    </row>
    <row r="422" spans="1:2" s="14" customFormat="1" ht="11.25" customHeight="1">
      <c r="A422" s="4"/>
      <c r="B422" s="38"/>
    </row>
    <row r="423" spans="1:2" s="14" customFormat="1" ht="11.25" customHeight="1">
      <c r="A423" s="4"/>
      <c r="B423" s="38"/>
    </row>
    <row r="424" spans="1:2" s="14" customFormat="1" ht="11.25" customHeight="1">
      <c r="A424" s="4"/>
      <c r="B424" s="38"/>
    </row>
    <row r="425" spans="1:2" s="14" customFormat="1" ht="11.25" customHeight="1">
      <c r="A425" s="4"/>
      <c r="B425" s="38"/>
    </row>
    <row r="426" spans="1:2" s="14" customFormat="1" ht="11.25" customHeight="1">
      <c r="A426" s="4"/>
      <c r="B426" s="38"/>
    </row>
    <row r="427" spans="1:2" s="14" customFormat="1" ht="11.25" customHeight="1">
      <c r="A427" s="4"/>
      <c r="B427" s="38"/>
    </row>
    <row r="428" spans="1:2" s="14" customFormat="1" ht="11.25" customHeight="1">
      <c r="A428" s="4"/>
      <c r="B428" s="38"/>
    </row>
    <row r="429" spans="1:2" s="14" customFormat="1" ht="11.25" customHeight="1">
      <c r="A429" s="4"/>
      <c r="B429" s="38"/>
    </row>
    <row r="430" spans="1:2" s="14" customFormat="1" ht="11.25" customHeight="1">
      <c r="A430" s="4"/>
      <c r="B430" s="38"/>
    </row>
    <row r="431" spans="1:2" s="14" customFormat="1" ht="11.25" customHeight="1">
      <c r="A431" s="4"/>
      <c r="B431" s="38"/>
    </row>
    <row r="432" spans="1:2" s="14" customFormat="1" ht="11.25" customHeight="1">
      <c r="A432" s="4"/>
      <c r="B432" s="38"/>
    </row>
    <row r="433" spans="1:2" s="14" customFormat="1" ht="11.25" customHeight="1">
      <c r="A433" s="4"/>
      <c r="B433" s="38"/>
    </row>
    <row r="434" spans="1:2" s="14" customFormat="1" ht="11.25" customHeight="1">
      <c r="A434" s="4"/>
      <c r="B434" s="38"/>
    </row>
    <row r="435" spans="1:2" s="14" customFormat="1" ht="11.25" customHeight="1">
      <c r="A435" s="4"/>
      <c r="B435" s="38"/>
    </row>
    <row r="436" spans="1:2" s="14" customFormat="1" ht="11.25" customHeight="1">
      <c r="A436" s="4"/>
      <c r="B436" s="38"/>
    </row>
    <row r="437" spans="1:2" s="14" customFormat="1" ht="11.25" customHeight="1">
      <c r="A437" s="4"/>
      <c r="B437" s="38"/>
    </row>
    <row r="438" spans="1:2" s="14" customFormat="1" ht="11.25" customHeight="1">
      <c r="A438" s="4"/>
      <c r="B438" s="38"/>
    </row>
    <row r="439" spans="1:2" s="14" customFormat="1" ht="11.25" customHeight="1">
      <c r="A439" s="4"/>
      <c r="B439" s="38"/>
    </row>
    <row r="440" spans="1:2" s="14" customFormat="1" ht="11.25" customHeight="1">
      <c r="A440" s="4"/>
      <c r="B440" s="38"/>
    </row>
    <row r="441" spans="1:2" s="14" customFormat="1" ht="11.25" customHeight="1">
      <c r="A441" s="4"/>
      <c r="B441" s="38"/>
    </row>
    <row r="442" spans="1:2" s="14" customFormat="1" ht="11.25" customHeight="1">
      <c r="A442" s="4"/>
      <c r="B442" s="38"/>
    </row>
    <row r="443" spans="1:2" s="14" customFormat="1" ht="11.25" customHeight="1">
      <c r="A443" s="4"/>
      <c r="B443" s="38"/>
    </row>
    <row r="444" spans="1:2" s="14" customFormat="1" ht="11.25" customHeight="1">
      <c r="A444" s="4"/>
      <c r="B444" s="38"/>
    </row>
    <row r="445" spans="1:2" s="14" customFormat="1" ht="11.25" customHeight="1">
      <c r="A445" s="4"/>
      <c r="B445" s="38"/>
    </row>
    <row r="446" spans="1:2" s="14" customFormat="1" ht="11.25" customHeight="1">
      <c r="A446" s="4"/>
      <c r="B446" s="38"/>
    </row>
    <row r="447" spans="1:2" s="14" customFormat="1" ht="11.25" customHeight="1">
      <c r="A447" s="4"/>
      <c r="B447" s="38"/>
    </row>
    <row r="448" spans="1:2" s="14" customFormat="1" ht="11.25" customHeight="1">
      <c r="A448" s="4"/>
      <c r="B448" s="38"/>
    </row>
    <row r="449" spans="1:2" s="14" customFormat="1" ht="11.25" customHeight="1">
      <c r="A449" s="4"/>
      <c r="B449" s="38"/>
    </row>
    <row r="450" spans="1:2" s="14" customFormat="1" ht="11.25" customHeight="1">
      <c r="A450" s="4"/>
      <c r="B450" s="38"/>
    </row>
    <row r="451" spans="1:2" s="14" customFormat="1" ht="11.25" customHeight="1">
      <c r="A451" s="4"/>
      <c r="B451" s="38"/>
    </row>
    <row r="452" spans="1:2" s="14" customFormat="1" ht="11.25" customHeight="1">
      <c r="A452" s="4"/>
      <c r="B452" s="38"/>
    </row>
    <row r="453" spans="1:2" s="14" customFormat="1" ht="11.25" customHeight="1">
      <c r="A453" s="4"/>
      <c r="B453" s="38"/>
    </row>
    <row r="454" spans="1:2" s="14" customFormat="1" ht="11.25" customHeight="1">
      <c r="A454" s="4"/>
      <c r="B454" s="38"/>
    </row>
    <row r="455" spans="1:2" s="14" customFormat="1" ht="11.25" customHeight="1">
      <c r="A455" s="4"/>
      <c r="B455" s="38"/>
    </row>
    <row r="456" spans="1:2" s="14" customFormat="1" ht="11.25" customHeight="1">
      <c r="A456" s="4"/>
      <c r="B456" s="38"/>
    </row>
    <row r="457" spans="1:2" s="14" customFormat="1" ht="11.25" customHeight="1">
      <c r="A457" s="4"/>
      <c r="B457" s="38"/>
    </row>
    <row r="458" spans="1:2" s="14" customFormat="1" ht="11.25" customHeight="1">
      <c r="A458" s="4"/>
      <c r="B458" s="38"/>
    </row>
    <row r="459" spans="1:2" s="14" customFormat="1" ht="11.25" customHeight="1">
      <c r="A459" s="4"/>
      <c r="B459" s="38"/>
    </row>
    <row r="460" spans="1:2" s="14" customFormat="1" ht="11.25" customHeight="1">
      <c r="A460" s="4"/>
      <c r="B460" s="38"/>
    </row>
    <row r="461" spans="1:2" s="14" customFormat="1" ht="11.25" customHeight="1">
      <c r="A461" s="4"/>
      <c r="B461" s="38"/>
    </row>
    <row r="462" spans="1:2" s="14" customFormat="1" ht="11.25" customHeight="1">
      <c r="A462" s="4"/>
      <c r="B462" s="38"/>
    </row>
    <row r="463" spans="1:2" s="14" customFormat="1" ht="11.25" customHeight="1">
      <c r="A463" s="4"/>
      <c r="B463" s="38"/>
    </row>
    <row r="464" spans="1:2" s="14" customFormat="1" ht="11.25" customHeight="1">
      <c r="A464" s="4"/>
      <c r="B464" s="38"/>
    </row>
    <row r="465" spans="2:22" ht="11.25" customHeight="1">
      <c r="B465" s="38"/>
      <c r="C465" s="14"/>
      <c r="D465" s="14"/>
      <c r="E465" s="14"/>
      <c r="F465" s="14"/>
      <c r="G465" s="14"/>
      <c r="H465" s="14"/>
      <c r="I465" s="14"/>
      <c r="J465" s="14"/>
      <c r="K465" s="14"/>
      <c r="L465" s="14"/>
      <c r="M465" s="14"/>
      <c r="N465" s="14"/>
      <c r="O465" s="14"/>
      <c r="P465" s="14"/>
      <c r="Q465" s="14"/>
      <c r="R465" s="14"/>
      <c r="S465" s="14"/>
      <c r="T465" s="14"/>
      <c r="U465" s="14"/>
      <c r="V465" s="14"/>
    </row>
    <row r="466" spans="2:22" ht="11.25" customHeight="1">
      <c r="B466" s="38"/>
      <c r="C466" s="14"/>
      <c r="D466" s="14"/>
      <c r="E466" s="14"/>
      <c r="F466" s="14"/>
      <c r="G466" s="14"/>
      <c r="H466" s="14"/>
      <c r="I466" s="14"/>
      <c r="J466" s="14"/>
      <c r="K466" s="14"/>
      <c r="L466" s="14"/>
      <c r="M466" s="14"/>
      <c r="N466" s="14"/>
      <c r="O466" s="14"/>
      <c r="P466" s="14"/>
      <c r="Q466" s="14"/>
      <c r="R466" s="14"/>
      <c r="S466" s="14"/>
      <c r="T466" s="14"/>
      <c r="U466" s="14"/>
      <c r="V466" s="14"/>
    </row>
    <row r="467" spans="2:22" ht="11.25" customHeight="1">
      <c r="B467" s="38"/>
      <c r="C467" s="14"/>
      <c r="D467" s="14"/>
      <c r="E467" s="14"/>
      <c r="F467" s="14"/>
      <c r="G467" s="14"/>
      <c r="H467" s="14"/>
      <c r="I467" s="14"/>
      <c r="J467" s="14"/>
      <c r="K467" s="14"/>
      <c r="L467" s="14"/>
      <c r="M467" s="14"/>
      <c r="N467" s="14"/>
      <c r="O467" s="14"/>
      <c r="P467" s="14"/>
      <c r="Q467" s="14"/>
      <c r="R467" s="14"/>
      <c r="S467" s="14"/>
      <c r="T467" s="14"/>
      <c r="U467" s="14"/>
      <c r="V467" s="14"/>
    </row>
    <row r="468" spans="2:22" ht="11.25" customHeight="1">
      <c r="B468" s="38"/>
      <c r="C468" s="14"/>
      <c r="D468" s="14"/>
      <c r="E468" s="14"/>
      <c r="F468" s="14"/>
      <c r="G468" s="14"/>
      <c r="H468" s="14"/>
      <c r="I468" s="14"/>
      <c r="J468" s="14"/>
      <c r="K468" s="14"/>
      <c r="L468" s="14"/>
      <c r="M468" s="14"/>
      <c r="N468" s="14"/>
      <c r="O468" s="14"/>
      <c r="P468" s="14"/>
      <c r="Q468" s="14"/>
      <c r="R468" s="14"/>
      <c r="S468" s="14"/>
      <c r="T468" s="14"/>
      <c r="U468" s="14"/>
      <c r="V468" s="14"/>
    </row>
    <row r="469" spans="2:22" ht="11.25" customHeight="1">
      <c r="B469" s="38"/>
      <c r="C469" s="14"/>
      <c r="D469" s="14"/>
      <c r="E469" s="14"/>
      <c r="F469" s="14"/>
      <c r="G469" s="14"/>
      <c r="H469" s="14"/>
      <c r="I469" s="14"/>
      <c r="J469" s="14"/>
      <c r="K469" s="14"/>
      <c r="L469" s="14"/>
      <c r="M469" s="14"/>
      <c r="N469" s="14"/>
      <c r="O469" s="14"/>
      <c r="P469" s="14"/>
      <c r="Q469" s="14"/>
      <c r="R469" s="14"/>
      <c r="S469" s="14"/>
      <c r="T469" s="14"/>
      <c r="U469" s="14"/>
      <c r="V469" s="14"/>
    </row>
    <row r="470" spans="2:22" ht="11.25" customHeight="1">
      <c r="B470" s="38"/>
      <c r="C470" s="14"/>
      <c r="D470" s="14"/>
      <c r="E470" s="14"/>
      <c r="F470" s="14"/>
      <c r="G470" s="14"/>
      <c r="H470" s="14"/>
      <c r="I470" s="14"/>
      <c r="J470" s="14"/>
      <c r="K470" s="14"/>
      <c r="L470" s="14"/>
      <c r="M470" s="14"/>
      <c r="N470" s="14"/>
      <c r="O470" s="14"/>
      <c r="P470" s="14"/>
      <c r="Q470" s="14"/>
      <c r="R470" s="14"/>
      <c r="S470" s="14"/>
      <c r="T470" s="14"/>
      <c r="U470" s="14"/>
      <c r="V470" s="14"/>
    </row>
  </sheetData>
  <sheetProtection/>
  <mergeCells count="77">
    <mergeCell ref="U86:U88"/>
    <mergeCell ref="Z30:AA30"/>
    <mergeCell ref="Z36:AA36"/>
    <mergeCell ref="C60:D60"/>
    <mergeCell ref="Q2:T2"/>
    <mergeCell ref="Q4:T4"/>
    <mergeCell ref="B6:V6"/>
    <mergeCell ref="J2:M2"/>
    <mergeCell ref="J3:M3"/>
    <mergeCell ref="J4:M4"/>
    <mergeCell ref="AB83:AD83"/>
    <mergeCell ref="AB33:AC33"/>
    <mergeCell ref="J155:M155"/>
    <mergeCell ref="Q93:R93"/>
    <mergeCell ref="Q94:R94"/>
    <mergeCell ref="J115:M115"/>
    <mergeCell ref="Q144:S145"/>
    <mergeCell ref="B90:V90"/>
    <mergeCell ref="O75:O79"/>
    <mergeCell ref="Q72:R72"/>
    <mergeCell ref="AB29:AC29"/>
    <mergeCell ref="AB36:AC36"/>
    <mergeCell ref="AB30:AC30"/>
    <mergeCell ref="AB39:AC39"/>
    <mergeCell ref="Z39:AA39"/>
    <mergeCell ref="S11:T11"/>
    <mergeCell ref="S12:T12"/>
    <mergeCell ref="S16:T16"/>
    <mergeCell ref="Z29:AA29"/>
    <mergeCell ref="Z33:AA33"/>
    <mergeCell ref="Q88:T88"/>
    <mergeCell ref="O4:P4"/>
    <mergeCell ref="H13:I13"/>
    <mergeCell ref="H16:I16"/>
    <mergeCell ref="H17:I17"/>
    <mergeCell ref="H10:I10"/>
    <mergeCell ref="U2:U5"/>
    <mergeCell ref="S10:T10"/>
    <mergeCell ref="O3:P3"/>
    <mergeCell ref="Q3:T3"/>
    <mergeCell ref="J72:L72"/>
    <mergeCell ref="P75:S75"/>
    <mergeCell ref="M25:N25"/>
    <mergeCell ref="P69:S69"/>
    <mergeCell ref="V56:V57"/>
    <mergeCell ref="N53:N54"/>
    <mergeCell ref="H12:I12"/>
    <mergeCell ref="Q32:R32"/>
    <mergeCell ref="Q19:R19"/>
    <mergeCell ref="H11:I11"/>
    <mergeCell ref="S17:T17"/>
    <mergeCell ref="S13:T13"/>
    <mergeCell ref="K99:L99"/>
    <mergeCell ref="K97:L97"/>
    <mergeCell ref="L38:L39"/>
    <mergeCell ref="H20:I20"/>
    <mergeCell ref="G72:I72"/>
    <mergeCell ref="O88:P88"/>
    <mergeCell ref="Q86:T86"/>
    <mergeCell ref="Q87:T87"/>
    <mergeCell ref="D144:D145"/>
    <mergeCell ref="D136:E138"/>
    <mergeCell ref="P135:S135"/>
    <mergeCell ref="N99:O99"/>
    <mergeCell ref="F128:I128"/>
    <mergeCell ref="H99:I99"/>
    <mergeCell ref="D126:E126"/>
    <mergeCell ref="C2:G3"/>
    <mergeCell ref="C4:G5"/>
    <mergeCell ref="C86:G87"/>
    <mergeCell ref="C88:G89"/>
    <mergeCell ref="C131:C132"/>
    <mergeCell ref="M129:P129"/>
    <mergeCell ref="M77:N77"/>
    <mergeCell ref="O87:P87"/>
    <mergeCell ref="J80:L80"/>
    <mergeCell ref="G80:I80"/>
  </mergeCells>
  <conditionalFormatting sqref="L82:L83 I82 I74:I76 L74:L76">
    <cfRule type="cellIs" priority="17" dxfId="4" operator="equal" stopIfTrue="1">
      <formula>"NG."</formula>
    </cfRule>
  </conditionalFormatting>
  <conditionalFormatting sqref="J69 J61 J52 J44 J46 T95">
    <cfRule type="cellIs" priority="15" dxfId="5" operator="equal" stopIfTrue="1">
      <formula>"NG."</formula>
    </cfRule>
    <cfRule type="cellIs" priority="16" dxfId="6" operator="equal" stopIfTrue="1">
      <formula>"OK."</formula>
    </cfRule>
  </conditionalFormatting>
  <dataValidations count="7">
    <dataValidation type="list" allowBlank="1" showInputMessage="1" showErrorMessage="1" sqref="H77 F78 K77">
      <formula1>"12,15,16,20,19,22,25,32"</formula1>
    </dataValidation>
    <dataValidation type="list" allowBlank="1" showInputMessage="1" showErrorMessage="1" sqref="E78">
      <formula1>"RB,DB"</formula1>
    </dataValidation>
    <dataValidation type="list" allowBlank="1" showInputMessage="1" showErrorMessage="1" sqref="D78">
      <formula1>"1,2,3,4,5,6,7,8,9,10,11,12,13,14,15,16,17,18,19,20,21,22,23,24,25,26,27,28,29,30"</formula1>
    </dataValidation>
    <dataValidation type="list" allowBlank="1" showInputMessage="1" showErrorMessage="1" sqref="H76 K76">
      <formula1>"3,4,5,6,7,8,9,10,11,12,13,14,15,16,17,18,19,20,21,22,23,24,25,26,27,28,29,30"</formula1>
    </dataValidation>
    <dataValidation type="list" allowBlank="1" showInputMessage="1" showErrorMessage="1" sqref="H12">
      <formula1>"0.375,.45"</formula1>
    </dataValidation>
    <dataValidation type="list" allowBlank="1" showInputMessage="1" showErrorMessage="1" sqref="V70 V68">
      <formula1>"12,16,20,25,32"</formula1>
    </dataValidation>
    <dataValidation type="list" allowBlank="1" showInputMessage="1" showErrorMessage="1" sqref="S10">
      <formula1>"SR-24,SD-30,SD-40"</formula1>
    </dataValidation>
  </dataValidations>
  <printOptions horizontalCentered="1" verticalCentered="1"/>
  <pageMargins left="0.3937007874015748" right="0.31496062992125984" top="0.3937007874015748" bottom="0.3937007874015748" header="0.31496062992125984" footer="0.07874015748031496"/>
  <pageSetup fitToHeight="2" fitToWidth="1" horizontalDpi="600" verticalDpi="600" orientation="portrait" paperSize="9" scale="85" r:id="rId4"/>
  <headerFooter>
    <oddFooter>&amp;L&amp;11&amp;Z&amp;F&amp;R&amp;11&amp;D/&amp;T</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4">
    <tabColor indexed="10"/>
  </sheetPr>
  <dimension ref="A1:AK103"/>
  <sheetViews>
    <sheetView showGridLines="0" zoomScalePageLayoutView="0" workbookViewId="0" topLeftCell="A54">
      <pane ySplit="5" topLeftCell="A59" activePane="bottomLeft" state="frozen"/>
      <selection pane="topLeft" activeCell="A54" sqref="A54"/>
      <selection pane="bottomLeft" activeCell="E65" sqref="E65"/>
    </sheetView>
  </sheetViews>
  <sheetFormatPr defaultColWidth="9.140625" defaultRowHeight="23.25"/>
  <cols>
    <col min="1" max="1" width="11.8515625" style="335" customWidth="1"/>
    <col min="2" max="3" width="9.140625" style="335" customWidth="1"/>
    <col min="4" max="4" width="9.57421875" style="335" customWidth="1"/>
    <col min="5" max="5" width="10.7109375" style="335" customWidth="1"/>
    <col min="6" max="8" width="9.140625" style="335" customWidth="1"/>
    <col min="9" max="9" width="12.140625" style="335" customWidth="1"/>
    <col min="10" max="11" width="9.140625" style="131" hidden="1" customWidth="1"/>
    <col min="12" max="12" width="10.7109375" style="131" hidden="1" customWidth="1"/>
    <col min="13" max="14" width="9.140625" style="131" hidden="1" customWidth="1"/>
    <col min="15" max="15" width="10.7109375" style="131" hidden="1" customWidth="1"/>
    <col min="16" max="18" width="9.140625" style="131" hidden="1" customWidth="1"/>
    <col min="19" max="25" width="10.7109375" style="131" hidden="1" customWidth="1"/>
    <col min="26" max="26" width="9.140625" style="131" hidden="1" customWidth="1"/>
    <col min="27" max="27" width="9.140625" style="131" customWidth="1"/>
    <col min="28" max="28" width="9.140625" style="133" customWidth="1"/>
    <col min="29" max="16384" width="9.140625" style="131" customWidth="1"/>
  </cols>
  <sheetData>
    <row r="1" spans="1:27" ht="15.75">
      <c r="A1" s="125" t="s">
        <v>53</v>
      </c>
      <c r="B1" s="126"/>
      <c r="C1" s="127"/>
      <c r="D1" s="127"/>
      <c r="E1" s="127"/>
      <c r="F1" s="127"/>
      <c r="G1" s="126"/>
      <c r="H1" s="126"/>
      <c r="I1" s="128"/>
      <c r="J1" s="129"/>
      <c r="K1" s="130" t="s">
        <v>54</v>
      </c>
      <c r="N1" s="130"/>
      <c r="AA1" s="132" t="s">
        <v>55</v>
      </c>
    </row>
    <row r="2" spans="1:29" ht="25.5">
      <c r="A2" s="134" t="s">
        <v>56</v>
      </c>
      <c r="B2" s="135"/>
      <c r="C2" s="136"/>
      <c r="D2" s="135"/>
      <c r="E2" s="135"/>
      <c r="F2" s="135"/>
      <c r="G2" s="137"/>
      <c r="H2" s="137"/>
      <c r="I2" s="138"/>
      <c r="J2" s="129"/>
      <c r="AB2" s="139" t="s">
        <v>57</v>
      </c>
      <c r="AC2" s="140"/>
    </row>
    <row r="3" spans="1:29" ht="12.75">
      <c r="A3" s="141" t="s">
        <v>58</v>
      </c>
      <c r="B3" s="142"/>
      <c r="C3" s="142"/>
      <c r="D3" s="142"/>
      <c r="E3" s="142"/>
      <c r="F3" s="142"/>
      <c r="G3" s="143"/>
      <c r="H3" s="143"/>
      <c r="I3" s="144"/>
      <c r="J3" s="129"/>
      <c r="L3" s="145" t="s">
        <v>59</v>
      </c>
      <c r="M3" s="146"/>
      <c r="N3" s="145" t="s">
        <v>60</v>
      </c>
      <c r="O3" s="147"/>
      <c r="P3" s="146"/>
      <c r="Q3" s="145" t="s">
        <v>61</v>
      </c>
      <c r="R3" s="146"/>
      <c r="S3" s="145" t="s">
        <v>62</v>
      </c>
      <c r="T3" s="148"/>
      <c r="AB3" s="149" t="s">
        <v>63</v>
      </c>
      <c r="AC3" s="149" t="s">
        <v>64</v>
      </c>
    </row>
    <row r="4" spans="1:29" ht="12.75">
      <c r="A4" s="150" t="s">
        <v>65</v>
      </c>
      <c r="B4" s="151"/>
      <c r="C4" s="152"/>
      <c r="D4" s="152"/>
      <c r="E4" s="152"/>
      <c r="F4" s="153" t="s">
        <v>66</v>
      </c>
      <c r="G4" s="154"/>
      <c r="H4" s="155"/>
      <c r="I4" s="156"/>
      <c r="J4" s="157"/>
      <c r="K4" s="158" t="s">
        <v>67</v>
      </c>
      <c r="L4" s="159" t="s">
        <v>68</v>
      </c>
      <c r="M4" s="159" t="s">
        <v>69</v>
      </c>
      <c r="N4" s="160" t="s">
        <v>17</v>
      </c>
      <c r="O4" s="160" t="s">
        <v>18</v>
      </c>
      <c r="P4" s="160" t="s">
        <v>70</v>
      </c>
      <c r="Q4" s="161" t="s">
        <v>71</v>
      </c>
      <c r="R4" s="161" t="s">
        <v>72</v>
      </c>
      <c r="S4" s="161" t="s">
        <v>73</v>
      </c>
      <c r="T4" s="161" t="s">
        <v>74</v>
      </c>
      <c r="AB4" s="162">
        <f>+AB56</f>
        <v>0.4</v>
      </c>
      <c r="AC4" s="163">
        <f>+AC56</f>
        <v>0.4</v>
      </c>
    </row>
    <row r="5" spans="1:34" ht="12.75">
      <c r="A5" s="150" t="s">
        <v>75</v>
      </c>
      <c r="B5" s="164"/>
      <c r="C5" s="155"/>
      <c r="D5" s="155"/>
      <c r="E5" s="156"/>
      <c r="F5" s="165" t="s">
        <v>76</v>
      </c>
      <c r="G5" s="166"/>
      <c r="H5" s="167" t="s">
        <v>77</v>
      </c>
      <c r="I5" s="168"/>
      <c r="J5" s="157"/>
      <c r="K5" s="133">
        <v>1</v>
      </c>
      <c r="L5" s="169">
        <f>IF($C$9&gt;=1,$C12+0.000001-$L$35,"")</f>
        <v>9.999999999732445E-07</v>
      </c>
      <c r="M5" s="169">
        <f>IF($C$9&gt;=1,$B12+0.000001-$L$34,"")</f>
        <v>-0.39999900000000005</v>
      </c>
      <c r="N5" s="170">
        <f>IF($C$9&gt;=1,$L5^2,"")</f>
        <v>9.999999999464891E-13</v>
      </c>
      <c r="O5" s="170">
        <f>IF($C$9&gt;=1,$M5^2,"")</f>
        <v>0.15999920000100004</v>
      </c>
      <c r="P5" s="170">
        <f>IF($C$9&gt;=1,$L5*$M5,"")</f>
        <v>-3.999989999892979E-07</v>
      </c>
      <c r="Q5" s="171">
        <f>IF($C$9&gt;=1,$B12-$L$34,"")</f>
        <v>-0.4</v>
      </c>
      <c r="R5" s="171">
        <f>IF($C$9&gt;=1,$C12-$L$35,"")</f>
        <v>0</v>
      </c>
      <c r="S5" s="172">
        <f>IF($C$9&gt;=1,(-$P$43/$C$9+($P$47*$L$36--$P$46*$L$39)/($L$36*$L$37-$L$39^2)*$Q5+(-$P$46*$L$37-$P$47*$L$39)/($L$36*$L$37-$L$39^2)*$R5),"")</f>
        <v>242.76836774999998</v>
      </c>
      <c r="T5" s="172">
        <f>IF($C$9&gt;=1,((($P$44/$C$9+$P$48*-$R5/$L$38)^2+($P$45/$C$9+$P$48*$Q5/$L$38)^2)^(1/2)),"")</f>
        <v>0</v>
      </c>
      <c r="AE5" s="173" t="s">
        <v>130</v>
      </c>
      <c r="AF5" s="174"/>
      <c r="AG5" s="174"/>
      <c r="AH5" s="174"/>
    </row>
    <row r="6" spans="1:34" ht="12.75">
      <c r="A6" s="175"/>
      <c r="B6" s="176"/>
      <c r="C6" s="176"/>
      <c r="D6" s="176"/>
      <c r="E6" s="176"/>
      <c r="F6" s="176"/>
      <c r="G6" s="176"/>
      <c r="H6" s="177"/>
      <c r="I6" s="178"/>
      <c r="J6" s="129"/>
      <c r="K6" s="133">
        <v>2</v>
      </c>
      <c r="L6" s="169">
        <f>IF($C$9&gt;=2,$C13-$L$35,"")</f>
        <v>0</v>
      </c>
      <c r="M6" s="169">
        <f>IF($C$9&gt;=2,$B13-$L$34,"")</f>
        <v>0.3999999999999999</v>
      </c>
      <c r="N6" s="170">
        <f>IF($C$9&gt;=2,$L6^2,"")</f>
        <v>0</v>
      </c>
      <c r="O6" s="170">
        <f>IF($C$9&gt;=2,$M6^2,"")</f>
        <v>0.15999999999999992</v>
      </c>
      <c r="P6" s="170">
        <f>IF($C$9&gt;=2,$L6*$M6,"")</f>
        <v>0</v>
      </c>
      <c r="Q6" s="171">
        <f>IF($C$9&gt;=2,$B13-$L$34,"")</f>
        <v>0.3999999999999999</v>
      </c>
      <c r="R6" s="171">
        <f>IF($C$9&gt;=2,$C13-$L$35,"")</f>
        <v>0</v>
      </c>
      <c r="S6" s="172">
        <f>IF($C$9&gt;=2,(-$P$43/$C$9+($P$47*$L$36--$P$46*$L$39)/($L$36*$L$37-$L$39^2)*$Q6+(-$P$46*$L$37-$P$47*$L$39)/($L$36*$L$37-$L$39^2)*$R6),"")</f>
        <v>242.76836774999998</v>
      </c>
      <c r="T6" s="172">
        <f>IF($C$9&gt;=2,((($P$44/$C$9+$P$48*-$R6/$L$38)^2+($P$45/$C$9+$P$48*$Q6/$L$38)^2)^(1/2)),"")</f>
        <v>0</v>
      </c>
      <c r="AE6" s="174" t="s">
        <v>78</v>
      </c>
      <c r="AF6" s="174"/>
      <c r="AG6" s="174"/>
      <c r="AH6" s="174"/>
    </row>
    <row r="7" spans="1:34" ht="12.75">
      <c r="A7" s="179" t="s">
        <v>79</v>
      </c>
      <c r="B7" s="176"/>
      <c r="C7" s="180"/>
      <c r="D7" s="176"/>
      <c r="E7" s="176"/>
      <c r="F7" s="176"/>
      <c r="G7" s="176"/>
      <c r="H7" s="177"/>
      <c r="I7" s="181"/>
      <c r="J7" s="129"/>
      <c r="K7" s="133">
        <v>3</v>
      </c>
      <c r="L7" s="169">
        <f>IF($C$9&gt;=3,$C14-$L$35,"")</f>
      </c>
      <c r="M7" s="169">
        <f>IF($C$9&gt;=3,$B14-$L$34,"")</f>
      </c>
      <c r="N7" s="170">
        <f>IF($C$9&gt;=3,$L7^2,"")</f>
      </c>
      <c r="O7" s="170">
        <f>IF($C$9&gt;=3,$M7^2,"")</f>
      </c>
      <c r="P7" s="170">
        <f>IF($C$9&gt;=3,$L7*$M7,"")</f>
      </c>
      <c r="Q7" s="171">
        <f>IF($C$9&gt;=3,$B14-$L$34,"")</f>
      </c>
      <c r="R7" s="171">
        <f>IF($C$9&gt;=3,$C14-$L$35,"")</f>
      </c>
      <c r="S7" s="172">
        <f>IF($C$9&gt;=3,(-$P$43/$C$9+($P$47*$L$36--$P$46*$L$39)/($L$36*$L$37-$L$39^2)*$Q7+(-$P$46*$L$37-$P$47*$L$39)/($L$36*$L$37-$L$39^2)*$R7),"")</f>
      </c>
      <c r="T7" s="172">
        <f>IF($C$9&gt;=3,((($P$44/$C$9+$P$48*-$R7/$L$38)^2+($P$45/$C$9+$P$48*$Q7/$L$38)^2)^(1/2)),"")</f>
      </c>
      <c r="AE7" s="174" t="s">
        <v>80</v>
      </c>
      <c r="AF7" s="174"/>
      <c r="AG7" s="174"/>
      <c r="AH7" s="174"/>
    </row>
    <row r="8" spans="1:34" ht="12.75">
      <c r="A8" s="182"/>
      <c r="B8" s="183"/>
      <c r="C8" s="176"/>
      <c r="D8" s="176"/>
      <c r="E8" s="184" t="s">
        <v>81</v>
      </c>
      <c r="F8" s="185"/>
      <c r="G8" s="186"/>
      <c r="H8" s="187"/>
      <c r="I8" s="188"/>
      <c r="J8" s="129"/>
      <c r="K8" s="133">
        <v>4</v>
      </c>
      <c r="L8" s="169">
        <f>IF($C$9&gt;=4,$C15-$L$35,"")</f>
      </c>
      <c r="M8" s="169">
        <f>IF($C$9&gt;=4,$B15-$L$34,"")</f>
      </c>
      <c r="N8" s="170">
        <f>IF($C$9&gt;=4,$L8^2,"")</f>
      </c>
      <c r="O8" s="170">
        <f>IF($C$9&gt;=4,$M8^2,"")</f>
      </c>
      <c r="P8" s="170">
        <f>IF($C$9&gt;=4,$L8*$M8,"")</f>
      </c>
      <c r="Q8" s="171">
        <f>IF($C$9&gt;=4,$B15-$L$34,"")</f>
      </c>
      <c r="R8" s="171">
        <f>IF($C$9&gt;=4,$C15-$L$35,"")</f>
      </c>
      <c r="S8" s="172">
        <f>IF($C$9&gt;=4,(-$P$43/$C$9+($P$47*$L$36--$P$46*$L$39)/($L$36*$L$37-$L$39^2)*$Q8+(-$P$46*$L$37-$P$47*$L$39)/($L$36*$L$37-$L$39^2)*$R8),"")</f>
      </c>
      <c r="T8" s="172">
        <f>IF($C$9&gt;=4,((($P$44/$C$9+$P$48*-$R8/$L$38)^2+($P$45/$C$9+$P$48*$Q8/$L$38)^2)^(1/2)),"")</f>
      </c>
      <c r="AE8" s="174" t="s">
        <v>82</v>
      </c>
      <c r="AF8" s="174"/>
      <c r="AG8" s="174"/>
      <c r="AH8" s="174"/>
    </row>
    <row r="9" spans="1:20" ht="12.75">
      <c r="A9" s="182"/>
      <c r="B9" s="189" t="s">
        <v>83</v>
      </c>
      <c r="C9" s="190">
        <f>C62</f>
        <v>2</v>
      </c>
      <c r="D9" s="191"/>
      <c r="E9" s="192"/>
      <c r="F9" s="185"/>
      <c r="G9" s="193"/>
      <c r="H9" s="193"/>
      <c r="I9" s="194" t="s">
        <v>84</v>
      </c>
      <c r="J9" s="129"/>
      <c r="K9" s="133">
        <v>5</v>
      </c>
      <c r="L9" s="169">
        <f>IF($C$9&gt;=5,$C16-$L$35,"")</f>
      </c>
      <c r="M9" s="169">
        <f>IF($C$9&gt;=5,$B16-$L$34,"")</f>
      </c>
      <c r="N9" s="170">
        <f>IF($C$9&gt;=5,$L9^2,"")</f>
      </c>
      <c r="O9" s="170">
        <f>IF($C$9&gt;=5,$M9^2,"")</f>
      </c>
      <c r="P9" s="170">
        <f>IF($C$9&gt;=5,$L9*$M9,"")</f>
      </c>
      <c r="Q9" s="171">
        <f>IF($C$9&gt;=5,$B16-$L$34,"")</f>
      </c>
      <c r="R9" s="171">
        <f>IF($C$9&gt;=5,$C16-$L$35,"")</f>
      </c>
      <c r="S9" s="172">
        <f>IF($C$9&gt;=5,(-$P$43/$C$9+($P$47*$L$36--$P$46*$L$39)/($L$36*$L$37-$L$39^2)*$Q9+(-$P$46*$L$37-$P$47*$L$39)/($L$36*$L$37-$L$39^2)*$R9),"")</f>
      </c>
      <c r="T9" s="172">
        <f>IF($C$9&gt;=5,((($P$44/$C$9+$P$48*-$R9/$L$38)^2+($P$45/$C$9+$P$48*$Q9/$L$38)^2)^(1/2)),"")</f>
      </c>
    </row>
    <row r="10" spans="1:37" ht="12.75">
      <c r="A10" s="182"/>
      <c r="B10" s="195" t="s">
        <v>85</v>
      </c>
      <c r="C10" s="196"/>
      <c r="D10" s="193"/>
      <c r="E10" s="197" t="s">
        <v>131</v>
      </c>
      <c r="F10" s="198"/>
      <c r="G10" s="193"/>
      <c r="H10" s="193"/>
      <c r="I10" s="194"/>
      <c r="K10" s="133">
        <v>6</v>
      </c>
      <c r="L10" s="169">
        <f>IF($C$9&gt;=6,$C17-$L$35,"")</f>
      </c>
      <c r="M10" s="169">
        <f>IF($C$9&gt;=6,$B17-$L$34,"")</f>
      </c>
      <c r="N10" s="170">
        <f>IF($C$9&gt;=6,$L10^2,"")</f>
      </c>
      <c r="O10" s="170">
        <f>IF($C$9&gt;=6,$M10^2,"")</f>
      </c>
      <c r="P10" s="170">
        <f>IF($C$9&gt;=6,$L10*$M10,"")</f>
      </c>
      <c r="Q10" s="171">
        <f>IF($C$9&gt;=6,$B17-$L$34,"")</f>
      </c>
      <c r="R10" s="171">
        <f>IF($C$9&gt;=6,$C17-$L$35,"")</f>
      </c>
      <c r="S10" s="172">
        <f>IF($C$9&gt;=6,(-$P$43/$C$9+($P$47*$L$36--$P$46*$L$39)/($L$36*$L$37-$L$39^2)*$Q10+(-$P$46*$L$37-$P$47*$L$39)/($L$36*$L$37-$L$39^2)*$R10),"")</f>
      </c>
      <c r="T10" s="172">
        <f>IF($C$9&gt;=6,((($P$44/$C$9+$P$48*-$R10/$L$38)^2+($P$45/$C$9+$P$48*$Q10/$L$38)^2)^(1/2)),"")</f>
      </c>
      <c r="AD10" s="199" t="s">
        <v>86</v>
      </c>
      <c r="AE10" s="148"/>
      <c r="AF10" s="148"/>
      <c r="AG10" s="148"/>
      <c r="AH10" s="200"/>
      <c r="AI10" s="200"/>
      <c r="AJ10" s="200"/>
      <c r="AK10" s="200"/>
    </row>
    <row r="11" spans="1:37" ht="12.75">
      <c r="A11" s="182"/>
      <c r="B11" s="201" t="s">
        <v>132</v>
      </c>
      <c r="C11" s="201" t="s">
        <v>133</v>
      </c>
      <c r="D11" s="193"/>
      <c r="E11" s="202" t="s">
        <v>73</v>
      </c>
      <c r="F11" s="203" t="s">
        <v>74</v>
      </c>
      <c r="G11" s="193"/>
      <c r="H11" s="193"/>
      <c r="I11" s="194"/>
      <c r="K11" s="133">
        <v>7</v>
      </c>
      <c r="L11" s="169">
        <f>IF($C$9&gt;=7,$C18-$L$35,"")</f>
      </c>
      <c r="M11" s="169">
        <f>IF($C$9&gt;=7,$B18-$L$34,"")</f>
      </c>
      <c r="N11" s="170">
        <f>IF($C$9&gt;=7,$L11^2,"")</f>
      </c>
      <c r="O11" s="170">
        <f>IF($C$9&gt;=7,$M11^2,"")</f>
      </c>
      <c r="P11" s="170">
        <f>IF($C$9&gt;=7,$L11*$M11,"")</f>
      </c>
      <c r="Q11" s="171">
        <f>IF($C$9&gt;=7,$B18-$L$34,"")</f>
      </c>
      <c r="R11" s="171">
        <f>IF($C$9&gt;=7,$C18-$L$35,"")</f>
      </c>
      <c r="S11" s="172">
        <f>IF($C$9&gt;=7,(-$P$43/$C$9+($P$47*$L$36--$P$46*$L$39)/($L$36*$L$37-$L$39^2)*$Q11+(-$P$46*$L$37-$P$47*$L$39)/($L$36*$L$37-$L$39^2)*$R11),"")</f>
      </c>
      <c r="T11" s="172">
        <f>IF($C$9&gt;=7,((($P$44/$C$9+$P$48*-$R11/$L$38)^2+($P$45/$C$9+$P$48*$Q11/$L$38)^2)^(1/2)),"")</f>
      </c>
      <c r="AD11" s="204"/>
      <c r="AE11" s="205" t="s">
        <v>134</v>
      </c>
      <c r="AF11" s="205" t="s">
        <v>135</v>
      </c>
      <c r="AG11" s="200"/>
      <c r="AH11" s="200"/>
      <c r="AI11" s="200"/>
      <c r="AJ11" s="200"/>
      <c r="AK11" s="200"/>
    </row>
    <row r="12" spans="1:37" ht="12.75">
      <c r="A12" s="206" t="str">
        <f>IF($C$9&gt;=1,"#1:","")</f>
        <v>#1:</v>
      </c>
      <c r="B12" s="207">
        <f aca="true" t="shared" si="0" ref="B12:C36">+B65</f>
        <v>0.35</v>
      </c>
      <c r="C12" s="208">
        <f t="shared" si="0"/>
        <v>0.35</v>
      </c>
      <c r="D12" s="209" t="str">
        <f>IF($C$9&gt;=1,"#1:","")</f>
        <v>#1:</v>
      </c>
      <c r="E12" s="210">
        <f aca="true" t="shared" si="1" ref="E12:E36">$S5</f>
        <v>242.76836774999998</v>
      </c>
      <c r="F12" s="211">
        <f aca="true" t="shared" si="2" ref="F12:F36">$T5</f>
        <v>0</v>
      </c>
      <c r="G12" s="193"/>
      <c r="H12" s="193"/>
      <c r="I12" s="194"/>
      <c r="K12" s="133">
        <v>8</v>
      </c>
      <c r="L12" s="169">
        <f>IF($C$9&gt;=8,$C19-$L$35,"")</f>
      </c>
      <c r="M12" s="169">
        <f>IF($C$9&gt;=8,$B19-$L$34,"")</f>
      </c>
      <c r="N12" s="170">
        <f>IF($C$9&gt;=8,$L12^2,"")</f>
      </c>
      <c r="O12" s="170">
        <f>IF($C$9&gt;=8,$M12^2,"")</f>
      </c>
      <c r="P12" s="170">
        <f>IF($C$9&gt;=8,$L12*$M12,"")</f>
      </c>
      <c r="Q12" s="171">
        <f>IF($C$9&gt;=8,$B19-$L$34,"")</f>
      </c>
      <c r="R12" s="171">
        <f>IF($C$9&gt;=8,$C19-$L$35,"")</f>
      </c>
      <c r="S12" s="172">
        <f>IF($C$9&gt;=8,(-$P$43/$C$9+($P$47*$L$36--$P$46*$L$39)/($L$36*$L$37-$L$39^2)*$Q12+(-$P$46*$L$37-$P$47*$L$39)/($L$36*$L$37-$L$39^2)*$R12),"")</f>
      </c>
      <c r="T12" s="172">
        <f>IF($C$9&gt;=8,((($P$44/$C$9+$P$48*-$R12/$L$38)^2+($P$45/$C$9+$P$48*$Q12/$L$38)^2)^(1/2)),"")</f>
      </c>
      <c r="AD12" s="212" t="str">
        <f>IF($C$9&gt;=1,"#1:","")</f>
        <v>#1:</v>
      </c>
      <c r="AE12" s="213">
        <f>IF($C$9&gt;=1,$B12*3.28084,"")</f>
        <v>1.148294</v>
      </c>
      <c r="AF12" s="214">
        <f>IF($C$9&gt;=1,$C12*3.28084,"")</f>
        <v>1.148294</v>
      </c>
      <c r="AG12" s="200"/>
      <c r="AH12" s="200"/>
      <c r="AI12" s="200"/>
      <c r="AJ12" s="200"/>
      <c r="AK12" s="200"/>
    </row>
    <row r="13" spans="1:37" ht="12.75">
      <c r="A13" s="206" t="str">
        <f>IF($C$9&gt;=2,"#2:","")</f>
        <v>#2:</v>
      </c>
      <c r="B13" s="215">
        <f t="shared" si="0"/>
        <v>1.15</v>
      </c>
      <c r="C13" s="216">
        <f t="shared" si="0"/>
        <v>0.35</v>
      </c>
      <c r="D13" s="209" t="str">
        <f>IF($C$9&gt;=2,"#2:","")</f>
        <v>#2:</v>
      </c>
      <c r="E13" s="217">
        <f t="shared" si="1"/>
        <v>242.76836774999998</v>
      </c>
      <c r="F13" s="218">
        <f t="shared" si="2"/>
        <v>0</v>
      </c>
      <c r="G13" s="193"/>
      <c r="H13" s="193"/>
      <c r="I13" s="194"/>
      <c r="K13" s="133">
        <v>9</v>
      </c>
      <c r="L13" s="169">
        <f>IF($C$9&gt;=9,$C20-$L$35,"")</f>
      </c>
      <c r="M13" s="169">
        <f>IF($C$9&gt;=9,$B20-$L$34,"")</f>
      </c>
      <c r="N13" s="170">
        <f>IF($C$9&gt;=9,$L13^2,"")</f>
      </c>
      <c r="O13" s="170">
        <f>IF($C$9&gt;=9,$M13^2,"")</f>
      </c>
      <c r="P13" s="170">
        <f>IF($C$9&gt;=9,$L13*$M13,"")</f>
      </c>
      <c r="Q13" s="171">
        <f>IF($C$9&gt;=9,$B20-$L$34,"")</f>
      </c>
      <c r="R13" s="171">
        <f>IF($C$9&gt;=9,$C20-$L$35,"")</f>
      </c>
      <c r="S13" s="172">
        <f>IF($C$9&gt;=9,(-$P$43/$C$9+($P$47*$L$36--$P$46*$L$39)/($L$36*$L$37-$L$39^2)*$Q13+(-$P$46*$L$37-$P$47*$L$39)/($L$36*$L$37-$L$39^2)*$R13),"")</f>
      </c>
      <c r="T13" s="172">
        <f>IF($C$9&gt;=9,((($P$44/$C$9+$P$48*-$R13/$L$38)^2+($P$45/$C$9+$P$48*$Q13/$L$38)^2)^(1/2)),"")</f>
      </c>
      <c r="AD13" s="212" t="str">
        <f>IF($C$9&gt;=2,"#2:","")</f>
        <v>#2:</v>
      </c>
      <c r="AE13" s="219">
        <f>IF($C$9&gt;=2,$B13*3.28084,"")</f>
        <v>3.772966</v>
      </c>
      <c r="AF13" s="220">
        <f>IF($C$9&gt;=2,$C13*3.28084,"")</f>
        <v>1.148294</v>
      </c>
      <c r="AG13" s="200"/>
      <c r="AH13" s="200"/>
      <c r="AI13" s="200"/>
      <c r="AJ13" s="200"/>
      <c r="AK13" s="200"/>
    </row>
    <row r="14" spans="1:37" ht="12.75">
      <c r="A14" s="206">
        <f>IF($C$9&gt;=3,"#3:","")</f>
      </c>
      <c r="B14" s="215">
        <f t="shared" si="0"/>
        <v>0</v>
      </c>
      <c r="C14" s="216">
        <f t="shared" si="0"/>
        <v>0</v>
      </c>
      <c r="D14" s="209">
        <f>IF($C$9&gt;=3,"#3:","")</f>
      </c>
      <c r="E14" s="217">
        <f t="shared" si="1"/>
      </c>
      <c r="F14" s="218">
        <f t="shared" si="2"/>
      </c>
      <c r="G14" s="193"/>
      <c r="H14" s="193"/>
      <c r="I14" s="194"/>
      <c r="K14" s="133">
        <v>10</v>
      </c>
      <c r="L14" s="169">
        <f>IF($C$9&gt;=10,$C21-$L$35,"")</f>
      </c>
      <c r="M14" s="169">
        <f>IF($C$9&gt;=10,$B21-$L$34,"")</f>
      </c>
      <c r="N14" s="170">
        <f>IF($C$9&gt;=10,$L14^2,"")</f>
      </c>
      <c r="O14" s="170">
        <f>IF($C$9&gt;=10,$M14^2,"")</f>
      </c>
      <c r="P14" s="170">
        <f>IF($C$9&gt;=10,$L14*$M14,"")</f>
      </c>
      <c r="Q14" s="171">
        <f>IF($C$9&gt;=10,$B21-$L$34,"")</f>
      </c>
      <c r="R14" s="171">
        <f>IF($C$9&gt;=10,$C21-$L$35,"")</f>
      </c>
      <c r="S14" s="172">
        <f>IF($C$9&gt;=10,(-$P$43/$C$9+($P$47*$L$36--$P$46*$L$39)/($L$36*$L$37-$L$39^2)*$Q14+(-$P$46*$L$37-$P$47*$L$39)/($L$36*$L$37-$L$39^2)*$R14),"")</f>
      </c>
      <c r="T14" s="172">
        <f>IF($C$9&gt;=10,((($P$44/$C$9+$P$48*-$R14/$L$38)^2+($P$45/$C$9+$P$48*$Q14/$L$38)^2)^(1/2)),"")</f>
      </c>
      <c r="AD14" s="212">
        <f>IF($C$9&gt;=3,"#3:","")</f>
      </c>
      <c r="AE14" s="219">
        <f>IF($C$9&gt;=3,$B14*3.28084,"")</f>
      </c>
      <c r="AF14" s="220">
        <f>IF($C$9&gt;=3,$C14*3.28084,"")</f>
      </c>
      <c r="AG14" s="200"/>
      <c r="AH14" s="200"/>
      <c r="AI14" s="200"/>
      <c r="AJ14" s="200"/>
      <c r="AK14" s="200"/>
    </row>
    <row r="15" spans="1:37" ht="12.75">
      <c r="A15" s="206">
        <f>IF($C$9&gt;=4,"#4:","")</f>
      </c>
      <c r="B15" s="215">
        <f t="shared" si="0"/>
        <v>0</v>
      </c>
      <c r="C15" s="216">
        <f t="shared" si="0"/>
        <v>0</v>
      </c>
      <c r="D15" s="209">
        <f>IF($C$9&gt;=4,"#4:","")</f>
      </c>
      <c r="E15" s="217">
        <f t="shared" si="1"/>
      </c>
      <c r="F15" s="218">
        <f t="shared" si="2"/>
      </c>
      <c r="G15" s="193"/>
      <c r="H15" s="193"/>
      <c r="I15" s="194"/>
      <c r="K15" s="133">
        <v>11</v>
      </c>
      <c r="L15" s="169">
        <f>IF($C$9&gt;=11,$C22-$L$35,"")</f>
      </c>
      <c r="M15" s="169">
        <f>IF($C$9&gt;=11,$B22-$L$34,"")</f>
      </c>
      <c r="N15" s="170">
        <f>IF($C$9&gt;=11,$L15^2,"")</f>
      </c>
      <c r="O15" s="170">
        <f>IF($C$9&gt;=11,$M15^2,"")</f>
      </c>
      <c r="P15" s="170">
        <f>IF($C$9&gt;=11,$L15*$M15,"")</f>
      </c>
      <c r="Q15" s="171">
        <f>IF($C$9&gt;=11,$B22-$L$34,"")</f>
      </c>
      <c r="R15" s="171">
        <f>IF($C$9&gt;=11,$C22-$L$35,"")</f>
      </c>
      <c r="S15" s="172">
        <f>IF($C$9&gt;=11,(-$P$43/$C$9+($P$47*$L$36--$P$46*$L$39)/($L$36*$L$37-$L$39^2)*$Q15+(-$P$46*$L$37-$P$47*$L$39)/($L$36*$L$37-$L$39^2)*$R15),"")</f>
      </c>
      <c r="T15" s="172">
        <f>IF($C$9&gt;=11,((($P$44/$C$9+$P$48*-$R15/$L$38)^2+($P$45/$C$9+$P$48*$Q15/$L$38)^2)^(1/2)),"")</f>
      </c>
      <c r="AD15" s="212">
        <f>IF($C$9&gt;=4,"#4:","")</f>
      </c>
      <c r="AE15" s="219">
        <f>IF($C$9&gt;=4,$B15*3.28084,"")</f>
      </c>
      <c r="AF15" s="220">
        <f>IF($C$9&gt;=4,$C15*3.28084,"")</f>
      </c>
      <c r="AG15" s="200"/>
      <c r="AH15" s="200"/>
      <c r="AI15" s="200"/>
      <c r="AJ15" s="200"/>
      <c r="AK15" s="200"/>
    </row>
    <row r="16" spans="1:37" ht="12.75">
      <c r="A16" s="206">
        <f>IF($C$9&gt;=5,"#5:","")</f>
      </c>
      <c r="B16" s="215">
        <f t="shared" si="0"/>
        <v>0</v>
      </c>
      <c r="C16" s="216">
        <f t="shared" si="0"/>
        <v>0</v>
      </c>
      <c r="D16" s="209">
        <f>IF($C$9&gt;=5,"#5:","")</f>
      </c>
      <c r="E16" s="217">
        <f t="shared" si="1"/>
      </c>
      <c r="F16" s="218">
        <f t="shared" si="2"/>
      </c>
      <c r="G16" s="193"/>
      <c r="H16" s="193"/>
      <c r="I16" s="194"/>
      <c r="K16" s="133">
        <v>12</v>
      </c>
      <c r="L16" s="169">
        <f>IF($C$9&gt;=12,$C23-$L$35,"")</f>
      </c>
      <c r="M16" s="169">
        <f>IF($C$9&gt;=12,$B23-$L$34,"")</f>
      </c>
      <c r="N16" s="170">
        <f>IF($C$9&gt;=12,$L16^2,"")</f>
      </c>
      <c r="O16" s="170">
        <f>IF($C$9&gt;=12,$M16^2,"")</f>
      </c>
      <c r="P16" s="170">
        <f>IF($C$9&gt;=12,$L16*$M16,"")</f>
      </c>
      <c r="Q16" s="171">
        <f>IF($C$9&gt;=12,$B23-$L$34,"")</f>
      </c>
      <c r="R16" s="171">
        <f>IF($C$9&gt;=12,$C23-$L$35,"")</f>
      </c>
      <c r="S16" s="172">
        <f>IF($C$9&gt;=12,(-$P$43/$C$9+($P$47*$L$36--$P$46*$L$39)/($L$36*$L$37-$L$39^2)*$Q16+(-$P$46*$L$37-$P$47*$L$39)/($L$36*$L$37-$L$39^2)*$R16),"")</f>
      </c>
      <c r="T16" s="172">
        <f>IF($C$9&gt;=12,((($P$44/$C$9+$P$48*-$R16/$L$38)^2+($P$45/$C$9+$P$48*$Q16/$L$38)^2)^(1/2)),"")</f>
      </c>
      <c r="AD16" s="212">
        <f>IF($C$9&gt;=5,"#5:","")</f>
      </c>
      <c r="AE16" s="219">
        <f>IF($C$9&gt;=5,$B16*3.28084,"")</f>
      </c>
      <c r="AF16" s="220">
        <f>IF($C$9&gt;=5,$C16*3.28084,"")</f>
      </c>
      <c r="AG16" s="200"/>
      <c r="AH16" s="200"/>
      <c r="AI16" s="200"/>
      <c r="AJ16" s="200"/>
      <c r="AK16" s="200"/>
    </row>
    <row r="17" spans="1:37" ht="12.75">
      <c r="A17" s="206">
        <f>IF($C$9&gt;=6,"#6:","")</f>
      </c>
      <c r="B17" s="215">
        <f t="shared" si="0"/>
        <v>0</v>
      </c>
      <c r="C17" s="216">
        <f t="shared" si="0"/>
        <v>0</v>
      </c>
      <c r="D17" s="209">
        <f>IF($C$9&gt;=6,"#6:","")</f>
      </c>
      <c r="E17" s="217">
        <f t="shared" si="1"/>
      </c>
      <c r="F17" s="218">
        <f t="shared" si="2"/>
      </c>
      <c r="G17" s="193"/>
      <c r="H17" s="193"/>
      <c r="I17" s="194"/>
      <c r="K17" s="133">
        <v>13</v>
      </c>
      <c r="L17" s="169">
        <f>IF($C$9&gt;=13,$C24-$L$35,"")</f>
      </c>
      <c r="M17" s="169">
        <f>IF($C$9&gt;=13,$B24-$L$34,"")</f>
      </c>
      <c r="N17" s="170">
        <f>IF($C$9&gt;=13,$L17^2,"")</f>
      </c>
      <c r="O17" s="170">
        <f>IF($C$9&gt;=13,$M17^2,"")</f>
      </c>
      <c r="P17" s="170">
        <f>IF($C$9&gt;=13,$L17*$M17,"")</f>
      </c>
      <c r="Q17" s="171">
        <f>IF($C$9&gt;=13,$B24-$L$34,"")</f>
      </c>
      <c r="R17" s="171">
        <f>IF($C$9&gt;=13,$C24-$L$35,"")</f>
      </c>
      <c r="S17" s="172">
        <f>IF($C$9&gt;=13,(-$P$43/$C$9+($P$47*$L$36--$P$46*$L$39)/($L$36*$L$37-$L$39^2)*$Q17+(-$P$46*$L$37-$P$47*$L$39)/($L$36*$L$37-$L$39^2)*$R17),"")</f>
      </c>
      <c r="T17" s="172">
        <f>IF($C$9&gt;=13,((($P$44/$C$9+$P$48*-$R17/$L$38)^2+($P$45/$C$9+$P$48*$Q17/$L$38)^2)^(1/2)),"")</f>
      </c>
      <c r="AD17" s="212">
        <f>IF($C$9&gt;=6,"#6:","")</f>
      </c>
      <c r="AE17" s="219">
        <f>IF($C$9&gt;=6,$B17*3.28084,"")</f>
      </c>
      <c r="AF17" s="220">
        <f>IF($C$9&gt;=6,$C17*3.28084,"")</f>
      </c>
      <c r="AG17" s="200"/>
      <c r="AH17" s="200"/>
      <c r="AI17" s="200"/>
      <c r="AJ17" s="200"/>
      <c r="AK17" s="200"/>
    </row>
    <row r="18" spans="1:37" ht="12.75">
      <c r="A18" s="206">
        <f>IF($C$9&gt;=7,"#7:","")</f>
      </c>
      <c r="B18" s="215">
        <f t="shared" si="0"/>
        <v>0</v>
      </c>
      <c r="C18" s="216">
        <f t="shared" si="0"/>
        <v>0</v>
      </c>
      <c r="D18" s="209">
        <f>IF($C$9&gt;=7,"#7:","")</f>
      </c>
      <c r="E18" s="217">
        <f t="shared" si="1"/>
      </c>
      <c r="F18" s="218">
        <f t="shared" si="2"/>
      </c>
      <c r="G18" s="193"/>
      <c r="H18" s="193"/>
      <c r="I18" s="194"/>
      <c r="K18" s="133">
        <v>14</v>
      </c>
      <c r="L18" s="169">
        <f>IF($C$9&gt;=14,$C25-$L$35,"")</f>
      </c>
      <c r="M18" s="169">
        <f>IF($C$9&gt;=14,$B25-$L$34,"")</f>
      </c>
      <c r="N18" s="170">
        <f>IF($C$9&gt;=14,$L18^2,"")</f>
      </c>
      <c r="O18" s="170">
        <f>IF($C$9&gt;=14,$M18^2,"")</f>
      </c>
      <c r="P18" s="170">
        <f>IF($C$9&gt;=14,$L18*$M18,"")</f>
      </c>
      <c r="Q18" s="171">
        <f>IF($C$9&gt;=14,$B25-$L$34,"")</f>
      </c>
      <c r="R18" s="171">
        <f>IF($C$9&gt;=14,$C25-$L$35,"")</f>
      </c>
      <c r="S18" s="172">
        <f>IF($C$9&gt;=14,(-$P$43/$C$9+($P$47*$L$36--$P$46*$L$39)/($L$36*$L$37-$L$39^2)*$Q18+(-$P$46*$L$37-$P$47*$L$39)/($L$36*$L$37-$L$39^2)*$R18),"")</f>
      </c>
      <c r="T18" s="172">
        <f>IF($C$9&gt;=14,((($P$44/$C$9+$P$48*-$R18/$L$38)^2+($P$45/$C$9+$P$48*$Q18/$L$38)^2)^(1/2)),"")</f>
      </c>
      <c r="AD18" s="212">
        <f>IF($C$9&gt;=7,"#7:","")</f>
      </c>
      <c r="AE18" s="219">
        <f>IF($C$9&gt;=7,$B18*3.28084,"")</f>
      </c>
      <c r="AF18" s="220">
        <f>IF($C$9&gt;=7,$C18*3.28084,"")</f>
      </c>
      <c r="AG18" s="200"/>
      <c r="AH18" s="200"/>
      <c r="AI18" s="200"/>
      <c r="AJ18" s="200"/>
      <c r="AK18" s="200"/>
    </row>
    <row r="19" spans="1:37" ht="12.75">
      <c r="A19" s="206">
        <f>IF($C$9&gt;=8,"#8:","")</f>
      </c>
      <c r="B19" s="215">
        <f t="shared" si="0"/>
        <v>0</v>
      </c>
      <c r="C19" s="216">
        <f t="shared" si="0"/>
        <v>0</v>
      </c>
      <c r="D19" s="209">
        <f>IF($C$9&gt;=8,"#8:","")</f>
      </c>
      <c r="E19" s="217">
        <f t="shared" si="1"/>
      </c>
      <c r="F19" s="218">
        <f t="shared" si="2"/>
      </c>
      <c r="G19" s="193"/>
      <c r="H19" s="193"/>
      <c r="I19" s="194"/>
      <c r="K19" s="133">
        <v>15</v>
      </c>
      <c r="L19" s="169">
        <f>IF($C$9&gt;=15,$C26-$L$35,"")</f>
      </c>
      <c r="M19" s="169">
        <f>IF($C$9&gt;=15,$B26-$L$34,"")</f>
      </c>
      <c r="N19" s="170">
        <f>IF($C$9&gt;=15,$L19^2,"")</f>
      </c>
      <c r="O19" s="170">
        <f>IF($C$9&gt;=15,$M19^2,"")</f>
      </c>
      <c r="P19" s="170">
        <f>IF($C$9&gt;=15,$L19*$M19,"")</f>
      </c>
      <c r="Q19" s="171">
        <f>IF($C$9&gt;=15,$B26-$L$34,"")</f>
      </c>
      <c r="R19" s="171">
        <f>IF($C$9&gt;=15,$C26-$L$35,"")</f>
      </c>
      <c r="S19" s="172">
        <f>IF($C$9&gt;=15,(-$P$43/$C$9+($P$47*$L$36--$P$46*$L$39)/($L$36*$L$37-$L$39^2)*$Q19+(-$P$46*$L$37-$P$47*$L$39)/($L$36*$L$37-$L$39^2)*$R19),"")</f>
      </c>
      <c r="T19" s="172">
        <f>IF($C$9&gt;=15,((($P$44/$C$9+$P$48*-$R19/$L$38)^2+($P$45/$C$9+$P$48*$Q19/$L$38)^2)^(1/2)),"")</f>
      </c>
      <c r="AD19" s="212">
        <f>IF($C$9&gt;=8,"#8:","")</f>
      </c>
      <c r="AE19" s="219">
        <f>IF($C$9&gt;=8,$B19*3.28084,"")</f>
      </c>
      <c r="AF19" s="220">
        <f>IF($C$9&gt;=8,$C19*3.28084,"")</f>
      </c>
      <c r="AG19" s="200"/>
      <c r="AH19" s="200"/>
      <c r="AI19" s="200"/>
      <c r="AJ19" s="200"/>
      <c r="AK19" s="200"/>
    </row>
    <row r="20" spans="1:37" ht="12.75">
      <c r="A20" s="206">
        <f>IF($C$9&gt;=9,"#9:","")</f>
      </c>
      <c r="B20" s="215">
        <f t="shared" si="0"/>
        <v>0</v>
      </c>
      <c r="C20" s="216">
        <f t="shared" si="0"/>
        <v>0</v>
      </c>
      <c r="D20" s="209">
        <f>IF($C$9&gt;=9,"#9:","")</f>
      </c>
      <c r="E20" s="217">
        <f t="shared" si="1"/>
      </c>
      <c r="F20" s="218">
        <f t="shared" si="2"/>
      </c>
      <c r="G20" s="193"/>
      <c r="H20" s="193"/>
      <c r="I20" s="194"/>
      <c r="K20" s="133">
        <v>16</v>
      </c>
      <c r="L20" s="169">
        <f>IF($C$9&gt;=16,$C27-$L$35,"")</f>
      </c>
      <c r="M20" s="169">
        <f>IF($C$9&gt;=16,$B27-$L$34,"")</f>
      </c>
      <c r="N20" s="170">
        <f>IF($C$9&gt;=16,$L20^2,"")</f>
      </c>
      <c r="O20" s="170">
        <f>IF($C$9&gt;=16,$M20^2,"")</f>
      </c>
      <c r="P20" s="170">
        <f>IF($C$9&gt;=16,$L20*$M20,"")</f>
      </c>
      <c r="Q20" s="171">
        <f>IF($C$9&gt;=16,$B27-$L$34,"")</f>
      </c>
      <c r="R20" s="171">
        <f>IF($C$9&gt;=16,$C27-$L$35,"")</f>
      </c>
      <c r="S20" s="172">
        <f>IF($C$9&gt;=16,(-$P$43/$C$9+($P$47*$L$36--$P$46*$L$39)/($L$36*$L$37-$L$39^2)*$Q20+(-$P$46*$L$37-$P$47*$L$39)/($L$36*$L$37-$L$39^2)*$R20),"")</f>
      </c>
      <c r="T20" s="172">
        <f>IF($C$9&gt;=16,((($P$44/$C$9+$P$48*-$R20/$L$38)^2+($P$45/$C$9+$P$48*$Q20/$L$38)^2)^(1/2)),"")</f>
      </c>
      <c r="AD20" s="212">
        <f>IF($C$9&gt;=9,"#9:","")</f>
      </c>
      <c r="AE20" s="219">
        <f>IF($C$9&gt;=9,$B20*3.28084,"")</f>
      </c>
      <c r="AF20" s="220">
        <f>IF($C$9&gt;=9,$C20*3.28084,"")</f>
      </c>
      <c r="AG20" s="200"/>
      <c r="AH20" s="200"/>
      <c r="AI20" s="200"/>
      <c r="AJ20" s="200"/>
      <c r="AK20" s="200"/>
    </row>
    <row r="21" spans="1:37" ht="12.75">
      <c r="A21" s="206">
        <f>IF($C$9&gt;=10,"#10:","")</f>
      </c>
      <c r="B21" s="215">
        <f t="shared" si="0"/>
        <v>0</v>
      </c>
      <c r="C21" s="216">
        <f t="shared" si="0"/>
        <v>0</v>
      </c>
      <c r="D21" s="209">
        <f>IF($C$9&gt;=10,"#10:","")</f>
      </c>
      <c r="E21" s="217">
        <f t="shared" si="1"/>
      </c>
      <c r="F21" s="218">
        <f t="shared" si="2"/>
      </c>
      <c r="G21" s="193"/>
      <c r="H21" s="193"/>
      <c r="I21" s="194"/>
      <c r="K21" s="133">
        <v>17</v>
      </c>
      <c r="L21" s="169">
        <f>IF($C$9&gt;=17,$C28-$L$35,"")</f>
      </c>
      <c r="M21" s="169">
        <f>IF($C$9&gt;=17,$B28-$L$34,"")</f>
      </c>
      <c r="N21" s="170">
        <f>IF($C$9&gt;=17,$L21^2,"")</f>
      </c>
      <c r="O21" s="170">
        <f>IF($C$9&gt;=17,$M21^2,"")</f>
      </c>
      <c r="P21" s="170">
        <f>IF($C$9&gt;=17,$L21*$M21,"")</f>
      </c>
      <c r="Q21" s="171">
        <f>IF($C$9&gt;=17,$B28-$L$34,"")</f>
      </c>
      <c r="R21" s="171">
        <f>IF($C$9&gt;=17,$C28-$L$35,"")</f>
      </c>
      <c r="S21" s="172">
        <f>IF($C$9&gt;=17,(-$P$43/$C$9+($P$47*$L$36--$P$46*$L$39)/($L$36*$L$37-$L$39^2)*$Q21+(-$P$46*$L$37-$P$47*$L$39)/($L$36*$L$37-$L$39^2)*$R21),"")</f>
      </c>
      <c r="T21" s="172">
        <f>IF($C$9&gt;=17,((($P$44/$C$9+$P$48*-$R21/$L$38)^2+($P$45/$C$9+$P$48*$Q21/$L$38)^2)^(1/2)),"")</f>
      </c>
      <c r="AD21" s="212">
        <f>IF($C$9&gt;=10,"#10:","")</f>
      </c>
      <c r="AE21" s="219">
        <f>IF($C$9&gt;=10,$B21*3.28084,"")</f>
      </c>
      <c r="AF21" s="220">
        <f>IF($C$9&gt;=10,$C21*3.28084,"")</f>
      </c>
      <c r="AG21" s="200"/>
      <c r="AH21" s="200"/>
      <c r="AI21" s="200"/>
      <c r="AJ21" s="200"/>
      <c r="AK21" s="200"/>
    </row>
    <row r="22" spans="1:37" ht="12.75">
      <c r="A22" s="206">
        <f>IF($C$9&gt;=11,"#11:","")</f>
      </c>
      <c r="B22" s="215">
        <f t="shared" si="0"/>
        <v>0</v>
      </c>
      <c r="C22" s="216">
        <f t="shared" si="0"/>
        <v>0</v>
      </c>
      <c r="D22" s="209">
        <f>IF($C$9&gt;=11,"#11:","")</f>
      </c>
      <c r="E22" s="217">
        <f t="shared" si="1"/>
      </c>
      <c r="F22" s="218">
        <f t="shared" si="2"/>
      </c>
      <c r="G22" s="193"/>
      <c r="H22" s="193"/>
      <c r="I22" s="194"/>
      <c r="K22" s="133">
        <v>18</v>
      </c>
      <c r="L22" s="169">
        <f>IF($C$9&gt;=18,$C29-$L$35,"")</f>
      </c>
      <c r="M22" s="169">
        <f>IF($C$9&gt;=18,$B29-$L$34,"")</f>
      </c>
      <c r="N22" s="170">
        <f>IF($C$9&gt;=18,$L22^2,"")</f>
      </c>
      <c r="O22" s="170">
        <f>IF($C$9&gt;=18,$M22^2,"")</f>
      </c>
      <c r="P22" s="170">
        <f>IF($C$9&gt;=18,$L22*$M22,"")</f>
      </c>
      <c r="Q22" s="171">
        <f>IF($C$9&gt;=18,$B29-$L$34,"")</f>
      </c>
      <c r="R22" s="171">
        <f>IF($C$9&gt;=18,$C29-$L$35,"")</f>
      </c>
      <c r="S22" s="172">
        <f>IF($C$9&gt;=18,(-$P$43/$C$9+($P$47*$L$36--$P$46*$L$39)/($L$36*$L$37-$L$39^2)*$Q22+(-$P$46*$L$37-$P$47*$L$39)/($L$36*$L$37-$L$39^2)*$R22),"")</f>
      </c>
      <c r="T22" s="172">
        <f>IF($C$9&gt;=18,((($P$44/$C$9+$P$48*-$R22/$L$38)^2+($P$45/$C$9+$P$48*$Q22/$L$38)^2)^(1/2)),"")</f>
      </c>
      <c r="AD22" s="212">
        <f>IF($C$9&gt;=11,"#11:","")</f>
      </c>
      <c r="AE22" s="219">
        <f>IF($C$9&gt;=11,$B22*3.28084,"")</f>
      </c>
      <c r="AF22" s="220">
        <f>IF($C$9&gt;=11,$C22*3.28084,"")</f>
      </c>
      <c r="AG22" s="200"/>
      <c r="AH22" s="200"/>
      <c r="AI22" s="200"/>
      <c r="AJ22" s="200"/>
      <c r="AK22" s="200"/>
    </row>
    <row r="23" spans="1:37" ht="12.75">
      <c r="A23" s="206">
        <f>IF($C$9&gt;=12,"#12:","")</f>
      </c>
      <c r="B23" s="215">
        <f t="shared" si="0"/>
        <v>0</v>
      </c>
      <c r="C23" s="216">
        <f t="shared" si="0"/>
        <v>0</v>
      </c>
      <c r="D23" s="209">
        <f>IF($C$9&gt;=12,"#12:","")</f>
      </c>
      <c r="E23" s="217">
        <f t="shared" si="1"/>
      </c>
      <c r="F23" s="218">
        <f t="shared" si="2"/>
      </c>
      <c r="G23" s="193"/>
      <c r="H23" s="193"/>
      <c r="I23" s="194"/>
      <c r="K23" s="133">
        <v>19</v>
      </c>
      <c r="L23" s="169">
        <f>IF($C$9&gt;=19,$C30-$L$35,"")</f>
      </c>
      <c r="M23" s="169">
        <f>IF($C$9&gt;=19,$B30-$L$34,"")</f>
      </c>
      <c r="N23" s="170">
        <f>IF($C$9&gt;=19,$L23^2,"")</f>
      </c>
      <c r="O23" s="170">
        <f>IF($C$9&gt;=19,$M23^2,"")</f>
      </c>
      <c r="P23" s="170">
        <f>IF($C$9&gt;=19,$L23*$M23,"")</f>
      </c>
      <c r="Q23" s="171">
        <f>IF($C$9&gt;=19,$B30-$L$34,"")</f>
      </c>
      <c r="R23" s="171">
        <f>IF($C$9&gt;=19,$C30-$L$35,"")</f>
      </c>
      <c r="S23" s="172">
        <f>IF($C$9&gt;=19,(-$P$43/$C$9+($P$47*$L$36--$P$46*$L$39)/($L$36*$L$37-$L$39^2)*$Q23+(-$P$46*$L$37-$P$47*$L$39)/($L$36*$L$37-$L$39^2)*$R23),"")</f>
      </c>
      <c r="T23" s="172">
        <f>IF($C$9&gt;=19,((($P$44/$C$9+$P$48*-$R23/$L$38)^2+($P$45/$C$9+$P$48*$Q23/$L$38)^2)^(1/2)),"")</f>
      </c>
      <c r="AD23" s="212">
        <f>IF($C$9&gt;=12,"#12:","")</f>
      </c>
      <c r="AE23" s="219">
        <f>IF($C$9&gt;=12,$B23*3.28084,"")</f>
      </c>
      <c r="AF23" s="220">
        <f>IF($C$9&gt;=12,$C23*3.28084,"")</f>
      </c>
      <c r="AG23" s="200"/>
      <c r="AH23" s="200"/>
      <c r="AI23" s="200"/>
      <c r="AJ23" s="200"/>
      <c r="AK23" s="200"/>
    </row>
    <row r="24" spans="1:37" ht="12.75">
      <c r="A24" s="206">
        <f>IF($C$9&gt;=13,"#13:","")</f>
      </c>
      <c r="B24" s="215">
        <f t="shared" si="0"/>
        <v>0</v>
      </c>
      <c r="C24" s="216">
        <f t="shared" si="0"/>
        <v>0</v>
      </c>
      <c r="D24" s="209">
        <f>IF($C$9&gt;=13,"#13:","")</f>
      </c>
      <c r="E24" s="217">
        <f t="shared" si="1"/>
      </c>
      <c r="F24" s="218">
        <f t="shared" si="2"/>
      </c>
      <c r="G24" s="193"/>
      <c r="H24" s="193"/>
      <c r="I24" s="194"/>
      <c r="K24" s="133">
        <v>20</v>
      </c>
      <c r="L24" s="169">
        <f>IF($C$9&gt;=20,$C31-$L$35,"")</f>
      </c>
      <c r="M24" s="169">
        <f>IF($C$9&gt;=20,$B31-$L$34,"")</f>
      </c>
      <c r="N24" s="170">
        <f>IF($C$9&gt;=20,$L24^2,"")</f>
      </c>
      <c r="O24" s="170">
        <f>IF($C$9&gt;=20,$M24^2,"")</f>
      </c>
      <c r="P24" s="170">
        <f>IF($C$9&gt;=20,$L24*$M24,"")</f>
      </c>
      <c r="Q24" s="171">
        <f>IF($C$9&gt;=20,$B31-$L$34,"")</f>
      </c>
      <c r="R24" s="171">
        <f>IF($C$9&gt;=20,$C31-$L$35,"")</f>
      </c>
      <c r="S24" s="172">
        <f>IF($C$9&gt;=20,(-$P$43/$C$9+($P$47*$L$36--$P$46*$L$39)/($L$36*$L$37-$L$39^2)*$Q24+(-$P$46*$L$37-$P$47*$L$39)/($L$36*$L$37-$L$39^2)*$R24),"")</f>
      </c>
      <c r="T24" s="172">
        <f>IF($C$9&gt;=20,((($P$44/$C$9+$P$48*-$R24/$L$38)^2+($P$45/$C$9+$P$48*$Q24/$L$38)^2)^(1/2)),"")</f>
      </c>
      <c r="AD24" s="212">
        <f>IF($C$9&gt;=13,"#13:","")</f>
      </c>
      <c r="AE24" s="219">
        <f>IF($C$9&gt;=13,$B24*3.28084,"")</f>
      </c>
      <c r="AF24" s="220">
        <f>IF($C$9&gt;=13,$C24*3.28084,"")</f>
      </c>
      <c r="AG24" s="200"/>
      <c r="AH24" s="200"/>
      <c r="AI24" s="200"/>
      <c r="AJ24" s="200"/>
      <c r="AK24" s="200"/>
    </row>
    <row r="25" spans="1:37" ht="12.75">
      <c r="A25" s="206">
        <f>IF($C$9&gt;=14,"#14:","")</f>
      </c>
      <c r="B25" s="215">
        <f t="shared" si="0"/>
        <v>0</v>
      </c>
      <c r="C25" s="216">
        <f t="shared" si="0"/>
        <v>0</v>
      </c>
      <c r="D25" s="209">
        <f>IF($C$9&gt;=14,"#14:","")</f>
      </c>
      <c r="E25" s="217">
        <f t="shared" si="1"/>
      </c>
      <c r="F25" s="218">
        <f t="shared" si="2"/>
      </c>
      <c r="G25" s="193"/>
      <c r="H25" s="193"/>
      <c r="I25" s="194"/>
      <c r="K25" s="133">
        <v>21</v>
      </c>
      <c r="L25" s="169">
        <f>IF($C$9&gt;=21,$C32-$L$35,"")</f>
      </c>
      <c r="M25" s="169">
        <f>IF($C$9&gt;=21,$B32-$L$34,"")</f>
      </c>
      <c r="N25" s="170">
        <f>IF($C$9&gt;=21,$L25^2,"")</f>
      </c>
      <c r="O25" s="170">
        <f>IF($C$9&gt;=21,$M25^2,"")</f>
      </c>
      <c r="P25" s="170">
        <f>IF($C$9&gt;=21,$L25*$M25,"")</f>
      </c>
      <c r="Q25" s="171">
        <f>IF($C$9&gt;=21,$B32-$L$34,"")</f>
      </c>
      <c r="R25" s="171">
        <f>IF($C$9&gt;=21,$C32-$L$35,"")</f>
      </c>
      <c r="S25" s="172">
        <f>IF($C$9&gt;=21,(-$P$43/$C$9+($P$47*$L$36--$P$46*$L$39)/($L$36*$L$37-$L$39^2)*$Q25+(-$P$46*$L$37-$P$47*$L$39)/($L$36*$L$37-$L$39^2)*$R25),"")</f>
      </c>
      <c r="T25" s="172">
        <f>IF($C$9&gt;=21,((($P$44/$C$9+$P$48*-$R25/$L$38)^2+($P$45/$C$9+$P$48*$Q25/$L$38)^2)^(1/2)),"")</f>
      </c>
      <c r="AD25" s="212">
        <f>IF($C$9&gt;=14,"#14:","")</f>
      </c>
      <c r="AE25" s="219">
        <f>IF($C$9&gt;=14,$B25*3.28084,"")</f>
      </c>
      <c r="AF25" s="220">
        <f>IF($C$9&gt;=14,$C25*3.28084,"")</f>
      </c>
      <c r="AG25" s="200"/>
      <c r="AH25" s="200"/>
      <c r="AI25" s="200"/>
      <c r="AJ25" s="200"/>
      <c r="AK25" s="200"/>
    </row>
    <row r="26" spans="1:37" ht="12.75">
      <c r="A26" s="206">
        <f>IF($C$9&gt;=15,"#15:","")</f>
      </c>
      <c r="B26" s="215">
        <f t="shared" si="0"/>
        <v>0</v>
      </c>
      <c r="C26" s="216">
        <f t="shared" si="0"/>
        <v>0</v>
      </c>
      <c r="D26" s="209">
        <f>IF($C$9&gt;=15,"#15:","")</f>
      </c>
      <c r="E26" s="217">
        <f t="shared" si="1"/>
      </c>
      <c r="F26" s="218">
        <f t="shared" si="2"/>
      </c>
      <c r="G26" s="193"/>
      <c r="H26" s="193"/>
      <c r="I26" s="194"/>
      <c r="K26" s="133">
        <v>22</v>
      </c>
      <c r="L26" s="169">
        <f>IF($C$9&gt;=22,$C33-$L$35,"")</f>
      </c>
      <c r="M26" s="169">
        <f>IF($C$9&gt;=22,$B33-$L$34,"")</f>
      </c>
      <c r="N26" s="170">
        <f>IF($C$9&gt;=22,$L26^2,"")</f>
      </c>
      <c r="O26" s="170">
        <f>IF($C$9&gt;=22,$M26^2,"")</f>
      </c>
      <c r="P26" s="170">
        <f>IF($C$9&gt;=22,$L26*$M26,"")</f>
      </c>
      <c r="Q26" s="171">
        <f>IF($C$9&gt;=22,$B33-$L$34,"")</f>
      </c>
      <c r="R26" s="171">
        <f>IF($C$9&gt;=22,$C33-$L$35,"")</f>
      </c>
      <c r="S26" s="172">
        <f>IF($C$9&gt;=22,(-$P$43/$C$9+($P$47*$L$36--$P$46*$L$39)/($L$36*$L$37-$L$39^2)*$Q26+(-$P$46*$L$37-$P$47*$L$39)/($L$36*$L$37-$L$39^2)*$R26),"")</f>
      </c>
      <c r="T26" s="172">
        <f>IF($C$9&gt;=22,((($P$44/$C$9+$P$48*-$R26/$L$38)^2+($P$45/$C$9+$P$48*$Q26/$L$38)^2)^(1/2)),"")</f>
      </c>
      <c r="AD26" s="212">
        <f>IF($C$9&gt;=15,"#15:","")</f>
      </c>
      <c r="AE26" s="219">
        <f>IF($C$9&gt;=15,$B26*3.28084,"")</f>
      </c>
      <c r="AF26" s="220">
        <f>IF($C$9&gt;=15,$C26*3.28084,"")</f>
      </c>
      <c r="AG26" s="200"/>
      <c r="AH26" s="200"/>
      <c r="AI26" s="200"/>
      <c r="AJ26" s="200"/>
      <c r="AK26" s="200"/>
    </row>
    <row r="27" spans="1:37" ht="12.75">
      <c r="A27" s="206">
        <f>IF($C$9&gt;=16,"#16:","")</f>
      </c>
      <c r="B27" s="215">
        <f t="shared" si="0"/>
        <v>0</v>
      </c>
      <c r="C27" s="216">
        <f t="shared" si="0"/>
        <v>0</v>
      </c>
      <c r="D27" s="209">
        <f>IF($C$9&gt;=16,"#16:","")</f>
      </c>
      <c r="E27" s="217">
        <f t="shared" si="1"/>
      </c>
      <c r="F27" s="218">
        <f t="shared" si="2"/>
      </c>
      <c r="G27" s="193"/>
      <c r="H27" s="193"/>
      <c r="I27" s="194"/>
      <c r="K27" s="133">
        <v>23</v>
      </c>
      <c r="L27" s="169">
        <f>IF($C$9&gt;=23,$C34-$L$35,"")</f>
      </c>
      <c r="M27" s="169">
        <f>IF($C$9&gt;=23,$B34-$L$34,"")</f>
      </c>
      <c r="N27" s="170">
        <f>IF($C$9&gt;=23,$L27^2,"")</f>
      </c>
      <c r="O27" s="170">
        <f>IF($C$9&gt;=23,$M27^2,"")</f>
      </c>
      <c r="P27" s="170">
        <f>IF($C$9&gt;=23,$L27*$M27,"")</f>
      </c>
      <c r="Q27" s="171">
        <f>IF($C$9&gt;=23,$B34-$L$34,"")</f>
      </c>
      <c r="R27" s="171">
        <f>IF($C$9&gt;=23,$C34-$L$35,"")</f>
      </c>
      <c r="S27" s="172">
        <f>IF($C$9&gt;=23,(-$P$43/$C$9+($P$47*$L$36--$P$46*$L$39)/($L$36*$L$37-$L$39^2)*$Q27+(-$P$46*$L$37-$P$47*$L$39)/($L$36*$L$37-$L$39^2)*$R27),"")</f>
      </c>
      <c r="T27" s="172">
        <f>IF($C$9&gt;=23,((($P$44/$C$9+$P$48*-$R27/$L$38)^2+($P$45/$C$9+$P$48*$Q27/$L$38)^2)^(1/2)),"")</f>
      </c>
      <c r="AD27" s="212">
        <f>IF($C$9&gt;=16,"#16:","")</f>
      </c>
      <c r="AE27" s="219">
        <f>IF($C$9&gt;=16,$B27*3.28084,"")</f>
      </c>
      <c r="AF27" s="220">
        <f>IF($C$9&gt;=16,$C27*3.28084,"")</f>
      </c>
      <c r="AG27" s="200"/>
      <c r="AH27" s="200"/>
      <c r="AI27" s="200"/>
      <c r="AJ27" s="200"/>
      <c r="AK27" s="200"/>
    </row>
    <row r="28" spans="1:37" ht="12.75">
      <c r="A28" s="206">
        <f>IF($C$9&gt;=17,"#17:","")</f>
      </c>
      <c r="B28" s="215">
        <f t="shared" si="0"/>
        <v>0</v>
      </c>
      <c r="C28" s="216">
        <f t="shared" si="0"/>
        <v>0</v>
      </c>
      <c r="D28" s="209">
        <f>IF($C$9&gt;=17,"#17:","")</f>
      </c>
      <c r="E28" s="217">
        <f t="shared" si="1"/>
      </c>
      <c r="F28" s="218">
        <f t="shared" si="2"/>
      </c>
      <c r="G28" s="193"/>
      <c r="H28" s="193"/>
      <c r="I28" s="194"/>
      <c r="K28" s="133">
        <v>24</v>
      </c>
      <c r="L28" s="169">
        <f>IF($C$9&gt;=24,$C35-$L$35,"")</f>
      </c>
      <c r="M28" s="169">
        <f>IF($C$9&gt;=24,$B35-$L$34,"")</f>
      </c>
      <c r="N28" s="170">
        <f>IF($C$9&gt;=24,$L28^2,"")</f>
      </c>
      <c r="O28" s="170">
        <f>IF($C$9&gt;=24,$M28^2,"")</f>
      </c>
      <c r="P28" s="170">
        <f>IF($C$9&gt;=24,$L28*$M28,"")</f>
      </c>
      <c r="Q28" s="171">
        <f>IF($C$9&gt;=24,$B35-$L$34,"")</f>
      </c>
      <c r="R28" s="171">
        <f>IF($C$9&gt;=24,$C35-$L$35,"")</f>
      </c>
      <c r="S28" s="172">
        <f>IF($C$9&gt;=24,(-$P$43/$C$9+($P$47*$L$36--$P$46*$L$39)/($L$36*$L$37-$L$39^2)*$Q28+(-$P$46*$L$37-$P$47*$L$39)/($L$36*$L$37-$L$39^2)*$R28),"")</f>
      </c>
      <c r="T28" s="172">
        <f>IF($C$9&gt;=24,((($P$44/$C$9+$P$48*-$R28/$L$38)^2+($P$45/$C$9+$P$48*$Q28/$L$38)^2)^(1/2)),"")</f>
      </c>
      <c r="AD28" s="212">
        <f>IF($C$9&gt;=17,"#17:","")</f>
      </c>
      <c r="AE28" s="219">
        <f>IF($C$9&gt;=17,$B28*3.28084,"")</f>
      </c>
      <c r="AF28" s="220">
        <f>IF($C$9&gt;=17,$C28*3.28084,"")</f>
      </c>
      <c r="AG28" s="200"/>
      <c r="AH28" s="200"/>
      <c r="AI28" s="200"/>
      <c r="AJ28" s="200"/>
      <c r="AK28" s="200"/>
    </row>
    <row r="29" spans="1:37" ht="12.75">
      <c r="A29" s="206">
        <f>IF($C$9&gt;=18,"#18:","")</f>
      </c>
      <c r="B29" s="215">
        <f t="shared" si="0"/>
        <v>0</v>
      </c>
      <c r="C29" s="216">
        <f t="shared" si="0"/>
        <v>0</v>
      </c>
      <c r="D29" s="209">
        <f>IF($C$9&gt;=18,"#18:","")</f>
      </c>
      <c r="E29" s="217">
        <f t="shared" si="1"/>
      </c>
      <c r="F29" s="218">
        <f t="shared" si="2"/>
      </c>
      <c r="G29" s="184" t="s">
        <v>87</v>
      </c>
      <c r="H29" s="185"/>
      <c r="I29" s="221"/>
      <c r="K29" s="133">
        <v>25</v>
      </c>
      <c r="L29" s="169">
        <f>IF($C$9=25,$C36-$L$35,"")</f>
      </c>
      <c r="M29" s="169">
        <f>IF($C$9=25,$B36-$L$34,"")</f>
      </c>
      <c r="N29" s="170">
        <f>IF($C$9=25,$L29^2,"")</f>
      </c>
      <c r="O29" s="170">
        <f>IF($C$9=25,$M29^2,"")</f>
      </c>
      <c r="P29" s="170">
        <f>IF($C$9=25,$L29*$M29,"")</f>
      </c>
      <c r="Q29" s="171">
        <f>IF($C$9=25,$B36-$L$34,"")</f>
      </c>
      <c r="R29" s="171">
        <f>IF($C$9=25,$C36-$L$35,"")</f>
      </c>
      <c r="S29" s="172">
        <f>IF($C$9=25,(-$P$43/$C$9+($P$47*$L$36--$P$46*$L$39)/($L$36*$L$37-$L$39^2)*$Q29+(-$P$46*$L$37-$P$47*$L$39)/($L$36*$L$37-$L$39^2)*$R29),"")</f>
      </c>
      <c r="T29" s="172">
        <f>IF($C$9=25,((($P$44/$C$9+$P$48*-$R29/$L$38)^2+($P$45/$C$9+$P$48*$Q29/$L$38)^2)^(1/2)),"")</f>
      </c>
      <c r="AD29" s="212">
        <f>IF($C$9&gt;=18,"#18:","")</f>
      </c>
      <c r="AE29" s="219">
        <f>IF($C$9&gt;=18,$B29*3.28084,"")</f>
      </c>
      <c r="AF29" s="220">
        <f>IF($C$9&gt;=18,$C29*3.28084,"")</f>
      </c>
      <c r="AG29" s="200"/>
      <c r="AH29" s="200"/>
      <c r="AI29" s="200"/>
      <c r="AJ29" s="200"/>
      <c r="AK29" s="200"/>
    </row>
    <row r="30" spans="1:37" ht="12.75">
      <c r="A30" s="206">
        <f>IF($C$9&gt;=19,"#19:","")</f>
      </c>
      <c r="B30" s="215">
        <f t="shared" si="0"/>
        <v>0</v>
      </c>
      <c r="C30" s="216">
        <f t="shared" si="0"/>
        <v>0</v>
      </c>
      <c r="D30" s="209">
        <f>IF($C$9&gt;=19,"#19:","")</f>
      </c>
      <c r="E30" s="217">
        <f t="shared" si="1"/>
      </c>
      <c r="F30" s="218">
        <f t="shared" si="2"/>
      </c>
      <c r="G30" s="222" t="s">
        <v>88</v>
      </c>
      <c r="H30" s="223">
        <f aca="true" t="shared" si="3" ref="H30:H36">$L34</f>
        <v>0.75</v>
      </c>
      <c r="I30" s="224" t="s">
        <v>30</v>
      </c>
      <c r="AD30" s="212">
        <f>IF($C$9&gt;=19,"#19:","")</f>
      </c>
      <c r="AE30" s="219">
        <f>IF($C$9&gt;=19,$B30*3.28084,"")</f>
      </c>
      <c r="AF30" s="220">
        <f>IF($C$9&gt;=19,$C30*3.28084,"")</f>
      </c>
      <c r="AG30" s="200"/>
      <c r="AH30" s="200"/>
      <c r="AI30" s="200"/>
      <c r="AJ30" s="200"/>
      <c r="AK30" s="200"/>
    </row>
    <row r="31" spans="1:37" ht="12.75">
      <c r="A31" s="206">
        <f>IF($C$9&gt;=20,"#20:","")</f>
      </c>
      <c r="B31" s="215">
        <f t="shared" si="0"/>
        <v>0</v>
      </c>
      <c r="C31" s="216">
        <f t="shared" si="0"/>
        <v>0</v>
      </c>
      <c r="D31" s="209">
        <f>IF($C$9&gt;=20,"#20:","")</f>
      </c>
      <c r="E31" s="217">
        <f t="shared" si="1"/>
      </c>
      <c r="F31" s="218">
        <f t="shared" si="2"/>
      </c>
      <c r="G31" s="222" t="s">
        <v>89</v>
      </c>
      <c r="H31" s="225">
        <f t="shared" si="3"/>
        <v>0.35</v>
      </c>
      <c r="I31" s="224" t="s">
        <v>30</v>
      </c>
      <c r="J31" s="129"/>
      <c r="K31" s="226" t="s">
        <v>87</v>
      </c>
      <c r="L31" s="200"/>
      <c r="M31" s="200"/>
      <c r="N31" s="227"/>
      <c r="O31" s="228" t="s">
        <v>90</v>
      </c>
      <c r="R31" s="146"/>
      <c r="S31" s="146"/>
      <c r="T31" s="229"/>
      <c r="AD31" s="212">
        <f>IF($C$9&gt;=20,"#20:","")</f>
      </c>
      <c r="AE31" s="219">
        <f>IF($C$9&gt;=20,$B31*3.28084,"")</f>
      </c>
      <c r="AF31" s="220">
        <f>IF($C$9&gt;=20,$C31*3.28084,"")</f>
      </c>
      <c r="AG31" s="200"/>
      <c r="AH31" s="200"/>
      <c r="AI31" s="200"/>
      <c r="AJ31" s="200"/>
      <c r="AK31" s="200"/>
    </row>
    <row r="32" spans="1:37" ht="12.75">
      <c r="A32" s="206">
        <f>IF($C$9&gt;=21,"#21:","")</f>
      </c>
      <c r="B32" s="215">
        <f t="shared" si="0"/>
        <v>0</v>
      </c>
      <c r="C32" s="216">
        <f t="shared" si="0"/>
        <v>0</v>
      </c>
      <c r="D32" s="209">
        <f>IF($C$9&gt;=21,"#21:","")</f>
      </c>
      <c r="E32" s="217">
        <f t="shared" si="1"/>
      </c>
      <c r="F32" s="218">
        <f t="shared" si="2"/>
      </c>
      <c r="G32" s="230" t="s">
        <v>91</v>
      </c>
      <c r="H32" s="231">
        <f t="shared" si="3"/>
        <v>9.999999999464891E-13</v>
      </c>
      <c r="I32" s="232" t="s">
        <v>92</v>
      </c>
      <c r="K32" s="233" t="s">
        <v>136</v>
      </c>
      <c r="L32" s="234">
        <f>SUM($B$12:$B$36)</f>
        <v>1.5</v>
      </c>
      <c r="O32" s="200"/>
      <c r="P32" s="160" t="s">
        <v>93</v>
      </c>
      <c r="Q32" s="160" t="s">
        <v>94</v>
      </c>
      <c r="R32" s="160" t="s">
        <v>95</v>
      </c>
      <c r="S32" s="160" t="s">
        <v>96</v>
      </c>
      <c r="T32" s="229"/>
      <c r="AD32" s="212">
        <f>IF($C$9&gt;=21,"#21:","")</f>
      </c>
      <c r="AE32" s="219">
        <f>IF($C$9&gt;=21,$B32*3.28084,"")</f>
      </c>
      <c r="AF32" s="220">
        <f>IF($C$9&gt;=21,$C32*3.28084,"")</f>
      </c>
      <c r="AG32" s="200"/>
      <c r="AH32" s="200"/>
      <c r="AI32" s="200"/>
      <c r="AJ32" s="200"/>
      <c r="AK32" s="200"/>
    </row>
    <row r="33" spans="1:37" ht="12.75">
      <c r="A33" s="206">
        <f>IF($C$9&gt;=22,"#22:","")</f>
      </c>
      <c r="B33" s="215">
        <f t="shared" si="0"/>
        <v>0</v>
      </c>
      <c r="C33" s="216">
        <f t="shared" si="0"/>
        <v>0</v>
      </c>
      <c r="D33" s="209">
        <f>IF($C$9&gt;=22,"#22:","")</f>
      </c>
      <c r="E33" s="217">
        <f t="shared" si="1"/>
      </c>
      <c r="F33" s="218">
        <f t="shared" si="2"/>
      </c>
      <c r="G33" s="230" t="s">
        <v>97</v>
      </c>
      <c r="H33" s="231">
        <f t="shared" si="3"/>
        <v>0.31999920000099996</v>
      </c>
      <c r="I33" s="232" t="s">
        <v>92</v>
      </c>
      <c r="K33" s="233" t="s">
        <v>137</v>
      </c>
      <c r="L33" s="234">
        <f>SUM($C$12:$C$36)</f>
        <v>0.7</v>
      </c>
      <c r="O33" s="234" t="s">
        <v>69</v>
      </c>
      <c r="P33" s="234">
        <f>IF($C$38&gt;=1,$C$41-$L$34,"")</f>
        <v>0</v>
      </c>
      <c r="Q33" s="234">
        <f>IF($C$38&gt;=2,$D$41-$L$34,"")</f>
      </c>
      <c r="R33" s="234">
        <f>IF($C$38&gt;=3,$E$41-$L$34,"")</f>
      </c>
      <c r="S33" s="234">
        <f>IF($C$38=4,$F$41-$L$34,"")</f>
      </c>
      <c r="T33" s="229"/>
      <c r="AD33" s="212">
        <f>IF($C$9&gt;=22,"#22:","")</f>
      </c>
      <c r="AE33" s="219">
        <f>IF($C$9&gt;=22,$B33*3.28084,"")</f>
      </c>
      <c r="AF33" s="220">
        <f>IF($C$9&gt;=22,$C33*3.28084,"")</f>
      </c>
      <c r="AG33" s="200"/>
      <c r="AH33" s="200"/>
      <c r="AI33" s="200"/>
      <c r="AJ33" s="200"/>
      <c r="AK33" s="200"/>
    </row>
    <row r="34" spans="1:37" ht="12.75">
      <c r="A34" s="206">
        <f>IF($C$9&gt;=23,"#23:","")</f>
      </c>
      <c r="B34" s="215">
        <f t="shared" si="0"/>
        <v>0</v>
      </c>
      <c r="C34" s="216">
        <f t="shared" si="0"/>
        <v>0</v>
      </c>
      <c r="D34" s="209">
        <f>IF($C$9&gt;=23,"#23:","")</f>
      </c>
      <c r="E34" s="217">
        <f t="shared" si="1"/>
      </c>
      <c r="F34" s="218">
        <f t="shared" si="2"/>
      </c>
      <c r="G34" s="230" t="s">
        <v>98</v>
      </c>
      <c r="H34" s="231">
        <f t="shared" si="3"/>
        <v>0.31999920000199994</v>
      </c>
      <c r="I34" s="232" t="s">
        <v>92</v>
      </c>
      <c r="K34" s="235" t="s">
        <v>88</v>
      </c>
      <c r="L34" s="169">
        <f>$L$32/$C$9</f>
        <v>0.75</v>
      </c>
      <c r="O34" s="234" t="s">
        <v>68</v>
      </c>
      <c r="P34" s="234">
        <f>IF($C$38&gt;=1,$C$42-$L$35,"")</f>
        <v>0</v>
      </c>
      <c r="Q34" s="234">
        <f>IF($C$38&gt;=2,$D$42-$L$35,"")</f>
      </c>
      <c r="R34" s="234">
        <f>IF($C$38&gt;=3,$E$42-$L$35,"")</f>
      </c>
      <c r="S34" s="234">
        <f>IF($C$38=4,$F$42-$L$35,"")</f>
      </c>
      <c r="T34" s="229"/>
      <c r="AD34" s="212">
        <f>IF($C$9&gt;=23,"#23:","")</f>
      </c>
      <c r="AE34" s="219">
        <f>IF($C$9&gt;=23,$B34*3.28084,"")</f>
      </c>
      <c r="AF34" s="220">
        <f>IF($C$9&gt;=23,$C34*3.28084,"")</f>
      </c>
      <c r="AG34" s="200"/>
      <c r="AH34" s="200"/>
      <c r="AI34" s="200"/>
      <c r="AJ34" s="200"/>
      <c r="AK34" s="200"/>
    </row>
    <row r="35" spans="1:37" ht="12.75">
      <c r="A35" s="206">
        <f>IF($C$9&gt;=24,"#24:","")</f>
      </c>
      <c r="B35" s="215">
        <f t="shared" si="0"/>
        <v>0</v>
      </c>
      <c r="C35" s="216">
        <f t="shared" si="0"/>
        <v>0</v>
      </c>
      <c r="D35" s="209">
        <f>IF($C$9&gt;=24,"#24:","")</f>
      </c>
      <c r="E35" s="217">
        <f t="shared" si="1"/>
      </c>
      <c r="F35" s="218">
        <f t="shared" si="2"/>
      </c>
      <c r="G35" s="230" t="s">
        <v>99</v>
      </c>
      <c r="H35" s="231">
        <f t="shared" si="3"/>
        <v>0</v>
      </c>
      <c r="I35" s="232" t="s">
        <v>92</v>
      </c>
      <c r="K35" s="235" t="s">
        <v>89</v>
      </c>
      <c r="L35" s="169">
        <f>$L$33/$C$9</f>
        <v>0.35</v>
      </c>
      <c r="O35" s="160" t="s">
        <v>100</v>
      </c>
      <c r="P35" s="227">
        <f>IF($C$38&gt;=1,$C$44*$P$34,"")</f>
        <v>0</v>
      </c>
      <c r="Q35" s="227">
        <f>IF($C$38&gt;=2,$D$44*$Q$34,"")</f>
      </c>
      <c r="R35" s="227">
        <f>IF($C$38&gt;=3,$E$44*$R$34,"")</f>
      </c>
      <c r="S35" s="227">
        <f>IF($C$38=4,$F$44*$S$34,"")</f>
      </c>
      <c r="T35" s="229"/>
      <c r="AD35" s="212">
        <f>IF($C$9&gt;=24,"#24:","")</f>
      </c>
      <c r="AE35" s="219">
        <f>IF($C$9&gt;=24,$B35*3.28084,"")</f>
      </c>
      <c r="AF35" s="220">
        <f>IF($C$9&gt;=24,$C35*3.28084,"")</f>
      </c>
      <c r="AG35" s="200"/>
      <c r="AH35" s="200"/>
      <c r="AI35" s="200"/>
      <c r="AJ35" s="200"/>
      <c r="AK35" s="200"/>
    </row>
    <row r="36" spans="1:37" ht="12.75">
      <c r="A36" s="206">
        <f>IF($C$9=25,"#25:","")</f>
      </c>
      <c r="B36" s="236">
        <f t="shared" si="0"/>
        <v>0</v>
      </c>
      <c r="C36" s="237">
        <f t="shared" si="0"/>
        <v>0</v>
      </c>
      <c r="D36" s="209">
        <f>IF($C$9=25,"#25:","")</f>
      </c>
      <c r="E36" s="238">
        <f t="shared" si="1"/>
      </c>
      <c r="F36" s="239">
        <f t="shared" si="2"/>
      </c>
      <c r="G36" s="240" t="s">
        <v>138</v>
      </c>
      <c r="H36" s="241">
        <f t="shared" si="3"/>
        <v>0</v>
      </c>
      <c r="I36" s="232" t="s">
        <v>101</v>
      </c>
      <c r="K36" s="242" t="s">
        <v>91</v>
      </c>
      <c r="L36" s="243">
        <f>SUM($N$5:$N$29)</f>
        <v>9.999999999464891E-13</v>
      </c>
      <c r="O36" s="160" t="s">
        <v>102</v>
      </c>
      <c r="P36" s="227">
        <f>IF($C$38&gt;=1,$C$44*-$P$33,"")</f>
        <v>0</v>
      </c>
      <c r="Q36" s="227">
        <f>IF($C$38&gt;=2,$D$44*-$Q$33,"")</f>
      </c>
      <c r="R36" s="227">
        <f>IF($C$38&gt;=3,$E$44*-$R$33,"")</f>
      </c>
      <c r="S36" s="227">
        <f>IF($C$38=4,$F$44*-$S$33,"")</f>
      </c>
      <c r="T36" s="229"/>
      <c r="AD36" s="212">
        <f>IF($C$9=25,"#25:","")</f>
      </c>
      <c r="AE36" s="244">
        <f>IF($C$9=25,$B36*3.28084,"")</f>
      </c>
      <c r="AF36" s="245">
        <f>IF($C$9=25,$C36*3.28084,"")</f>
      </c>
      <c r="AG36" s="200"/>
      <c r="AH36" s="200"/>
      <c r="AI36" s="200"/>
      <c r="AJ36" s="200"/>
      <c r="AK36" s="200"/>
    </row>
    <row r="37" spans="1:37" ht="12.75">
      <c r="A37" s="182"/>
      <c r="B37" s="193"/>
      <c r="C37" s="193"/>
      <c r="D37" s="193"/>
      <c r="E37" s="193"/>
      <c r="F37" s="193"/>
      <c r="G37" s="193"/>
      <c r="H37" s="193"/>
      <c r="I37" s="194"/>
      <c r="K37" s="242" t="s">
        <v>97</v>
      </c>
      <c r="L37" s="243">
        <f>SUM($O$5:$O$29)</f>
        <v>0.31999920000099996</v>
      </c>
      <c r="O37" s="160" t="s">
        <v>103</v>
      </c>
      <c r="P37" s="227">
        <f>IF($C$38&gt;=1,$C$43*-$C$46,"")</f>
        <v>0</v>
      </c>
      <c r="Q37" s="227">
        <f>IF($C$38&gt;=2,$D$43*-$D$46,"")</f>
      </c>
      <c r="R37" s="227">
        <f>IF($C$38&gt;=3,$E$43*-$E$46,"")</f>
      </c>
      <c r="S37" s="227">
        <f>IF($C$38=4,$F$43*-$F$46,"")</f>
      </c>
      <c r="T37" s="229"/>
      <c r="AD37" s="200"/>
      <c r="AE37" s="200"/>
      <c r="AF37" s="200"/>
      <c r="AG37" s="200"/>
      <c r="AH37" s="200"/>
      <c r="AI37" s="200"/>
      <c r="AJ37" s="200"/>
      <c r="AK37" s="200"/>
    </row>
    <row r="38" spans="1:37" ht="12.75" customHeight="1">
      <c r="A38" s="182"/>
      <c r="B38" s="189" t="s">
        <v>104</v>
      </c>
      <c r="C38" s="190">
        <f>C91</f>
        <v>1</v>
      </c>
      <c r="D38" s="246"/>
      <c r="E38" s="193"/>
      <c r="F38" s="193"/>
      <c r="G38" s="247" t="s">
        <v>139</v>
      </c>
      <c r="H38" s="185"/>
      <c r="I38" s="221"/>
      <c r="K38" s="242" t="s">
        <v>98</v>
      </c>
      <c r="L38" s="243">
        <f>$L$36+$L$37</f>
        <v>0.31999920000199994</v>
      </c>
      <c r="O38" s="160" t="s">
        <v>105</v>
      </c>
      <c r="P38" s="227">
        <f>IF($C$38&gt;=1,$C$43*$C$45,"")</f>
        <v>0</v>
      </c>
      <c r="Q38" s="227">
        <f>IF($C$38&gt;=2,$D$43*$D$45,"")</f>
      </c>
      <c r="R38" s="227">
        <f>IF($C$38&gt;=3,$E$43*$E$45,"")</f>
      </c>
      <c r="S38" s="227">
        <f>IF($C$38=4,$F$43*$F$45,"")</f>
      </c>
      <c r="T38" s="229"/>
      <c r="AD38" s="200"/>
      <c r="AE38" s="200"/>
      <c r="AF38" s="200"/>
      <c r="AG38" s="200"/>
      <c r="AH38" s="200"/>
      <c r="AI38" s="200"/>
      <c r="AJ38" s="200"/>
      <c r="AK38" s="200"/>
    </row>
    <row r="39" spans="1:37" ht="12.75">
      <c r="A39" s="182"/>
      <c r="B39" s="193"/>
      <c r="C39" s="248"/>
      <c r="D39" s="248"/>
      <c r="E39" s="248"/>
      <c r="F39" s="248"/>
      <c r="G39" s="240" t="s">
        <v>140</v>
      </c>
      <c r="H39" s="210">
        <f aca="true" t="shared" si="4" ref="H39:H44">$P43</f>
        <v>-485.53673549999996</v>
      </c>
      <c r="I39" s="232" t="s">
        <v>106</v>
      </c>
      <c r="K39" s="242" t="s">
        <v>99</v>
      </c>
      <c r="L39" s="227">
        <f>IF(ABS(SUM($P$5:$P$29))&lt;0.0005,0,SUM($P$5:$P$29))</f>
        <v>0</v>
      </c>
      <c r="O39" s="133" t="s">
        <v>107</v>
      </c>
      <c r="P39" s="249">
        <f>IF($C$38&gt;=1,$C$45*-$P$34,"")</f>
        <v>0</v>
      </c>
      <c r="Q39" s="227">
        <f>IF($C$38&gt;=2,$D$45*-$Q$34,"")</f>
      </c>
      <c r="R39" s="249">
        <f>IF($C$38&gt;=3,$E$45*-$R$34,"")</f>
      </c>
      <c r="S39" s="249">
        <f>IF($C$38=4,$F$45*-$S$34,"")</f>
      </c>
      <c r="T39" s="229"/>
      <c r="AD39" s="200"/>
      <c r="AE39" s="200"/>
      <c r="AF39" s="200"/>
      <c r="AG39" s="200"/>
      <c r="AH39" s="200"/>
      <c r="AI39" s="200"/>
      <c r="AJ39" s="200"/>
      <c r="AK39" s="200"/>
    </row>
    <row r="40" spans="1:37" ht="12.75">
      <c r="A40" s="182"/>
      <c r="B40" s="189" t="s">
        <v>108</v>
      </c>
      <c r="C40" s="187" t="str">
        <f>IF($C$38&gt;=1,"Pier #1","")</f>
        <v>Pier #1</v>
      </c>
      <c r="D40" s="187">
        <f>IF($C$38&gt;=2,"Pier #2","")</f>
      </c>
      <c r="E40" s="187">
        <f>IF($C$38&gt;=3,"Pier #3","")</f>
      </c>
      <c r="F40" s="187">
        <f>IF($C$38=4,"Pier #4","")</f>
      </c>
      <c r="G40" s="240" t="s">
        <v>141</v>
      </c>
      <c r="H40" s="217">
        <f t="shared" si="4"/>
        <v>0</v>
      </c>
      <c r="I40" s="232" t="s">
        <v>106</v>
      </c>
      <c r="K40" s="233" t="s">
        <v>142</v>
      </c>
      <c r="L40" s="234">
        <f>IF(ABS($L$36-$L$37)&lt;0.0005,IF($L$39&gt;0,-45,IF($L$39&lt;0,45,0)),DEGREES(ATAN(-2*$L$39/($L$36-$L$37))/2))</f>
        <v>0</v>
      </c>
      <c r="O40" s="133" t="s">
        <v>109</v>
      </c>
      <c r="P40" s="249">
        <f>IF($C$38&gt;=1,$C$46*$P$33,"")</f>
        <v>0</v>
      </c>
      <c r="Q40" s="227">
        <f>IF($C$38&gt;=2,$D$46*$Q$33,"")</f>
      </c>
      <c r="R40" s="249">
        <f>IF($C$38&gt;=3,$E$46*$R$33,"")</f>
      </c>
      <c r="S40" s="249">
        <f>IF($C$38=4,$F$46*$S$33,"")</f>
      </c>
      <c r="T40" s="229"/>
      <c r="AD40" s="200"/>
      <c r="AE40" s="250" t="s">
        <v>110</v>
      </c>
      <c r="AF40" s="205" t="str">
        <f>IF($C$38&gt;=1,"Pier #1","")</f>
        <v>Pier #1</v>
      </c>
      <c r="AG40" s="205">
        <f>IF($C$38&gt;=2,"Pier #2","")</f>
      </c>
      <c r="AH40" s="205">
        <f>IF($C$38&gt;=3,"Pier #3","")</f>
      </c>
      <c r="AI40" s="205">
        <f>IF($C$38=4,"Pier #4","")</f>
      </c>
      <c r="AJ40" s="200"/>
      <c r="AK40" s="200"/>
    </row>
    <row r="41" spans="1:37" ht="12.75">
      <c r="A41" s="251"/>
      <c r="B41" s="252" t="s">
        <v>143</v>
      </c>
      <c r="C41" s="253">
        <f aca="true" t="shared" si="5" ref="C41:F43">+C94</f>
        <v>0.75</v>
      </c>
      <c r="D41" s="253">
        <f t="shared" si="5"/>
        <v>0</v>
      </c>
      <c r="E41" s="253">
        <f t="shared" si="5"/>
        <v>0</v>
      </c>
      <c r="F41" s="253">
        <f t="shared" si="5"/>
        <v>0</v>
      </c>
      <c r="G41" s="240" t="s">
        <v>144</v>
      </c>
      <c r="H41" s="217">
        <f t="shared" si="4"/>
        <v>0</v>
      </c>
      <c r="I41" s="232" t="s">
        <v>106</v>
      </c>
      <c r="O41" s="229"/>
      <c r="P41" s="229"/>
      <c r="Q41" s="229"/>
      <c r="R41" s="229"/>
      <c r="S41" s="229"/>
      <c r="T41" s="229"/>
      <c r="AD41" s="200"/>
      <c r="AE41" s="254" t="s">
        <v>145</v>
      </c>
      <c r="AF41" s="213">
        <f>IF($C$38&gt;=1,$C41*3.28084,"")</f>
        <v>2.46063</v>
      </c>
      <c r="AG41" s="255">
        <f>IF($C$38&gt;=2,$D41*3.28084,"")</f>
      </c>
      <c r="AH41" s="213">
        <f>IF($C$38&gt;=3,$E41*3.28084,"")</f>
      </c>
      <c r="AI41" s="214">
        <f>IF($C$38&gt;=4,$F41*3.28084,"")</f>
      </c>
      <c r="AJ41" s="200"/>
      <c r="AK41" s="200"/>
    </row>
    <row r="42" spans="1:37" ht="12.75">
      <c r="A42" s="182"/>
      <c r="B42" s="252" t="s">
        <v>146</v>
      </c>
      <c r="C42" s="256">
        <f t="shared" si="5"/>
        <v>0.35</v>
      </c>
      <c r="D42" s="256">
        <f t="shared" si="5"/>
        <v>0</v>
      </c>
      <c r="E42" s="256">
        <f t="shared" si="5"/>
        <v>0</v>
      </c>
      <c r="F42" s="256">
        <f t="shared" si="5"/>
        <v>0</v>
      </c>
      <c r="G42" s="240" t="s">
        <v>147</v>
      </c>
      <c r="H42" s="217">
        <f t="shared" si="4"/>
        <v>0</v>
      </c>
      <c r="I42" s="232" t="s">
        <v>111</v>
      </c>
      <c r="O42" s="257" t="s">
        <v>148</v>
      </c>
      <c r="Q42" s="229"/>
      <c r="R42" s="229"/>
      <c r="S42" s="229"/>
      <c r="T42" s="229"/>
      <c r="AD42" s="200"/>
      <c r="AE42" s="254" t="s">
        <v>149</v>
      </c>
      <c r="AF42" s="219">
        <f>IF($C$38&gt;=1,$C42*3.28084,"")</f>
        <v>1.148294</v>
      </c>
      <c r="AG42" s="258">
        <f>IF($C$38&gt;=2,$D42*3.28084,"")</f>
      </c>
      <c r="AH42" s="219">
        <f>IF($C$38&gt;=3,$E42*3.28084,"")</f>
      </c>
      <c r="AI42" s="220">
        <f>IF($C$38&gt;=4,$F42*3.28084,"")</f>
      </c>
      <c r="AJ42" s="200"/>
      <c r="AK42" s="200"/>
    </row>
    <row r="43" spans="1:37" ht="12.75">
      <c r="A43" s="175"/>
      <c r="B43" s="252" t="s">
        <v>150</v>
      </c>
      <c r="C43" s="256">
        <f t="shared" si="5"/>
        <v>0</v>
      </c>
      <c r="D43" s="256">
        <f t="shared" si="5"/>
        <v>0</v>
      </c>
      <c r="E43" s="256">
        <f t="shared" si="5"/>
        <v>0</v>
      </c>
      <c r="F43" s="256">
        <f t="shared" si="5"/>
        <v>0</v>
      </c>
      <c r="G43" s="240" t="s">
        <v>151</v>
      </c>
      <c r="H43" s="217">
        <f t="shared" si="4"/>
        <v>0</v>
      </c>
      <c r="I43" s="232" t="s">
        <v>111</v>
      </c>
      <c r="J43" s="259"/>
      <c r="O43" s="233" t="s">
        <v>152</v>
      </c>
      <c r="P43" s="227">
        <f>SUM($C$44:$F$44)</f>
        <v>-485.53673549999996</v>
      </c>
      <c r="Q43" s="229" t="s">
        <v>106</v>
      </c>
      <c r="R43" s="229"/>
      <c r="S43" s="229"/>
      <c r="T43" s="229"/>
      <c r="AD43" s="200"/>
      <c r="AE43" s="254" t="s">
        <v>153</v>
      </c>
      <c r="AF43" s="219">
        <f>IF($C$38&gt;=1,$C43*3.28084,"")</f>
        <v>0</v>
      </c>
      <c r="AG43" s="258">
        <f>IF($C$38&gt;=2,$D43*3.28084,"")</f>
      </c>
      <c r="AH43" s="219">
        <f>IF($C$38&gt;=3,$E43*3.28084,"")</f>
      </c>
      <c r="AI43" s="220">
        <f>IF($C$38&gt;=4,$F43*3.28084,"")</f>
      </c>
      <c r="AJ43" s="200"/>
      <c r="AK43" s="200"/>
    </row>
    <row r="44" spans="1:37" ht="12.75">
      <c r="A44" s="251"/>
      <c r="B44" s="252" t="s">
        <v>154</v>
      </c>
      <c r="C44" s="256">
        <f aca="true" t="shared" si="6" ref="C44:F49">(C97*9.806)/1000</f>
        <v>-485.53673549999996</v>
      </c>
      <c r="D44" s="256">
        <f t="shared" si="6"/>
        <v>0</v>
      </c>
      <c r="E44" s="256">
        <f t="shared" si="6"/>
        <v>0</v>
      </c>
      <c r="F44" s="256">
        <f t="shared" si="6"/>
        <v>0</v>
      </c>
      <c r="G44" s="240" t="s">
        <v>155</v>
      </c>
      <c r="H44" s="238">
        <f t="shared" si="4"/>
        <v>0</v>
      </c>
      <c r="I44" s="232" t="s">
        <v>111</v>
      </c>
      <c r="O44" s="233" t="s">
        <v>156</v>
      </c>
      <c r="P44" s="227">
        <f>SUM($C$45:$F$45)</f>
        <v>0</v>
      </c>
      <c r="Q44" s="229" t="s">
        <v>106</v>
      </c>
      <c r="R44" s="229"/>
      <c r="S44" s="229"/>
      <c r="T44" s="229"/>
      <c r="AD44" s="200"/>
      <c r="AE44" s="254" t="s">
        <v>157</v>
      </c>
      <c r="AF44" s="260">
        <f>IF($C$38&gt;=1,$C44*0.224809,"")</f>
        <v>-109.1530279710195</v>
      </c>
      <c r="AG44" s="261">
        <f>IF($C$38&gt;=2,$D44*0.224809,"")</f>
      </c>
      <c r="AH44" s="260">
        <f>IF($C$38&gt;=3,$E44*0.224809,"")</f>
      </c>
      <c r="AI44" s="262">
        <f>IF($C$38&gt;=4,$F44*0.224809,"")</f>
      </c>
      <c r="AJ44" s="200"/>
      <c r="AK44" s="200"/>
    </row>
    <row r="45" spans="1:37" ht="12.75">
      <c r="A45" s="182"/>
      <c r="B45" s="252" t="s">
        <v>158</v>
      </c>
      <c r="C45" s="256">
        <f t="shared" si="6"/>
        <v>0</v>
      </c>
      <c r="D45" s="256">
        <f t="shared" si="6"/>
        <v>0</v>
      </c>
      <c r="E45" s="256">
        <f t="shared" si="6"/>
        <v>0</v>
      </c>
      <c r="F45" s="256">
        <f t="shared" si="6"/>
        <v>0</v>
      </c>
      <c r="G45" s="193"/>
      <c r="H45" s="193"/>
      <c r="I45" s="194"/>
      <c r="J45" s="129"/>
      <c r="O45" s="233" t="s">
        <v>159</v>
      </c>
      <c r="P45" s="227">
        <f>SUM($C$46:$F$46)</f>
        <v>0</v>
      </c>
      <c r="Q45" s="229" t="s">
        <v>106</v>
      </c>
      <c r="R45" s="229"/>
      <c r="S45" s="229"/>
      <c r="T45" s="229"/>
      <c r="AD45" s="200"/>
      <c r="AE45" s="254" t="s">
        <v>160</v>
      </c>
      <c r="AF45" s="260">
        <f>IF($C$38&gt;=1,$C45*0.224809,"")</f>
        <v>0</v>
      </c>
      <c r="AG45" s="261">
        <f>IF($C$38&gt;=2,$D45*0.224809,"")</f>
      </c>
      <c r="AH45" s="260">
        <f>IF($C$38&gt;=3,$E45*0.224809,"")</f>
      </c>
      <c r="AI45" s="262">
        <f>IF($C$38&gt;=4,$F45*0.224809,"")</f>
      </c>
      <c r="AJ45" s="200"/>
      <c r="AK45" s="200"/>
    </row>
    <row r="46" spans="1:37" ht="12.75">
      <c r="A46" s="179"/>
      <c r="B46" s="252" t="s">
        <v>161</v>
      </c>
      <c r="C46" s="256">
        <f t="shared" si="6"/>
        <v>0</v>
      </c>
      <c r="D46" s="256">
        <f t="shared" si="6"/>
        <v>0</v>
      </c>
      <c r="E46" s="256">
        <f t="shared" si="6"/>
        <v>0</v>
      </c>
      <c r="F46" s="256">
        <f t="shared" si="6"/>
        <v>0</v>
      </c>
      <c r="G46" s="192" t="s">
        <v>112</v>
      </c>
      <c r="H46" s="263"/>
      <c r="I46" s="264"/>
      <c r="J46" s="129"/>
      <c r="O46" s="233" t="s">
        <v>162</v>
      </c>
      <c r="P46" s="172">
        <f>ROUND(SUM($C$47:$F$47)+SUM($P$35:$S$35)+SUM($P$37:$S$37),2)</f>
        <v>0</v>
      </c>
      <c r="Q46" s="229" t="s">
        <v>113</v>
      </c>
      <c r="R46" s="229"/>
      <c r="S46" s="229"/>
      <c r="T46" s="229"/>
      <c r="AD46" s="200"/>
      <c r="AE46" s="254" t="s">
        <v>163</v>
      </c>
      <c r="AF46" s="260">
        <f>IF($C$38&gt;=1,$C46*0.224809,"")</f>
        <v>0</v>
      </c>
      <c r="AG46" s="261">
        <f>IF($C$38&gt;=2,$D46*0.224809,"")</f>
      </c>
      <c r="AH46" s="260">
        <f>IF($C$38&gt;=3,$E46*0.224809,"")</f>
      </c>
      <c r="AI46" s="262">
        <f>IF($C$38&gt;=4,$F46*0.224809,"")</f>
      </c>
      <c r="AJ46" s="200"/>
      <c r="AK46" s="200"/>
    </row>
    <row r="47" spans="1:37" ht="12.75">
      <c r="A47" s="182"/>
      <c r="B47" s="252" t="s">
        <v>164</v>
      </c>
      <c r="C47" s="256">
        <f t="shared" si="6"/>
        <v>0</v>
      </c>
      <c r="D47" s="256">
        <f t="shared" si="6"/>
        <v>0</v>
      </c>
      <c r="E47" s="256">
        <f t="shared" si="6"/>
        <v>0</v>
      </c>
      <c r="F47" s="256">
        <f t="shared" si="6"/>
        <v>0</v>
      </c>
      <c r="G47" s="252" t="s">
        <v>114</v>
      </c>
      <c r="H47" s="210">
        <f>MAX($S$5:$S$29)</f>
        <v>242.76836774999998</v>
      </c>
      <c r="I47" s="232" t="s">
        <v>106</v>
      </c>
      <c r="J47" s="129"/>
      <c r="O47" s="233" t="s">
        <v>165</v>
      </c>
      <c r="P47" s="172">
        <f>ROUND(SUM($C$48:$F$48)+SUM($P$36:$S$36)+SUM($P$38:$S$38),2)</f>
        <v>0</v>
      </c>
      <c r="Q47" s="229" t="s">
        <v>111</v>
      </c>
      <c r="R47" s="229"/>
      <c r="S47" s="229"/>
      <c r="T47" s="229"/>
      <c r="AD47" s="200"/>
      <c r="AE47" s="254" t="s">
        <v>166</v>
      </c>
      <c r="AF47" s="260">
        <f>IF($C$38&gt;=1,$C47*0.737562,"")</f>
        <v>0</v>
      </c>
      <c r="AG47" s="261">
        <f>IF($C$38&gt;=2,$D47*0.737562,"")</f>
      </c>
      <c r="AH47" s="260">
        <f>IF($C$38&gt;=3,$E47*0.737562,"")</f>
      </c>
      <c r="AI47" s="262">
        <f>IF($C$38&gt;=4,$F47*0.737562,"")</f>
      </c>
      <c r="AJ47" s="200"/>
      <c r="AK47" s="200"/>
    </row>
    <row r="48" spans="1:37" ht="12.75">
      <c r="A48" s="251"/>
      <c r="B48" s="252" t="s">
        <v>167</v>
      </c>
      <c r="C48" s="256">
        <f t="shared" si="6"/>
        <v>0</v>
      </c>
      <c r="D48" s="256">
        <f t="shared" si="6"/>
        <v>0</v>
      </c>
      <c r="E48" s="256">
        <f t="shared" si="6"/>
        <v>0</v>
      </c>
      <c r="F48" s="256">
        <f t="shared" si="6"/>
        <v>0</v>
      </c>
      <c r="G48" s="252" t="s">
        <v>115</v>
      </c>
      <c r="H48" s="217">
        <f>MIN($S$5:$S$29)</f>
        <v>242.76836774999998</v>
      </c>
      <c r="I48" s="232" t="s">
        <v>106</v>
      </c>
      <c r="J48" s="129"/>
      <c r="O48" s="233" t="s">
        <v>168</v>
      </c>
      <c r="P48" s="170">
        <f>ROUND(SUM($C$49:$F$49)+SUM($P$39:$S$39)+SUM($P$40:$S$40),2)</f>
        <v>0</v>
      </c>
      <c r="Q48" s="229" t="s">
        <v>111</v>
      </c>
      <c r="R48" s="229"/>
      <c r="S48" s="229"/>
      <c r="T48" s="229"/>
      <c r="AD48" s="200"/>
      <c r="AE48" s="254" t="s">
        <v>169</v>
      </c>
      <c r="AF48" s="260">
        <f>IF($C$38&gt;=1,$C48*0.737562,"")</f>
        <v>0</v>
      </c>
      <c r="AG48" s="261">
        <f>IF($C$38&gt;=2,$D48*0.737562,"")</f>
      </c>
      <c r="AH48" s="260">
        <f>IF($C$38&gt;=3,$E48*0.737562,"")</f>
      </c>
      <c r="AI48" s="262">
        <f>IF($C$38&gt;=4,$F48*0.737562,"")</f>
      </c>
      <c r="AJ48" s="200"/>
      <c r="AK48" s="200"/>
    </row>
    <row r="49" spans="1:37" ht="12.75">
      <c r="A49" s="182"/>
      <c r="B49" s="252" t="s">
        <v>170</v>
      </c>
      <c r="C49" s="265">
        <f t="shared" si="6"/>
        <v>0</v>
      </c>
      <c r="D49" s="265">
        <f t="shared" si="6"/>
        <v>0</v>
      </c>
      <c r="E49" s="265">
        <f t="shared" si="6"/>
        <v>0</v>
      </c>
      <c r="F49" s="265">
        <f t="shared" si="6"/>
        <v>0</v>
      </c>
      <c r="G49" s="266" t="s">
        <v>116</v>
      </c>
      <c r="H49" s="238">
        <f>MAX($T$5:$T$29)</f>
        <v>0</v>
      </c>
      <c r="I49" s="232" t="s">
        <v>106</v>
      </c>
      <c r="AD49" s="200"/>
      <c r="AE49" s="254" t="s">
        <v>171</v>
      </c>
      <c r="AF49" s="267">
        <f>IF($C$38&gt;=1,$C49*0.737562,"")</f>
        <v>0</v>
      </c>
      <c r="AG49" s="268">
        <f>IF($C$38&gt;=2,$D49*0.737562,"")</f>
      </c>
      <c r="AH49" s="267">
        <f>IF($C$38&gt;=3,$E49*0.737562,"")</f>
      </c>
      <c r="AI49" s="269">
        <f>IF($C$38&gt;=4,$F49*0.737562,"")</f>
      </c>
      <c r="AJ49" s="200"/>
      <c r="AK49" s="200"/>
    </row>
    <row r="50" spans="1:37" ht="12.75">
      <c r="A50" s="270"/>
      <c r="B50" s="271"/>
      <c r="C50" s="271"/>
      <c r="D50" s="271"/>
      <c r="E50" s="271"/>
      <c r="F50" s="271"/>
      <c r="G50" s="271"/>
      <c r="H50" s="271"/>
      <c r="I50" s="272"/>
      <c r="AD50" s="200"/>
      <c r="AE50" s="200"/>
      <c r="AF50" s="200"/>
      <c r="AG50" s="200"/>
      <c r="AH50" s="200"/>
      <c r="AI50" s="200"/>
      <c r="AJ50" s="200"/>
      <c r="AK50" s="200"/>
    </row>
    <row r="51" spans="1:37" ht="12.75">
      <c r="A51" s="273"/>
      <c r="B51" s="273"/>
      <c r="C51" s="273"/>
      <c r="D51" s="273"/>
      <c r="E51" s="273"/>
      <c r="F51" s="273"/>
      <c r="G51" s="273"/>
      <c r="H51" s="273"/>
      <c r="I51" s="273"/>
      <c r="AD51" s="200"/>
      <c r="AE51" s="200"/>
      <c r="AF51" s="200"/>
      <c r="AG51" s="200"/>
      <c r="AH51" s="200"/>
      <c r="AI51" s="200"/>
      <c r="AJ51" s="200"/>
      <c r="AK51" s="200"/>
    </row>
    <row r="52" spans="1:35" ht="12.75">
      <c r="A52" s="274"/>
      <c r="B52" s="275"/>
      <c r="C52" s="276"/>
      <c r="D52" s="276"/>
      <c r="E52" s="273"/>
      <c r="F52" s="273"/>
      <c r="G52" s="273"/>
      <c r="H52" s="277"/>
      <c r="I52" s="273"/>
      <c r="AD52" s="278" t="s">
        <v>117</v>
      </c>
      <c r="AE52" s="279"/>
      <c r="AF52" s="279"/>
      <c r="AG52" s="279"/>
      <c r="AH52" s="279"/>
      <c r="AI52" s="279"/>
    </row>
    <row r="53" spans="1:35" ht="12.75">
      <c r="A53" s="280"/>
      <c r="B53" s="273"/>
      <c r="C53" s="273"/>
      <c r="D53" s="273"/>
      <c r="E53" s="273"/>
      <c r="F53" s="273"/>
      <c r="G53" s="273"/>
      <c r="H53" s="273"/>
      <c r="I53" s="273"/>
      <c r="AD53" s="281"/>
      <c r="AE53" s="281"/>
      <c r="AF53" s="281"/>
      <c r="AG53" s="281"/>
      <c r="AH53" s="281"/>
      <c r="AI53" s="281"/>
    </row>
    <row r="54" spans="1:35" ht="25.5">
      <c r="A54" s="282" t="s">
        <v>53</v>
      </c>
      <c r="B54" s="283"/>
      <c r="C54" s="284"/>
      <c r="D54" s="284"/>
      <c r="E54" s="284"/>
      <c r="F54" s="284"/>
      <c r="G54" s="283"/>
      <c r="H54" s="283"/>
      <c r="I54" s="285"/>
      <c r="AB54" s="139" t="s">
        <v>57</v>
      </c>
      <c r="AC54" s="140"/>
      <c r="AD54" s="286" t="s">
        <v>172</v>
      </c>
      <c r="AE54" s="287"/>
      <c r="AF54" s="288"/>
      <c r="AG54" s="288"/>
      <c r="AH54" s="288"/>
      <c r="AI54" s="288"/>
    </row>
    <row r="55" spans="1:35" ht="12.75">
      <c r="A55" s="289" t="s">
        <v>56</v>
      </c>
      <c r="B55" s="290"/>
      <c r="C55" s="290"/>
      <c r="D55" s="290"/>
      <c r="E55" s="290"/>
      <c r="F55" s="290"/>
      <c r="G55" s="291"/>
      <c r="H55" s="291"/>
      <c r="I55" s="292"/>
      <c r="AB55" s="149" t="s">
        <v>63</v>
      </c>
      <c r="AC55" s="149" t="s">
        <v>64</v>
      </c>
      <c r="AD55" s="293" t="s">
        <v>118</v>
      </c>
      <c r="AE55" s="287"/>
      <c r="AF55" s="294"/>
      <c r="AG55" s="294"/>
      <c r="AH55" s="294"/>
      <c r="AI55" s="294"/>
    </row>
    <row r="56" spans="1:35" ht="12.75">
      <c r="A56" s="295" t="s">
        <v>58</v>
      </c>
      <c r="B56" s="296"/>
      <c r="C56" s="296"/>
      <c r="D56" s="296"/>
      <c r="E56" s="296"/>
      <c r="F56" s="296"/>
      <c r="G56" s="297"/>
      <c r="H56" s="297"/>
      <c r="I56" s="298"/>
      <c r="AB56" s="162">
        <v>0.4</v>
      </c>
      <c r="AC56" s="163">
        <v>0.4</v>
      </c>
      <c r="AD56" s="299"/>
      <c r="AE56" s="299"/>
      <c r="AF56" s="299"/>
      <c r="AG56" s="299"/>
      <c r="AH56" s="299"/>
      <c r="AI56" s="299"/>
    </row>
    <row r="57" spans="1:35" ht="12.75">
      <c r="A57" s="150" t="s">
        <v>65</v>
      </c>
      <c r="B57" s="151"/>
      <c r="C57" s="152"/>
      <c r="D57" s="152"/>
      <c r="E57" s="152"/>
      <c r="F57" s="153" t="s">
        <v>66</v>
      </c>
      <c r="G57" s="154"/>
      <c r="H57" s="155"/>
      <c r="I57" s="156"/>
      <c r="AD57" s="286" t="s">
        <v>119</v>
      </c>
      <c r="AE57" s="299"/>
      <c r="AF57" s="299"/>
      <c r="AG57" s="299"/>
      <c r="AH57" s="299"/>
      <c r="AI57" s="299"/>
    </row>
    <row r="58" spans="1:35" ht="12.75">
      <c r="A58" s="150" t="s">
        <v>75</v>
      </c>
      <c r="B58" s="164"/>
      <c r="C58" s="155"/>
      <c r="D58" s="155"/>
      <c r="E58" s="156"/>
      <c r="F58" s="165" t="s">
        <v>76</v>
      </c>
      <c r="G58" s="166"/>
      <c r="H58" s="167" t="s">
        <v>77</v>
      </c>
      <c r="I58" s="168"/>
      <c r="AD58" s="294"/>
      <c r="AE58" s="300"/>
      <c r="AF58" s="254" t="s">
        <v>120</v>
      </c>
      <c r="AG58" s="301">
        <v>8</v>
      </c>
      <c r="AH58" s="299"/>
      <c r="AI58" s="299"/>
    </row>
    <row r="59" spans="1:35" ht="12.75">
      <c r="A59" s="175"/>
      <c r="B59" s="176"/>
      <c r="C59" s="176"/>
      <c r="D59" s="176"/>
      <c r="E59" s="176"/>
      <c r="F59" s="176"/>
      <c r="G59" s="176"/>
      <c r="H59" s="177"/>
      <c r="I59" s="178"/>
      <c r="AD59" s="294"/>
      <c r="AE59" s="299"/>
      <c r="AF59" s="302" t="s">
        <v>121</v>
      </c>
      <c r="AG59" s="303">
        <v>8</v>
      </c>
      <c r="AH59" s="304" t="s">
        <v>30</v>
      </c>
      <c r="AI59" s="299"/>
    </row>
    <row r="60" spans="1:35" ht="12.75">
      <c r="A60" s="179" t="s">
        <v>79</v>
      </c>
      <c r="B60" s="176"/>
      <c r="C60" s="180"/>
      <c r="D60" s="176"/>
      <c r="E60" s="176"/>
      <c r="F60" s="176"/>
      <c r="G60" s="176"/>
      <c r="H60" s="177"/>
      <c r="I60" s="181"/>
      <c r="AD60" s="299"/>
      <c r="AE60" s="299"/>
      <c r="AF60" s="302" t="s">
        <v>122</v>
      </c>
      <c r="AG60" s="303">
        <v>4</v>
      </c>
      <c r="AH60" s="304" t="s">
        <v>30</v>
      </c>
      <c r="AI60" s="299">
        <f>IF($AG$60&lt;$AG$59/2,"Xo MUST BE &gt;= Dc/2","")</f>
      </c>
    </row>
    <row r="61" spans="1:35" ht="12.75">
      <c r="A61" s="182"/>
      <c r="B61" s="183"/>
      <c r="C61" s="176"/>
      <c r="D61" s="176"/>
      <c r="E61" s="184" t="s">
        <v>81</v>
      </c>
      <c r="F61" s="185"/>
      <c r="G61" s="186"/>
      <c r="H61" s="187"/>
      <c r="I61" s="188"/>
      <c r="AD61" s="299"/>
      <c r="AE61" s="299"/>
      <c r="AF61" s="302" t="s">
        <v>123</v>
      </c>
      <c r="AG61" s="303">
        <v>4</v>
      </c>
      <c r="AH61" s="304" t="s">
        <v>30</v>
      </c>
      <c r="AI61" s="299">
        <f>IF($AG$61&lt;$AG$59/2,"Yo MUST BE &gt;= Dc/2","")</f>
      </c>
    </row>
    <row r="62" spans="1:35" ht="12.75">
      <c r="A62" s="182"/>
      <c r="B62" s="189" t="s">
        <v>83</v>
      </c>
      <c r="C62" s="162">
        <v>2</v>
      </c>
      <c r="D62" s="191"/>
      <c r="E62" s="192"/>
      <c r="F62" s="185"/>
      <c r="G62" s="193"/>
      <c r="H62" s="193"/>
      <c r="I62" s="194" t="s">
        <v>84</v>
      </c>
      <c r="AD62" s="299"/>
      <c r="AE62" s="299"/>
      <c r="AF62" s="305" t="s">
        <v>173</v>
      </c>
      <c r="AG62" s="306">
        <v>0</v>
      </c>
      <c r="AH62" s="304" t="s">
        <v>101</v>
      </c>
      <c r="AI62" s="299"/>
    </row>
    <row r="63" spans="1:35" ht="12.75">
      <c r="A63" s="182"/>
      <c r="B63" s="195" t="s">
        <v>85</v>
      </c>
      <c r="C63" s="196"/>
      <c r="D63" s="193"/>
      <c r="E63" s="307" t="s">
        <v>174</v>
      </c>
      <c r="F63" s="308"/>
      <c r="G63" s="193"/>
      <c r="H63" s="193"/>
      <c r="I63" s="194"/>
      <c r="AD63" s="299"/>
      <c r="AE63" s="299"/>
      <c r="AF63" s="299"/>
      <c r="AG63" s="299"/>
      <c r="AH63" s="299"/>
      <c r="AI63" s="299"/>
    </row>
    <row r="64" spans="1:35" ht="12.75">
      <c r="A64" s="182"/>
      <c r="B64" s="201" t="s">
        <v>132</v>
      </c>
      <c r="C64" s="201" t="s">
        <v>133</v>
      </c>
      <c r="D64" s="193"/>
      <c r="E64" s="309" t="s">
        <v>73</v>
      </c>
      <c r="F64" s="310" t="s">
        <v>74</v>
      </c>
      <c r="G64" s="193"/>
      <c r="H64" s="193"/>
      <c r="I64" s="194"/>
      <c r="AD64" s="205"/>
      <c r="AE64" s="281"/>
      <c r="AF64" s="311" t="s">
        <v>85</v>
      </c>
      <c r="AG64" s="312"/>
      <c r="AH64" s="294"/>
      <c r="AI64" s="294"/>
    </row>
    <row r="65" spans="1:35" ht="12.75">
      <c r="A65" s="206" t="str">
        <f aca="true" t="shared" si="7" ref="A65:A89">+A12</f>
        <v>#1:</v>
      </c>
      <c r="B65" s="336">
        <f>+'Footing 2 pile'!H38</f>
        <v>0.35</v>
      </c>
      <c r="C65" s="336">
        <f>+'Footing 2 pile'!I38</f>
        <v>0.35</v>
      </c>
      <c r="D65" s="206" t="str">
        <f aca="true" t="shared" si="8" ref="D65:D89">+D12</f>
        <v>#1:</v>
      </c>
      <c r="E65" s="210">
        <f aca="true" t="shared" si="9" ref="E65:F89">IF(E12="","",(E12*1000)/9.806)</f>
        <v>24757.125</v>
      </c>
      <c r="F65" s="210">
        <f t="shared" si="9"/>
        <v>0</v>
      </c>
      <c r="G65" s="193"/>
      <c r="H65" s="193"/>
      <c r="I65" s="194"/>
      <c r="AD65" s="205"/>
      <c r="AE65" s="281"/>
      <c r="AF65" s="315" t="s">
        <v>124</v>
      </c>
      <c r="AG65" s="315" t="s">
        <v>125</v>
      </c>
      <c r="AH65" s="294"/>
      <c r="AI65" s="294"/>
    </row>
    <row r="66" spans="1:35" ht="12.75">
      <c r="A66" s="206" t="str">
        <f t="shared" si="7"/>
        <v>#2:</v>
      </c>
      <c r="B66" s="337">
        <f>+'Footing 2 pile'!H39</f>
        <v>1.15</v>
      </c>
      <c r="C66" s="337">
        <f>+'Footing 2 pile'!I39</f>
        <v>0.35</v>
      </c>
      <c r="D66" s="206" t="str">
        <f t="shared" si="8"/>
        <v>#2:</v>
      </c>
      <c r="E66" s="217">
        <f t="shared" si="9"/>
        <v>24757.125</v>
      </c>
      <c r="F66" s="218">
        <f t="shared" si="9"/>
        <v>0</v>
      </c>
      <c r="G66" s="193"/>
      <c r="H66" s="193"/>
      <c r="I66" s="194"/>
      <c r="AD66" s="302"/>
      <c r="AE66" s="318">
        <f>IF($AG$58&gt;=1,1,"")</f>
        <v>1</v>
      </c>
      <c r="AF66" s="213">
        <f aca="true" t="shared" si="10" ref="AF66:AF90">IF($AE66&lt;&gt;"",$AG$60+($AG$59)*COS(PI()/180*($AG$62+($AE66-1)*360/$AG$58))/2,"")</f>
        <v>8</v>
      </c>
      <c r="AG66" s="213">
        <f aca="true" t="shared" si="11" ref="AG66:AG90">IF($AE66&lt;&gt;"",$AG$61+($AG$59)*SIN(PI()/180*($AG$62+($AE66-1)*360/$AG$58))/2,"")</f>
        <v>4</v>
      </c>
      <c r="AH66" s="294"/>
      <c r="AI66" s="294"/>
    </row>
    <row r="67" spans="1:35" ht="12.75">
      <c r="A67" s="206">
        <f t="shared" si="7"/>
      </c>
      <c r="B67" s="316"/>
      <c r="C67" s="317"/>
      <c r="D67" s="206">
        <f t="shared" si="8"/>
      </c>
      <c r="E67" s="217">
        <f t="shared" si="9"/>
      </c>
      <c r="F67" s="218">
        <f t="shared" si="9"/>
      </c>
      <c r="G67" s="193"/>
      <c r="H67" s="193"/>
      <c r="I67" s="194"/>
      <c r="AD67" s="302"/>
      <c r="AE67" s="318">
        <f>IF($AG$58&gt;=2,2,"")</f>
        <v>2</v>
      </c>
      <c r="AF67" s="219">
        <f t="shared" si="10"/>
        <v>6.82842712474619</v>
      </c>
      <c r="AG67" s="219">
        <f t="shared" si="11"/>
        <v>6.82842712474619</v>
      </c>
      <c r="AH67" s="294"/>
      <c r="AI67" s="294"/>
    </row>
    <row r="68" spans="1:35" ht="12.75">
      <c r="A68" s="206">
        <f t="shared" si="7"/>
      </c>
      <c r="B68" s="316"/>
      <c r="C68" s="317"/>
      <c r="D68" s="206">
        <f t="shared" si="8"/>
      </c>
      <c r="E68" s="217">
        <f t="shared" si="9"/>
      </c>
      <c r="F68" s="218">
        <f t="shared" si="9"/>
      </c>
      <c r="G68" s="193"/>
      <c r="H68" s="193"/>
      <c r="I68" s="194"/>
      <c r="AD68" s="302"/>
      <c r="AE68" s="318">
        <f>IF($AG$58&gt;=3,3,"")</f>
        <v>3</v>
      </c>
      <c r="AF68" s="219">
        <f t="shared" si="10"/>
        <v>4</v>
      </c>
      <c r="AG68" s="219">
        <f t="shared" si="11"/>
        <v>8</v>
      </c>
      <c r="AH68" s="294"/>
      <c r="AI68" s="294"/>
    </row>
    <row r="69" spans="1:35" ht="12.75">
      <c r="A69" s="206">
        <f t="shared" si="7"/>
      </c>
      <c r="B69" s="316"/>
      <c r="C69" s="317"/>
      <c r="D69" s="206">
        <f t="shared" si="8"/>
      </c>
      <c r="E69" s="217">
        <f t="shared" si="9"/>
      </c>
      <c r="F69" s="218">
        <f t="shared" si="9"/>
      </c>
      <c r="G69" s="193"/>
      <c r="H69" s="193"/>
      <c r="I69" s="194"/>
      <c r="AD69" s="302"/>
      <c r="AE69" s="318">
        <f>IF($AG$58&gt;=4,4,"")</f>
        <v>4</v>
      </c>
      <c r="AF69" s="219">
        <f t="shared" si="10"/>
        <v>1.1715728752538102</v>
      </c>
      <c r="AG69" s="219">
        <f t="shared" si="11"/>
        <v>6.82842712474619</v>
      </c>
      <c r="AH69" s="294"/>
      <c r="AI69" s="294"/>
    </row>
    <row r="70" spans="1:35" ht="12.75">
      <c r="A70" s="206">
        <f t="shared" si="7"/>
      </c>
      <c r="B70" s="316"/>
      <c r="C70" s="317"/>
      <c r="D70" s="206">
        <f t="shared" si="8"/>
      </c>
      <c r="E70" s="217">
        <f t="shared" si="9"/>
      </c>
      <c r="F70" s="218">
        <f t="shared" si="9"/>
      </c>
      <c r="G70" s="193"/>
      <c r="H70" s="193"/>
      <c r="I70" s="194"/>
      <c r="AD70" s="302"/>
      <c r="AE70" s="318">
        <f>IF($AG$58&gt;=5,5,"")</f>
        <v>5</v>
      </c>
      <c r="AF70" s="219">
        <f t="shared" si="10"/>
        <v>0</v>
      </c>
      <c r="AG70" s="219">
        <f t="shared" si="11"/>
        <v>4.000000000000001</v>
      </c>
      <c r="AH70" s="294"/>
      <c r="AI70" s="294"/>
    </row>
    <row r="71" spans="1:35" ht="12.75">
      <c r="A71" s="206">
        <f t="shared" si="7"/>
      </c>
      <c r="B71" s="316"/>
      <c r="C71" s="317"/>
      <c r="D71" s="206">
        <f t="shared" si="8"/>
      </c>
      <c r="E71" s="217">
        <f t="shared" si="9"/>
      </c>
      <c r="F71" s="218">
        <f t="shared" si="9"/>
      </c>
      <c r="G71" s="193"/>
      <c r="H71" s="193"/>
      <c r="I71" s="194"/>
      <c r="AD71" s="302"/>
      <c r="AE71" s="318">
        <f>IF($AG$58&gt;=6,6,"")</f>
        <v>6</v>
      </c>
      <c r="AF71" s="219">
        <f t="shared" si="10"/>
        <v>1.1715728752538093</v>
      </c>
      <c r="AG71" s="219">
        <f t="shared" si="11"/>
        <v>1.1715728752538102</v>
      </c>
      <c r="AH71" s="294"/>
      <c r="AI71" s="294"/>
    </row>
    <row r="72" spans="1:35" ht="12.75">
      <c r="A72" s="206">
        <f t="shared" si="7"/>
      </c>
      <c r="B72" s="316"/>
      <c r="C72" s="317"/>
      <c r="D72" s="206">
        <f t="shared" si="8"/>
      </c>
      <c r="E72" s="217">
        <f t="shared" si="9"/>
      </c>
      <c r="F72" s="218">
        <f t="shared" si="9"/>
      </c>
      <c r="G72" s="193"/>
      <c r="H72" s="193"/>
      <c r="I72" s="194"/>
      <c r="AD72" s="302"/>
      <c r="AE72" s="318">
        <f>IF($AG$58&gt;=7,7,"")</f>
        <v>7</v>
      </c>
      <c r="AF72" s="219">
        <f t="shared" si="10"/>
        <v>3.999999999999999</v>
      </c>
      <c r="AG72" s="219">
        <f t="shared" si="11"/>
        <v>0</v>
      </c>
      <c r="AH72" s="294"/>
      <c r="AI72" s="294"/>
    </row>
    <row r="73" spans="1:35" ht="12.75">
      <c r="A73" s="206">
        <f t="shared" si="7"/>
      </c>
      <c r="B73" s="316"/>
      <c r="C73" s="317"/>
      <c r="D73" s="206">
        <f t="shared" si="8"/>
      </c>
      <c r="E73" s="217">
        <f t="shared" si="9"/>
      </c>
      <c r="F73" s="218">
        <f t="shared" si="9"/>
      </c>
      <c r="G73" s="193"/>
      <c r="H73" s="193"/>
      <c r="I73" s="194"/>
      <c r="AD73" s="302"/>
      <c r="AE73" s="318">
        <f>IF($AG$58&gt;=8,8,"")</f>
        <v>8</v>
      </c>
      <c r="AF73" s="219">
        <f t="shared" si="10"/>
        <v>6.82842712474619</v>
      </c>
      <c r="AG73" s="219">
        <f t="shared" si="11"/>
        <v>1.1715728752538093</v>
      </c>
      <c r="AH73" s="294"/>
      <c r="AI73" s="299"/>
    </row>
    <row r="74" spans="1:35" ht="12.75">
      <c r="A74" s="206">
        <f t="shared" si="7"/>
      </c>
      <c r="B74" s="316"/>
      <c r="C74" s="317"/>
      <c r="D74" s="206">
        <f t="shared" si="8"/>
      </c>
      <c r="E74" s="217">
        <f t="shared" si="9"/>
      </c>
      <c r="F74" s="218">
        <f t="shared" si="9"/>
      </c>
      <c r="G74" s="193"/>
      <c r="H74" s="193"/>
      <c r="I74" s="194"/>
      <c r="AD74" s="302"/>
      <c r="AE74" s="318">
        <f>IF($AG$58&gt;=9,9,"")</f>
      </c>
      <c r="AF74" s="219">
        <f t="shared" si="10"/>
      </c>
      <c r="AG74" s="219">
        <f t="shared" si="11"/>
      </c>
      <c r="AH74" s="294"/>
      <c r="AI74" s="299"/>
    </row>
    <row r="75" spans="1:35" ht="12.75">
      <c r="A75" s="206">
        <f t="shared" si="7"/>
      </c>
      <c r="B75" s="316"/>
      <c r="C75" s="317"/>
      <c r="D75" s="206">
        <f t="shared" si="8"/>
      </c>
      <c r="E75" s="217">
        <f t="shared" si="9"/>
      </c>
      <c r="F75" s="218">
        <f t="shared" si="9"/>
      </c>
      <c r="G75" s="193"/>
      <c r="H75" s="193"/>
      <c r="I75" s="194"/>
      <c r="AD75" s="302"/>
      <c r="AE75" s="318">
        <f>IF($AG$58&gt;=10,10,"")</f>
      </c>
      <c r="AF75" s="219">
        <f t="shared" si="10"/>
      </c>
      <c r="AG75" s="219">
        <f t="shared" si="11"/>
      </c>
      <c r="AH75" s="294"/>
      <c r="AI75" s="294"/>
    </row>
    <row r="76" spans="1:35" ht="12.75">
      <c r="A76" s="206">
        <f t="shared" si="7"/>
      </c>
      <c r="B76" s="316"/>
      <c r="C76" s="317"/>
      <c r="D76" s="206">
        <f t="shared" si="8"/>
      </c>
      <c r="E76" s="217">
        <f t="shared" si="9"/>
      </c>
      <c r="F76" s="218">
        <f t="shared" si="9"/>
      </c>
      <c r="G76" s="193"/>
      <c r="H76" s="193"/>
      <c r="I76" s="194"/>
      <c r="AD76" s="302"/>
      <c r="AE76" s="318">
        <f>IF($AG$58&gt;=11,11,"")</f>
      </c>
      <c r="AF76" s="219">
        <f t="shared" si="10"/>
      </c>
      <c r="AG76" s="219">
        <f t="shared" si="11"/>
      </c>
      <c r="AH76" s="294"/>
      <c r="AI76" s="294"/>
    </row>
    <row r="77" spans="1:35" ht="12.75">
      <c r="A77" s="206">
        <f t="shared" si="7"/>
      </c>
      <c r="B77" s="316"/>
      <c r="C77" s="317"/>
      <c r="D77" s="206">
        <f t="shared" si="8"/>
      </c>
      <c r="E77" s="217">
        <f t="shared" si="9"/>
      </c>
      <c r="F77" s="218">
        <f t="shared" si="9"/>
      </c>
      <c r="G77" s="193"/>
      <c r="H77" s="193"/>
      <c r="I77" s="194"/>
      <c r="AD77" s="302"/>
      <c r="AE77" s="318">
        <f>IF($AG$58&gt;=12,12,"")</f>
      </c>
      <c r="AF77" s="219">
        <f t="shared" si="10"/>
      </c>
      <c r="AG77" s="219">
        <f t="shared" si="11"/>
      </c>
      <c r="AH77" s="294"/>
      <c r="AI77" s="204" t="s">
        <v>126</v>
      </c>
    </row>
    <row r="78" spans="1:35" ht="12.75">
      <c r="A78" s="206">
        <f t="shared" si="7"/>
      </c>
      <c r="B78" s="316"/>
      <c r="C78" s="317"/>
      <c r="D78" s="206">
        <f t="shared" si="8"/>
      </c>
      <c r="E78" s="217">
        <f t="shared" si="9"/>
      </c>
      <c r="F78" s="218">
        <f t="shared" si="9"/>
      </c>
      <c r="G78" s="193"/>
      <c r="H78" s="193"/>
      <c r="I78" s="194"/>
      <c r="AD78" s="302"/>
      <c r="AE78" s="318">
        <f>IF($AG$58&gt;=13,13,"")</f>
      </c>
      <c r="AF78" s="219">
        <f t="shared" si="10"/>
      </c>
      <c r="AG78" s="219">
        <f t="shared" si="11"/>
      </c>
      <c r="AH78" s="294"/>
      <c r="AI78" s="204" t="s">
        <v>127</v>
      </c>
    </row>
    <row r="79" spans="1:35" ht="12.75">
      <c r="A79" s="206">
        <f t="shared" si="7"/>
      </c>
      <c r="B79" s="316"/>
      <c r="C79" s="317"/>
      <c r="D79" s="206">
        <f t="shared" si="8"/>
      </c>
      <c r="E79" s="217">
        <f t="shared" si="9"/>
      </c>
      <c r="F79" s="218">
        <f t="shared" si="9"/>
      </c>
      <c r="G79" s="193"/>
      <c r="H79" s="193"/>
      <c r="I79" s="194"/>
      <c r="AD79" s="302"/>
      <c r="AE79" s="318">
        <f>IF($AG$58&gt;=14,14,"")</f>
      </c>
      <c r="AF79" s="219">
        <f t="shared" si="10"/>
      </c>
      <c r="AG79" s="219">
        <f t="shared" si="11"/>
      </c>
      <c r="AH79" s="294"/>
      <c r="AI79" s="294"/>
    </row>
    <row r="80" spans="1:35" ht="12.75">
      <c r="A80" s="206">
        <f t="shared" si="7"/>
      </c>
      <c r="B80" s="316"/>
      <c r="C80" s="317"/>
      <c r="D80" s="206">
        <f t="shared" si="8"/>
      </c>
      <c r="E80" s="217">
        <f t="shared" si="9"/>
      </c>
      <c r="F80" s="218">
        <f t="shared" si="9"/>
      </c>
      <c r="G80" s="193"/>
      <c r="H80" s="193"/>
      <c r="I80" s="194"/>
      <c r="AD80" s="302"/>
      <c r="AE80" s="318">
        <f>IF($AG$58&gt;=15,15,"")</f>
      </c>
      <c r="AF80" s="219">
        <f t="shared" si="10"/>
      </c>
      <c r="AG80" s="219">
        <f t="shared" si="11"/>
      </c>
      <c r="AH80" s="294"/>
      <c r="AI80" s="294"/>
    </row>
    <row r="81" spans="1:35" ht="12.75">
      <c r="A81" s="206">
        <f t="shared" si="7"/>
      </c>
      <c r="B81" s="316"/>
      <c r="C81" s="317"/>
      <c r="D81" s="206">
        <f t="shared" si="8"/>
      </c>
      <c r="E81" s="217">
        <f t="shared" si="9"/>
      </c>
      <c r="F81" s="218">
        <f t="shared" si="9"/>
      </c>
      <c r="G81" s="193"/>
      <c r="H81" s="193"/>
      <c r="I81" s="194"/>
      <c r="AD81" s="302"/>
      <c r="AE81" s="318">
        <f>IF($AG$58&gt;=16,16,"")</f>
      </c>
      <c r="AF81" s="219">
        <f t="shared" si="10"/>
      </c>
      <c r="AG81" s="219">
        <f t="shared" si="11"/>
      </c>
      <c r="AH81" s="294"/>
      <c r="AI81" s="294"/>
    </row>
    <row r="82" spans="1:35" ht="12.75">
      <c r="A82" s="206">
        <f t="shared" si="7"/>
      </c>
      <c r="B82" s="316"/>
      <c r="C82" s="317"/>
      <c r="D82" s="206">
        <f t="shared" si="8"/>
      </c>
      <c r="E82" s="217">
        <f t="shared" si="9"/>
      </c>
      <c r="F82" s="218">
        <f t="shared" si="9"/>
      </c>
      <c r="G82" s="184" t="s">
        <v>87</v>
      </c>
      <c r="H82" s="185"/>
      <c r="I82" s="221"/>
      <c r="AD82" s="302"/>
      <c r="AE82" s="318">
        <f>IF($AG$58&gt;=17,17,"")</f>
      </c>
      <c r="AF82" s="219">
        <f t="shared" si="10"/>
      </c>
      <c r="AG82" s="219">
        <f t="shared" si="11"/>
      </c>
      <c r="AH82" s="294"/>
      <c r="AI82" s="294"/>
    </row>
    <row r="83" spans="1:35" ht="12.75">
      <c r="A83" s="206">
        <f t="shared" si="7"/>
      </c>
      <c r="B83" s="316"/>
      <c r="C83" s="317"/>
      <c r="D83" s="206">
        <f t="shared" si="8"/>
      </c>
      <c r="E83" s="217">
        <f t="shared" si="9"/>
      </c>
      <c r="F83" s="218">
        <f t="shared" si="9"/>
      </c>
      <c r="G83" s="222" t="s">
        <v>88</v>
      </c>
      <c r="H83" s="223">
        <f aca="true" t="shared" si="12" ref="H83:H89">+H30</f>
        <v>0.75</v>
      </c>
      <c r="I83" s="224" t="s">
        <v>30</v>
      </c>
      <c r="AD83" s="302"/>
      <c r="AE83" s="318">
        <f>IF($AG$58&gt;=18,18,"")</f>
      </c>
      <c r="AF83" s="219">
        <f t="shared" si="10"/>
      </c>
      <c r="AG83" s="219">
        <f t="shared" si="11"/>
      </c>
      <c r="AH83" s="299"/>
      <c r="AI83" s="299"/>
    </row>
    <row r="84" spans="1:35" ht="12.75">
      <c r="A84" s="206">
        <f t="shared" si="7"/>
      </c>
      <c r="B84" s="316"/>
      <c r="C84" s="317"/>
      <c r="D84" s="206">
        <f t="shared" si="8"/>
      </c>
      <c r="E84" s="217">
        <f t="shared" si="9"/>
      </c>
      <c r="F84" s="218">
        <f t="shared" si="9"/>
      </c>
      <c r="G84" s="222" t="s">
        <v>89</v>
      </c>
      <c r="H84" s="225">
        <f t="shared" si="12"/>
        <v>0.35</v>
      </c>
      <c r="I84" s="224" t="s">
        <v>30</v>
      </c>
      <c r="AD84" s="302"/>
      <c r="AE84" s="318">
        <f>IF($AG$58&gt;=19,19,"")</f>
      </c>
      <c r="AF84" s="219">
        <f t="shared" si="10"/>
      </c>
      <c r="AG84" s="219">
        <f t="shared" si="11"/>
      </c>
      <c r="AH84" s="299"/>
      <c r="AI84" s="299"/>
    </row>
    <row r="85" spans="1:35" ht="12.75">
      <c r="A85" s="206">
        <f t="shared" si="7"/>
      </c>
      <c r="B85" s="316"/>
      <c r="C85" s="317"/>
      <c r="D85" s="206">
        <f t="shared" si="8"/>
      </c>
      <c r="E85" s="217">
        <f t="shared" si="9"/>
      </c>
      <c r="F85" s="218">
        <f t="shared" si="9"/>
      </c>
      <c r="G85" s="230" t="s">
        <v>91</v>
      </c>
      <c r="H85" s="231">
        <f t="shared" si="12"/>
        <v>9.999999999464891E-13</v>
      </c>
      <c r="I85" s="232" t="s">
        <v>92</v>
      </c>
      <c r="AD85" s="302"/>
      <c r="AE85" s="318">
        <f>IF($AG$58&gt;=20,20,"")</f>
      </c>
      <c r="AF85" s="219">
        <f t="shared" si="10"/>
      </c>
      <c r="AG85" s="219">
        <f t="shared" si="11"/>
      </c>
      <c r="AH85" s="299"/>
      <c r="AI85" s="299"/>
    </row>
    <row r="86" spans="1:35" ht="12.75">
      <c r="A86" s="206">
        <f t="shared" si="7"/>
      </c>
      <c r="B86" s="316"/>
      <c r="C86" s="317"/>
      <c r="D86" s="206">
        <f t="shared" si="8"/>
      </c>
      <c r="E86" s="217">
        <f t="shared" si="9"/>
      </c>
      <c r="F86" s="218">
        <f t="shared" si="9"/>
      </c>
      <c r="G86" s="230" t="s">
        <v>97</v>
      </c>
      <c r="H86" s="231">
        <f t="shared" si="12"/>
        <v>0.31999920000099996</v>
      </c>
      <c r="I86" s="232" t="s">
        <v>92</v>
      </c>
      <c r="AD86" s="302"/>
      <c r="AE86" s="318">
        <f>IF($AG$58&gt;=21,21,"")</f>
      </c>
      <c r="AF86" s="219">
        <f t="shared" si="10"/>
      </c>
      <c r="AG86" s="219">
        <f t="shared" si="11"/>
      </c>
      <c r="AH86" s="300"/>
      <c r="AI86" s="319"/>
    </row>
    <row r="87" spans="1:35" ht="12.75">
      <c r="A87" s="206">
        <f t="shared" si="7"/>
      </c>
      <c r="B87" s="316"/>
      <c r="C87" s="317"/>
      <c r="D87" s="206">
        <f t="shared" si="8"/>
      </c>
      <c r="E87" s="217">
        <f t="shared" si="9"/>
      </c>
      <c r="F87" s="218">
        <f t="shared" si="9"/>
      </c>
      <c r="G87" s="230" t="s">
        <v>98</v>
      </c>
      <c r="H87" s="231">
        <f t="shared" si="12"/>
        <v>0.31999920000199994</v>
      </c>
      <c r="I87" s="232" t="s">
        <v>92</v>
      </c>
      <c r="AD87" s="302"/>
      <c r="AE87" s="318">
        <f>IF($AG$58&gt;=22,22,"")</f>
      </c>
      <c r="AF87" s="219">
        <f t="shared" si="10"/>
      </c>
      <c r="AG87" s="219">
        <f t="shared" si="11"/>
      </c>
      <c r="AH87" s="320"/>
      <c r="AI87" s="321"/>
    </row>
    <row r="88" spans="1:35" ht="12.75">
      <c r="A88" s="206">
        <f t="shared" si="7"/>
      </c>
      <c r="B88" s="316"/>
      <c r="C88" s="317"/>
      <c r="D88" s="206">
        <f t="shared" si="8"/>
      </c>
      <c r="E88" s="217">
        <f t="shared" si="9"/>
      </c>
      <c r="F88" s="218">
        <f t="shared" si="9"/>
      </c>
      <c r="G88" s="230" t="s">
        <v>99</v>
      </c>
      <c r="H88" s="231">
        <f t="shared" si="12"/>
        <v>0</v>
      </c>
      <c r="I88" s="232" t="s">
        <v>92</v>
      </c>
      <c r="AD88" s="302"/>
      <c r="AE88" s="318">
        <f>IF($AG$58&gt;=23,23,"")</f>
      </c>
      <c r="AF88" s="219">
        <f t="shared" si="10"/>
      </c>
      <c r="AG88" s="219">
        <f t="shared" si="11"/>
      </c>
      <c r="AH88" s="320"/>
      <c r="AI88" s="321"/>
    </row>
    <row r="89" spans="1:35" ht="12.75">
      <c r="A89" s="206">
        <f t="shared" si="7"/>
      </c>
      <c r="B89" s="322"/>
      <c r="C89" s="323"/>
      <c r="D89" s="206">
        <f t="shared" si="8"/>
      </c>
      <c r="E89" s="238">
        <f t="shared" si="9"/>
      </c>
      <c r="F89" s="239">
        <f t="shared" si="9"/>
      </c>
      <c r="G89" s="240" t="s">
        <v>138</v>
      </c>
      <c r="H89" s="241">
        <f t="shared" si="12"/>
        <v>0</v>
      </c>
      <c r="I89" s="232" t="s">
        <v>101</v>
      </c>
      <c r="AD89" s="302"/>
      <c r="AE89" s="318">
        <f>IF($AG$58&gt;=24,24,"")</f>
      </c>
      <c r="AF89" s="324">
        <f t="shared" si="10"/>
      </c>
      <c r="AG89" s="324">
        <f t="shared" si="11"/>
      </c>
      <c r="AH89" s="299"/>
      <c r="AI89" s="299"/>
    </row>
    <row r="90" spans="1:35" ht="12.75">
      <c r="A90" s="182"/>
      <c r="B90" s="193"/>
      <c r="C90" s="193"/>
      <c r="D90" s="193"/>
      <c r="E90" s="193"/>
      <c r="F90" s="193"/>
      <c r="G90" s="193"/>
      <c r="H90" s="193"/>
      <c r="I90" s="194"/>
      <c r="AD90" s="302"/>
      <c r="AE90" s="318">
        <f>IF($AG$58=25,25,"")</f>
      </c>
      <c r="AF90" s="244">
        <f t="shared" si="10"/>
      </c>
      <c r="AG90" s="244">
        <f t="shared" si="11"/>
      </c>
      <c r="AH90" s="299"/>
      <c r="AI90" s="299"/>
    </row>
    <row r="91" spans="1:35" ht="12.75">
      <c r="A91" s="182"/>
      <c r="B91" s="189" t="s">
        <v>104</v>
      </c>
      <c r="C91" s="162">
        <v>1</v>
      </c>
      <c r="D91" s="246"/>
      <c r="E91" s="193"/>
      <c r="F91" s="193"/>
      <c r="G91" s="247" t="s">
        <v>139</v>
      </c>
      <c r="H91" s="185"/>
      <c r="I91" s="221"/>
      <c r="AD91" s="325"/>
      <c r="AE91" s="299"/>
      <c r="AF91" s="299"/>
      <c r="AG91" s="299"/>
      <c r="AH91" s="299"/>
      <c r="AI91" s="299"/>
    </row>
    <row r="92" spans="1:35" ht="12.75">
      <c r="A92" s="182"/>
      <c r="B92" s="193"/>
      <c r="C92" s="248"/>
      <c r="D92" s="248"/>
      <c r="E92" s="248"/>
      <c r="F92" s="248"/>
      <c r="G92" s="240" t="s">
        <v>140</v>
      </c>
      <c r="H92" s="210">
        <f aca="true" t="shared" si="13" ref="H92:H97">(H39*1000)/9.806</f>
        <v>-49514.25</v>
      </c>
      <c r="I92" s="232" t="s">
        <v>13</v>
      </c>
      <c r="AD92" s="286" t="s">
        <v>175</v>
      </c>
      <c r="AE92" s="294"/>
      <c r="AF92" s="294"/>
      <c r="AG92" s="294"/>
      <c r="AH92" s="294"/>
      <c r="AI92" s="294"/>
    </row>
    <row r="93" spans="1:35" ht="12.75">
      <c r="A93" s="182"/>
      <c r="B93" s="189" t="s">
        <v>108</v>
      </c>
      <c r="C93" s="187" t="str">
        <f>+C40</f>
        <v>Pier #1</v>
      </c>
      <c r="D93" s="187">
        <f>+D40</f>
      </c>
      <c r="E93" s="187">
        <f>+E40</f>
      </c>
      <c r="F93" s="187">
        <f>+F40</f>
      </c>
      <c r="G93" s="240" t="s">
        <v>141</v>
      </c>
      <c r="H93" s="217">
        <f t="shared" si="13"/>
        <v>0</v>
      </c>
      <c r="I93" s="232" t="s">
        <v>13</v>
      </c>
      <c r="AD93" s="326" t="s">
        <v>176</v>
      </c>
      <c r="AE93" s="294"/>
      <c r="AF93" s="294"/>
      <c r="AG93" s="294"/>
      <c r="AH93" s="294"/>
      <c r="AI93" s="294"/>
    </row>
    <row r="94" spans="1:35" ht="12.75">
      <c r="A94" s="251"/>
      <c r="B94" s="252" t="s">
        <v>143</v>
      </c>
      <c r="C94" s="313">
        <f>+'Footing 2 pile'!H40</f>
        <v>0.75</v>
      </c>
      <c r="D94" s="327"/>
      <c r="E94" s="313"/>
      <c r="F94" s="314"/>
      <c r="G94" s="240" t="s">
        <v>144</v>
      </c>
      <c r="H94" s="217">
        <f t="shared" si="13"/>
        <v>0</v>
      </c>
      <c r="I94" s="232" t="s">
        <v>13</v>
      </c>
      <c r="AD94" s="326" t="s">
        <v>177</v>
      </c>
      <c r="AE94" s="294"/>
      <c r="AF94" s="294"/>
      <c r="AG94" s="294"/>
      <c r="AH94" s="294"/>
      <c r="AI94" s="294"/>
    </row>
    <row r="95" spans="1:35" ht="12.75">
      <c r="A95" s="182"/>
      <c r="B95" s="252" t="s">
        <v>146</v>
      </c>
      <c r="C95" s="316">
        <f>+'Footing 2 pile'!I40</f>
        <v>0.35</v>
      </c>
      <c r="D95" s="328"/>
      <c r="E95" s="316"/>
      <c r="F95" s="317"/>
      <c r="G95" s="240" t="s">
        <v>147</v>
      </c>
      <c r="H95" s="217">
        <f t="shared" si="13"/>
        <v>0</v>
      </c>
      <c r="I95" s="232" t="s">
        <v>31</v>
      </c>
      <c r="AD95" s="326" t="s">
        <v>128</v>
      </c>
      <c r="AE95" s="299"/>
      <c r="AF95" s="299"/>
      <c r="AG95" s="299"/>
      <c r="AH95" s="299"/>
      <c r="AI95" s="299"/>
    </row>
    <row r="96" spans="1:35" ht="12.75">
      <c r="A96" s="175"/>
      <c r="B96" s="252" t="s">
        <v>150</v>
      </c>
      <c r="C96" s="316"/>
      <c r="D96" s="328"/>
      <c r="E96" s="316"/>
      <c r="F96" s="317"/>
      <c r="G96" s="240" t="s">
        <v>151</v>
      </c>
      <c r="H96" s="217">
        <f t="shared" si="13"/>
        <v>0</v>
      </c>
      <c r="I96" s="232" t="s">
        <v>31</v>
      </c>
      <c r="AD96" s="299" t="s">
        <v>129</v>
      </c>
      <c r="AE96" s="299"/>
      <c r="AF96" s="299"/>
      <c r="AG96" s="299"/>
      <c r="AH96" s="299"/>
      <c r="AI96" s="299"/>
    </row>
    <row r="97" spans="1:9" ht="12.75">
      <c r="A97" s="251"/>
      <c r="B97" s="252" t="s">
        <v>178</v>
      </c>
      <c r="C97" s="329">
        <f>+'Footing 2 pile'!H30*-1*1000</f>
        <v>-49514.25</v>
      </c>
      <c r="D97" s="330"/>
      <c r="E97" s="329"/>
      <c r="F97" s="331"/>
      <c r="G97" s="240" t="s">
        <v>155</v>
      </c>
      <c r="H97" s="238">
        <f t="shared" si="13"/>
        <v>0</v>
      </c>
      <c r="I97" s="232" t="s">
        <v>31</v>
      </c>
    </row>
    <row r="98" spans="1:9" ht="12.75">
      <c r="A98" s="182"/>
      <c r="B98" s="252" t="s">
        <v>179</v>
      </c>
      <c r="C98" s="329"/>
      <c r="D98" s="330"/>
      <c r="E98" s="329"/>
      <c r="F98" s="331"/>
      <c r="G98" s="193"/>
      <c r="H98" s="193"/>
      <c r="I98" s="194"/>
    </row>
    <row r="99" spans="1:9" ht="12.75">
      <c r="A99" s="179"/>
      <c r="B99" s="252" t="s">
        <v>180</v>
      </c>
      <c r="C99" s="329"/>
      <c r="D99" s="330"/>
      <c r="E99" s="329"/>
      <c r="F99" s="331"/>
      <c r="G99" s="192" t="s">
        <v>112</v>
      </c>
      <c r="H99" s="263"/>
      <c r="I99" s="264"/>
    </row>
    <row r="100" spans="1:9" ht="12.75">
      <c r="A100" s="182"/>
      <c r="B100" s="252" t="s">
        <v>181</v>
      </c>
      <c r="C100" s="329">
        <f>+'Footing 2 pile'!H27*1000</f>
        <v>0</v>
      </c>
      <c r="D100" s="330"/>
      <c r="E100" s="329"/>
      <c r="F100" s="331"/>
      <c r="G100" s="252" t="s">
        <v>114</v>
      </c>
      <c r="H100" s="210">
        <f>(H47*1000)/9.806</f>
        <v>24757.125</v>
      </c>
      <c r="I100" s="232" t="s">
        <v>13</v>
      </c>
    </row>
    <row r="101" spans="1:9" ht="12.75">
      <c r="A101" s="251"/>
      <c r="B101" s="252" t="s">
        <v>182</v>
      </c>
      <c r="C101" s="329">
        <f>+'Footing 2 pile'!H28*1000</f>
        <v>0</v>
      </c>
      <c r="D101" s="330"/>
      <c r="E101" s="329"/>
      <c r="F101" s="331"/>
      <c r="G101" s="252" t="s">
        <v>115</v>
      </c>
      <c r="H101" s="217">
        <f>(H48*1000)/9.806</f>
        <v>24757.125</v>
      </c>
      <c r="I101" s="232" t="s">
        <v>13</v>
      </c>
    </row>
    <row r="102" spans="1:9" ht="12.75">
      <c r="A102" s="182"/>
      <c r="B102" s="252" t="s">
        <v>183</v>
      </c>
      <c r="C102" s="332"/>
      <c r="D102" s="333"/>
      <c r="E102" s="332"/>
      <c r="F102" s="334"/>
      <c r="G102" s="266" t="s">
        <v>116</v>
      </c>
      <c r="H102" s="238">
        <f>(H49*1000)/9.806</f>
        <v>0</v>
      </c>
      <c r="I102" s="232" t="s">
        <v>13</v>
      </c>
    </row>
    <row r="103" spans="1:9" ht="12.75">
      <c r="A103" s="270"/>
      <c r="B103" s="271"/>
      <c r="C103" s="271"/>
      <c r="D103" s="271"/>
      <c r="E103" s="271"/>
      <c r="F103" s="271"/>
      <c r="G103" s="271"/>
      <c r="H103" s="271"/>
      <c r="I103" s="272"/>
    </row>
  </sheetData>
  <sheetProtection/>
  <conditionalFormatting sqref="E52">
    <cfRule type="cellIs" priority="1" dxfId="7" operator="notEqual" stopIfTrue="1">
      <formula>"OK"</formula>
    </cfRule>
  </conditionalFormatting>
  <dataValidations count="7">
    <dataValidation allowBlank="1" showInputMessage="1" showErrorMessage="1" prompt="'Dc' is the diameter of the pile circle." sqref="AG59"/>
    <dataValidation type="decimal" operator="greaterThanOrEqual" allowBlank="1" showInputMessage="1" showErrorMessage="1" prompt="The angle to Pile #1 is measured counterclockwise from the origin X-axis." sqref="AG62">
      <formula1>0</formula1>
    </dataValidation>
    <dataValidation type="decimal" operator="greaterThanOrEqual" allowBlank="1" showInputMessage="1" showErrorMessage="1" prompt="'Xo' is the x-coordinate location of the center of the pile circle from the origin Y-axis.  Xo &gt;=  Dc/2" sqref="AG60">
      <formula1>$AG$59/2</formula1>
    </dataValidation>
    <dataValidation type="decimal" operator="greaterThanOrEqual" allowBlank="1" showInputMessage="1" showErrorMessage="1" prompt="'Yo' is the y-coordinate location of the center of the pile circle from the origin X-axis.  Yo &gt;=  Dc/2" sqref="AG61">
      <formula1>$AG$59/2</formula1>
    </dataValidation>
    <dataValidation type="list" allowBlank="1" showInputMessage="1" showErrorMessage="1" errorTitle="Warning!" error="Invalid input for number of piles&#10;(must input a value between 2 and 25)" sqref="C9 C62">
      <formula1>$K$6:$K$29</formula1>
    </dataValidation>
    <dataValidation type="list" allowBlank="1" showInputMessage="1" showErrorMessage="1" errorTitle="Warning!" error="Invalid input for number of piers&#10;(must input a value between 1 and 4)" sqref="C38 C91">
      <formula1>$K$5:$K$8</formula1>
    </dataValidation>
    <dataValidation type="list" allowBlank="1" showInputMessage="1" showErrorMessage="1" errorTitle="Warning!" error="Invalid input for number of piles&#10;(must input a value between 2 and 25)" sqref="AG58">
      <formula1>$K$7:$K$29</formula1>
    </dataValidation>
  </dataValidations>
  <printOptions/>
  <pageMargins left="1" right="0.5" top="1" bottom="1" header="0.5" footer="0.5"/>
  <pageSetup horizontalDpi="600" verticalDpi="600" orientation="portrait" scale="98" r:id="rId4"/>
  <headerFooter alignWithMargins="0">
    <oddHeader>&amp;R"PILEGRP.xls" Program
Version 3.5</oddHeader>
    <oddFooter>&amp;C&amp;P of &amp;N&amp;R&amp;D  &amp;T</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2"/>
  <dimension ref="C31:J38"/>
  <sheetViews>
    <sheetView zoomScalePageLayoutView="0" workbookViewId="0" topLeftCell="A1">
      <selection activeCell="C15" sqref="C15"/>
    </sheetView>
  </sheetViews>
  <sheetFormatPr defaultColWidth="9.140625" defaultRowHeight="23.25"/>
  <sheetData>
    <row r="31" ht="23.25">
      <c r="I31" t="s">
        <v>22</v>
      </c>
    </row>
    <row r="32" ht="23.25">
      <c r="I32" t="s">
        <v>23</v>
      </c>
    </row>
    <row r="33" ht="23.25">
      <c r="I33" t="s">
        <v>25</v>
      </c>
    </row>
    <row r="34" spans="3:9" ht="23.25">
      <c r="C34" t="s">
        <v>20</v>
      </c>
      <c r="I34" t="s">
        <v>26</v>
      </c>
    </row>
    <row r="35" spans="3:10" ht="23.25">
      <c r="C35" t="s">
        <v>21</v>
      </c>
      <c r="I35" t="s">
        <v>24</v>
      </c>
      <c r="J35" t="s">
        <v>29</v>
      </c>
    </row>
    <row r="36" ht="23.25">
      <c r="I36" t="s">
        <v>27</v>
      </c>
    </row>
    <row r="38" ht="23.25">
      <c r="C38" s="26" t="s">
        <v>28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C31:J38"/>
  <sheetViews>
    <sheetView zoomScalePageLayoutView="0" workbookViewId="0" topLeftCell="A1">
      <selection activeCell="L37" sqref="L37"/>
    </sheetView>
  </sheetViews>
  <sheetFormatPr defaultColWidth="9.140625" defaultRowHeight="23.25"/>
  <sheetData>
    <row r="31" ht="23.25">
      <c r="I31" t="s">
        <v>22</v>
      </c>
    </row>
    <row r="32" ht="23.25">
      <c r="I32" t="s">
        <v>23</v>
      </c>
    </row>
    <row r="33" ht="23.25">
      <c r="I33" t="s">
        <v>25</v>
      </c>
    </row>
    <row r="34" spans="3:9" ht="23.25">
      <c r="C34" t="s">
        <v>20</v>
      </c>
      <c r="I34" t="s">
        <v>26</v>
      </c>
    </row>
    <row r="35" spans="3:10" ht="23.25">
      <c r="C35" t="s">
        <v>21</v>
      </c>
      <c r="I35" t="s">
        <v>24</v>
      </c>
      <c r="J35" t="s">
        <v>29</v>
      </c>
    </row>
    <row r="36" ht="23.25">
      <c r="I36" t="s">
        <v>27</v>
      </c>
    </row>
    <row r="38" ht="23.25">
      <c r="C38" s="26" t="s">
        <v>28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iLLUSiON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Sutee</dc:creator>
  <cp:keywords/>
  <dc:description/>
  <cp:lastModifiedBy>TOSHIBA</cp:lastModifiedBy>
  <cp:lastPrinted>2012-11-11T14:43:09Z</cp:lastPrinted>
  <dcterms:created xsi:type="dcterms:W3CDTF">2008-06-04T11:41:54Z</dcterms:created>
  <dcterms:modified xsi:type="dcterms:W3CDTF">2012-11-11T14:43:13Z</dcterms:modified>
  <cp:category/>
  <cp:version/>
  <cp:contentType/>
  <cp:contentStatus/>
</cp:coreProperties>
</file>