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Olafusi\Documents\"/>
    </mc:Choice>
  </mc:AlternateContent>
  <xr:revisionPtr revIDLastSave="0" documentId="13_ncr:1_{94A1CB59-1996-4691-A429-0A62AC61AED7}" xr6:coauthVersionLast="45" xr6:coauthVersionMax="45" xr10:uidLastSave="{00000000-0000-0000-0000-000000000000}"/>
  <bookViews>
    <workbookView xWindow="-103" yWindow="-103" windowWidth="33120" windowHeight="18120" tabRatio="731" xr2:uid="{4A6F7088-96A8-4639-BFFD-351F995E1149}"/>
  </bookViews>
  <sheets>
    <sheet name="Summary" sheetId="1" r:id="rId1"/>
    <sheet name="Table of Content" sheetId="7" r:id="rId2"/>
    <sheet name="Model Inputs" sheetId="2" r:id="rId3"/>
    <sheet name="Directors and Staff Costs" sheetId="6" r:id="rId4"/>
    <sheet name="Scenarios" sheetId="3" r:id="rId5"/>
    <sheet name="Revenue" sheetId="4" r:id="rId6"/>
    <sheet name="Cost of Sales" sheetId="5" r:id="rId7"/>
    <sheet name="Working Capital" sheetId="8" r:id="rId8"/>
    <sheet name="Depreciation" sheetId="9" r:id="rId9"/>
    <sheet name="Debt" sheetId="10" r:id="rId10"/>
    <sheet name="Equity" sheetId="11" r:id="rId11"/>
    <sheet name="Tax" sheetId="12" r:id="rId12"/>
    <sheet name="Income Statement" sheetId="13" r:id="rId13"/>
    <sheet name="Balance Sheet" sheetId="14" r:id="rId14"/>
    <sheet name="Cashflow" sheetId="15" r:id="rId15"/>
    <sheet name="DCF Valuation" sheetId="16" r:id="rId16"/>
    <sheet name="Financial Ratios" sheetId="17" r:id="rId17"/>
  </sheets>
  <definedNames>
    <definedName name="_xlnm._FilterDatabase" localSheetId="15" hidden="1">'DCF Valuation'!$O$16:$Z$116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4" l="1"/>
  <c r="I31" i="14"/>
  <c r="J31" i="14"/>
  <c r="K31" i="14"/>
  <c r="L31" i="14"/>
  <c r="M31" i="14"/>
  <c r="N31" i="14"/>
  <c r="O31" i="14"/>
  <c r="G31" i="14"/>
  <c r="H27" i="15"/>
  <c r="I27" i="15"/>
  <c r="J27" i="15"/>
  <c r="K27" i="15"/>
  <c r="L27" i="15"/>
  <c r="M27" i="15"/>
  <c r="N27" i="15"/>
  <c r="O27" i="15"/>
  <c r="G27" i="15"/>
  <c r="G17" i="15" l="1"/>
  <c r="H17" i="15"/>
  <c r="I17" i="15"/>
  <c r="J17" i="15"/>
  <c r="K17" i="15"/>
  <c r="L17" i="15"/>
  <c r="M17" i="15"/>
  <c r="N17" i="15"/>
  <c r="O17" i="15"/>
  <c r="H16" i="15"/>
  <c r="I16" i="15"/>
  <c r="J16" i="15"/>
  <c r="K16" i="15"/>
  <c r="L16" i="15"/>
  <c r="M16" i="15"/>
  <c r="N16" i="15"/>
  <c r="O16" i="15"/>
  <c r="G16" i="15"/>
  <c r="C5" i="16" l="1"/>
  <c r="C24" i="16"/>
  <c r="C28" i="16"/>
  <c r="O31" i="2"/>
  <c r="N31" i="2"/>
  <c r="M31" i="2"/>
  <c r="L31" i="2"/>
  <c r="O25" i="6"/>
  <c r="N25" i="6"/>
  <c r="M25" i="6"/>
  <c r="O24" i="6"/>
  <c r="N24" i="6"/>
  <c r="M24" i="6"/>
  <c r="O23" i="6"/>
  <c r="N23" i="6"/>
  <c r="M23" i="6"/>
  <c r="O22" i="6"/>
  <c r="N22" i="6"/>
  <c r="M22" i="6"/>
  <c r="O21" i="6"/>
  <c r="N21" i="6"/>
  <c r="M21" i="6"/>
  <c r="O20" i="6"/>
  <c r="O10" i="6" s="1"/>
  <c r="N20" i="6"/>
  <c r="M20" i="6"/>
  <c r="O19" i="6"/>
  <c r="N19" i="6"/>
  <c r="M19" i="6"/>
  <c r="O18" i="6"/>
  <c r="N18" i="6"/>
  <c r="N10" i="6" s="1"/>
  <c r="M18" i="6"/>
  <c r="O17" i="6"/>
  <c r="N17" i="6"/>
  <c r="M17" i="6"/>
  <c r="O16" i="6"/>
  <c r="N16" i="6"/>
  <c r="M16" i="6"/>
  <c r="M10" i="6" s="1"/>
  <c r="G10" i="6"/>
  <c r="H10" i="6"/>
  <c r="I10" i="6"/>
  <c r="J10" i="6"/>
  <c r="L10" i="6"/>
  <c r="K10" i="6"/>
  <c r="K55" i="9" l="1"/>
  <c r="L55" i="9"/>
  <c r="M55" i="9"/>
  <c r="N55" i="9"/>
  <c r="O55" i="9"/>
  <c r="J55" i="9"/>
  <c r="O56" i="9"/>
  <c r="N56" i="9"/>
  <c r="M56" i="9"/>
  <c r="L56" i="9"/>
  <c r="K56" i="9"/>
  <c r="J56" i="9"/>
  <c r="O54" i="9"/>
  <c r="N54" i="9"/>
  <c r="M54" i="9"/>
  <c r="L54" i="9"/>
  <c r="K54" i="9"/>
  <c r="J54" i="9"/>
  <c r="L53" i="9"/>
  <c r="M53" i="9"/>
  <c r="N53" i="9"/>
  <c r="O53" i="9"/>
  <c r="K53" i="9"/>
  <c r="J53" i="9"/>
  <c r="K52" i="9"/>
  <c r="L52" i="9"/>
  <c r="M52" i="9"/>
  <c r="N52" i="9"/>
  <c r="O52" i="9"/>
  <c r="J52" i="9"/>
  <c r="K51" i="9"/>
  <c r="L51" i="9"/>
  <c r="M51" i="9"/>
  <c r="N51" i="9"/>
  <c r="O51" i="9"/>
  <c r="J51" i="9"/>
  <c r="G44" i="9"/>
  <c r="H44" i="9"/>
  <c r="I44" i="9"/>
  <c r="J44" i="9"/>
  <c r="K44" i="9"/>
  <c r="L44" i="9"/>
  <c r="M44" i="9"/>
  <c r="N44" i="9"/>
  <c r="O44" i="9"/>
  <c r="G45" i="9"/>
  <c r="H45" i="9"/>
  <c r="I45" i="9"/>
  <c r="J45" i="9"/>
  <c r="K45" i="9"/>
  <c r="L45" i="9"/>
  <c r="M45" i="9"/>
  <c r="N45" i="9"/>
  <c r="O45" i="9"/>
  <c r="G46" i="9"/>
  <c r="H46" i="9"/>
  <c r="I46" i="9"/>
  <c r="J46" i="9"/>
  <c r="K46" i="9"/>
  <c r="L46" i="9"/>
  <c r="M46" i="9"/>
  <c r="N46" i="9"/>
  <c r="O46" i="9"/>
  <c r="G47" i="9"/>
  <c r="H47" i="9"/>
  <c r="I47" i="9"/>
  <c r="J47" i="9"/>
  <c r="K47" i="9"/>
  <c r="L47" i="9"/>
  <c r="M47" i="9"/>
  <c r="N47" i="9"/>
  <c r="O47" i="9"/>
  <c r="G48" i="9"/>
  <c r="H48" i="9"/>
  <c r="I48" i="9"/>
  <c r="J48" i="9"/>
  <c r="K48" i="9"/>
  <c r="L48" i="9"/>
  <c r="M48" i="9"/>
  <c r="N48" i="9"/>
  <c r="O48" i="9"/>
  <c r="H43" i="9"/>
  <c r="I43" i="9"/>
  <c r="J43" i="9"/>
  <c r="K43" i="9"/>
  <c r="L43" i="9"/>
  <c r="M43" i="9"/>
  <c r="N43" i="9"/>
  <c r="O43" i="9"/>
  <c r="G43" i="9"/>
  <c r="F35" i="1" l="1"/>
  <c r="G35" i="1"/>
  <c r="H35" i="1"/>
  <c r="I35" i="1"/>
  <c r="E35" i="1"/>
  <c r="F21" i="1"/>
  <c r="G21" i="1"/>
  <c r="H21" i="1"/>
  <c r="I21" i="1"/>
  <c r="F23" i="1"/>
  <c r="G23" i="1"/>
  <c r="H23" i="1"/>
  <c r="I23" i="1"/>
  <c r="E23" i="1"/>
  <c r="E21" i="1"/>
  <c r="F14" i="1"/>
  <c r="G14" i="1"/>
  <c r="H14" i="1"/>
  <c r="I14" i="1"/>
  <c r="F15" i="1"/>
  <c r="G15" i="1"/>
  <c r="H15" i="1"/>
  <c r="I15" i="1"/>
  <c r="E14" i="1"/>
  <c r="F13" i="1"/>
  <c r="G13" i="1"/>
  <c r="H13" i="1"/>
  <c r="I13" i="1"/>
  <c r="E15" i="1"/>
  <c r="E13" i="1"/>
  <c r="E7" i="1"/>
  <c r="H29" i="17"/>
  <c r="I29" i="17"/>
  <c r="J29" i="17"/>
  <c r="K29" i="17"/>
  <c r="L29" i="17"/>
  <c r="M29" i="17"/>
  <c r="N29" i="17"/>
  <c r="O29" i="17"/>
  <c r="H30" i="17"/>
  <c r="I30" i="17"/>
  <c r="J30" i="17"/>
  <c r="G30" i="17"/>
  <c r="G29" i="17"/>
  <c r="H17" i="17"/>
  <c r="I17" i="17"/>
  <c r="J17" i="17"/>
  <c r="K17" i="17"/>
  <c r="L17" i="17"/>
  <c r="M17" i="17"/>
  <c r="N17" i="17"/>
  <c r="O17" i="17"/>
  <c r="H18" i="17"/>
  <c r="I18" i="17"/>
  <c r="J18" i="17"/>
  <c r="K18" i="17"/>
  <c r="L18" i="17"/>
  <c r="M18" i="17"/>
  <c r="N18" i="17"/>
  <c r="O18" i="17"/>
  <c r="G18" i="17"/>
  <c r="G17" i="17"/>
  <c r="H14" i="17"/>
  <c r="I14" i="17"/>
  <c r="J14" i="17"/>
  <c r="K14" i="17"/>
  <c r="L14" i="17"/>
  <c r="M14" i="17"/>
  <c r="N14" i="17"/>
  <c r="O14" i="17"/>
  <c r="H15" i="17"/>
  <c r="I15" i="17"/>
  <c r="J15" i="17"/>
  <c r="K15" i="17"/>
  <c r="L15" i="17"/>
  <c r="M15" i="17"/>
  <c r="N15" i="17"/>
  <c r="O15" i="17"/>
  <c r="H16" i="17"/>
  <c r="I16" i="17"/>
  <c r="J16" i="17"/>
  <c r="K16" i="17"/>
  <c r="L16" i="17"/>
  <c r="M16" i="17"/>
  <c r="N16" i="17"/>
  <c r="O16" i="17"/>
  <c r="G16" i="17"/>
  <c r="G15" i="17"/>
  <c r="G14" i="17"/>
  <c r="J36" i="16"/>
  <c r="K11" i="16"/>
  <c r="L11" i="16"/>
  <c r="M11" i="16"/>
  <c r="N11" i="16"/>
  <c r="O11" i="16"/>
  <c r="J11" i="16"/>
  <c r="C29" i="16"/>
  <c r="C31" i="16"/>
  <c r="C30" i="16"/>
  <c r="C27" i="16"/>
  <c r="C26" i="16"/>
  <c r="J13" i="15"/>
  <c r="J14" i="15"/>
  <c r="J15" i="15"/>
  <c r="J22" i="15"/>
  <c r="K22" i="15"/>
  <c r="L22" i="15"/>
  <c r="M22" i="15"/>
  <c r="N22" i="15"/>
  <c r="O22" i="15"/>
  <c r="J25" i="15"/>
  <c r="K25" i="15"/>
  <c r="L25" i="15"/>
  <c r="M25" i="15"/>
  <c r="N25" i="15"/>
  <c r="O25" i="15"/>
  <c r="J26" i="15"/>
  <c r="K26" i="15"/>
  <c r="L26" i="15"/>
  <c r="M26" i="15"/>
  <c r="N26" i="15"/>
  <c r="O26" i="15"/>
  <c r="J32" i="15"/>
  <c r="K32" i="15"/>
  <c r="K21" i="10" s="1"/>
  <c r="L32" i="15"/>
  <c r="M32" i="15"/>
  <c r="N32" i="15"/>
  <c r="O32" i="15"/>
  <c r="J33" i="15"/>
  <c r="K33" i="15"/>
  <c r="L33" i="15"/>
  <c r="M33" i="15"/>
  <c r="M21" i="10" s="1"/>
  <c r="N33" i="15"/>
  <c r="O33" i="15"/>
  <c r="L35" i="15"/>
  <c r="M35" i="15"/>
  <c r="N35" i="15"/>
  <c r="O35" i="15"/>
  <c r="H15" i="11"/>
  <c r="I15" i="11"/>
  <c r="J15" i="11"/>
  <c r="K15" i="11"/>
  <c r="L15" i="11"/>
  <c r="M15" i="11"/>
  <c r="N15" i="11"/>
  <c r="O15" i="11"/>
  <c r="G15" i="11"/>
  <c r="H30" i="10"/>
  <c r="I30" i="10"/>
  <c r="J30" i="10"/>
  <c r="K30" i="10"/>
  <c r="L30" i="10"/>
  <c r="M30" i="10"/>
  <c r="N30" i="10"/>
  <c r="O30" i="10"/>
  <c r="G30" i="10"/>
  <c r="H21" i="10"/>
  <c r="I21" i="10"/>
  <c r="J21" i="10"/>
  <c r="L21" i="10"/>
  <c r="N21" i="10"/>
  <c r="O21" i="10"/>
  <c r="G21" i="10"/>
  <c r="H13" i="10"/>
  <c r="I13" i="10"/>
  <c r="J13" i="10"/>
  <c r="K13" i="10"/>
  <c r="L13" i="10"/>
  <c r="M13" i="10"/>
  <c r="N13" i="10"/>
  <c r="O13" i="10"/>
  <c r="G13" i="10"/>
  <c r="G9" i="10"/>
  <c r="H32" i="15"/>
  <c r="I32" i="15"/>
  <c r="H33" i="15"/>
  <c r="I33" i="15"/>
  <c r="G33" i="15"/>
  <c r="G32" i="15"/>
  <c r="H25" i="15"/>
  <c r="I25" i="15"/>
  <c r="G25" i="15"/>
  <c r="H24" i="11" l="1"/>
  <c r="I24" i="11"/>
  <c r="J24" i="11"/>
  <c r="K24" i="11"/>
  <c r="L24" i="11"/>
  <c r="M24" i="11"/>
  <c r="N24" i="11"/>
  <c r="O24" i="11"/>
  <c r="G24" i="11"/>
  <c r="H21" i="11"/>
  <c r="I21" i="11"/>
  <c r="J21" i="11"/>
  <c r="K21" i="11"/>
  <c r="L21" i="11"/>
  <c r="M21" i="11"/>
  <c r="N21" i="11"/>
  <c r="O21" i="11"/>
  <c r="G21" i="11"/>
  <c r="H24" i="14"/>
  <c r="I24" i="14"/>
  <c r="G24" i="14"/>
  <c r="H28" i="13"/>
  <c r="H10" i="15" s="1"/>
  <c r="I28" i="13"/>
  <c r="I10" i="15" s="1"/>
  <c r="G28" i="13"/>
  <c r="G10" i="15" s="1"/>
  <c r="H20" i="13"/>
  <c r="I20" i="13"/>
  <c r="J20" i="13"/>
  <c r="K20" i="13"/>
  <c r="L20" i="13"/>
  <c r="M20" i="13"/>
  <c r="N20" i="13"/>
  <c r="O20" i="13"/>
  <c r="G20" i="13"/>
  <c r="H8" i="12" l="1"/>
  <c r="H17" i="12" s="1"/>
  <c r="I8" i="12"/>
  <c r="I17" i="12" s="1"/>
  <c r="J8" i="12"/>
  <c r="J17" i="12" s="1"/>
  <c r="K8" i="12"/>
  <c r="K17" i="12" s="1"/>
  <c r="L8" i="12"/>
  <c r="L17" i="12" s="1"/>
  <c r="M8" i="12"/>
  <c r="M17" i="12" s="1"/>
  <c r="N8" i="12"/>
  <c r="N17" i="12" s="1"/>
  <c r="O8" i="12"/>
  <c r="O17" i="12" s="1"/>
  <c r="G8" i="12"/>
  <c r="G17" i="12" s="1"/>
  <c r="G25" i="14" s="1"/>
  <c r="G16" i="11"/>
  <c r="H14" i="11" s="1"/>
  <c r="H16" i="11" s="1"/>
  <c r="I14" i="11" s="1"/>
  <c r="I16" i="11" s="1"/>
  <c r="J14" i="11" s="1"/>
  <c r="J16" i="11" s="1"/>
  <c r="K14" i="11" s="1"/>
  <c r="K16" i="11" s="1"/>
  <c r="L14" i="11" s="1"/>
  <c r="L16" i="11" s="1"/>
  <c r="M14" i="11" s="1"/>
  <c r="M16" i="11" s="1"/>
  <c r="N14" i="11" s="1"/>
  <c r="N16" i="11" s="1"/>
  <c r="O14" i="11" s="1"/>
  <c r="O16" i="11" s="1"/>
  <c r="I9" i="11"/>
  <c r="J9" i="11"/>
  <c r="K9" i="11"/>
  <c r="L9" i="11"/>
  <c r="L22" i="10" s="1"/>
  <c r="M9" i="11"/>
  <c r="N9" i="11"/>
  <c r="O9" i="11"/>
  <c r="H9" i="11"/>
  <c r="H35" i="15" s="1"/>
  <c r="H22" i="10" s="1"/>
  <c r="G9" i="11"/>
  <c r="G35" i="15" s="1"/>
  <c r="G22" i="10" s="1"/>
  <c r="K50" i="10"/>
  <c r="K54" i="10" s="1"/>
  <c r="L50" i="10"/>
  <c r="L54" i="10" s="1"/>
  <c r="M50" i="10"/>
  <c r="N50" i="10"/>
  <c r="O50" i="10"/>
  <c r="K51" i="10"/>
  <c r="L51" i="10"/>
  <c r="M51" i="10"/>
  <c r="N51" i="10"/>
  <c r="O51" i="10"/>
  <c r="K52" i="10"/>
  <c r="L52" i="10"/>
  <c r="M52" i="10"/>
  <c r="N52" i="10"/>
  <c r="O52" i="10"/>
  <c r="K53" i="10"/>
  <c r="L53" i="10"/>
  <c r="M53" i="10"/>
  <c r="N53" i="10"/>
  <c r="O53" i="10"/>
  <c r="J51" i="10"/>
  <c r="J52" i="10"/>
  <c r="J53" i="10"/>
  <c r="J50" i="10"/>
  <c r="J54" i="10" s="1"/>
  <c r="K44" i="10"/>
  <c r="K47" i="10" s="1"/>
  <c r="L44" i="10"/>
  <c r="L47" i="10" s="1"/>
  <c r="M44" i="10"/>
  <c r="N44" i="10"/>
  <c r="O44" i="10"/>
  <c r="K45" i="10"/>
  <c r="L45" i="10"/>
  <c r="M45" i="10"/>
  <c r="N45" i="10"/>
  <c r="O45" i="10"/>
  <c r="K46" i="10"/>
  <c r="L46" i="10"/>
  <c r="M46" i="10"/>
  <c r="N46" i="10"/>
  <c r="O46" i="10"/>
  <c r="J45" i="10"/>
  <c r="J46" i="10"/>
  <c r="J44" i="10"/>
  <c r="J47" i="10" s="1"/>
  <c r="K36" i="10"/>
  <c r="L36" i="10"/>
  <c r="M36" i="10"/>
  <c r="N36" i="10"/>
  <c r="O36" i="10"/>
  <c r="K37" i="10"/>
  <c r="L37" i="10"/>
  <c r="M37" i="10"/>
  <c r="N37" i="10"/>
  <c r="O37" i="10"/>
  <c r="K38" i="10"/>
  <c r="L38" i="10"/>
  <c r="M38" i="10"/>
  <c r="N38" i="10"/>
  <c r="O38" i="10"/>
  <c r="K39" i="10"/>
  <c r="L39" i="10"/>
  <c r="M39" i="10"/>
  <c r="N39" i="10"/>
  <c r="O39" i="10"/>
  <c r="J37" i="10"/>
  <c r="J38" i="10"/>
  <c r="J39" i="10"/>
  <c r="J36" i="10"/>
  <c r="J40" i="10" s="1"/>
  <c r="J24" i="14" s="1"/>
  <c r="K35" i="15" l="1"/>
  <c r="K22" i="10" s="1"/>
  <c r="J35" i="15"/>
  <c r="J22" i="10" s="1"/>
  <c r="G26" i="15"/>
  <c r="H25" i="14"/>
  <c r="G23" i="14"/>
  <c r="N40" i="10"/>
  <c r="N24" i="14" s="1"/>
  <c r="M40" i="10"/>
  <c r="O47" i="10"/>
  <c r="O54" i="10"/>
  <c r="O22" i="10"/>
  <c r="G10" i="11"/>
  <c r="L40" i="10"/>
  <c r="L24" i="14" s="1"/>
  <c r="N47" i="10"/>
  <c r="N54" i="10"/>
  <c r="N22" i="10"/>
  <c r="O40" i="10"/>
  <c r="O24" i="14" s="1"/>
  <c r="I35" i="15"/>
  <c r="I22" i="10" s="1"/>
  <c r="K40" i="10"/>
  <c r="K24" i="14" s="1"/>
  <c r="M47" i="10"/>
  <c r="M54" i="10"/>
  <c r="M22" i="10"/>
  <c r="H7" i="9"/>
  <c r="I7" i="9"/>
  <c r="H8" i="9"/>
  <c r="I8" i="9"/>
  <c r="G8" i="9"/>
  <c r="G7" i="9"/>
  <c r="H23" i="9"/>
  <c r="I23" i="9"/>
  <c r="J23" i="9"/>
  <c r="O12" i="9" s="1"/>
  <c r="K23" i="9"/>
  <c r="L23" i="9"/>
  <c r="M23" i="9"/>
  <c r="N23" i="9"/>
  <c r="O23" i="9"/>
  <c r="H24" i="9"/>
  <c r="I24" i="9"/>
  <c r="J24" i="9"/>
  <c r="K13" i="9" s="1"/>
  <c r="K24" i="9"/>
  <c r="L24" i="9"/>
  <c r="M24" i="9"/>
  <c r="N24" i="9"/>
  <c r="O24" i="9"/>
  <c r="H25" i="9"/>
  <c r="I25" i="9"/>
  <c r="J25" i="9"/>
  <c r="J14" i="9" s="1"/>
  <c r="K25" i="9"/>
  <c r="O14" i="9" s="1"/>
  <c r="L25" i="9"/>
  <c r="M25" i="9"/>
  <c r="N25" i="9"/>
  <c r="O25" i="9"/>
  <c r="H26" i="9"/>
  <c r="I26" i="9"/>
  <c r="J26" i="9"/>
  <c r="J15" i="9" s="1"/>
  <c r="K26" i="9"/>
  <c r="O15" i="9" s="1"/>
  <c r="L26" i="9"/>
  <c r="M26" i="9"/>
  <c r="N26" i="9"/>
  <c r="O26" i="9"/>
  <c r="H27" i="9"/>
  <c r="I27" i="9"/>
  <c r="J27" i="9"/>
  <c r="J16" i="9" s="1"/>
  <c r="K27" i="9"/>
  <c r="N16" i="9" s="1"/>
  <c r="L27" i="9"/>
  <c r="O16" i="9" s="1"/>
  <c r="M27" i="9"/>
  <c r="N27" i="9"/>
  <c r="O27" i="9"/>
  <c r="H28" i="9"/>
  <c r="I28" i="9"/>
  <c r="J28" i="9"/>
  <c r="M19" i="9" s="1"/>
  <c r="M8" i="9" s="1"/>
  <c r="K28" i="9"/>
  <c r="O19" i="9" s="1"/>
  <c r="O8" i="9" s="1"/>
  <c r="L28" i="9"/>
  <c r="M28" i="9"/>
  <c r="N28" i="9"/>
  <c r="O28" i="9"/>
  <c r="G24" i="9"/>
  <c r="G33" i="9" s="1"/>
  <c r="H33" i="9" s="1"/>
  <c r="I33" i="9" s="1"/>
  <c r="G25" i="9"/>
  <c r="G34" i="9" s="1"/>
  <c r="H34" i="9" s="1"/>
  <c r="I34" i="9" s="1"/>
  <c r="G26" i="9"/>
  <c r="G35" i="9" s="1"/>
  <c r="H35" i="9" s="1"/>
  <c r="I35" i="9" s="1"/>
  <c r="J35" i="9" s="1"/>
  <c r="G27" i="9"/>
  <c r="G36" i="9" s="1"/>
  <c r="H36" i="9" s="1"/>
  <c r="I36" i="9" s="1"/>
  <c r="J36" i="9" s="1"/>
  <c r="G28" i="9"/>
  <c r="G37" i="9" s="1"/>
  <c r="G23" i="9"/>
  <c r="G9" i="14" l="1"/>
  <c r="H37" i="9"/>
  <c r="J34" i="9"/>
  <c r="K36" i="9"/>
  <c r="L36" i="9" s="1"/>
  <c r="K35" i="9"/>
  <c r="K22" i="9"/>
  <c r="L12" i="9"/>
  <c r="J19" i="9"/>
  <c r="J8" i="9" s="1"/>
  <c r="G34" i="14"/>
  <c r="H8" i="11"/>
  <c r="H10" i="11" s="1"/>
  <c r="I22" i="9"/>
  <c r="I22" i="15" s="1"/>
  <c r="J13" i="9"/>
  <c r="J33" i="9" s="1"/>
  <c r="K33" i="9" s="1"/>
  <c r="L33" i="9" s="1"/>
  <c r="M33" i="9" s="1"/>
  <c r="N33" i="9" s="1"/>
  <c r="O33" i="9" s="1"/>
  <c r="K19" i="9"/>
  <c r="K8" i="9" s="1"/>
  <c r="N22" i="9"/>
  <c r="M13" i="9"/>
  <c r="N19" i="9"/>
  <c r="N8" i="9" s="1"/>
  <c r="H26" i="15"/>
  <c r="I25" i="14"/>
  <c r="H23" i="14"/>
  <c r="M12" i="9"/>
  <c r="L16" i="9"/>
  <c r="N14" i="9"/>
  <c r="H22" i="9"/>
  <c r="H22" i="15" s="1"/>
  <c r="L19" i="9"/>
  <c r="L8" i="9" s="1"/>
  <c r="N13" i="9"/>
  <c r="K12" i="9"/>
  <c r="M22" i="9"/>
  <c r="L13" i="9"/>
  <c r="M24" i="14"/>
  <c r="K16" i="9"/>
  <c r="J22" i="9"/>
  <c r="O13" i="9"/>
  <c r="O7" i="9" s="1"/>
  <c r="O28" i="13" s="1"/>
  <c r="O10" i="15" s="1"/>
  <c r="O22" i="9"/>
  <c r="J12" i="9"/>
  <c r="J7" i="9" s="1"/>
  <c r="J28" i="13" s="1"/>
  <c r="J10" i="15" s="1"/>
  <c r="G22" i="9"/>
  <c r="G22" i="15" s="1"/>
  <c r="L22" i="9"/>
  <c r="N12" i="9"/>
  <c r="G32" i="9"/>
  <c r="N15" i="9"/>
  <c r="K15" i="9"/>
  <c r="L15" i="9"/>
  <c r="K14" i="9"/>
  <c r="M16" i="9"/>
  <c r="M14" i="9"/>
  <c r="L14" i="9"/>
  <c r="M15" i="9"/>
  <c r="H20" i="8"/>
  <c r="I20" i="8"/>
  <c r="J20" i="8"/>
  <c r="K20" i="8"/>
  <c r="L20" i="8"/>
  <c r="M20" i="8"/>
  <c r="N20" i="8"/>
  <c r="O20" i="8"/>
  <c r="H21" i="8"/>
  <c r="I21" i="8"/>
  <c r="J21" i="8"/>
  <c r="K21" i="8"/>
  <c r="L21" i="8"/>
  <c r="M21" i="8"/>
  <c r="N21" i="8"/>
  <c r="O21" i="8"/>
  <c r="H22" i="8"/>
  <c r="I22" i="8"/>
  <c r="J22" i="8"/>
  <c r="K22" i="8"/>
  <c r="L22" i="8"/>
  <c r="M22" i="8"/>
  <c r="N22" i="8"/>
  <c r="O22" i="8"/>
  <c r="H23" i="8"/>
  <c r="I23" i="8"/>
  <c r="J23" i="8"/>
  <c r="K23" i="8"/>
  <c r="L23" i="8"/>
  <c r="M23" i="8"/>
  <c r="N23" i="8"/>
  <c r="O23" i="8"/>
  <c r="H24" i="8"/>
  <c r="I24" i="8"/>
  <c r="J24" i="8"/>
  <c r="K24" i="8"/>
  <c r="L24" i="8"/>
  <c r="M24" i="8"/>
  <c r="N24" i="8"/>
  <c r="O24" i="8"/>
  <c r="G21" i="8"/>
  <c r="G22" i="8"/>
  <c r="G23" i="8"/>
  <c r="G24" i="8"/>
  <c r="G20" i="8"/>
  <c r="J25" i="14" l="1"/>
  <c r="I26" i="15"/>
  <c r="I23" i="14"/>
  <c r="H34" i="14"/>
  <c r="I8" i="11"/>
  <c r="I10" i="11" s="1"/>
  <c r="M36" i="9"/>
  <c r="N36" i="9" s="1"/>
  <c r="O36" i="9" s="1"/>
  <c r="N7" i="9"/>
  <c r="N28" i="13" s="1"/>
  <c r="N10" i="15" s="1"/>
  <c r="K34" i="9"/>
  <c r="L34" i="9" s="1"/>
  <c r="M34" i="9" s="1"/>
  <c r="N34" i="9" s="1"/>
  <c r="O34" i="9" s="1"/>
  <c r="L35" i="9"/>
  <c r="M35" i="9" s="1"/>
  <c r="N35" i="9" s="1"/>
  <c r="O35" i="9" s="1"/>
  <c r="K7" i="9"/>
  <c r="K28" i="13" s="1"/>
  <c r="K10" i="15" s="1"/>
  <c r="I37" i="9"/>
  <c r="H9" i="14"/>
  <c r="G10" i="14"/>
  <c r="H32" i="9"/>
  <c r="M7" i="9"/>
  <c r="M28" i="13" s="1"/>
  <c r="M10" i="15" s="1"/>
  <c r="L7" i="9"/>
  <c r="L28" i="13" s="1"/>
  <c r="L10" i="15" s="1"/>
  <c r="G8" i="14"/>
  <c r="N85" i="3"/>
  <c r="J19" i="13" s="1"/>
  <c r="M85" i="3"/>
  <c r="I19" i="13" s="1"/>
  <c r="L85" i="3"/>
  <c r="H19" i="13" s="1"/>
  <c r="K85" i="3"/>
  <c r="G19" i="13" s="1"/>
  <c r="L78" i="3"/>
  <c r="H18" i="13" s="1"/>
  <c r="M78" i="3"/>
  <c r="I18" i="13" s="1"/>
  <c r="N78" i="3"/>
  <c r="J18" i="13" s="1"/>
  <c r="K78" i="3"/>
  <c r="G18" i="13" s="1"/>
  <c r="P73" i="3"/>
  <c r="P74" i="3" s="1"/>
  <c r="Q73" i="3"/>
  <c r="R73" i="3"/>
  <c r="R74" i="3" s="1"/>
  <c r="S73" i="3"/>
  <c r="S74" i="3" s="1"/>
  <c r="O73" i="3"/>
  <c r="O72" i="3" s="1"/>
  <c r="O71" i="3" s="1" a="1"/>
  <c r="O71" i="3" s="1"/>
  <c r="K28" i="5" s="1"/>
  <c r="L71" i="3"/>
  <c r="H28" i="5" s="1"/>
  <c r="M71" i="3"/>
  <c r="I28" i="5" s="1"/>
  <c r="N71" i="3"/>
  <c r="J28" i="5" s="1"/>
  <c r="K71" i="3"/>
  <c r="G28" i="5" s="1"/>
  <c r="P68" i="3"/>
  <c r="P69" i="3" s="1"/>
  <c r="Q68" i="3"/>
  <c r="Q69" i="3" s="1"/>
  <c r="R68" i="3"/>
  <c r="S68" i="3"/>
  <c r="S69" i="3" s="1"/>
  <c r="O68" i="3"/>
  <c r="L66" i="3"/>
  <c r="H28" i="4" s="1"/>
  <c r="M66" i="3"/>
  <c r="I28" i="4" s="1"/>
  <c r="N66" i="3"/>
  <c r="J28" i="4" s="1"/>
  <c r="K66" i="3"/>
  <c r="G28" i="4" s="1"/>
  <c r="P63" i="3"/>
  <c r="P62" i="3" s="1"/>
  <c r="P61" i="3" s="1" a="1"/>
  <c r="P61" i="3" s="1"/>
  <c r="Q63" i="3"/>
  <c r="R63" i="3"/>
  <c r="R64" i="3" s="1"/>
  <c r="S63" i="3"/>
  <c r="O63" i="3"/>
  <c r="O64" i="3" s="1"/>
  <c r="L61" i="3"/>
  <c r="M61" i="3"/>
  <c r="N61" i="3"/>
  <c r="K61" i="3"/>
  <c r="P56" i="3"/>
  <c r="Q56" i="3"/>
  <c r="Q57" i="3" s="1"/>
  <c r="R56" i="3"/>
  <c r="S56" i="3"/>
  <c r="O56" i="3"/>
  <c r="O55" i="3" s="1"/>
  <c r="O54" i="3" s="1" a="1"/>
  <c r="O54" i="3" s="1"/>
  <c r="K24" i="5" s="1"/>
  <c r="L54" i="3"/>
  <c r="H24" i="5" s="1"/>
  <c r="M54" i="3"/>
  <c r="I24" i="5" s="1"/>
  <c r="N54" i="3"/>
  <c r="J24" i="5" s="1"/>
  <c r="K54" i="3"/>
  <c r="G24" i="5" s="1"/>
  <c r="P51" i="3"/>
  <c r="P50" i="3" s="1"/>
  <c r="P49" i="3" s="1" a="1"/>
  <c r="P49" i="3" s="1"/>
  <c r="L24" i="4" s="1"/>
  <c r="Q51" i="3"/>
  <c r="R51" i="3"/>
  <c r="S51" i="3"/>
  <c r="O51" i="3"/>
  <c r="O52" i="3" s="1"/>
  <c r="L49" i="3"/>
  <c r="H24" i="4" s="1"/>
  <c r="M49" i="3"/>
  <c r="I24" i="4" s="1"/>
  <c r="N49" i="3"/>
  <c r="J24" i="4" s="1"/>
  <c r="K49" i="3"/>
  <c r="G24" i="4" s="1"/>
  <c r="P46" i="3"/>
  <c r="Q46" i="3"/>
  <c r="Q47" i="3" s="1"/>
  <c r="R46" i="3"/>
  <c r="R47" i="3" s="1"/>
  <c r="S46" i="3"/>
  <c r="S45" i="3" s="1"/>
  <c r="S44" i="3" s="1" a="1"/>
  <c r="S44" i="3" s="1"/>
  <c r="O46" i="3"/>
  <c r="O45" i="3" s="1"/>
  <c r="O44" i="3" s="1" a="1"/>
  <c r="O44" i="3" s="1"/>
  <c r="L44" i="3"/>
  <c r="M44" i="3"/>
  <c r="N44" i="3"/>
  <c r="K44" i="3"/>
  <c r="P39" i="3"/>
  <c r="Q39" i="3"/>
  <c r="Q40" i="3" s="1"/>
  <c r="R39" i="3"/>
  <c r="S39" i="3"/>
  <c r="S40" i="3" s="1"/>
  <c r="O39" i="3"/>
  <c r="O40" i="3" s="1"/>
  <c r="L37" i="3"/>
  <c r="H20" i="5" s="1"/>
  <c r="M37" i="3"/>
  <c r="I20" i="5" s="1"/>
  <c r="N37" i="3"/>
  <c r="J20" i="5" s="1"/>
  <c r="K37" i="3"/>
  <c r="G20" i="5" s="1"/>
  <c r="P34" i="3"/>
  <c r="P35" i="3" s="1"/>
  <c r="Q34" i="3"/>
  <c r="R34" i="3"/>
  <c r="R33" i="3" s="1"/>
  <c r="R32" i="3" s="1" a="1"/>
  <c r="R32" i="3" s="1"/>
  <c r="N20" i="4" s="1"/>
  <c r="S34" i="3"/>
  <c r="S35" i="3" s="1"/>
  <c r="O34" i="3"/>
  <c r="L32" i="3"/>
  <c r="H20" i="4" s="1"/>
  <c r="M32" i="3"/>
  <c r="I20" i="4" s="1"/>
  <c r="N32" i="3"/>
  <c r="J20" i="4" s="1"/>
  <c r="K32" i="3"/>
  <c r="G20" i="4" s="1"/>
  <c r="P29" i="3"/>
  <c r="P28" i="3" s="1"/>
  <c r="P27" i="3" s="1" a="1"/>
  <c r="P27" i="3" s="1"/>
  <c r="Q29" i="3"/>
  <c r="Q30" i="3" s="1"/>
  <c r="R29" i="3"/>
  <c r="R28" i="3" s="1"/>
  <c r="R27" i="3" s="1" a="1"/>
  <c r="R27" i="3" s="1"/>
  <c r="S29" i="3"/>
  <c r="O29" i="3"/>
  <c r="O30" i="3" s="1"/>
  <c r="L27" i="3"/>
  <c r="M27" i="3"/>
  <c r="N27" i="3"/>
  <c r="K27" i="3"/>
  <c r="Q74" i="3"/>
  <c r="R69" i="3"/>
  <c r="O69" i="3"/>
  <c r="S67" i="3"/>
  <c r="S66" i="3" s="1" a="1"/>
  <c r="S66" i="3" s="1"/>
  <c r="O28" i="4" s="1"/>
  <c r="R67" i="3"/>
  <c r="R66" i="3" a="1"/>
  <c r="R66" i="3" s="1"/>
  <c r="N28" i="4" s="1"/>
  <c r="Q64" i="3"/>
  <c r="S64" i="3"/>
  <c r="O62" i="3"/>
  <c r="O61" i="3" s="1" a="1"/>
  <c r="O61" i="3" s="1"/>
  <c r="R62" i="3"/>
  <c r="R61" i="3" s="1" a="1"/>
  <c r="R61" i="3" s="1"/>
  <c r="Q62" i="3"/>
  <c r="Q61" i="3" a="1"/>
  <c r="Q61" i="3" s="1"/>
  <c r="S57" i="3"/>
  <c r="R57" i="3"/>
  <c r="P57" i="3"/>
  <c r="O57" i="3"/>
  <c r="S55" i="3"/>
  <c r="P55" i="3"/>
  <c r="S54" i="3" a="1"/>
  <c r="S54" i="3" s="1"/>
  <c r="O24" i="5" s="1"/>
  <c r="P54" i="3" a="1"/>
  <c r="P54" i="3" s="1"/>
  <c r="L24" i="5" s="1"/>
  <c r="R52" i="3"/>
  <c r="S52" i="3"/>
  <c r="Q50" i="3"/>
  <c r="Q49" i="3" s="1" a="1"/>
  <c r="Q49" i="3" s="1"/>
  <c r="M24" i="4" s="1"/>
  <c r="R50" i="3"/>
  <c r="R49" i="3" s="1" a="1"/>
  <c r="R49" i="3" s="1"/>
  <c r="N24" i="4" s="1"/>
  <c r="S47" i="3"/>
  <c r="P47" i="3"/>
  <c r="Q45" i="3"/>
  <c r="Q44" i="3" a="1"/>
  <c r="Q44" i="3" s="1"/>
  <c r="R40" i="3"/>
  <c r="P40" i="3"/>
  <c r="P38" i="3"/>
  <c r="P37" i="3" a="1"/>
  <c r="P37" i="3" s="1"/>
  <c r="L20" i="5" s="1"/>
  <c r="Q35" i="3"/>
  <c r="Q33" i="3"/>
  <c r="Q32" i="3" s="1" a="1"/>
  <c r="Q32" i="3" s="1"/>
  <c r="M20" i="4" s="1"/>
  <c r="O35" i="3"/>
  <c r="P33" i="3"/>
  <c r="P32" i="3" s="1" a="1"/>
  <c r="P32" i="3" s="1"/>
  <c r="L20" i="4" s="1"/>
  <c r="P30" i="3"/>
  <c r="S30" i="3"/>
  <c r="R30" i="3"/>
  <c r="P22" i="3"/>
  <c r="P23" i="3" s="1"/>
  <c r="Q22" i="3"/>
  <c r="Q23" i="3" s="1"/>
  <c r="R22" i="3"/>
  <c r="S22" i="3"/>
  <c r="O22" i="3"/>
  <c r="O23" i="3" s="1"/>
  <c r="L20" i="3"/>
  <c r="H16" i="5" s="1"/>
  <c r="M20" i="3"/>
  <c r="I16" i="5" s="1"/>
  <c r="N20" i="3"/>
  <c r="J16" i="5" s="1"/>
  <c r="K20" i="3"/>
  <c r="G16" i="5" s="1"/>
  <c r="P17" i="3"/>
  <c r="P16" i="3" s="1"/>
  <c r="Q17" i="3"/>
  <c r="Q16" i="3" s="1"/>
  <c r="Q15" i="3" s="1" a="1"/>
  <c r="Q15" i="3" s="1"/>
  <c r="M16" i="4" s="1"/>
  <c r="R17" i="3"/>
  <c r="R18" i="3" s="1"/>
  <c r="S17" i="3"/>
  <c r="S18" i="3" s="1"/>
  <c r="O17" i="3"/>
  <c r="O18" i="3" s="1"/>
  <c r="L15" i="3"/>
  <c r="H16" i="4" s="1"/>
  <c r="M15" i="3"/>
  <c r="I16" i="4" s="1"/>
  <c r="N15" i="3"/>
  <c r="J16" i="4" s="1"/>
  <c r="K15" i="3"/>
  <c r="G16" i="4" s="1"/>
  <c r="S23" i="3"/>
  <c r="R23" i="3"/>
  <c r="O21" i="3"/>
  <c r="O20" i="3" s="1" a="1"/>
  <c r="O20" i="3" s="1"/>
  <c r="K16" i="5" s="1"/>
  <c r="P18" i="3"/>
  <c r="K1" i="3" a="1"/>
  <c r="K1" i="3" s="1"/>
  <c r="P13" i="3"/>
  <c r="P11" i="3"/>
  <c r="Q11" i="3"/>
  <c r="L10" i="3"/>
  <c r="M10" i="3"/>
  <c r="N10" i="3"/>
  <c r="K10" i="3"/>
  <c r="O12" i="3"/>
  <c r="O11" i="3" s="1"/>
  <c r="P12" i="3"/>
  <c r="P10" i="3" s="1" a="1"/>
  <c r="P10" i="3" s="1"/>
  <c r="Q12" i="3"/>
  <c r="Q13" i="3" s="1"/>
  <c r="R12" i="3"/>
  <c r="R11" i="3" s="1"/>
  <c r="S12" i="3"/>
  <c r="S11" i="3" s="1"/>
  <c r="G22" i="13" l="1"/>
  <c r="K1" i="12"/>
  <c r="K1" i="6"/>
  <c r="K1" i="13"/>
  <c r="K1" i="8"/>
  <c r="K1" i="16"/>
  <c r="K1" i="9"/>
  <c r="K1" i="17"/>
  <c r="K1" i="7"/>
  <c r="K1" i="14"/>
  <c r="K1" i="5"/>
  <c r="K1" i="10"/>
  <c r="K1" i="4"/>
  <c r="K1" i="2"/>
  <c r="G2" i="1"/>
  <c r="K1" i="15"/>
  <c r="K1" i="11"/>
  <c r="L27" i="5"/>
  <c r="L27" i="4"/>
  <c r="L19" i="5"/>
  <c r="L18" i="5" s="1"/>
  <c r="L9" i="5" s="1"/>
  <c r="L19" i="4"/>
  <c r="L18" i="4" s="1"/>
  <c r="L9" i="4" s="1"/>
  <c r="L8" i="13" s="1"/>
  <c r="O23" i="4"/>
  <c r="O23" i="5"/>
  <c r="O22" i="5" s="1"/>
  <c r="O10" i="5" s="1"/>
  <c r="J27" i="5"/>
  <c r="J26" i="5" s="1"/>
  <c r="J11" i="5" s="1"/>
  <c r="J27" i="4"/>
  <c r="J26" i="4" s="1"/>
  <c r="J11" i="4" s="1"/>
  <c r="J10" i="13" s="1"/>
  <c r="O10" i="3" a="1"/>
  <c r="O10" i="3" s="1"/>
  <c r="N19" i="4"/>
  <c r="N18" i="4" s="1"/>
  <c r="N9" i="4" s="1"/>
  <c r="N8" i="13" s="1"/>
  <c r="N19" i="5"/>
  <c r="G15" i="4"/>
  <c r="G14" i="4" s="1"/>
  <c r="G8" i="4" s="1"/>
  <c r="G15" i="5"/>
  <c r="G14" i="5" s="1"/>
  <c r="G8" i="5" s="1"/>
  <c r="G7" i="5" s="1"/>
  <c r="N27" i="4"/>
  <c r="N26" i="4" s="1"/>
  <c r="N11" i="4" s="1"/>
  <c r="N10" i="13" s="1"/>
  <c r="N27" i="5"/>
  <c r="J15" i="5"/>
  <c r="J14" i="5" s="1"/>
  <c r="J8" i="5" s="1"/>
  <c r="J15" i="4"/>
  <c r="J14" i="4" s="1"/>
  <c r="J8" i="4" s="1"/>
  <c r="R35" i="3"/>
  <c r="M23" i="4"/>
  <c r="M22" i="4" s="1"/>
  <c r="M10" i="4" s="1"/>
  <c r="M9" i="13" s="1"/>
  <c r="M23" i="5"/>
  <c r="K27" i="5"/>
  <c r="K26" i="5" s="1"/>
  <c r="K11" i="5" s="1"/>
  <c r="K27" i="4"/>
  <c r="G19" i="5"/>
  <c r="G18" i="5" s="1"/>
  <c r="G9" i="5" s="1"/>
  <c r="G19" i="4"/>
  <c r="G18" i="4" s="1"/>
  <c r="G9" i="4" s="1"/>
  <c r="G8" i="13" s="1"/>
  <c r="I27" i="5"/>
  <c r="I26" i="5" s="1"/>
  <c r="I11" i="5" s="1"/>
  <c r="I27" i="4"/>
  <c r="I26" i="4" s="1"/>
  <c r="I11" i="4" s="1"/>
  <c r="I10" i="13" s="1"/>
  <c r="H27" i="5"/>
  <c r="H26" i="5" s="1"/>
  <c r="H11" i="5" s="1"/>
  <c r="H27" i="4"/>
  <c r="H26" i="4" s="1"/>
  <c r="H11" i="4" s="1"/>
  <c r="H10" i="13" s="1"/>
  <c r="R10" i="3" a="1"/>
  <c r="R10" i="3" s="1"/>
  <c r="O38" i="3"/>
  <c r="O37" i="3" s="1" a="1"/>
  <c r="O37" i="3" s="1"/>
  <c r="K20" i="5" s="1"/>
  <c r="P64" i="3"/>
  <c r="I19" i="4"/>
  <c r="I18" i="4" s="1"/>
  <c r="I9" i="4" s="1"/>
  <c r="I19" i="5"/>
  <c r="I18" i="5" s="1"/>
  <c r="I9" i="5" s="1"/>
  <c r="J22" i="13"/>
  <c r="K25" i="14"/>
  <c r="J23" i="14"/>
  <c r="H23" i="5"/>
  <c r="H22" i="5" s="1"/>
  <c r="H10" i="5" s="1"/>
  <c r="H23" i="4"/>
  <c r="H22" i="4" s="1"/>
  <c r="H10" i="4" s="1"/>
  <c r="H9" i="13" s="1"/>
  <c r="G27" i="4"/>
  <c r="G26" i="4" s="1"/>
  <c r="G11" i="4" s="1"/>
  <c r="G10" i="13" s="1"/>
  <c r="G27" i="5"/>
  <c r="G26" i="5" s="1"/>
  <c r="G11" i="5" s="1"/>
  <c r="J37" i="9"/>
  <c r="I9" i="14"/>
  <c r="K23" i="5"/>
  <c r="K22" i="5" s="1"/>
  <c r="K10" i="5" s="1"/>
  <c r="K23" i="4"/>
  <c r="Q67" i="3"/>
  <c r="Q66" i="3" s="1" a="1"/>
  <c r="Q66" i="3" s="1"/>
  <c r="M28" i="4" s="1"/>
  <c r="J8" i="11"/>
  <c r="J10" i="11" s="1"/>
  <c r="I34" i="14"/>
  <c r="I15" i="4"/>
  <c r="I14" i="4" s="1"/>
  <c r="I8" i="4" s="1"/>
  <c r="I7" i="13" s="1"/>
  <c r="I15" i="5"/>
  <c r="I14" i="5" s="1"/>
  <c r="I8" i="5" s="1"/>
  <c r="J19" i="5"/>
  <c r="J18" i="5" s="1"/>
  <c r="J9" i="5" s="1"/>
  <c r="J19" i="4"/>
  <c r="J18" i="4" s="1"/>
  <c r="J9" i="4" s="1"/>
  <c r="J8" i="13" s="1"/>
  <c r="P71" i="3" a="1"/>
  <c r="P71" i="3" s="1"/>
  <c r="L28" i="5" s="1"/>
  <c r="H19" i="5"/>
  <c r="H18" i="5" s="1"/>
  <c r="H9" i="5" s="1"/>
  <c r="H19" i="4"/>
  <c r="H18" i="4" s="1"/>
  <c r="H9" i="4" s="1"/>
  <c r="H8" i="13" s="1"/>
  <c r="G23" i="4"/>
  <c r="G22" i="4" s="1"/>
  <c r="G10" i="4" s="1"/>
  <c r="G9" i="13" s="1"/>
  <c r="G23" i="5"/>
  <c r="I22" i="13"/>
  <c r="I32" i="9"/>
  <c r="H10" i="14"/>
  <c r="H22" i="13"/>
  <c r="J22" i="5"/>
  <c r="J10" i="5" s="1"/>
  <c r="H15" i="4"/>
  <c r="H14" i="4" s="1"/>
  <c r="H8" i="4" s="1"/>
  <c r="H15" i="5"/>
  <c r="H14" i="5" s="1"/>
  <c r="H8" i="5" s="1"/>
  <c r="S33" i="3"/>
  <c r="S32" i="3" s="1" a="1"/>
  <c r="S32" i="3" s="1"/>
  <c r="O20" i="4" s="1"/>
  <c r="M27" i="4"/>
  <c r="M27" i="5"/>
  <c r="P72" i="3"/>
  <c r="J23" i="5"/>
  <c r="J23" i="4"/>
  <c r="J22" i="4" s="1"/>
  <c r="J10" i="4" s="1"/>
  <c r="J9" i="13" s="1"/>
  <c r="L15" i="5"/>
  <c r="L15" i="4"/>
  <c r="R13" i="3"/>
  <c r="Q28" i="3"/>
  <c r="Q27" i="3" s="1" a="1"/>
  <c r="Q27" i="3" s="1"/>
  <c r="I23" i="4"/>
  <c r="I22" i="4" s="1"/>
  <c r="I10" i="4" s="1"/>
  <c r="I9" i="13" s="1"/>
  <c r="I23" i="5"/>
  <c r="I22" i="5" s="1"/>
  <c r="I10" i="5" s="1"/>
  <c r="G22" i="5"/>
  <c r="G10" i="5" s="1"/>
  <c r="H8" i="14"/>
  <c r="S10" i="3" a="1"/>
  <c r="S10" i="3" s="1"/>
  <c r="P52" i="3"/>
  <c r="O13" i="3"/>
  <c r="S13" i="3"/>
  <c r="O74" i="3"/>
  <c r="Q10" i="3" a="1"/>
  <c r="Q10" i="3" s="1"/>
  <c r="P15" i="3" a="1"/>
  <c r="P15" i="3" s="1"/>
  <c r="L16" i="4" s="1"/>
  <c r="Q86" i="3"/>
  <c r="Q85" i="3" s="1" a="1"/>
  <c r="Q85" i="3" s="1"/>
  <c r="M19" i="13" s="1"/>
  <c r="O47" i="3"/>
  <c r="O28" i="3"/>
  <c r="O27" i="3" s="1" a="1"/>
  <c r="O27" i="3" s="1"/>
  <c r="O67" i="3"/>
  <c r="O66" i="3" s="1" a="1"/>
  <c r="O66" i="3" s="1"/>
  <c r="K28" i="4" s="1"/>
  <c r="R72" i="3"/>
  <c r="R71" i="3" s="1" a="1"/>
  <c r="R71" i="3" s="1"/>
  <c r="N28" i="5" s="1"/>
  <c r="S62" i="3"/>
  <c r="S61" i="3" s="1" a="1"/>
  <c r="S61" i="3" s="1"/>
  <c r="Q72" i="3"/>
  <c r="Q71" i="3" s="1" a="1"/>
  <c r="Q71" i="3" s="1"/>
  <c r="M28" i="5" s="1"/>
  <c r="P67" i="3"/>
  <c r="P66" i="3" s="1" a="1"/>
  <c r="P66" i="3" s="1"/>
  <c r="L28" i="4" s="1"/>
  <c r="S72" i="3"/>
  <c r="S71" i="3" s="1" a="1"/>
  <c r="S71" i="3" s="1"/>
  <c r="O28" i="5" s="1"/>
  <c r="P45" i="3"/>
  <c r="P44" i="3" s="1" a="1"/>
  <c r="P44" i="3" s="1"/>
  <c r="S50" i="3"/>
  <c r="S49" i="3" s="1" a="1"/>
  <c r="S49" i="3" s="1"/>
  <c r="O24" i="4" s="1"/>
  <c r="Q52" i="3"/>
  <c r="R45" i="3"/>
  <c r="R44" i="3" s="1" a="1"/>
  <c r="R44" i="3" s="1"/>
  <c r="Q55" i="3"/>
  <c r="Q54" i="3" s="1" a="1"/>
  <c r="Q54" i="3" s="1"/>
  <c r="M24" i="5" s="1"/>
  <c r="O50" i="3"/>
  <c r="O49" i="3" s="1" a="1"/>
  <c r="O49" i="3" s="1"/>
  <c r="K24" i="4" s="1"/>
  <c r="R55" i="3"/>
  <c r="R54" i="3" s="1" a="1"/>
  <c r="R54" i="3" s="1"/>
  <c r="N24" i="5" s="1"/>
  <c r="S28" i="3"/>
  <c r="S27" i="3" s="1" a="1"/>
  <c r="S27" i="3" s="1"/>
  <c r="Q38" i="3"/>
  <c r="Q37" i="3" s="1" a="1"/>
  <c r="Q37" i="3" s="1"/>
  <c r="M20" i="5" s="1"/>
  <c r="O33" i="3"/>
  <c r="O32" i="3" s="1" a="1"/>
  <c r="O32" i="3" s="1"/>
  <c r="K20" i="4" s="1"/>
  <c r="R38" i="3"/>
  <c r="R37" i="3" s="1" a="1"/>
  <c r="R37" i="3" s="1"/>
  <c r="N20" i="5" s="1"/>
  <c r="S38" i="3"/>
  <c r="S37" i="3" s="1" a="1"/>
  <c r="S37" i="3" s="1"/>
  <c r="O20" i="5" s="1"/>
  <c r="O16" i="3"/>
  <c r="O15" i="3" s="1" a="1"/>
  <c r="O15" i="3" s="1"/>
  <c r="K16" i="4" s="1"/>
  <c r="P21" i="3"/>
  <c r="P20" i="3" s="1" a="1"/>
  <c r="P20" i="3" s="1"/>
  <c r="L16" i="5" s="1"/>
  <c r="Q21" i="3"/>
  <c r="Q20" i="3" s="1" a="1"/>
  <c r="Q20" i="3" s="1"/>
  <c r="M16" i="5" s="1"/>
  <c r="R21" i="3"/>
  <c r="R20" i="3" s="1" a="1"/>
  <c r="R20" i="3" s="1"/>
  <c r="N16" i="5" s="1"/>
  <c r="S21" i="3"/>
  <c r="S20" i="3" s="1" a="1"/>
  <c r="S20" i="3" s="1"/>
  <c r="O16" i="5" s="1"/>
  <c r="R16" i="3"/>
  <c r="R15" i="3" s="1" a="1"/>
  <c r="R15" i="3" s="1"/>
  <c r="N16" i="4" s="1"/>
  <c r="S16" i="3"/>
  <c r="S15" i="3" s="1" a="1"/>
  <c r="S15" i="3" s="1"/>
  <c r="O16" i="4" s="1"/>
  <c r="Q18" i="3"/>
  <c r="K67" i="2"/>
  <c r="K64" i="2"/>
  <c r="L66" i="2"/>
  <c r="M66" i="2"/>
  <c r="N66" i="2"/>
  <c r="O66" i="2"/>
  <c r="K66" i="2"/>
  <c r="L64" i="2" s="1"/>
  <c r="L54" i="2"/>
  <c r="P87" i="3" s="1"/>
  <c r="M54" i="2"/>
  <c r="Q87" i="3" s="1"/>
  <c r="Q88" i="3" s="1"/>
  <c r="N54" i="2"/>
  <c r="R87" i="3" s="1"/>
  <c r="R88" i="3" s="1"/>
  <c r="O54" i="2"/>
  <c r="S87" i="3" s="1"/>
  <c r="K54" i="2"/>
  <c r="O87" i="3" s="1"/>
  <c r="L23" i="6"/>
  <c r="K23" i="6"/>
  <c r="L22" i="6"/>
  <c r="K22" i="6"/>
  <c r="K21" i="6"/>
  <c r="L20" i="6"/>
  <c r="K20" i="6"/>
  <c r="L18" i="6"/>
  <c r="K18" i="6"/>
  <c r="L17" i="6"/>
  <c r="K17" i="6"/>
  <c r="K16" i="6"/>
  <c r="O15" i="6"/>
  <c r="N15" i="6"/>
  <c r="M15" i="6"/>
  <c r="L15" i="6"/>
  <c r="K15" i="6"/>
  <c r="O14" i="6"/>
  <c r="N14" i="6"/>
  <c r="M14" i="6"/>
  <c r="M9" i="6" s="1"/>
  <c r="L14" i="6"/>
  <c r="K14" i="6"/>
  <c r="I9" i="6"/>
  <c r="H9" i="6"/>
  <c r="G9" i="6"/>
  <c r="T1" i="2"/>
  <c r="T1" i="6"/>
  <c r="X1" i="3"/>
  <c r="T1" i="4"/>
  <c r="T1" i="5"/>
  <c r="T1" i="8"/>
  <c r="T1" i="9"/>
  <c r="T1" i="10"/>
  <c r="T1" i="11"/>
  <c r="T1" i="12"/>
  <c r="T1" i="13"/>
  <c r="T1" i="14"/>
  <c r="T1" i="15"/>
  <c r="T1" i="16"/>
  <c r="T1" i="17"/>
  <c r="T1" i="7"/>
  <c r="C1" i="2"/>
  <c r="C1" i="6"/>
  <c r="C1" i="3"/>
  <c r="C1" i="4"/>
  <c r="C1" i="5"/>
  <c r="C1" i="8"/>
  <c r="C1" i="9"/>
  <c r="C1" i="10"/>
  <c r="C1" i="11"/>
  <c r="C1" i="12"/>
  <c r="C1" i="13"/>
  <c r="C1" i="14"/>
  <c r="C1" i="15"/>
  <c r="C1" i="16"/>
  <c r="C1" i="17"/>
  <c r="C1" i="7"/>
  <c r="L14" i="5" l="1"/>
  <c r="L8" i="5" s="1"/>
  <c r="K26" i="4"/>
  <c r="K11" i="4" s="1"/>
  <c r="K10" i="13" s="1"/>
  <c r="M26" i="4"/>
  <c r="M11" i="4" s="1"/>
  <c r="M10" i="13" s="1"/>
  <c r="L26" i="5"/>
  <c r="L11" i="5" s="1"/>
  <c r="K22" i="4"/>
  <c r="K10" i="4" s="1"/>
  <c r="K9" i="13" s="1"/>
  <c r="L14" i="4"/>
  <c r="L8" i="4" s="1"/>
  <c r="L7" i="13" s="1"/>
  <c r="G13" i="13"/>
  <c r="G8" i="8"/>
  <c r="K8" i="11"/>
  <c r="K10" i="11" s="1"/>
  <c r="J34" i="14"/>
  <c r="N15" i="4"/>
  <c r="N14" i="4" s="1"/>
  <c r="N8" i="4" s="1"/>
  <c r="N15" i="5"/>
  <c r="N14" i="5" s="1"/>
  <c r="N8" i="5" s="1"/>
  <c r="M15" i="5"/>
  <c r="M14" i="5" s="1"/>
  <c r="M8" i="5" s="1"/>
  <c r="M15" i="4"/>
  <c r="M14" i="4" s="1"/>
  <c r="M8" i="4" s="1"/>
  <c r="M22" i="5"/>
  <c r="M10" i="5" s="1"/>
  <c r="G7" i="13"/>
  <c r="G11" i="13" s="1"/>
  <c r="G14" i="13" s="1"/>
  <c r="G7" i="4"/>
  <c r="G7" i="8" s="1"/>
  <c r="M19" i="5"/>
  <c r="M18" i="5" s="1"/>
  <c r="M9" i="5" s="1"/>
  <c r="M19" i="4"/>
  <c r="M18" i="4" s="1"/>
  <c r="M9" i="4" s="1"/>
  <c r="M8" i="13" s="1"/>
  <c r="I7" i="4"/>
  <c r="I7" i="8" s="1"/>
  <c r="I8" i="13"/>
  <c r="I11" i="13" s="1"/>
  <c r="O27" i="4"/>
  <c r="O26" i="4" s="1"/>
  <c r="O11" i="4" s="1"/>
  <c r="O10" i="13" s="1"/>
  <c r="O27" i="5"/>
  <c r="O26" i="5" s="1"/>
  <c r="O11" i="5" s="1"/>
  <c r="H7" i="5"/>
  <c r="J32" i="9"/>
  <c r="I10" i="14"/>
  <c r="I8" i="14" s="1"/>
  <c r="L25" i="14"/>
  <c r="K23" i="14"/>
  <c r="N18" i="5"/>
  <c r="N9" i="5" s="1"/>
  <c r="K19" i="4"/>
  <c r="K18" i="4" s="1"/>
  <c r="K9" i="4" s="1"/>
  <c r="K8" i="13" s="1"/>
  <c r="K19" i="5"/>
  <c r="K18" i="5" s="1"/>
  <c r="K9" i="5" s="1"/>
  <c r="L23" i="5"/>
  <c r="L22" i="5" s="1"/>
  <c r="L10" i="5" s="1"/>
  <c r="L23" i="4"/>
  <c r="L22" i="4" s="1"/>
  <c r="L10" i="4" s="1"/>
  <c r="L9" i="13" s="1"/>
  <c r="O19" i="4"/>
  <c r="O18" i="4" s="1"/>
  <c r="O9" i="4" s="1"/>
  <c r="O8" i="13" s="1"/>
  <c r="O19" i="5"/>
  <c r="O18" i="5" s="1"/>
  <c r="O9" i="5" s="1"/>
  <c r="O22" i="4"/>
  <c r="O10" i="4" s="1"/>
  <c r="O9" i="13" s="1"/>
  <c r="N23" i="4"/>
  <c r="N22" i="4" s="1"/>
  <c r="N10" i="4" s="1"/>
  <c r="N9" i="13" s="1"/>
  <c r="N23" i="5"/>
  <c r="N22" i="5" s="1"/>
  <c r="N10" i="5" s="1"/>
  <c r="N26" i="5"/>
  <c r="N11" i="5" s="1"/>
  <c r="H7" i="4"/>
  <c r="H7" i="8" s="1"/>
  <c r="H7" i="13"/>
  <c r="H11" i="13" s="1"/>
  <c r="I7" i="5"/>
  <c r="K37" i="9"/>
  <c r="J9" i="14"/>
  <c r="L26" i="4"/>
  <c r="L11" i="4" s="1"/>
  <c r="L10" i="13" s="1"/>
  <c r="J7" i="5"/>
  <c r="O15" i="5"/>
  <c r="O14" i="5" s="1"/>
  <c r="O8" i="5" s="1"/>
  <c r="O15" i="4"/>
  <c r="O14" i="4" s="1"/>
  <c r="O8" i="4" s="1"/>
  <c r="M26" i="5"/>
  <c r="M11" i="5" s="1"/>
  <c r="J7" i="4"/>
  <c r="J7" i="8" s="1"/>
  <c r="J7" i="13"/>
  <c r="J11" i="13" s="1"/>
  <c r="K15" i="4"/>
  <c r="K14" i="4" s="1"/>
  <c r="K8" i="4" s="1"/>
  <c r="K15" i="5"/>
  <c r="K14" i="5" s="1"/>
  <c r="K8" i="5" s="1"/>
  <c r="L67" i="2"/>
  <c r="M64" i="2"/>
  <c r="M67" i="2" s="1"/>
  <c r="O88" i="3"/>
  <c r="O86" i="3"/>
  <c r="O85" i="3" s="1" a="1"/>
  <c r="O85" i="3" s="1"/>
  <c r="K19" i="13" s="1"/>
  <c r="S88" i="3"/>
  <c r="S86" i="3"/>
  <c r="S85" i="3" s="1" a="1"/>
  <c r="S85" i="3" s="1"/>
  <c r="O19" i="13" s="1"/>
  <c r="P88" i="3"/>
  <c r="P85" i="3" a="1"/>
  <c r="P85" i="3" s="1"/>
  <c r="L19" i="13" s="1"/>
  <c r="P86" i="3"/>
  <c r="R86" i="3"/>
  <c r="R85" i="3" s="1" a="1"/>
  <c r="R85" i="3" s="1"/>
  <c r="N19" i="13" s="1"/>
  <c r="N9" i="6"/>
  <c r="O9" i="6"/>
  <c r="K9" i="6"/>
  <c r="K31" i="2" s="1"/>
  <c r="J9" i="6"/>
  <c r="L9" i="6"/>
  <c r="K25" i="6"/>
  <c r="K19" i="6"/>
  <c r="L25" i="6"/>
  <c r="L16" i="6"/>
  <c r="L21" i="6"/>
  <c r="L19" i="6"/>
  <c r="K24" i="6"/>
  <c r="L24" i="6"/>
  <c r="L7" i="5" l="1"/>
  <c r="L8" i="8" s="1"/>
  <c r="O7" i="5"/>
  <c r="J13" i="13"/>
  <c r="J14" i="13" s="1"/>
  <c r="J8" i="8"/>
  <c r="I15" i="8"/>
  <c r="I16" i="14" s="1"/>
  <c r="I12" i="8"/>
  <c r="I15" i="14" s="1"/>
  <c r="J12" i="8"/>
  <c r="J15" i="14" s="1"/>
  <c r="J15" i="8"/>
  <c r="J16" i="14" s="1"/>
  <c r="L13" i="13"/>
  <c r="H13" i="13"/>
  <c r="H14" i="13" s="1"/>
  <c r="H8" i="8"/>
  <c r="I13" i="13"/>
  <c r="I14" i="13" s="1"/>
  <c r="I8" i="8"/>
  <c r="L7" i="4"/>
  <c r="L7" i="8" s="1"/>
  <c r="G24" i="13"/>
  <c r="G16" i="13"/>
  <c r="K32" i="9"/>
  <c r="J10" i="14"/>
  <c r="J8" i="14" s="1"/>
  <c r="N7" i="4"/>
  <c r="N7" i="8" s="1"/>
  <c r="N7" i="13"/>
  <c r="N11" i="13" s="1"/>
  <c r="L8" i="11"/>
  <c r="L10" i="11" s="1"/>
  <c r="K34" i="14"/>
  <c r="N7" i="5"/>
  <c r="L37" i="9"/>
  <c r="K9" i="14"/>
  <c r="L11" i="13"/>
  <c r="K7" i="5"/>
  <c r="O7" i="4"/>
  <c r="O7" i="8" s="1"/>
  <c r="O7" i="13"/>
  <c r="O11" i="13" s="1"/>
  <c r="H15" i="8"/>
  <c r="H16" i="14" s="1"/>
  <c r="H12" i="8"/>
  <c r="H15" i="14" s="1"/>
  <c r="M7" i="4"/>
  <c r="M7" i="8" s="1"/>
  <c r="M7" i="13"/>
  <c r="M11" i="13" s="1"/>
  <c r="G14" i="8"/>
  <c r="G14" i="14" s="1"/>
  <c r="G16" i="8"/>
  <c r="G13" i="8"/>
  <c r="G30" i="14" s="1"/>
  <c r="G15" i="8"/>
  <c r="G16" i="14" s="1"/>
  <c r="G12" i="8"/>
  <c r="G15" i="14" s="1"/>
  <c r="M25" i="14"/>
  <c r="L23" i="14"/>
  <c r="K7" i="4"/>
  <c r="K7" i="8" s="1"/>
  <c r="K7" i="13"/>
  <c r="K11" i="13" s="1"/>
  <c r="M7" i="5"/>
  <c r="N64" i="2"/>
  <c r="O47" i="2"/>
  <c r="S80" i="3" s="1"/>
  <c r="L47" i="2"/>
  <c r="P80" i="3" s="1"/>
  <c r="K41" i="2"/>
  <c r="K47" i="2" s="1"/>
  <c r="O80" i="3" s="1"/>
  <c r="N41" i="2"/>
  <c r="N47" i="2" s="1"/>
  <c r="R80" i="3" s="1"/>
  <c r="M41" i="2"/>
  <c r="M47" i="2" s="1"/>
  <c r="Q80" i="3" s="1"/>
  <c r="O41" i="2"/>
  <c r="L41" i="2"/>
  <c r="L14" i="13" l="1"/>
  <c r="L16" i="13" s="1"/>
  <c r="H24" i="13"/>
  <c r="H16" i="13"/>
  <c r="K13" i="13"/>
  <c r="K14" i="13" s="1"/>
  <c r="K8" i="8"/>
  <c r="O15" i="8"/>
  <c r="O16" i="14" s="1"/>
  <c r="O12" i="8"/>
  <c r="O15" i="14" s="1"/>
  <c r="N15" i="8"/>
  <c r="N16" i="14" s="1"/>
  <c r="N12" i="8"/>
  <c r="N15" i="14" s="1"/>
  <c r="N25" i="14"/>
  <c r="M23" i="14"/>
  <c r="L12" i="8"/>
  <c r="L15" i="14" s="1"/>
  <c r="L15" i="8"/>
  <c r="L16" i="14" s="1"/>
  <c r="K12" i="8"/>
  <c r="K15" i="14" s="1"/>
  <c r="K15" i="8"/>
  <c r="K16" i="14" s="1"/>
  <c r="H14" i="8"/>
  <c r="H14" i="14" s="1"/>
  <c r="H16" i="8"/>
  <c r="H13" i="8"/>
  <c r="H30" i="14" s="1"/>
  <c r="M12" i="8"/>
  <c r="M15" i="14" s="1"/>
  <c r="M15" i="8"/>
  <c r="M16" i="14" s="1"/>
  <c r="L32" i="9"/>
  <c r="K10" i="14"/>
  <c r="K8" i="14" s="1"/>
  <c r="I14" i="15"/>
  <c r="M37" i="9"/>
  <c r="L9" i="14"/>
  <c r="J24" i="13"/>
  <c r="J16" i="13"/>
  <c r="L14" i="8"/>
  <c r="L14" i="14" s="1"/>
  <c r="L13" i="8"/>
  <c r="L30" i="14" s="1"/>
  <c r="L16" i="8"/>
  <c r="J16" i="8"/>
  <c r="J14" i="8"/>
  <c r="J14" i="14" s="1"/>
  <c r="J13" i="8"/>
  <c r="J30" i="14" s="1"/>
  <c r="I16" i="13"/>
  <c r="I24" i="13"/>
  <c r="I16" i="8"/>
  <c r="I14" i="8"/>
  <c r="I14" i="14" s="1"/>
  <c r="I13" i="8"/>
  <c r="I30" i="14" s="1"/>
  <c r="G13" i="15"/>
  <c r="H13" i="15"/>
  <c r="G14" i="15"/>
  <c r="H14" i="15"/>
  <c r="I15" i="15"/>
  <c r="N13" i="13"/>
  <c r="N14" i="13" s="1"/>
  <c r="N8" i="8"/>
  <c r="M8" i="11"/>
  <c r="M10" i="11" s="1"/>
  <c r="L34" i="14"/>
  <c r="M13" i="13"/>
  <c r="M14" i="13" s="1"/>
  <c r="M8" i="8"/>
  <c r="G15" i="15"/>
  <c r="H15" i="15"/>
  <c r="G29" i="13"/>
  <c r="G26" i="13"/>
  <c r="O13" i="13"/>
  <c r="O14" i="13" s="1"/>
  <c r="O8" i="8"/>
  <c r="R81" i="3"/>
  <c r="R79" i="3"/>
  <c r="R78" i="3" s="1" a="1"/>
  <c r="R78" i="3" s="1"/>
  <c r="N18" i="13" s="1"/>
  <c r="N22" i="13" s="1"/>
  <c r="H16" i="1" s="1"/>
  <c r="O81" i="3"/>
  <c r="O79" i="3"/>
  <c r="O78" i="3" s="1" a="1"/>
  <c r="O78" i="3" s="1"/>
  <c r="K18" i="13" s="1"/>
  <c r="K22" i="13" s="1"/>
  <c r="E16" i="1" s="1"/>
  <c r="P81" i="3"/>
  <c r="P79" i="3"/>
  <c r="P78" i="3" a="1"/>
  <c r="P78" i="3" s="1"/>
  <c r="L18" i="13" s="1"/>
  <c r="L22" i="13" s="1"/>
  <c r="F16" i="1" s="1"/>
  <c r="S81" i="3"/>
  <c r="S79" i="3"/>
  <c r="S78" i="3" s="1" a="1"/>
  <c r="S78" i="3" s="1"/>
  <c r="O18" i="13" s="1"/>
  <c r="O22" i="13" s="1"/>
  <c r="I16" i="1" s="1"/>
  <c r="N67" i="2"/>
  <c r="O64" i="2"/>
  <c r="O67" i="2" s="1"/>
  <c r="Q81" i="3"/>
  <c r="Q79" i="3"/>
  <c r="Q78" i="3" s="1" a="1"/>
  <c r="Q78" i="3" s="1"/>
  <c r="M18" i="13" s="1"/>
  <c r="M22" i="13" s="1"/>
  <c r="G16" i="1" s="1"/>
  <c r="O15" i="15" l="1"/>
  <c r="L24" i="13"/>
  <c r="L29" i="13" s="1"/>
  <c r="F17" i="1" s="1"/>
  <c r="N15" i="15"/>
  <c r="M14" i="15"/>
  <c r="O14" i="15"/>
  <c r="K15" i="15"/>
  <c r="L15" i="15"/>
  <c r="K14" i="15"/>
  <c r="L14" i="15"/>
  <c r="M15" i="15"/>
  <c r="N14" i="15"/>
  <c r="N16" i="13"/>
  <c r="N24" i="13"/>
  <c r="M24" i="13"/>
  <c r="M16" i="13"/>
  <c r="O24" i="13"/>
  <c r="O16" i="13"/>
  <c r="O25" i="14"/>
  <c r="N23" i="14"/>
  <c r="K13" i="8"/>
  <c r="K30" i="14" s="1"/>
  <c r="K14" i="8"/>
  <c r="K14" i="14" s="1"/>
  <c r="K16" i="8"/>
  <c r="N8" i="11"/>
  <c r="N10" i="11" s="1"/>
  <c r="M34" i="14"/>
  <c r="J29" i="13"/>
  <c r="J26" i="13"/>
  <c r="O16" i="8"/>
  <c r="O14" i="8"/>
  <c r="O14" i="14" s="1"/>
  <c r="O13" i="8"/>
  <c r="O30" i="14" s="1"/>
  <c r="I26" i="13"/>
  <c r="I29" i="13"/>
  <c r="M32" i="9"/>
  <c r="L10" i="14"/>
  <c r="K24" i="13"/>
  <c r="K16" i="13"/>
  <c r="N16" i="8"/>
  <c r="N13" i="8"/>
  <c r="N30" i="14" s="1"/>
  <c r="N14" i="8"/>
  <c r="N14" i="14" s="1"/>
  <c r="L8" i="14"/>
  <c r="M14" i="8"/>
  <c r="M14" i="14" s="1"/>
  <c r="M16" i="8"/>
  <c r="M13" i="8"/>
  <c r="M30" i="14" s="1"/>
  <c r="G31" i="13"/>
  <c r="N37" i="9"/>
  <c r="M9" i="14"/>
  <c r="I13" i="15"/>
  <c r="H26" i="13"/>
  <c r="H29" i="13"/>
  <c r="L26" i="13" l="1"/>
  <c r="O13" i="15"/>
  <c r="N13" i="15"/>
  <c r="M13" i="15"/>
  <c r="L13" i="15"/>
  <c r="K13" i="15"/>
  <c r="J31" i="13"/>
  <c r="O29" i="13"/>
  <c r="I17" i="1" s="1"/>
  <c r="O26" i="13"/>
  <c r="M29" i="13"/>
  <c r="G17" i="1" s="1"/>
  <c r="M26" i="13"/>
  <c r="K26" i="13"/>
  <c r="K29" i="13"/>
  <c r="E17" i="1" s="1"/>
  <c r="L31" i="13"/>
  <c r="L30" i="17" s="1"/>
  <c r="F36" i="1" s="1"/>
  <c r="O8" i="11"/>
  <c r="O10" i="11" s="1"/>
  <c r="O34" i="14" s="1"/>
  <c r="N34" i="14"/>
  <c r="O23" i="14"/>
  <c r="O37" i="9"/>
  <c r="O9" i="14" s="1"/>
  <c r="N9" i="14"/>
  <c r="H31" i="13"/>
  <c r="N32" i="9"/>
  <c r="M10" i="14"/>
  <c r="M8" i="14" s="1"/>
  <c r="N29" i="13"/>
  <c r="H17" i="1" s="1"/>
  <c r="N26" i="13"/>
  <c r="I31" i="13"/>
  <c r="M31" i="13" l="1"/>
  <c r="M30" i="17" s="1"/>
  <c r="G36" i="1" s="1"/>
  <c r="N8" i="14"/>
  <c r="O32" i="9"/>
  <c r="O10" i="14" s="1"/>
  <c r="N10" i="14"/>
  <c r="O8" i="14"/>
  <c r="N31" i="13"/>
  <c r="N30" i="17" s="1"/>
  <c r="H36" i="1" s="1"/>
  <c r="K31" i="13"/>
  <c r="K30" i="17" s="1"/>
  <c r="E36" i="1" s="1"/>
  <c r="O31" i="13"/>
  <c r="O30" i="17" s="1"/>
  <c r="I36" i="1" s="1"/>
  <c r="G13" i="14" l="1"/>
  <c r="H13" i="14"/>
  <c r="I13" i="14"/>
  <c r="J13" i="14"/>
  <c r="K13" i="14"/>
  <c r="L13" i="14"/>
  <c r="M13" i="14"/>
  <c r="N13" i="14"/>
  <c r="O13" i="14"/>
  <c r="G18" i="14"/>
  <c r="H18" i="14"/>
  <c r="I18" i="14"/>
  <c r="J18" i="14"/>
  <c r="K18" i="14"/>
  <c r="L18" i="14"/>
  <c r="M18" i="14"/>
  <c r="N18" i="14"/>
  <c r="O18" i="14"/>
  <c r="G20" i="14"/>
  <c r="H20" i="14"/>
  <c r="I20" i="14"/>
  <c r="J20" i="14"/>
  <c r="K20" i="14"/>
  <c r="L20" i="14"/>
  <c r="M20" i="14"/>
  <c r="N20" i="14"/>
  <c r="O20" i="14"/>
  <c r="G28" i="14"/>
  <c r="H28" i="14"/>
  <c r="I28" i="14"/>
  <c r="J28" i="14"/>
  <c r="K28" i="14"/>
  <c r="L28" i="14"/>
  <c r="M28" i="14"/>
  <c r="N28" i="14"/>
  <c r="O28" i="14"/>
  <c r="G29" i="14"/>
  <c r="H29" i="14"/>
  <c r="I29" i="14"/>
  <c r="J29" i="14"/>
  <c r="K29" i="14"/>
  <c r="L29" i="14"/>
  <c r="M29" i="14"/>
  <c r="N29" i="14"/>
  <c r="O29" i="14"/>
  <c r="G33" i="14"/>
  <c r="H33" i="14"/>
  <c r="I33" i="14"/>
  <c r="J33" i="14"/>
  <c r="K33" i="14"/>
  <c r="L33" i="14"/>
  <c r="M33" i="14"/>
  <c r="N33" i="14"/>
  <c r="O33" i="14"/>
  <c r="G35" i="14"/>
  <c r="H35" i="14"/>
  <c r="I35" i="14"/>
  <c r="J35" i="14"/>
  <c r="K35" i="14"/>
  <c r="L35" i="14"/>
  <c r="M35" i="14"/>
  <c r="N35" i="14"/>
  <c r="O35" i="14"/>
  <c r="G38" i="14"/>
  <c r="H38" i="14"/>
  <c r="I38" i="14"/>
  <c r="J38" i="14"/>
  <c r="K38" i="14"/>
  <c r="L38" i="14"/>
  <c r="M38" i="14"/>
  <c r="N38" i="14"/>
  <c r="O38" i="14"/>
  <c r="G40" i="14"/>
  <c r="H40" i="14"/>
  <c r="I40" i="14"/>
  <c r="J40" i="14"/>
  <c r="K40" i="14"/>
  <c r="L40" i="14"/>
  <c r="M40" i="14"/>
  <c r="N40" i="14"/>
  <c r="O40" i="14"/>
  <c r="G8" i="15"/>
  <c r="H8" i="15"/>
  <c r="I8" i="15"/>
  <c r="J8" i="15"/>
  <c r="K8" i="15"/>
  <c r="L8" i="15"/>
  <c r="M8" i="15"/>
  <c r="N8" i="15"/>
  <c r="O8" i="15"/>
  <c r="G9" i="15"/>
  <c r="H9" i="15"/>
  <c r="I9" i="15"/>
  <c r="J9" i="15"/>
  <c r="K9" i="15"/>
  <c r="L9" i="15"/>
  <c r="M9" i="15"/>
  <c r="N9" i="15"/>
  <c r="O9" i="15"/>
  <c r="G11" i="15"/>
  <c r="H11" i="15"/>
  <c r="I11" i="15"/>
  <c r="J11" i="15"/>
  <c r="K11" i="15"/>
  <c r="L11" i="15"/>
  <c r="M11" i="15"/>
  <c r="N11" i="15"/>
  <c r="O11" i="15"/>
  <c r="G12" i="15"/>
  <c r="H12" i="15"/>
  <c r="I12" i="15"/>
  <c r="J12" i="15"/>
  <c r="K12" i="15"/>
  <c r="L12" i="15"/>
  <c r="M12" i="15"/>
  <c r="N12" i="15"/>
  <c r="O12" i="15"/>
  <c r="G18" i="15"/>
  <c r="H18" i="15"/>
  <c r="I18" i="15"/>
  <c r="J18" i="15"/>
  <c r="K18" i="15"/>
  <c r="L18" i="15"/>
  <c r="M18" i="15"/>
  <c r="N18" i="15"/>
  <c r="O18" i="15"/>
  <c r="G19" i="15"/>
  <c r="H19" i="15"/>
  <c r="I19" i="15"/>
  <c r="J19" i="15"/>
  <c r="K19" i="15"/>
  <c r="L19" i="15"/>
  <c r="M19" i="15"/>
  <c r="N19" i="15"/>
  <c r="O19" i="15"/>
  <c r="G21" i="15"/>
  <c r="H21" i="15"/>
  <c r="I21" i="15"/>
  <c r="J21" i="15"/>
  <c r="K21" i="15"/>
  <c r="L21" i="15"/>
  <c r="M21" i="15"/>
  <c r="N21" i="15"/>
  <c r="O21" i="15"/>
  <c r="G24" i="15"/>
  <c r="H24" i="15"/>
  <c r="I24" i="15"/>
  <c r="J24" i="15"/>
  <c r="K24" i="15"/>
  <c r="L24" i="15"/>
  <c r="M24" i="15"/>
  <c r="N24" i="15"/>
  <c r="O24" i="15"/>
  <c r="G29" i="15"/>
  <c r="H29" i="15"/>
  <c r="I29" i="15"/>
  <c r="J29" i="15"/>
  <c r="K29" i="15"/>
  <c r="L29" i="15"/>
  <c r="M29" i="15"/>
  <c r="N29" i="15"/>
  <c r="O29" i="15"/>
  <c r="G30" i="15"/>
  <c r="H30" i="15"/>
  <c r="I30" i="15"/>
  <c r="J30" i="15"/>
  <c r="K30" i="15"/>
  <c r="L30" i="15"/>
  <c r="M30" i="15"/>
  <c r="N30" i="15"/>
  <c r="O30" i="15"/>
  <c r="G31" i="15"/>
  <c r="H31" i="15"/>
  <c r="I31" i="15"/>
  <c r="J31" i="15"/>
  <c r="K31" i="15"/>
  <c r="L31" i="15"/>
  <c r="M31" i="15"/>
  <c r="N31" i="15"/>
  <c r="O31" i="15"/>
  <c r="G34" i="15"/>
  <c r="H34" i="15"/>
  <c r="I34" i="15"/>
  <c r="J34" i="15"/>
  <c r="K34" i="15"/>
  <c r="L34" i="15"/>
  <c r="M34" i="15"/>
  <c r="N34" i="15"/>
  <c r="O34" i="15"/>
  <c r="G38" i="15"/>
  <c r="H38" i="15"/>
  <c r="I38" i="15"/>
  <c r="J38" i="15"/>
  <c r="K38" i="15"/>
  <c r="L38" i="15"/>
  <c r="M38" i="15"/>
  <c r="N38" i="15"/>
  <c r="O38" i="15"/>
  <c r="H40" i="15"/>
  <c r="I40" i="15"/>
  <c r="J40" i="15"/>
  <c r="K40" i="15"/>
  <c r="L40" i="15"/>
  <c r="M40" i="15"/>
  <c r="N40" i="15"/>
  <c r="O40" i="15"/>
  <c r="G41" i="15"/>
  <c r="H41" i="15"/>
  <c r="I41" i="15"/>
  <c r="J41" i="15"/>
  <c r="K41" i="15"/>
  <c r="L41" i="15"/>
  <c r="M41" i="15"/>
  <c r="N41" i="15"/>
  <c r="O41" i="15"/>
  <c r="G43" i="15"/>
  <c r="H43" i="15"/>
  <c r="I43" i="15"/>
  <c r="J43" i="15"/>
  <c r="K43" i="15"/>
  <c r="L43" i="15"/>
  <c r="M43" i="15"/>
  <c r="N43" i="15"/>
  <c r="O43" i="15"/>
  <c r="G47" i="15"/>
  <c r="H47" i="15"/>
  <c r="I47" i="15"/>
  <c r="J47" i="15"/>
  <c r="K47" i="15"/>
  <c r="L47" i="15"/>
  <c r="M47" i="15"/>
  <c r="N47" i="15"/>
  <c r="O47" i="15"/>
  <c r="G48" i="15"/>
  <c r="H48" i="15"/>
  <c r="I48" i="15"/>
  <c r="J48" i="15"/>
  <c r="K48" i="15"/>
  <c r="L48" i="15"/>
  <c r="M48" i="15"/>
  <c r="N48" i="15"/>
  <c r="O48" i="15"/>
  <c r="G49" i="15"/>
  <c r="H49" i="15"/>
  <c r="I49" i="15"/>
  <c r="J49" i="15"/>
  <c r="K49" i="15"/>
  <c r="L49" i="15"/>
  <c r="M49" i="15"/>
  <c r="N49" i="15"/>
  <c r="O49" i="15"/>
  <c r="J9" i="16"/>
  <c r="K9" i="16"/>
  <c r="L9" i="16"/>
  <c r="M9" i="16"/>
  <c r="N9" i="16"/>
  <c r="O9" i="16"/>
  <c r="J12" i="16"/>
  <c r="K12" i="16"/>
  <c r="L12" i="16"/>
  <c r="M12" i="16"/>
  <c r="N12" i="16"/>
  <c r="O12" i="16"/>
  <c r="C15" i="16"/>
  <c r="C16" i="16"/>
  <c r="C17" i="16"/>
  <c r="C18" i="16"/>
  <c r="H9" i="10"/>
  <c r="I9" i="10"/>
  <c r="J9" i="10"/>
  <c r="K9" i="10"/>
  <c r="L9" i="10"/>
  <c r="M9" i="10"/>
  <c r="N9" i="10"/>
  <c r="O9" i="10"/>
  <c r="G10" i="10"/>
  <c r="H10" i="10"/>
  <c r="I10" i="10"/>
  <c r="J10" i="10"/>
  <c r="K10" i="10"/>
  <c r="L10" i="10"/>
  <c r="M10" i="10"/>
  <c r="N10" i="10"/>
  <c r="O10" i="10"/>
  <c r="G11" i="10"/>
  <c r="H11" i="10"/>
  <c r="I11" i="10"/>
  <c r="J11" i="10"/>
  <c r="K11" i="10"/>
  <c r="L11" i="10"/>
  <c r="M11" i="10"/>
  <c r="N11" i="10"/>
  <c r="O11" i="10"/>
  <c r="G15" i="10"/>
  <c r="H15" i="10"/>
  <c r="I15" i="10"/>
  <c r="J15" i="10"/>
  <c r="K15" i="10"/>
  <c r="L15" i="10"/>
  <c r="M15" i="10"/>
  <c r="N15" i="10"/>
  <c r="O15" i="10"/>
  <c r="G19" i="10"/>
  <c r="H19" i="10"/>
  <c r="I19" i="10"/>
  <c r="J19" i="10"/>
  <c r="K19" i="10"/>
  <c r="L19" i="10"/>
  <c r="M19" i="10"/>
  <c r="N19" i="10"/>
  <c r="O19" i="10"/>
  <c r="G20" i="10"/>
  <c r="H20" i="10"/>
  <c r="I20" i="10"/>
  <c r="J20" i="10"/>
  <c r="K20" i="10"/>
  <c r="L20" i="10"/>
  <c r="M20" i="10"/>
  <c r="N20" i="10"/>
  <c r="O20" i="10"/>
  <c r="G23" i="10"/>
  <c r="H23" i="10"/>
  <c r="I23" i="10"/>
  <c r="J23" i="10"/>
  <c r="K23" i="10"/>
  <c r="L23" i="10"/>
  <c r="M23" i="10"/>
  <c r="N23" i="10"/>
  <c r="O23" i="10"/>
  <c r="G24" i="10"/>
  <c r="H24" i="10"/>
  <c r="I24" i="10"/>
  <c r="J24" i="10"/>
  <c r="K24" i="10"/>
  <c r="L24" i="10"/>
  <c r="M24" i="10"/>
  <c r="N24" i="10"/>
  <c r="O24" i="10"/>
  <c r="H26" i="10"/>
  <c r="I26" i="10"/>
  <c r="J26" i="10"/>
  <c r="K26" i="10"/>
  <c r="L26" i="10"/>
  <c r="M26" i="10"/>
  <c r="N26" i="10"/>
  <c r="O26" i="10"/>
  <c r="G27" i="10"/>
  <c r="H27" i="10"/>
  <c r="I27" i="10"/>
  <c r="J27" i="10"/>
  <c r="K27" i="10"/>
  <c r="L27" i="10"/>
  <c r="M27" i="10"/>
  <c r="N27" i="10"/>
  <c r="O27" i="10"/>
  <c r="G28" i="10"/>
  <c r="H28" i="10"/>
  <c r="I28" i="10"/>
  <c r="J28" i="10"/>
  <c r="K28" i="10"/>
  <c r="L28" i="10"/>
  <c r="M28" i="10"/>
  <c r="N28" i="10"/>
  <c r="O28" i="10"/>
  <c r="G32" i="10"/>
  <c r="H32" i="10"/>
  <c r="I32" i="10"/>
  <c r="J32" i="10"/>
  <c r="K32" i="10"/>
  <c r="L32" i="10"/>
  <c r="M32" i="10"/>
  <c r="N32" i="10"/>
  <c r="O32" i="10"/>
  <c r="G57" i="10"/>
  <c r="H57" i="10"/>
  <c r="I57" i="10"/>
  <c r="J57" i="10"/>
  <c r="K57" i="10"/>
  <c r="L57" i="10"/>
  <c r="M57" i="10"/>
  <c r="N57" i="10"/>
  <c r="O57" i="10"/>
  <c r="G58" i="10"/>
  <c r="H58" i="10"/>
  <c r="I58" i="10"/>
  <c r="J58" i="10"/>
  <c r="K58" i="10"/>
  <c r="L58" i="10"/>
  <c r="M58" i="10"/>
  <c r="N58" i="10"/>
  <c r="O58" i="10"/>
  <c r="G20" i="11"/>
  <c r="H20" i="11"/>
  <c r="I20" i="11"/>
  <c r="J20" i="11"/>
  <c r="K20" i="11"/>
  <c r="L20" i="11"/>
  <c r="M20" i="11"/>
  <c r="N20" i="11"/>
  <c r="O20" i="11"/>
  <c r="G22" i="11"/>
  <c r="H22" i="11"/>
  <c r="I22" i="11"/>
  <c r="J22" i="11"/>
  <c r="K22" i="11"/>
  <c r="L22" i="11"/>
  <c r="M22" i="11"/>
  <c r="N22" i="11"/>
  <c r="O22" i="11"/>
  <c r="G23" i="11"/>
  <c r="H23" i="11"/>
  <c r="I23" i="11"/>
  <c r="J23" i="11"/>
  <c r="K23" i="11"/>
  <c r="L23" i="11"/>
  <c r="M23" i="11"/>
  <c r="N23" i="11"/>
  <c r="O23" i="11"/>
  <c r="G25" i="11"/>
  <c r="H25" i="11"/>
  <c r="I25" i="11"/>
  <c r="J25" i="11"/>
  <c r="K25" i="11"/>
  <c r="L25" i="11"/>
  <c r="M25" i="11"/>
  <c r="N25" i="11"/>
  <c r="O25" i="11"/>
  <c r="H29" i="11"/>
  <c r="I29" i="11"/>
  <c r="J29" i="11"/>
  <c r="K29" i="11"/>
  <c r="L29" i="11"/>
  <c r="M29" i="11"/>
  <c r="N29" i="11"/>
  <c r="O29" i="11"/>
  <c r="G30" i="11"/>
  <c r="H30" i="11"/>
  <c r="I30" i="11"/>
  <c r="J30" i="11"/>
  <c r="K30" i="11"/>
  <c r="L30" i="11"/>
  <c r="M30" i="11"/>
  <c r="N30" i="11"/>
  <c r="O30" i="11"/>
  <c r="G31" i="11"/>
  <c r="H31" i="11"/>
  <c r="I31" i="11"/>
  <c r="J31" i="11"/>
  <c r="K31" i="11"/>
  <c r="L31" i="11"/>
  <c r="M31" i="11"/>
  <c r="N31" i="11"/>
  <c r="O31" i="11"/>
  <c r="G32" i="11"/>
  <c r="H32" i="11"/>
  <c r="I32" i="11"/>
  <c r="J32" i="11"/>
  <c r="K32" i="11"/>
  <c r="L32" i="11"/>
  <c r="M32" i="11"/>
  <c r="N32" i="11"/>
  <c r="O32" i="11"/>
  <c r="G33" i="11"/>
  <c r="H33" i="11"/>
  <c r="I33" i="11"/>
  <c r="J33" i="11"/>
  <c r="K33" i="11"/>
  <c r="L33" i="11"/>
  <c r="M33" i="11"/>
  <c r="N33" i="11"/>
  <c r="O33" i="11"/>
  <c r="G8" i="17"/>
  <c r="H8" i="17"/>
  <c r="I8" i="17"/>
  <c r="J8" i="17"/>
  <c r="K8" i="17"/>
  <c r="L8" i="17"/>
  <c r="M8" i="17"/>
  <c r="N8" i="17"/>
  <c r="O8" i="17"/>
  <c r="G9" i="17"/>
  <c r="H9" i="17"/>
  <c r="I9" i="17"/>
  <c r="J9" i="17"/>
  <c r="K9" i="17"/>
  <c r="L9" i="17"/>
  <c r="M9" i="17"/>
  <c r="N9" i="17"/>
  <c r="O9" i="17"/>
  <c r="G10" i="17"/>
  <c r="H10" i="17"/>
  <c r="I10" i="17"/>
  <c r="J10" i="17"/>
  <c r="K10" i="17"/>
  <c r="L10" i="17"/>
  <c r="M10" i="17"/>
  <c r="N10" i="17"/>
  <c r="O10" i="17"/>
  <c r="G19" i="17"/>
  <c r="H19" i="17"/>
  <c r="I19" i="17"/>
  <c r="J19" i="17"/>
  <c r="K19" i="17"/>
  <c r="L19" i="17"/>
  <c r="M19" i="17"/>
  <c r="N19" i="17"/>
  <c r="O19" i="17"/>
  <c r="G23" i="17"/>
  <c r="H23" i="17"/>
  <c r="I23" i="17"/>
  <c r="J23" i="17"/>
  <c r="K23" i="17"/>
  <c r="L23" i="17"/>
  <c r="M23" i="17"/>
  <c r="N23" i="17"/>
  <c r="O23" i="17"/>
  <c r="G24" i="17"/>
  <c r="H24" i="17"/>
  <c r="I24" i="17"/>
  <c r="J24" i="17"/>
  <c r="K24" i="17"/>
  <c r="L24" i="17"/>
  <c r="M24" i="17"/>
  <c r="N24" i="17"/>
  <c r="O24" i="17"/>
  <c r="G25" i="17"/>
  <c r="H25" i="17"/>
  <c r="I25" i="17"/>
  <c r="J25" i="17"/>
  <c r="K25" i="17"/>
  <c r="L25" i="17"/>
  <c r="M25" i="17"/>
  <c r="N25" i="17"/>
  <c r="O25" i="17"/>
  <c r="G31" i="17"/>
  <c r="H31" i="17"/>
  <c r="I31" i="17"/>
  <c r="J31" i="17"/>
  <c r="K31" i="17"/>
  <c r="L31" i="17"/>
  <c r="M31" i="17"/>
  <c r="N31" i="17"/>
  <c r="O31" i="17"/>
  <c r="G32" i="17"/>
  <c r="H32" i="17"/>
  <c r="I32" i="17"/>
  <c r="J32" i="17"/>
  <c r="K32" i="17"/>
  <c r="L32" i="17"/>
  <c r="M32" i="17"/>
  <c r="N32" i="17"/>
  <c r="O32" i="17"/>
  <c r="G33" i="17"/>
  <c r="H33" i="17"/>
  <c r="I33" i="17"/>
  <c r="J33" i="17"/>
  <c r="K33" i="17"/>
  <c r="L33" i="17"/>
  <c r="M33" i="17"/>
  <c r="N33" i="17"/>
  <c r="O33" i="17"/>
  <c r="G33" i="13"/>
  <c r="H33" i="13"/>
  <c r="I33" i="13"/>
  <c r="J33" i="13"/>
  <c r="K33" i="13"/>
  <c r="L33" i="13"/>
  <c r="M33" i="13"/>
  <c r="N33" i="13"/>
  <c r="O33" i="13"/>
  <c r="G34" i="13"/>
  <c r="H34" i="13"/>
  <c r="I34" i="13"/>
  <c r="J34" i="13"/>
  <c r="K34" i="13"/>
  <c r="L34" i="13"/>
  <c r="M34" i="13"/>
  <c r="N34" i="13"/>
  <c r="O34" i="13"/>
  <c r="G35" i="13"/>
  <c r="H35" i="13"/>
  <c r="I35" i="13"/>
  <c r="J35" i="13"/>
  <c r="K35" i="13"/>
  <c r="L35" i="13"/>
  <c r="M35" i="13"/>
  <c r="N35" i="13"/>
  <c r="O35" i="13"/>
  <c r="G37" i="13"/>
  <c r="H37" i="13"/>
  <c r="I37" i="13"/>
  <c r="J37" i="13"/>
  <c r="K37" i="13"/>
  <c r="L37" i="13"/>
  <c r="M37" i="13"/>
  <c r="N37" i="13"/>
  <c r="O37" i="13"/>
  <c r="G39" i="13"/>
  <c r="H39" i="13"/>
  <c r="I39" i="13"/>
  <c r="J39" i="13"/>
  <c r="K39" i="13"/>
  <c r="L39" i="13"/>
  <c r="M39" i="13"/>
  <c r="N39" i="13"/>
  <c r="O39" i="13"/>
  <c r="G41" i="13"/>
  <c r="H41" i="13"/>
  <c r="I41" i="13"/>
  <c r="J41" i="13"/>
  <c r="K41" i="13"/>
  <c r="L41" i="13"/>
  <c r="M41" i="13"/>
  <c r="N41" i="13"/>
  <c r="O41" i="13"/>
  <c r="E8" i="1"/>
  <c r="E18" i="1"/>
  <c r="F18" i="1"/>
  <c r="G18" i="1"/>
  <c r="H18" i="1"/>
  <c r="I18" i="1"/>
  <c r="E22" i="1"/>
  <c r="F22" i="1"/>
  <c r="G22" i="1"/>
  <c r="H22" i="1"/>
  <c r="I22" i="1"/>
  <c r="E24" i="1"/>
  <c r="F24" i="1"/>
  <c r="G24" i="1"/>
  <c r="H24" i="1"/>
  <c r="I24" i="1"/>
  <c r="E25" i="1"/>
  <c r="F25" i="1"/>
  <c r="G25" i="1"/>
  <c r="H25" i="1"/>
  <c r="I25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G11" i="12"/>
  <c r="H11" i="12"/>
  <c r="I11" i="12"/>
  <c r="J11" i="12"/>
  <c r="K11" i="12"/>
  <c r="L11" i="12"/>
  <c r="M11" i="12"/>
  <c r="N11" i="12"/>
  <c r="O11" i="12"/>
  <c r="G13" i="12"/>
  <c r="H13" i="12"/>
  <c r="I13" i="12"/>
  <c r="J13" i="12"/>
  <c r="K13" i="12"/>
  <c r="L13" i="12"/>
  <c r="M13" i="12"/>
  <c r="N13" i="12"/>
  <c r="O13" i="12"/>
  <c r="G16" i="12"/>
  <c r="H16" i="12"/>
  <c r="I16" i="12"/>
  <c r="J16" i="12"/>
  <c r="K16" i="12"/>
  <c r="L16" i="12"/>
  <c r="M16" i="12"/>
  <c r="N16" i="12"/>
  <c r="O16" i="12"/>
  <c r="G18" i="12"/>
  <c r="H18" i="12"/>
  <c r="I18" i="12"/>
  <c r="J18" i="12"/>
  <c r="K18" i="12"/>
  <c r="L18" i="12"/>
  <c r="M18" i="12"/>
  <c r="N18" i="12"/>
  <c r="O1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<sst xmlns="http://schemas.openxmlformats.org/spreadsheetml/2006/main" count="857" uniqueCount="295">
  <si>
    <t>Equity Investment:</t>
  </si>
  <si>
    <t>DCF Valuation:</t>
  </si>
  <si>
    <t>Comps Valuation:</t>
  </si>
  <si>
    <t>Income Statement</t>
  </si>
  <si>
    <t>Revenue</t>
  </si>
  <si>
    <t>COS</t>
  </si>
  <si>
    <t>Gross Profit</t>
  </si>
  <si>
    <t>Operating Profit</t>
  </si>
  <si>
    <t>Operating Expenses</t>
  </si>
  <si>
    <t>Net Profit</t>
  </si>
  <si>
    <t>Balance Sheet</t>
  </si>
  <si>
    <t>Fixed Assets</t>
  </si>
  <si>
    <t>Current Assets</t>
  </si>
  <si>
    <t>Non-Current Liabilities</t>
  </si>
  <si>
    <t>Current Liabilities</t>
  </si>
  <si>
    <t>Equity</t>
  </si>
  <si>
    <t>Cashflow</t>
  </si>
  <si>
    <t>Cashflow from Operations</t>
  </si>
  <si>
    <t>Cashflow from Investing Activities</t>
  </si>
  <si>
    <t>Cashflow from Financing Activities</t>
  </si>
  <si>
    <t>Net Cashflow</t>
  </si>
  <si>
    <t>Unlevered Free Cashflow (UFCF)</t>
  </si>
  <si>
    <t>Financial Ratios</t>
  </si>
  <si>
    <t>Gross Profit Margin</t>
  </si>
  <si>
    <t>Operating Profit Margin</t>
  </si>
  <si>
    <t>Net Margin</t>
  </si>
  <si>
    <t>Times Interest Earned</t>
  </si>
  <si>
    <t>Current Ratio</t>
  </si>
  <si>
    <t>Debt/Equity Ratio</t>
  </si>
  <si>
    <t>Return on Assets (ROA)</t>
  </si>
  <si>
    <t>Return on Equity (ROE)</t>
  </si>
  <si>
    <t>Table of Contents</t>
  </si>
  <si>
    <t>Model Inputs and Financial Plans</t>
  </si>
  <si>
    <t>Director and Staff Costs</t>
  </si>
  <si>
    <t>Scenarios</t>
  </si>
  <si>
    <t>Revenue Schedule</t>
  </si>
  <si>
    <t>Cost of Sales Schedule</t>
  </si>
  <si>
    <t>Working Capital Schedule</t>
  </si>
  <si>
    <t>Depreciation Schedule</t>
  </si>
  <si>
    <t>Debt Schedule</t>
  </si>
  <si>
    <t>Equity Schedule</t>
  </si>
  <si>
    <t>Tax Schedule</t>
  </si>
  <si>
    <t>Cashflow Statement</t>
  </si>
  <si>
    <t>DCF Valuation</t>
  </si>
  <si>
    <t>Financial Ratios &amp; Charts</t>
  </si>
  <si>
    <t>CK Healthcare Limited</t>
  </si>
  <si>
    <t>Sector: Healthcare/Manufacturing</t>
  </si>
  <si>
    <t>Volume/Units/Weight</t>
  </si>
  <si>
    <t>Unit Price</t>
  </si>
  <si>
    <t>NGN</t>
  </si>
  <si>
    <t>Unit Cost</t>
  </si>
  <si>
    <t>General &amp; Admin Expenses</t>
  </si>
  <si>
    <t>Consulting and Professional fees</t>
  </si>
  <si>
    <t>Director's fees</t>
  </si>
  <si>
    <t>Fuel and Maintenance</t>
  </si>
  <si>
    <t>Insurance (Vehicles)</t>
  </si>
  <si>
    <t>Insurance (General)</t>
  </si>
  <si>
    <t>Lease/Rentals</t>
  </si>
  <si>
    <t>Legal Fees</t>
  </si>
  <si>
    <t>Office Expenses</t>
  </si>
  <si>
    <t>Regulatory and Permits</t>
  </si>
  <si>
    <t>Software and licenses</t>
  </si>
  <si>
    <t>Staff Costs</t>
  </si>
  <si>
    <t>Subscriptions</t>
  </si>
  <si>
    <t>Training</t>
  </si>
  <si>
    <t>Travel</t>
  </si>
  <si>
    <t>Utilities</t>
  </si>
  <si>
    <t>Others</t>
  </si>
  <si>
    <t>Marketing Expenses</t>
  </si>
  <si>
    <t>Advertising</t>
  </si>
  <si>
    <t>Public Relations</t>
  </si>
  <si>
    <t>Event Sponsorships/Trade Fairs/Exhibitions</t>
  </si>
  <si>
    <t>Research &amp; Development</t>
  </si>
  <si>
    <t>R&amp;D</t>
  </si>
  <si>
    <t>Tax</t>
  </si>
  <si>
    <t>Tax rate</t>
  </si>
  <si>
    <t>%</t>
  </si>
  <si>
    <t>Loan - Opening Value</t>
  </si>
  <si>
    <t>Additions</t>
  </si>
  <si>
    <t>(Repayment)</t>
  </si>
  <si>
    <t>(Interest Expense)</t>
  </si>
  <si>
    <t>Effective rate</t>
  </si>
  <si>
    <t>Duration</t>
  </si>
  <si>
    <t>years</t>
  </si>
  <si>
    <t xml:space="preserve">Loan 2: </t>
  </si>
  <si>
    <t xml:space="preserve">Loan 3: </t>
  </si>
  <si>
    <t>Bank Overdraft terms</t>
  </si>
  <si>
    <t>Common shares Issuance/(Buy-back)</t>
  </si>
  <si>
    <t>Common share dividend payout rate</t>
  </si>
  <si>
    <t>Preference shares Issuance/(Buy-back)</t>
  </si>
  <si>
    <t>Preference shares dividend yield</t>
  </si>
  <si>
    <t xml:space="preserve">Capital Expenditure </t>
  </si>
  <si>
    <t>Salvage Value</t>
  </si>
  <si>
    <t>Buildings</t>
  </si>
  <si>
    <t>Plant &amp; Machinery</t>
  </si>
  <si>
    <t>Vehicles</t>
  </si>
  <si>
    <t>Office Furniture</t>
  </si>
  <si>
    <t>Equipment (IT etc)</t>
  </si>
  <si>
    <t>Patents, Rights and other intangibles</t>
  </si>
  <si>
    <t>Working Capital Days</t>
  </si>
  <si>
    <t>Days Sales Oustanding</t>
  </si>
  <si>
    <t>days</t>
  </si>
  <si>
    <t>Days Payable Outstanding</t>
  </si>
  <si>
    <t>Days Inventory Oustanding</t>
  </si>
  <si>
    <t>Days in Other Current Assets</t>
  </si>
  <si>
    <t>Days in Other Current Liabilities</t>
  </si>
  <si>
    <t>Directors Fees</t>
  </si>
  <si>
    <t>Staff Cost</t>
  </si>
  <si>
    <t>Role</t>
  </si>
  <si>
    <t>Count</t>
  </si>
  <si>
    <t>Directors (cat 1)</t>
  </si>
  <si>
    <t>Directors (cat 2)</t>
  </si>
  <si>
    <t>CEO</t>
  </si>
  <si>
    <t>Business Development Manager</t>
  </si>
  <si>
    <t>Hand Sanitizers</t>
  </si>
  <si>
    <t>Test Tubes</t>
  </si>
  <si>
    <t>Syringes</t>
  </si>
  <si>
    <t>units</t>
  </si>
  <si>
    <t>Production Managers</t>
  </si>
  <si>
    <t>Security Officer</t>
  </si>
  <si>
    <t>QA/QC Officers</t>
  </si>
  <si>
    <t>Finance Director</t>
  </si>
  <si>
    <t>IT, Head</t>
  </si>
  <si>
    <t>Marketing Officers</t>
  </si>
  <si>
    <t>Customer Service Officer</t>
  </si>
  <si>
    <t>Receptionist</t>
  </si>
  <si>
    <t>Business Development Expenses</t>
  </si>
  <si>
    <t>Loan 1: Bank ABC</t>
  </si>
  <si>
    <t>Directors and Staff Costs</t>
  </si>
  <si>
    <t>Select Scenario:</t>
  </si>
  <si>
    <t>Optimistic</t>
  </si>
  <si>
    <t>Conservative</t>
  </si>
  <si>
    <t>Pessimistic</t>
  </si>
  <si>
    <t>from Model Inputs</t>
  </si>
  <si>
    <t>G&amp;A Expenses</t>
  </si>
  <si>
    <t>Total Revenue</t>
  </si>
  <si>
    <t>Face Masks</t>
  </si>
  <si>
    <t>Total Cost of Sales</t>
  </si>
  <si>
    <t>Cost of Sales</t>
  </si>
  <si>
    <t>Working Capital Lines</t>
  </si>
  <si>
    <t>Trade Receivables</t>
  </si>
  <si>
    <t>Trade Payables</t>
  </si>
  <si>
    <t>Inventory</t>
  </si>
  <si>
    <t>Other Current Assets</t>
  </si>
  <si>
    <t>Other Current Liabilities</t>
  </si>
  <si>
    <t>DSO = Rec/Rev x 365</t>
  </si>
  <si>
    <t>DPO = Payables/COS x 365</t>
  </si>
  <si>
    <t>Total Depreciation</t>
  </si>
  <si>
    <t>Total Amortization</t>
  </si>
  <si>
    <t>Depreciation:</t>
  </si>
  <si>
    <t>Amortisation:</t>
  </si>
  <si>
    <t>Net Book Value:</t>
  </si>
  <si>
    <t>Capital Expenditure:</t>
  </si>
  <si>
    <t>Cash</t>
  </si>
  <si>
    <t>Opening Cash</t>
  </si>
  <si>
    <t>Closing Cash</t>
  </si>
  <si>
    <t>Interest Rate</t>
  </si>
  <si>
    <t>Annual Interest Income</t>
  </si>
  <si>
    <t>Bank Overdraft</t>
  </si>
  <si>
    <t>Operating Cashflow</t>
  </si>
  <si>
    <t>Investing Cashflow</t>
  </si>
  <si>
    <t>Loan Issued/(Repayment)</t>
  </si>
  <si>
    <t>Equity Issuance/(Buyback)</t>
  </si>
  <si>
    <t>Dividends</t>
  </si>
  <si>
    <t>Opening Bank Overdraft</t>
  </si>
  <si>
    <t>Additions/(Repayments)</t>
  </si>
  <si>
    <t>Closing Bank Overdraft</t>
  </si>
  <si>
    <t>Bank Overdraft Interest Rate</t>
  </si>
  <si>
    <t>Bank Overdraft Interest Expense</t>
  </si>
  <si>
    <t>Total Interest Expense</t>
  </si>
  <si>
    <t>Total Interest Income</t>
  </si>
  <si>
    <t>Ordinary Shares</t>
  </si>
  <si>
    <t>Opening</t>
  </si>
  <si>
    <t>Issuance/(Buyback)</t>
  </si>
  <si>
    <t>Closing</t>
  </si>
  <si>
    <t>Preference Shares</t>
  </si>
  <si>
    <t>Net Income</t>
  </si>
  <si>
    <t>Preference Dividend Yield</t>
  </si>
  <si>
    <t>Preference Dividend</t>
  </si>
  <si>
    <t>Net Income to Ordinary Shares</t>
  </si>
  <si>
    <t>Ordinary Shares Dividend Payout Rate</t>
  </si>
  <si>
    <t>Ordinary Shares Dividend</t>
  </si>
  <si>
    <t>Retained Earning</t>
  </si>
  <si>
    <t>(Preference Dividend)</t>
  </si>
  <si>
    <t>(Ordinary Shares Dividend)</t>
  </si>
  <si>
    <t>Income Tax Rate</t>
  </si>
  <si>
    <t>Accounting EBT</t>
  </si>
  <si>
    <t>Government EBT</t>
  </si>
  <si>
    <t>Current Income Tax</t>
  </si>
  <si>
    <t xml:space="preserve">Increase/(Decrease) in Deffered Income Tax </t>
  </si>
  <si>
    <t>Total Income Tax</t>
  </si>
  <si>
    <t>Cash Available/(Cash Needed)</t>
  </si>
  <si>
    <t>Other Operating Expenses/Income</t>
  </si>
  <si>
    <t>EBITDA Margin</t>
  </si>
  <si>
    <t>Operating Profit excl D&amp;A (EBITDA)</t>
  </si>
  <si>
    <t>D&amp;A</t>
  </si>
  <si>
    <t>EBIT</t>
  </si>
  <si>
    <t>Operating Profit (EBIT) Margin</t>
  </si>
  <si>
    <t>Finance Income</t>
  </si>
  <si>
    <t>Finance Cost</t>
  </si>
  <si>
    <t>Profit Before Tax (PBT)</t>
  </si>
  <si>
    <t>Less: Timing Difference</t>
  </si>
  <si>
    <t>Intangibles (Patents, Licences, etc)</t>
  </si>
  <si>
    <t>PP&amp;E</t>
  </si>
  <si>
    <t>Other Fixed Assets</t>
  </si>
  <si>
    <t>Cash and Cash Equivalent</t>
  </si>
  <si>
    <t>Total Assets</t>
  </si>
  <si>
    <t>Long-term Debt</t>
  </si>
  <si>
    <t>Deferred Income Tax</t>
  </si>
  <si>
    <t>Other Non-Current Liabilities</t>
  </si>
  <si>
    <t>Short-term Loan</t>
  </si>
  <si>
    <t>Equities</t>
  </si>
  <si>
    <t>Share Capital</t>
  </si>
  <si>
    <t>Retained Earnings</t>
  </si>
  <si>
    <t>Other Equity Items</t>
  </si>
  <si>
    <t>Total Liabilities &amp; Equity</t>
  </si>
  <si>
    <t>Check</t>
  </si>
  <si>
    <t>Loan - Closing Value</t>
  </si>
  <si>
    <t>+ D&amp;A</t>
  </si>
  <si>
    <t>- Finance Income</t>
  </si>
  <si>
    <t>+ Finance Cost</t>
  </si>
  <si>
    <t>Change in Inventory</t>
  </si>
  <si>
    <t>Change in Trade Receivables</t>
  </si>
  <si>
    <t>Change in Other Current Assest</t>
  </si>
  <si>
    <t>Change in Trade Payables</t>
  </si>
  <si>
    <t>Change in Other Current Liabilities</t>
  </si>
  <si>
    <t>+ Tax Expense</t>
  </si>
  <si>
    <t>- Tax Paid</t>
  </si>
  <si>
    <t>Capital Expenditure</t>
  </si>
  <si>
    <t>Change in Other Fixed Assets</t>
  </si>
  <si>
    <t>Capital Assets Disposal</t>
  </si>
  <si>
    <t>Change in Deferred Income Tax</t>
  </si>
  <si>
    <t>Change in Other Non-Current Liabilities</t>
  </si>
  <si>
    <t>Bank Overdraft drawn/(repaid)</t>
  </si>
  <si>
    <t>(Finance Cost)</t>
  </si>
  <si>
    <t>Debt Issued</t>
  </si>
  <si>
    <t>(Debt Repaid)</t>
  </si>
  <si>
    <t>(Dividends)</t>
  </si>
  <si>
    <t>Equity Issued/(Buyback)</t>
  </si>
  <si>
    <t>Cash Interest rate</t>
  </si>
  <si>
    <t>&gt;&gt; Table of Contents</t>
  </si>
  <si>
    <t>Free Cashflow from Ops &amp; Investing</t>
  </si>
  <si>
    <t>Interest tax cover</t>
  </si>
  <si>
    <t>WACC</t>
  </si>
  <si>
    <t>perpetuity growth, g</t>
  </si>
  <si>
    <t>UFCF</t>
  </si>
  <si>
    <t>Discount Factor</t>
  </si>
  <si>
    <t>PV of UFCF</t>
  </si>
  <si>
    <t>Continuing Value</t>
  </si>
  <si>
    <t>PV of Continuing Value</t>
  </si>
  <si>
    <t>Enterprise Value</t>
  </si>
  <si>
    <t>Weighted Average Cost of Capital</t>
  </si>
  <si>
    <t>(E/E+D)*Ke + (D/E+D)*Kd*(1-t)</t>
  </si>
  <si>
    <t>E</t>
  </si>
  <si>
    <t>D</t>
  </si>
  <si>
    <t>Ke</t>
  </si>
  <si>
    <t>Kd</t>
  </si>
  <si>
    <t>t</t>
  </si>
  <si>
    <t>CAPM</t>
  </si>
  <si>
    <t>Rf + Beta(Rm - Rf)</t>
  </si>
  <si>
    <t>Rf</t>
  </si>
  <si>
    <t>Beta</t>
  </si>
  <si>
    <t>May &amp; Baker Healthcare</t>
  </si>
  <si>
    <t>Rm</t>
  </si>
  <si>
    <t>RRI</t>
  </si>
  <si>
    <t>Rm (total market return, long-term)</t>
  </si>
  <si>
    <t>NSEASI</t>
  </si>
  <si>
    <t>Long term inflation</t>
  </si>
  <si>
    <t>Long term GDP growth rate</t>
  </si>
  <si>
    <t>Liquidity Ratios</t>
  </si>
  <si>
    <t>Quick Ratio</t>
  </si>
  <si>
    <t>Cash Ratio</t>
  </si>
  <si>
    <t>Asset Management Ratios</t>
  </si>
  <si>
    <t>Average Collection Period (DSO)</t>
  </si>
  <si>
    <t>Days Inventory Outstanding</t>
  </si>
  <si>
    <t>Inventory Turnover</t>
  </si>
  <si>
    <t>Fixed Assets Turnover</t>
  </si>
  <si>
    <t>Total Assets Turnover</t>
  </si>
  <si>
    <t>Leverage Ratios</t>
  </si>
  <si>
    <t>Debt Ratio</t>
  </si>
  <si>
    <t>Debt to Equity Ratio</t>
  </si>
  <si>
    <t>Profitability Ratios</t>
  </si>
  <si>
    <t>Net Profit Margin</t>
  </si>
  <si>
    <t>Return on Assets</t>
  </si>
  <si>
    <t>Return on Equity</t>
  </si>
  <si>
    <t>Interest Coverage Ratio/Times Interest Earned</t>
  </si>
  <si>
    <t>Last Updated: 24-July-2020</t>
  </si>
  <si>
    <t>team@urbizedge.com</t>
  </si>
  <si>
    <t>0700ANALYTICS</t>
  </si>
  <si>
    <t>+1-941-312-2149</t>
  </si>
  <si>
    <t>+234-1-631-1885</t>
  </si>
  <si>
    <t>+234-808-938-2423</t>
  </si>
  <si>
    <t>Gross Income/yr_2020</t>
  </si>
  <si>
    <t>E+D</t>
  </si>
  <si>
    <t>UNIT ECONOMICS - unit price, units/volume, 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</si>
</sst>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\ &quot;years&quot;"/>
    <numFmt numFmtId="166" formatCode="0.0&quot;x the Conservative&quot;"/>
    <numFmt numFmtId="167" formatCode="0.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lightGray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5" fillId="0" borderId="0" xfId="0" applyFont="1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0" borderId="0" xfId="2"/>
    <xf numFmtId="0" fontId="0" fillId="0" borderId="0" xfId="0" applyProtection="1">
      <protection locked="0"/>
    </xf>
    <xf numFmtId="0" fontId="0" fillId="0" borderId="10" xfId="0" applyBorder="1" applyProtection="1"/>
    <xf numFmtId="0" fontId="2" fillId="0" borderId="10" xfId="0" applyFont="1" applyBorder="1" applyProtection="1"/>
    <xf numFmtId="0" fontId="9" fillId="0" borderId="10" xfId="0" applyFont="1" applyBorder="1" applyProtection="1"/>
    <xf numFmtId="1" fontId="2" fillId="0" borderId="10" xfId="0" applyNumberFormat="1" applyFont="1" applyBorder="1" applyProtection="1"/>
    <xf numFmtId="0" fontId="0" fillId="0" borderId="0" xfId="0" applyProtection="1"/>
    <xf numFmtId="0" fontId="2" fillId="0" borderId="0" xfId="0" applyFont="1" applyProtection="1"/>
    <xf numFmtId="164" fontId="2" fillId="0" borderId="0" xfId="0" applyNumberFormat="1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 applyProtection="1">
      <alignment horizontal="center"/>
    </xf>
    <xf numFmtId="43" fontId="0" fillId="0" borderId="0" xfId="1" applyFont="1" applyProtection="1"/>
    <xf numFmtId="164" fontId="0" fillId="0" borderId="0" xfId="1" applyNumberFormat="1" applyFont="1" applyProtection="1"/>
    <xf numFmtId="0" fontId="5" fillId="0" borderId="0" xfId="0" applyFont="1" applyProtection="1"/>
    <xf numFmtId="0" fontId="7" fillId="2" borderId="0" xfId="0" applyFont="1" applyFill="1" applyAlignment="1" applyProtection="1">
      <alignment horizontal="centerContinuous"/>
    </xf>
    <xf numFmtId="0" fontId="10" fillId="0" borderId="0" xfId="0" applyFont="1" applyProtection="1"/>
    <xf numFmtId="0" fontId="11" fillId="0" borderId="0" xfId="0" applyFont="1" applyProtection="1"/>
    <xf numFmtId="164" fontId="0" fillId="0" borderId="11" xfId="1" applyNumberFormat="1" applyFont="1" applyBorder="1" applyProtection="1"/>
    <xf numFmtId="9" fontId="0" fillId="0" borderId="0" xfId="0" applyNumberFormat="1" applyProtection="1"/>
    <xf numFmtId="164" fontId="11" fillId="0" borderId="0" xfId="1" applyNumberFormat="1" applyFont="1" applyProtection="1"/>
    <xf numFmtId="43" fontId="0" fillId="0" borderId="0" xfId="0" applyNumberFormat="1" applyProtection="1"/>
    <xf numFmtId="10" fontId="0" fillId="0" borderId="0" xfId="0" applyNumberFormat="1" applyProtection="1"/>
    <xf numFmtId="10" fontId="11" fillId="0" borderId="0" xfId="0" applyNumberFormat="1" applyFont="1" applyProtection="1"/>
    <xf numFmtId="165" fontId="0" fillId="0" borderId="0" xfId="0" applyNumberFormat="1" applyProtection="1"/>
    <xf numFmtId="1" fontId="0" fillId="0" borderId="0" xfId="1" applyNumberFormat="1" applyFont="1" applyProtection="1"/>
    <xf numFmtId="164" fontId="2" fillId="0" borderId="11" xfId="1" applyNumberFormat="1" applyFont="1" applyBorder="1" applyProtection="1"/>
    <xf numFmtId="3" fontId="0" fillId="0" borderId="0" xfId="0" applyNumberFormat="1" applyProtection="1"/>
    <xf numFmtId="164" fontId="0" fillId="0" borderId="0" xfId="1" applyNumberFormat="1" applyFont="1"/>
    <xf numFmtId="164" fontId="0" fillId="3" borderId="0" xfId="1" applyNumberFormat="1" applyFont="1" applyFill="1"/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12" fillId="0" borderId="0" xfId="0" applyFont="1"/>
    <xf numFmtId="0" fontId="0" fillId="0" borderId="0" xfId="0" applyFont="1"/>
    <xf numFmtId="9" fontId="0" fillId="0" borderId="0" xfId="0" applyNumberFormat="1"/>
    <xf numFmtId="0" fontId="0" fillId="0" borderId="12" xfId="0" applyBorder="1" applyProtection="1"/>
    <xf numFmtId="0" fontId="0" fillId="0" borderId="12" xfId="0" applyBorder="1"/>
    <xf numFmtId="0" fontId="2" fillId="0" borderId="13" xfId="0" applyFont="1" applyBorder="1"/>
    <xf numFmtId="9" fontId="4" fillId="0" borderId="0" xfId="3" applyFont="1"/>
    <xf numFmtId="9" fontId="0" fillId="0" borderId="0" xfId="3" applyFont="1"/>
    <xf numFmtId="0" fontId="0" fillId="0" borderId="0" xfId="0" quotePrefix="1"/>
    <xf numFmtId="0" fontId="14" fillId="0" borderId="0" xfId="2" applyFont="1" applyProtection="1"/>
    <xf numFmtId="0" fontId="0" fillId="0" borderId="10" xfId="0" applyBorder="1"/>
    <xf numFmtId="0" fontId="0" fillId="3" borderId="0" xfId="0" applyFill="1" applyProtection="1"/>
    <xf numFmtId="0" fontId="0" fillId="3" borderId="0" xfId="0" applyFill="1"/>
    <xf numFmtId="0" fontId="0" fillId="3" borderId="10" xfId="0" applyFill="1" applyBorder="1"/>
    <xf numFmtId="3" fontId="0" fillId="0" borderId="0" xfId="0" applyNumberFormat="1"/>
    <xf numFmtId="167" fontId="0" fillId="0" borderId="0" xfId="0" applyNumberFormat="1"/>
    <xf numFmtId="10" fontId="13" fillId="2" borderId="14" xfId="0" applyNumberFormat="1" applyFont="1" applyFill="1" applyBorder="1"/>
    <xf numFmtId="9" fontId="13" fillId="2" borderId="14" xfId="0" applyNumberFormat="1" applyFont="1" applyFill="1" applyBorder="1"/>
    <xf numFmtId="43" fontId="0" fillId="0" borderId="9" xfId="0" applyNumberFormat="1" applyBorder="1"/>
    <xf numFmtId="9" fontId="0" fillId="0" borderId="9" xfId="0" applyNumberFormat="1" applyBorder="1"/>
    <xf numFmtId="0" fontId="8" fillId="0" borderId="0" xfId="2" applyBorder="1"/>
    <xf numFmtId="0" fontId="0" fillId="0" borderId="0" xfId="0" quotePrefix="1" applyBorder="1"/>
    <xf numFmtId="0" fontId="0" fillId="0" borderId="0" xfId="0" quotePrefix="1" applyFill="1" applyBorder="1"/>
    <xf numFmtId="10" fontId="0" fillId="0" borderId="0" xfId="3" applyNumberFormat="1" applyFont="1"/>
    <xf numFmtId="164" fontId="0" fillId="0" borderId="0" xfId="0" applyNumberFormat="1"/>
    <xf numFmtId="164" fontId="0" fillId="0" borderId="9" xfId="0" applyNumberFormat="1" applyBorder="1"/>
    <xf numFmtId="164" fontId="0" fillId="0" borderId="0" xfId="0" applyNumberFormat="1" applyBorder="1"/>
    <xf numFmtId="164" fontId="2" fillId="0" borderId="0" xfId="0" applyNumberFormat="1" applyFont="1"/>
    <xf numFmtId="164" fontId="2" fillId="0" borderId="0" xfId="1" applyNumberFormat="1" applyFont="1"/>
    <xf numFmtId="164" fontId="0" fillId="0" borderId="12" xfId="0" applyNumberFormat="1" applyBorder="1"/>
    <xf numFmtId="164" fontId="4" fillId="0" borderId="0" xfId="0" applyNumberFormat="1" applyFont="1"/>
    <xf numFmtId="164" fontId="2" fillId="0" borderId="13" xfId="0" applyNumberFormat="1" applyFont="1" applyBorder="1"/>
    <xf numFmtId="164" fontId="0" fillId="0" borderId="0" xfId="1" applyNumberFormat="1" applyFont="1" applyFill="1"/>
    <xf numFmtId="164" fontId="2" fillId="0" borderId="0" xfId="0" applyNumberFormat="1" applyFont="1" applyFill="1"/>
    <xf numFmtId="164" fontId="0" fillId="0" borderId="0" xfId="0" applyNumberFormat="1" applyFill="1"/>
    <xf numFmtId="164" fontId="0" fillId="0" borderId="10" xfId="0" applyNumberForma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5" fmlaLink="$BE$1" fmlaRange="$BF$1:$BF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7.png"/><Relationship Id="rId2" Type="http://schemas.openxmlformats.org/officeDocument/2006/relationships/image" Target="../media/image20.png"/><Relationship Id="rId16" Type="http://schemas.openxmlformats.org/officeDocument/2006/relationships/image" Target="../media/image9.png"/><Relationship Id="rId1" Type="http://schemas.openxmlformats.org/officeDocument/2006/relationships/customXml" Target="../ink/ink3.xml"/><Relationship Id="rId6" Type="http://schemas.openxmlformats.org/officeDocument/2006/relationships/image" Target="../media/image4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6.png"/><Relationship Id="rId4" Type="http://schemas.openxmlformats.org/officeDocument/2006/relationships/image" Target="../media/image30.png"/><Relationship Id="rId9" Type="http://schemas.openxmlformats.org/officeDocument/2006/relationships/customXml" Target="../ink/ink7.xml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566057</xdr:colOff>
      <xdr:row>1</xdr:row>
      <xdr:rowOff>54428</xdr:rowOff>
    </xdr:from>
    <xdr:to>
      <xdr:col>14</xdr:col>
      <xdr:colOff>459922</xdr:colOff>
      <xdr:row>4</xdr:row>
      <xdr:rowOff>55262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9228" y="244928"/>
          <a:ext cx="1336223" cy="730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337457</xdr:colOff>
          <xdr:row>3</xdr:row>
          <xdr:rowOff>179614</xdr:rowOff>
        </xdr:from>
        <xdr:to>
          <xdr:col>4</xdr:col>
          <xdr:colOff>261257</xdr:colOff>
          <xdr:row>5</xdr:row>
          <xdr:rowOff>5443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2013555</xdr:colOff>
      <xdr:row>21</xdr:row>
      <xdr:rowOff>163153</xdr:rowOff>
    </xdr:from>
    <xdr:to>
      <xdr:col>2</xdr:col>
      <xdr:colOff>2013915</xdr:colOff>
      <xdr:row>21</xdr:row>
      <xdr:rowOff>163513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14:cNvPr>
            <xdr14:cNvContentPartPr/>
          </xdr14:nvContentPartPr>
          <xdr14:nvPr macro=""/>
          <xdr14:xfrm>
            <a:off x="2889360" y="4086958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312C35A9-9F24-4897-9934-B5C45880241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85040" y="4082638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2122275</xdr:colOff>
      <xdr:row>30</xdr:row>
      <xdr:rowOff>14492</xdr:rowOff>
    </xdr:from>
    <xdr:to>
      <xdr:col>2</xdr:col>
      <xdr:colOff>2266275</xdr:colOff>
      <xdr:row>31</xdr:row>
      <xdr:rowOff>119053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14:cNvPr>
            <xdr14:cNvContentPartPr/>
          </xdr14:nvContentPartPr>
          <xdr14:nvPr macro=""/>
          <xdr14:xfrm>
            <a:off x="2998080" y="5585998"/>
            <a:ext cx="144000" cy="28764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3A6179C0-3E2A-4FD5-B16D-62AC85D85E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993749" y="5581673"/>
              <a:ext cx="152662" cy="29629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87934</xdr:colOff>
      <xdr:row>13</xdr:row>
      <xdr:rowOff>79457</xdr:rowOff>
    </xdr:from>
    <xdr:to>
      <xdr:col>11</xdr:col>
      <xdr:colOff>169260</xdr:colOff>
      <xdr:row>22</xdr:row>
      <xdr:rowOff>109543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00000000-0008-0000-0F00-00001D000000}"/>
                </a:ext>
              </a:extLst>
            </xdr14:cNvPr>
            <xdr14:cNvContentPartPr/>
          </xdr14:nvContentPartPr>
          <xdr14:nvPr macro=""/>
          <xdr14:xfrm>
            <a:off x="5242320" y="2561400"/>
            <a:ext cx="4109040" cy="1695600"/>
          </xdr14:xfrm>
        </xdr:contentPart>
      </mc:Choice>
      <mc:Fallback xmlns=""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03590FB9-B846-4F28-AF5C-F1709F2DB26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38000" y="2557080"/>
              <a:ext cx="4117680" cy="1704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248803</xdr:colOff>
      <xdr:row>4</xdr:row>
      <xdr:rowOff>121731</xdr:rowOff>
    </xdr:from>
    <xdr:to>
      <xdr:col>17</xdr:col>
      <xdr:colOff>563803</xdr:colOff>
      <xdr:row>7</xdr:row>
      <xdr:rowOff>138960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00000000-0008-0000-0F00-00001E000000}"/>
                </a:ext>
              </a:extLst>
            </xdr14:cNvPr>
            <xdr14:cNvContentPartPr/>
          </xdr14:nvContentPartPr>
          <xdr14:nvPr macro=""/>
          <xdr14:xfrm>
            <a:off x="14873760" y="938160"/>
            <a:ext cx="315000" cy="572400"/>
          </xdr14:xfrm>
        </xdr:contentPart>
      </mc:Choice>
      <mc:Fallback xmlns=""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DA9D4190-5365-4C0A-A0E5-083AD5C11DF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69440" y="933840"/>
              <a:ext cx="323640" cy="581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378454</xdr:colOff>
      <xdr:row>23</xdr:row>
      <xdr:rowOff>122126</xdr:rowOff>
    </xdr:from>
    <xdr:to>
      <xdr:col>10</xdr:col>
      <xdr:colOff>806683</xdr:colOff>
      <xdr:row>29</xdr:row>
      <xdr:rowOff>91063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00000000-0008-0000-0F00-000029000000}"/>
                </a:ext>
              </a:extLst>
            </xdr14:cNvPr>
            <xdr14:cNvContentPartPr/>
          </xdr14:nvContentPartPr>
          <xdr14:nvPr macro=""/>
          <xdr14:xfrm>
            <a:off x="5532840" y="4454640"/>
            <a:ext cx="3421800" cy="1079280"/>
          </xdr14:xfrm>
        </xdr:contentPart>
      </mc:Choice>
      <mc:Fallback xmlns="">
        <xdr:pic>
          <xdr:nvPicPr>
            <xdr:cNvPr id="41" name="Ink 40">
              <a:extLst>
                <a:ext uri="{FF2B5EF4-FFF2-40B4-BE49-F238E27FC236}">
                  <a16:creationId xmlns:a16="http://schemas.microsoft.com/office/drawing/2014/main" id="{2C15FE73-A215-45A7-99B2-42A0751EB66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528520" y="4450319"/>
              <a:ext cx="3430439" cy="108792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555883</xdr:colOff>
      <xdr:row>15</xdr:row>
      <xdr:rowOff>73303</xdr:rowOff>
    </xdr:from>
    <xdr:to>
      <xdr:col>6</xdr:col>
      <xdr:colOff>96574</xdr:colOff>
      <xdr:row>19</xdr:row>
      <xdr:rowOff>136234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00000000-0008-0000-0F00-00002C000000}"/>
                </a:ext>
              </a:extLst>
            </xdr14:cNvPr>
            <xdr14:cNvContentPartPr/>
          </xdr14:nvContentPartPr>
          <xdr14:nvPr macro=""/>
          <xdr14:xfrm>
            <a:off x="3750840" y="2925360"/>
            <a:ext cx="1500120" cy="803160"/>
          </xdr14:xfrm>
        </xdr:contentPart>
      </mc:Choice>
      <mc:Fallback xmlns=""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5731DB90-9D5D-4E15-8612-19A49778A22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746520" y="2921040"/>
              <a:ext cx="1508760" cy="81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170529</xdr:colOff>
      <xdr:row>4</xdr:row>
      <xdr:rowOff>98331</xdr:rowOff>
    </xdr:from>
    <xdr:to>
      <xdr:col>20</xdr:col>
      <xdr:colOff>55534</xdr:colOff>
      <xdr:row>14</xdr:row>
      <xdr:rowOff>87720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00000000-0008-0000-0F00-000033000000}"/>
                </a:ext>
              </a:extLst>
            </xdr14:cNvPr>
            <xdr14:cNvContentPartPr/>
          </xdr14:nvContentPartPr>
          <xdr14:nvPr macro=""/>
          <xdr14:xfrm>
            <a:off x="13489200" y="914760"/>
            <a:ext cx="3150720" cy="1839960"/>
          </xdr14:xfrm>
        </xdr:contentPart>
      </mc:Choice>
      <mc:Fallback xmlns="">
        <xdr:pic>
          <xdr:nvPicPr>
            <xdr:cNvPr id="51" name="Ink 50">
              <a:extLst>
                <a:ext uri="{FF2B5EF4-FFF2-40B4-BE49-F238E27FC236}">
                  <a16:creationId xmlns:a16="http://schemas.microsoft.com/office/drawing/2014/main" id="{E9D9C2CD-A8BC-41F5-9B22-084B8A78221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3484880" y="910440"/>
              <a:ext cx="3159360" cy="1848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441471</xdr:colOff>
      <xdr:row>9</xdr:row>
      <xdr:rowOff>87806</xdr:rowOff>
    </xdr:from>
    <xdr:to>
      <xdr:col>14</xdr:col>
      <xdr:colOff>470991</xdr:colOff>
      <xdr:row>9</xdr:row>
      <xdr:rowOff>155126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00000000-0008-0000-0F00-000041000000}"/>
                </a:ext>
              </a:extLst>
            </xdr14:cNvPr>
            <xdr14:cNvContentPartPr/>
          </xdr14:nvContentPartPr>
          <xdr14:nvPr macro=""/>
          <xdr14:xfrm>
            <a:off x="12726000" y="1829520"/>
            <a:ext cx="29520" cy="67320"/>
          </xdr14:xfrm>
        </xdr:contentPart>
      </mc:Choice>
      <mc:Fallback xmlns=""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27E96DDA-C085-49CF-91AB-AFF814B4E804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721732" y="1825223"/>
              <a:ext cx="38056" cy="7591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47854</xdr:colOff>
      <xdr:row>20</xdr:row>
      <xdr:rowOff>103817</xdr:rowOff>
    </xdr:from>
    <xdr:to>
      <xdr:col>13</xdr:col>
      <xdr:colOff>48214</xdr:colOff>
      <xdr:row>20</xdr:row>
      <xdr:rowOff>104177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00000000-0008-0000-0F00-000048000000}"/>
                </a:ext>
              </a:extLst>
            </xdr14:cNvPr>
            <xdr14:cNvContentPartPr/>
          </xdr14:nvContentPartPr>
          <xdr14:nvPr macro=""/>
          <xdr14:xfrm>
            <a:off x="11298240" y="3881160"/>
            <a:ext cx="360" cy="360"/>
          </xdr14:xfrm>
        </xdr:contentPart>
      </mc:Choice>
      <mc:Fallback xmlns=""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80BEB515-9B09-4903-A027-66A482E152B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1293920" y="38768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609317</xdr:colOff>
      <xdr:row>21</xdr:row>
      <xdr:rowOff>17760</xdr:rowOff>
    </xdr:from>
    <xdr:to>
      <xdr:col>11</xdr:col>
      <xdr:colOff>329460</xdr:colOff>
      <xdr:row>22</xdr:row>
      <xdr:rowOff>130063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00000000-0008-0000-0F00-000049000000}"/>
                </a:ext>
              </a:extLst>
            </xdr14:cNvPr>
            <xdr14:cNvContentPartPr/>
          </xdr14:nvContentPartPr>
          <xdr14:nvPr macro=""/>
          <xdr14:xfrm>
            <a:off x="5110560" y="3980160"/>
            <a:ext cx="4401000" cy="297360"/>
          </xdr14:xfrm>
        </xdr:contentPart>
      </mc:Choice>
      <mc:Fallback xmlns="">
        <xdr:pic>
          <xdr:nvPicPr>
            <xdr:cNvPr id="73" name="Ink 72">
              <a:extLst>
                <a:ext uri="{FF2B5EF4-FFF2-40B4-BE49-F238E27FC236}">
                  <a16:creationId xmlns:a16="http://schemas.microsoft.com/office/drawing/2014/main" id="{11840F65-5AA1-43C5-BA06-11E50718A83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106240" y="3975840"/>
              <a:ext cx="4409640" cy="30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5-29T13:13:17.588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5-29T13:13:19.094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138 1</inkml:trace>
  <inkml:trace contextRef="#ctx0" brushRef="#br0" timeOffset="388.97">1 798,'0'0</inkml:trace>
  <inkml:trace contextRef="#ctx0" brushRef="#br0" timeOffset="869.69">399 536,'0'0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42.38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971 1214,'3'12,"3"9,-1 0,-1 1,-1 0,-1 0,-1-1,-2 11,2 9,-6 373,-23 6,18-278,-73 608,83-750,0 0,0 0,0 0,0 0,0 0,0 0,0 0,0 0,0-1,-1 1,1 0,0 0,0 0,0 0,0 0,0 0,0 0,0 0,0 0,0 0,0 0,0 0,0 0,0 0,0 0,0 0,0 0,-1 0,1 0,0 0,0 0,0 0,0 0,0 0,0 0,0 0,0 0,0 0,0 0,0 0,0 0,0 0,0 0,0 1,0-1,0 0,-1 0,1 0,0 0,0 0,0 0,0 0,0 0,0 0,0 0,0 0,0 0,-4-10,-4-15,2 4</inkml:trace>
  <inkml:trace contextRef="#ctx0" brushRef="#br0" timeOffset="509.97">783 982,'0'0,"0"0,1 3,0-1,1 1,-1 0,1-1,0 1,-1-1,1 0,0 1,1-1,-1 0,0 0,1 0,0 0,0 0,12 10,0-2,1 0,0-1,0-1,1 0,1-1,-1-1,5 1,23 5,0-3,33 3,-28-6,0-3,-1-2,1-2,0-2,0-3,31-8,-77 13</inkml:trace>
  <inkml:trace contextRef="#ctx0" brushRef="#br0" timeOffset="935.21">0 2556,'203'-6,"57"-13,189-40,-428 56,263-46,-218 35,0-4,-2-2,11-7,-61 21,0 0,-1 0,0-2,-1 1,1-2,-2 0,6-4,-13 9,0 0,0 0,-1-1,1 0,-1 1,0-1,0 0,0 0,-1-1,0 1,0 0,0-1,-1 0,0 1,0-1,0 0,-1 1,1-1,-2-5,-1-7</inkml:trace>
  <inkml:trace contextRef="#ctx0" brushRef="#br0" timeOffset="1440">2551 1170,'-17'18,"-68"71,5 4,4 3,4 4,4 2,-19 47,37-54,5 3,3 2,6 1,3 2,5 1,0 26,20-83,1 0,3 1,1-1,3 1,2-1,2 1,2-1,6 19,-7-42,2 1,1-2,1 1,1-1,1-1,0 0,2 0,1-1,1-1,0 0,1-1,1-1,1 0,1-2,0 0,15 8,-11-9,2-1,-1-1,2-1,0-2,0-1,1 0,0-2,0-1,1-2,0 0,0-2,-1-1,1-1,5-2,-3-2</inkml:trace>
  <inkml:trace contextRef="#ctx0" brushRef="#br0" timeOffset="1900.1">3277 1445,'-5'61,"-1"-16,-10 306,14 18,31 583,-28-972,-1-7</inkml:trace>
  <inkml:trace contextRef="#ctx0" brushRef="#br0" timeOffset="1901.1">2726 1155,'0'0,"0"0,3 3,5 2,12 7,19 7,20 9,13 4,6-1,8-8,8-13,10-15,3-12,-7-6,-16-1,-22 4,-21 4</inkml:trace>
  <inkml:trace contextRef="#ctx0" brushRef="#br0" timeOffset="2550.32">2741 2165,'0'5,"0"2,47 61,20 21,6-5,6-13,14-17,35-18,28-24,7-24,-11-23,-22-20,-28-12,-29-5,-27 9,-21 16</inkml:trace>
  <inkml:trace contextRef="#ctx0" brushRef="#br0" timeOffset="3100.07">4974 2843,'-84'1,"-1"4,-37 7,85-6,0 2,0 1,1 2,0 1,1 2,-21 12,40-17,0 1,0 1,1 1,1 0,0 1,1 0,0 1,1 1,0 0,1 0,1 1,1 1,0 0,1 0,-5 16,-3 14,3 2,2-1,1 2,3-1,1 20,5-55,-2 17,1-1,2 1,2 12,-2-34,2 0,-1 0,1 0,0-1,1 1,0-1,1 0,-1 0,1 0,1 0,0-1,0 0,0 1,1-1,4 2,1 1,0-1,1-1,0 0,0 0,1-2,-1 1,2-2,-1 1,5 0,19 4,-1-1,1-1,14-1,-8-2,1-2,0-1,6-3,-25-1,-1 0,1-2,-1 0,0-2,0-1,7-3,-30 9,1 0,0 1,0-1,-1 0,1 0,-1 0,1 0,-1 0,1 0,0-1,-2 2,0-1,0 1,0 0,0 0,1 0,-1-1,0 1,0 0,0 0,0-1,0 1,0 0,0 0,0-1,0 1,0 0,0 0,0-1,0 1,0 0,0 0,0-1,0 1,-1 0,1 0,0-1,0 1,0 0,0 0,0 0,0-1,-1 1,1 0,0 0,0 0,0 0,-1-1,1 1,0 0,-4-2,0 1,0-1,0 1,0-1,0 1,0 0,-1 1,-1-1,-34-3,0 3,0 0,0 3,0 1,1 2,-1 2,1 2,0 1,1 2,1 1,0 2,0 2,-25 17,35-17,0 1,-16 14,33-23,0 0,0 1,1 0,1 0,-1 1,2 0,-4 6,9-14,1 0,-1 1,1-1,0 0,0 0,0 1,0-1,0 1,0 2,2 2</inkml:trace>
  <inkml:trace contextRef="#ctx0" brushRef="#br0" timeOffset="3710.16">6425 549,'-7'1,"-6"3,1 1,0 0,0 1,0 0,1 1,0 1,0-1,0 3,10-10,-24 19,2 1,0 1,2 1,0 1,-11 17,-14 25,-23 44,-5 24,5 3,6 3,-4 33,-5 37,-40 200,80-257,-12 141,36-205,4 0,4 1,4-1,4 7,-3-60,1-1,1 0,2 0,2-1,1 0,8 14,-9-24,2 0,0-1,2-1,0-1,1 0,1-1,1 0,1-2,1 1,13 7,1-2,1-1,0-1,2-3,0 0,17 3,17 4,2-4,0-2,2-4,-35-7,0-2,1-2,-1-1,26-3,-64 0,0 0,-1 0,1 0,0 0,-1-1,1 1,0-1,-1 1,1-1,-1 0,1 1,-1-1,1 0,-1 0,0 0,2-1,-1-1,0 0,-1 1,1-1,0 0,-1 0,0 0,1-1,1-3,1-4</inkml:trace>
  <inkml:trace contextRef="#ctx0" brushRef="#br0" timeOffset="4185.12">7207 1012,'-6'18,"-8"37,-6 45,-33 255,6 127,23 366,33-650,-4-154,1 1,3-1,5 16,-8-45,-5-15</inkml:trace>
  <inkml:trace contextRef="#ctx0" brushRef="#br0" timeOffset="4780.24">7497 2339,'23'-3,"250"-19,-58 8,47-18,115-36,-354 64,15-4,-1-1,24-10,-51 15,0 0,-1 0,0-1,0 0,0-1,0 0,-1 0,0 0,0-1,-1-1,0 1,0-2,7-12</inkml:trace>
  <inkml:trace contextRef="#ctx0" brushRef="#br0" timeOffset="4781.24">8281 1069,'0'13,"5"32,11 64,11 79,5 54,6 33,-3 6,-6-20,-9-35,-7-43,-6-44,-5-40,-2-34,-1-28,0-21,-1-13,1-7</inkml:trace>
  <inkml:trace contextRef="#ctx0" brushRef="#br0" timeOffset="5510.26">10093 1344,'-9'0,"0"1,0 0,0 1,0 0,0 0,0 1,-7 4,-10 2,-23 8,0 3,2 1,0 3,2 1,1 3,1 1,1 3,2 1,1 1,2 3,-1 3,2 4,2 2,2 1,1 1,-15 36,26-41,1 1,2 0,3 1,1 1,-5 37,15-66,1 0,0 0,2 0,0 0,1 0,0 0,3 9,-2-18,1 1,-1 0,1-1,1 0,0 0,0 0,0 0,1 0,0-1,1 0,-1 0,1 0,1-1,5 4,0 0,1-2,0 0,0 0,1-2,0 1,1-2,-1 0,1 0,0-2,0 0,0 0,9-1,2 0,0-2,0 0,0-2,-1-1,1-1,0-1,1-2,-8 1,1 0,-1-2,-1 0,1-1,-1-1,-1 0,0-2,0 0,-1-1,-1 0,0-1,-1-1,-1-1,0 0,-1 0,0-1,-2-1,5-10,-2 4,0-1,-2 0,-1-1,-2-1,5-19,-13 38,-1 26,21 162,0 0,52 553,-59-486,-20 248,-3-377,-6 13,5-67,-3-1,-19 49,27-93,-1 0,0 0,-2-1,0 0,-1 0,-3 2,9-15,0 0,0 0,0 0,-1-1,0 0,0 0,0 0,0 0,0-1,-1 0,0 0,0 0,1-1,-2 0,1 0,0 0,0-1,0 0,-1 0,-5 0,1-1,-1-1,1 0,0-1,0 0,0-1,0 0,-5-2,-8-5,0-1,-17-11,5 0,1-2,1-1,1-2,2-1,0-1,-24-32,-9-19,4-3,-10-24,-3-11</inkml:trace>
  <inkml:trace contextRef="#ctx0" brushRef="#br0" timeOffset="6080.38">9992 0,'5'9,"5"6,1-1,0 0,1-1,9 8,142 132,48 27,-87-76,-62-52,248 221,-243-206,-2 2,-3 3,16 29,-51-62,-1 2,-2 0,-3 2,-1 0,-2 1,-1 1,-3 1,-2 0,-2 1,-2 0,-2 0,-2 1,-2 10,-4 7,-2-1,-4 1,-2-1,-3-1,-5 9,-15 35,-4 0,-29 51,10-38,-5-3,-5-3,-5-3,-4-2,-36 32,66-88,-3-2,32-35,-1-1,-1 0,0-2,-17 10,1-6,11-12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52.30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817 66,'-5'-4,"1"1,-1-1,1 1,-1 0,0 1,0-1,0 1,-1 0,1 0,0 1,-4-1,0-1,-34-7,-1 2,1 2,-1 2,0 1,0 3,0 1,0 2,-32 8,54-8,0 2,1 0,0 2,0 0,-17 9,28-10,0-1,0 1,1 1,-1 0,2 0,-1 0,1 1,0 1,0 0,1 0,-5 9,2-1,1 2,0-1,2 1,0 0,1 1,1-1,1 1,1 0,1 0,0 8,2-22,-1 1,2-1,-1 1,1-1,0 1,0-1,1 0,0 0,0 1,0-1,1 0,0-1,0 1,0-1,1 1,0-1,0 0,0 0,1 0,-1-1,1 0,0 0,1 0,4 3,10 4,0 0,1-1,1-1,0-1,0 0,0-2,12 1,11 1,0-2,0-2,17-2,-35-2,0 0,0-2,0-1,0-1,-1-2,1 0,17-8,-42 13,1 1,0-1,-1 0,1-1,-1 1,0 0,1-1,-1 0,0 1,0-1,0 0,0 0,0 0,-1 0,1 0,0-1,-1 1,0-1,1 1,-1-1,0 1,0-3,15-28,-7 8,0-1,-2 0,-1 0,-1-1,-1 0,-2 1,0-1,-2 0,-3-23,30 502,-18-245,37 469,-42-629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1:02.929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33 875,'-3'-6,"-2"-8,1 0,0-1,0 1,2-1,-1-12,-1-77,3 79,0 5,0 14,1 0,0 1,0-1,0 0,0 0,1 1,1-6,-2 11,0 0,0 0,0 0,0 0,0-1,1 1,-1 0,0 0,0 0,0 0,0 0,0 0,0 0,0 0,0 0,0 0,1 0,-1 0,0 0,0 0,0 0,0 0,0 0,0 0,0 0,0 0,1 0,-1 0,0 0,0 0,0 0,0 0,0 0,0 0,0 0,0 0,0 0,0 1,1-1,-1 0,0 0,0 0,0 0,0 0,0 0,0 0,0 0,0 0,0 0,0 1,0-1,0 0,0 0,0 0,0 0,0 0,0 0,31 39,-12-13,364 492,-245-314,68 144,-200-336,-5-9,0 0,1 0,-1 0,1 0,0 0,0-1,0 1,0-1,0 1,2 0,-4-3,1 0,-1 1,0-1,1 0,-1 0,1 0,-1 0,0 0,1 0,-1 0,1 0,-1 0,1 0,-1 0,0 0,1 0,-1 0,1 0,-1 0,0-1,1 1,-1 0,1 0,-1 0,0-1,1 1,-1 0,0 0,1-1,-1 1,0 0,0-1,1 1,-1-1,0 1,0 0,0-1,1 1,8-20,-9 19,19-55,-4-1,2-15,-2 7,58-258,-49 190,2-63,-24 179,-1 13,0-1,-1 1,1-1,-1 1,0-1,0 1,-1-1,1 1,-2-5,4 13,1 1,0-1,0 0,0 0,3 2,15 19,53 75,-6 4,45 91,96 235,-178-358,-9-21,22 38,-42-86,-1-1,0 1,1-1,0 0,-1 0,1 1,0-1,0-1,0 1,0 0,2 0,-4-1,1-1,0 0,0 0,0 0,0 1,0-1,0 0,-1 0,1 0,0 0,0-1,0 1,0 0,0 0,0 0,-1-1,1 1,0-1,0 1,0 0,-1-1,1 1,0-1,0 0,-1 1,1-1,-1 1,1-1,0 0,-1 0,1 1,-1-1,0 0,1 0,4-7,-1 0,0 0,0 0,-1 0,0 0,0-1,-1 1,0-1,0-2,2-23,-1-29,-3 61,0-107,-5 0,-9-35,7 82,-50-419,12 121,37 294,3 0,3 0,3-1,7-43,-2 72</inkml:trace>
  <inkml:trace contextRef="#ctx0" brushRef="#br0" timeOffset="605.63">3094 52,'-452'936,"406"-827,4 2,-6 43,45-142,0-3,0 0,1 0,0 0,1 1,0-1,0 0,1 1,1-1,0 6,1-10</inkml:trace>
  <inkml:trace contextRef="#ctx0" brushRef="#br0" timeOffset="1165.83">2789 39,'2'0,"0"1,-1 0,1 0,0-1,-1 1,1 0,-1 0,1 1,-1-1,0 0,1 0,-1 1,0-1,0 1,0-1,0 1,0-1,0 1,-1 0,5 4,23 40,-2 0,20 49,35 108,25 99,-13 5,47 298,-137-591,5 27,-2 1,-1 5,-6-35,-1-16,-4-17,5 19,-3-14</inkml:trace>
  <inkml:trace contextRef="#ctx0" brushRef="#br0" timeOffset="1166.83">1702 1049,'0'0,"0"0,7 2,25 4,42 5,32 6,20 2,27-4,31-7,9-5,-6-3,-18-7,-15-9,-9-9,-7-8,-10-4,-27 6,-30 7</inkml:trace>
  <inkml:trace contextRef="#ctx0" brushRef="#br0" timeOffset="1660.75">4645 81,'-12'3,"-18"7,1 2,0 1,-10 7,28-14,0 1,1 0,0 1,0 0,0 0,1 1,1 0,0 1,0 0,-1 2,4-2,0 0,0 1,1-1,1 1,0 0,0 0,1 0,1 0,0 0,0 1,1-1,0 3,3 18,0 0,2 0,8 26,3-3,2 0,3 0,2-2,29 49,-3-19,3-2,40 45,-63-91,0 0,25 19,-38-39,2 0,-1-2,2 0,0-1,0-1,5 1,18 6</inkml:trace>
  <inkml:trace contextRef="#ctx0" brushRef="#br0" timeOffset="1661.75">5835 890,'0'0</inkml:trace>
  <inkml:trace contextRef="#ctx0" brushRef="#br0" timeOffset="2315.8">5951 197,'-1'2,"0"0,-1 1,1-1,-1 0,1 0,-1 0,0 0,0-1,0 1,0 0,0-1,-3 4,-16 12,-1 0,-1-2,-11 6,28-17,-132 79,-90 57,171-101,2 2,-44 44,60-48,2 2,2 1,-4 10,24-30,2 0,0 1,2 0,0 1,2 0,0 0,1 1,0 6,6-18,0 1,0-1,1 1,1 0,0 0,1-1,0 1,0 0,1-1,1 1,1 2,1 0,1 0,0 0,1-1,0 0,1 0,0-1,1 0,3 2,10 10,1-2,1-1,1-1,1-1,1-1,0-2,26 12,-2-4,2-1,1-4,0-1,8-2,17 2,0-5,52 2,67-6,192-18,-360 7</inkml:trace>
  <inkml:trace contextRef="#ctx0" brushRef="#br0" timeOffset="2316.8">7069 1020,'14'3,"52"18,-26-7,2-1,-1-3,26 3,-2-7,0-3,15-3,133-9,-189 7,-25 1,1 1,-1-1,0 0,1 0,0 0,-1 0,1 0,-1 1,1-1,0 0,0 0,-1 0,1 0,0 0,0-1,-1-4</inkml:trace>
  <inkml:trace contextRef="#ctx0" brushRef="#br0" timeOffset="3230.9">9505 269,'-13'0,"4"0,-178-8,-19 0,144 9,0 2,0 3,1 3,-13 4,48-6,-1 2,1 0,0 1,-20 12,29-12,1 0,-1 1,2 1,-1 0,2 2,-1-1,-1 5,-2 5,1 0,1 0,1 2,1 0,1 1,2 0,0 1,-2 11,3 0,0 0,3 1,1 0,2 0,1 35,3-52,1 1,1-1,1 0,1 1,1-1,6 13,-7-22,2 0,0 0,0 0,1-1,1 0,0 0,0-1,1 0,1 0,10 8,-4-6,1-1,1 0,0-1,0-1,1-1,0-1,1 0,0-2,0 0,0-1,1-1,-1-1,20 0,-9-1,0-2,0-2,0 0,0-2,0-2,-1-1,0-1,0-1,2-3,-14 5,-1-1,0-1,0-1,13-10,-21 14,0-1,-1-1,0 0,0 0,-1-1,0 1,0-2,5-9,-10 15,-1 0,1 0,-1 0,0 0,0-1,0 1,0 0,-1-1,0-2,-3-43,1 19,1 19,-1-7,3 19,-1 0,0 0,0 0,0 0,0 0,0 0,0 0,0 0,0 0,0 0,0 0,0 0,0 0,0 0,0 0,0 0,0 0,0 0,0 0,0 0,0 0,0 0,0 0,0 0,0 0,0 0,0 0,0 0,0 0,1 0,-1 0,0 0,0 0,0 0,0 0,0 0,0 0,0 0,0 0,4 13,23 106,25 206,-5 105,-22 44,-26-308,-21 142,20-287,1-10,0 1,-1 0,0-1,-4 11,5-20,0 1,0-1,0 1,-1-1,1 1,-1-1,1 1,-1-1,0 0,0 0,0 0,0 0,0 0,0-1,-1 1,1-1,-1 1,1-1,-1 0,1 0,-4 1,-7 1,0-1,0 0,0-1,0-1,-1 0,1-1,-5 0,-30-6,-16-5,53 10,-80-18,-60-23,101 26,2-2,0-2,-35-22,60 29,0-1,2-1,0-1,-4-5,5 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1:11.68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68 144,'27'1,"0"1,0 2,0 0,1 2,105 31,-127-36,357 118,78 48,282 160,-14 42,291 231,-722-416,-193-122,-3 4,9 14,-84-74,2 3,1 1,-1-1,5 9,-14-18,1 0,-1 0,0 0,0 0,0 0,0 0,0 0,0 1,0-1,1 0,-1 0,0 0,0 0,0 0,0 0,0 0,0 0,0 1,0-1,0 0,0 0,0 0,0 0,0 0,0 0,1 1,-1-1,0 0,0 0,0 0,0 0,0 0,0 0,-1 1,1-1,0 0,0 0,0 0,0 0,0 0,0 0,0 1,0-1,0 0,0 0,0 0,0 0,0 0,-1 0,1 0,0 0,-5-5,-3-19,4 10</inkml:trace>
  <inkml:trace contextRef="#ctx0" brushRef="#br0" timeOffset="819.67">52 1,'-22'0,"20"0,1 0,0 0,-1 0,1 0,0 0,-1 0,1 1,0-1,-1 0,1 1,0-1,-1 1,1-1,0 1,0 0,0-1,0 1,0 0,-1 0,2 0,-1 1,1-1,-1 0,1 0,-1 1,1-1,0 0,0 0,0 1,0-1,0 0,0 1,0-1,0 0,0 1,1-1,-1 0,0 0,1 1,-1-1,1 0,0 0,1 5,1 0,0-1,0 1,0-1,1 0,0 0,0 0,0 0,1 0,46 37,-43-36,183 125,-19-15,-131-84,0 1,33 37,-68-64,1 1,0 0,-1 0,0 1,2 4,-6-10,-1 0,0 0,0 0,0 1,-1-1,1 0,0 0,-1 1,1-1,-1 0,0 1,0-1,0 0,0 1,0-1,-1 0,1 1,-1-1,1 0,-2 2,1-2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31.801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79 2267,'35'-5,"-10"1,59-3,74 4,-88 2,431 2,127-2,-271-12,-28 1,-140 0,103-23,-254 30,113-10,0 8,126 10,-276-3,-3 0,-3 0,4 0</inkml:trace>
  <inkml:trace contextRef="#ctx0" brushRef="#br0" timeOffset="853.28">2980 1299,'1'7,"3"10,1-1,1 1,0-1,2-1,0 1,0-1,1 0,9 9,11 14,3-2,21 19,42 35,4-5,4-5,61 36,-29-32,3-5,111 43,-236-116,-10-4,1 0,-1 0,1-1,0 1,-1-1,1 0,0 0,2 0,-8-3,2 2,-1 0,1 0,0-1,0 1,-1 0,1 0,0 0,0-1,-1 1,1 0,0 0,-1 0,1 0,0 0,-1 0,1 0,0 0,-1 0,1 0,0 0,0 0,-1 0,1 0,0 0,-1 0,1 0,0 0,-1 0,1 0,0 0,-1 1,1-1,-8 4,0 1,1 1,-1-1,1 1,1 0,-2 2,-17 14,-56 41,-65 36,-96 45,-25 16,183-105,3 3,2 4,3 3,-62 70,119-112,18-21,3-2</inkml:trace>
  <inkml:trace contextRef="#ctx0" brushRef="#br0" timeOffset="2673.33">370 519,'158'-5,"35"-12,101-4,-281 21,-9 0,-6 1,1-1,1 1,-1 0,1-1,-1 1,1-1,0 1,-1 0,1-1,-1 1,1 0,0-1,0 1,-1 0,1 0,0-1,0 1,0 0,0 0,0-1,0 1,0 0,0 0,0 0,0 4,-30 250,-43 341,40-405,5-30,30-160,1-3,0 0,37-27,-19 14</inkml:trace>
  <inkml:trace contextRef="#ctx0" brushRef="#br0" timeOffset="3953.26">2980 1,'-67'0,"-46"-1,-77 12,155-7,1 1,0 2,1 1,0 2,0 1,1 1,-20 12,40-17,2 0,-1 1,1 0,0 0,1 1,0 1,0-1,1 1,0 1,1 0,0 0,1 0,0 1,1 0,0 0,1 2,-4 11,1 1,1 0,2 0,0 1,2-1,1 1,2 10,0-11,2-1,2 0,0 0,1-1,1 0,11 24,2-2</inkml:trace>
  <inkml:trace contextRef="#ctx0" brushRef="#br0" timeOffset="4553.09">2835 1415,'-21'9,"0"-1,-1-1,0-1,-1 0,-17 0,11 0,-67 11,-8-4,59-9,0-2,0-3,-21-2,56 2,0 0,1-1,-1 0,0 0,1-1,-1 0,-6-4,13 5,-1 0,1 0,0 0,0-1,0 1,0-1,1 0,-1 1,1-1,0 0,-1-1,1 1,1 0,-1-1,0 1,1-1,0 1,0-1,0 0,0 0,0-3,0-11,1 1,0-1,2 1,0-1,1 1,0 0,2 0,0 0,1 0,11-29,2 1,2 1,2 0,1 2,20-25,22-22,73-75,-3 21,54-36,-175 165,0 0,-1-1,0-1,4-7,-13 16,-1 0,0-1,0 1,-1-1,0 0,0 0,-1 0,0 0,0 0,-1 0,0-8,0-6,-1 5</inkml:trace>
  <inkml:trace contextRef="#ctx0" brushRef="#br0" timeOffset="4993.05">4750 245,'0'0,"0"0,0 0,0 0,-5-2,-16-4,-5 0,2 0</inkml:trace>
  <inkml:trace contextRef="#ctx0" brushRef="#br0" timeOffset="4994.05">3878 578,'0'27,"0"-5,0 0,1 0,3 7,-3-23,0 0,0 1,1-1,0 0,1 0,-1 0,1-1,0 1,1 0,-1-1,1 0,0 0,3 3,1-1,0-1,1 1,-1-2,1 1,1-1,-1 0,4 0,10 4,0-1,19 3,-14-5,0-1,0-2,0-1,0-1,1-1,-1-1,0-2,0-1,0-1,13-5,-20 4,0-1,0-1,-1-1,0-1,0 0,-1-2,-1 0,0-1,0-1,-1 0,-1-2,-1 0,11-13,-22 24,-1 0,1 0,-1 0,0-1,0 1,2-5,-1 33,-1 0,-1 1,-1 3,1 14,53 459,-14-166,-40-327,-1-8</inkml:trace>
  <inkml:trace contextRef="#ctx0" brushRef="#br0" timeOffset="5753.16">2980 1,'0'0,"0"0,0 0,0 0,0 0,0 0,0 0,0 0,0 0,0 0,0 0,0 0,0 0,0 0,0 0</inkml:trace>
  <inkml:trace contextRef="#ctx0" brushRef="#br0" timeOffset="6283.51">2211 506,'5'2,"2"1,100 30,33 8,-6-2,-22-5,-29-6,-25-1,-18 10,-14 22,-8 21,-5 16,-4 7,-5-13,-2-21</inkml:trace>
  <inkml:trace contextRef="#ctx0" brushRef="#br0" timeOffset="42704.13">22 2440,'0'0</inkml:trace>
  <inkml:trace contextRef="#ctx0" brushRef="#br0" timeOffset="43635.08">123 3305,'18'380,"-9"-253,-3-42,6 163,-28-306,-10-73,7 34,-43-237,38 176,5-22,17 117,4 54,3 12,8 21,10 33,-4 0,6 31,50 223,-14 3,-14 2,-5 111,-36-290,-6-118,-1-16,0-11,-10-190,4-7,-2-491,19 369,19-47,-27 349,-2 17,1 1,0 0,0 0,1 0,1-6,-1 14,-1 11,3 147,-4-104,2 152,-9 1302,7-1472,-2-15,1-21,0-6,-6-41,6 35,-16-118,-9-73,-18-146,-80-683,111 888,13 136,-2-7,0 25,-87 1264,87-1233,-4 307,7-340,0-14,2-28,26-455,-3 50,5 3,-31 434,3-18,3 41,19 164,-20-139,45 433,25 186,-64-583,4-1,3-1,9 18,-11-58</inkml:trace>
  <inkml:trace contextRef="#ctx0" brushRef="#br0" timeOffset="44484.05">326 4229,'2'1,"-1"1,1-1,-1 0,1 1,-1-1,0 0,0 1,0-1,1 1,-1 1,1 0,30 32,-29-32,1 0,-1-1,0 1,1-1,0 1,0-1,-1-1,1 1,0 0,2-1,124 38,114 22,3-11,235 17,-21-40,27-20,464-32,42-31,-137 6,-2 28,307 72,-111-1,-971-47,251-5,-337 3,6 0,0 0,0 0,0 0,0 0,-1 0,1 0,0 0,0 0,0 0,0 0,0 0,-1 0,1 0,0 0,0 0,0 0,0 0,0-1,0 1,-1 0,1 0,0 0,0 0,0 0,0 0,0-1,0 1,0 0,0 0,0 0,0 0,0 0,0-1,0 1,0 0,0 0,0 0,0 0,0-1,0 1,0 0,0 0,0 0,0 0,0 0,0-1,0 1,0 0,0 0,0 0,0 0,0 0,0 0,1-1,-1 1,0 0,0 0,0 0,0 0,0 0,0 0,3-4</inkml:trace>
  <inkml:trace contextRef="#ctx0" brushRef="#br0" timeOffset="46587.62">7113 3261,'-61'4,"1"1,0 3,-2 4,-25 3,-110 9,-24-6,-204-2,227-11,-713 31,607-11,-296 64,517-71</inkml:trace>
  <inkml:trace contextRef="#ctx0" brushRef="#br0" timeOffset="47452.02">4126 3233,'-20'-1,"0"-2,0 0,1-1,-1 0,-4-3,2 0,0 2,0 0,-20 0,29 3,0 2,0 0,0 1,1 0,-1 1,0 0,1 1,-1 0,-11 6,-35 17,0 2,-29 23,-108 75,128-76,67-50,1 0,-1 0,1 0,0 1,-1-1,1 0,0 0,0 1,-1-1,1 0,0 1,0-1,-1 0,1 1,0-1,0 0,0 1,0-1,-1 0,1 1,0-1,0 1,0-1,0 0,0 1,0-1,0 1,0-1,0 0,0 1,0-1,1 1,-1-1,0 0,0 1,0-1,0 0,1 1,-1-1,0 0,0 1,1-1,-1 0,0 1,1-1,18 12,-15-10,53 26,2-4,4 0,128 37,195 41,-265-78,0-5,35-2,-112-17,-33 0,1 0,-1 0,1 1,5 2,-13-2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23.21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10 0,'0'0,"0"0,0 0,0 0,0 0,0 2,0 1,0 0,0 0,0-2,0 3,0 0,0-1,0 0,0-1,-3 1,0 1,-1-1</inkml:trace>
  <inkml:trace contextRef="#ctx0" brushRef="#br0" timeOffset="586.97">82 187,'0'0,"0"0,0 0,0 0,0 0,0 0,0 0,0 0,0 0,0 0,0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26.13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4605 2237,'0'0,"0"0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41.006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0 812,'1'0,"-1"1,0-1,0 1,0-1,0 1,1-1,-1 1,0-1,0 0,1 1,-1-1,0 1,1-1,-1 0,0 1,1-1,-1 0,0 0,1 1,-1-1,1 0,-1 0,1 0,-1 1,1-1,-1 0,1 0,-1 0,1 0,-1 0,22 2,-17-1,23 0,0-1,1-2,-1 0,5-3,49-5,228-21,150-15,120-13,2953-349,-3194 366,-103 11,-8 0,-20 5,493-55,-509 63,59-4,2 11,234 21,-286 7,278 12,-51-7,-277-8,282 32,-302-26,0 5,31 16,143 54,99 28,-120-56,106 30,-290-69,1-4,44 2,-91-19,208 22,-243-28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13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CECF7C-506F-4228-9279-EC1F48532771}">
  <we:reference id="wa104380801" version="1.5.0.0" store="en-US" storeType="OMEX"/>
  <we:alternateReferences>
    <we:reference id="wa104380801" version="1.5.0.0" store="wa104380801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am@urbizedge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BD2D-26AA-479E-A203-430FA3A65306}">
  <sheetPr>
    <tabColor theme="4"/>
  </sheetPr>
  <dimension ref="B1:O43"/>
  <sheetViews>
    <sheetView showGridLines="0" tabSelected="1" zoomScaleNormal="100" workbookViewId="0">
      <selection activeCell="T26" sqref="T26"/>
    </sheetView>
  </sheetViews>
  <sheetFormatPr defaultRowHeight="14.6" x14ac:dyDescent="0.4"/>
  <cols>
    <col min="2" max="2" width="5.07421875" customWidth="1"/>
    <col min="3" max="3" width="4.23046875" customWidth="1"/>
    <col min="4" max="4" width="29.3046875" bestFit="1" customWidth="1"/>
    <col min="5" max="9" width="16.23046875" customWidth="1"/>
    <col min="10" max="10" width="18.15234375" customWidth="1"/>
    <col min="14" max="14" width="11.15234375" customWidth="1"/>
  </cols>
  <sheetData>
    <row r="1" spans="2:15" ht="15" thickBot="1" x14ac:dyDescent="0.45"/>
    <row r="2" spans="2:15" s="12" customFormat="1" x14ac:dyDescent="0.4">
      <c r="B2" s="9"/>
      <c r="C2" s="10"/>
      <c r="D2" s="10"/>
      <c r="E2" s="10"/>
      <c r="F2" s="10"/>
      <c r="G2" s="10" t="str">
        <f>Scenarios!K1</f>
        <v>Currently running scenario: Conservative</v>
      </c>
      <c r="H2" s="10"/>
      <c r="I2" s="10"/>
      <c r="J2" s="10"/>
      <c r="K2" s="10" t="s">
        <v>286</v>
      </c>
      <c r="L2" s="10"/>
      <c r="M2" s="10"/>
      <c r="N2" s="10"/>
      <c r="O2" s="11"/>
    </row>
    <row r="3" spans="2:15" ht="28.3" x14ac:dyDescent="0.75">
      <c r="B3" s="1"/>
      <c r="C3" s="2"/>
      <c r="D3" s="8" t="s">
        <v>45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5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2:15" x14ac:dyDescent="0.4">
      <c r="B5" s="1"/>
      <c r="C5" s="2"/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5" t="s">
        <v>287</v>
      </c>
      <c r="O6" s="3"/>
    </row>
    <row r="7" spans="2:15" x14ac:dyDescent="0.4">
      <c r="B7" s="1"/>
      <c r="C7" s="2"/>
      <c r="D7" s="13" t="s">
        <v>0</v>
      </c>
      <c r="E7" s="80">
        <f>'Model Inputs'!J94+'Model Inputs'!J96</f>
        <v>100000000</v>
      </c>
      <c r="F7" s="2"/>
      <c r="G7" s="2"/>
      <c r="H7" s="2"/>
      <c r="I7" s="2"/>
      <c r="J7" s="2"/>
      <c r="K7" s="2"/>
      <c r="L7" s="2"/>
      <c r="M7" s="2"/>
      <c r="N7" s="76" t="s">
        <v>288</v>
      </c>
      <c r="O7" s="3"/>
    </row>
    <row r="8" spans="2:15" x14ac:dyDescent="0.4">
      <c r="B8" s="1"/>
      <c r="C8" s="2"/>
      <c r="D8" s="15" t="s">
        <v>1</v>
      </c>
      <c r="E8" s="80">
        <f ca="1">'DCF Valuation'!C18</f>
        <v>3232940681.3944302</v>
      </c>
      <c r="F8" s="2"/>
      <c r="G8" s="2"/>
      <c r="H8" s="2"/>
      <c r="I8" s="2"/>
      <c r="J8" s="2"/>
      <c r="K8" s="2"/>
      <c r="L8" s="2"/>
      <c r="M8" s="2"/>
      <c r="N8" s="76" t="s">
        <v>289</v>
      </c>
      <c r="O8" s="3"/>
    </row>
    <row r="9" spans="2:15" x14ac:dyDescent="0.4">
      <c r="B9" s="1"/>
      <c r="C9" s="2"/>
      <c r="D9" s="15" t="s">
        <v>2</v>
      </c>
      <c r="E9" s="80"/>
      <c r="F9" s="2"/>
      <c r="G9" s="2"/>
      <c r="H9" s="2"/>
      <c r="I9" s="2"/>
      <c r="J9" s="2"/>
      <c r="K9" s="2"/>
      <c r="L9" s="2"/>
      <c r="M9" s="2"/>
      <c r="N9" s="76" t="s">
        <v>290</v>
      </c>
      <c r="O9" s="3"/>
    </row>
    <row r="10" spans="2:15" x14ac:dyDescent="0.4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7" t="s">
        <v>291</v>
      </c>
      <c r="O10" s="3"/>
    </row>
    <row r="11" spans="2:15" x14ac:dyDescent="0.4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x14ac:dyDescent="0.4">
      <c r="B12" s="1"/>
      <c r="C12" s="7" t="s">
        <v>3</v>
      </c>
      <c r="D12" s="7"/>
      <c r="E12" s="7">
        <v>2020</v>
      </c>
      <c r="F12" s="7">
        <v>2021</v>
      </c>
      <c r="G12" s="7">
        <v>2022</v>
      </c>
      <c r="H12" s="7">
        <v>2023</v>
      </c>
      <c r="I12" s="7">
        <v>2024</v>
      </c>
      <c r="J12" s="7"/>
      <c r="K12" s="2"/>
      <c r="L12" s="2"/>
      <c r="M12" s="2"/>
      <c r="N12" s="2"/>
      <c r="O12" s="3"/>
    </row>
    <row r="13" spans="2:15" x14ac:dyDescent="0.4">
      <c r="B13" s="1"/>
      <c r="C13" s="2"/>
      <c r="D13" s="14" t="s">
        <v>4</v>
      </c>
      <c r="E13" s="80">
        <f>'Income Statement'!K11</f>
        <v>930000000</v>
      </c>
      <c r="F13" s="80">
        <f>'Income Statement'!L11</f>
        <v>1070000000</v>
      </c>
      <c r="G13" s="80">
        <f>'Income Statement'!M11</f>
        <v>1266000000</v>
      </c>
      <c r="H13" s="80">
        <f>'Income Statement'!N11</f>
        <v>1639000000</v>
      </c>
      <c r="I13" s="80">
        <f>'Income Statement'!O11</f>
        <v>1845000000</v>
      </c>
      <c r="J13" s="14"/>
      <c r="K13" s="2"/>
      <c r="L13" s="2"/>
      <c r="M13" s="2"/>
      <c r="N13" s="2"/>
      <c r="O13" s="3"/>
    </row>
    <row r="14" spans="2:15" x14ac:dyDescent="0.4">
      <c r="B14" s="1"/>
      <c r="C14" s="2"/>
      <c r="D14" s="14" t="s">
        <v>5</v>
      </c>
      <c r="E14" s="80">
        <f>-'Income Statement'!K13</f>
        <v>360000000</v>
      </c>
      <c r="F14" s="80">
        <f>-'Income Statement'!L13</f>
        <v>417000000</v>
      </c>
      <c r="G14" s="80">
        <f>-'Income Statement'!M13</f>
        <v>534700000</v>
      </c>
      <c r="H14" s="80">
        <f>-'Income Statement'!N13</f>
        <v>620800000</v>
      </c>
      <c r="I14" s="80">
        <f>-'Income Statement'!O13</f>
        <v>753000000</v>
      </c>
      <c r="J14" s="14"/>
      <c r="K14" s="2"/>
      <c r="L14" s="2"/>
      <c r="M14" s="2"/>
      <c r="N14" s="2"/>
      <c r="O14" s="3"/>
    </row>
    <row r="15" spans="2:15" x14ac:dyDescent="0.4">
      <c r="B15" s="1"/>
      <c r="C15" s="2"/>
      <c r="D15" s="14" t="s">
        <v>6</v>
      </c>
      <c r="E15" s="80">
        <f>'Income Statement'!K14</f>
        <v>570000000</v>
      </c>
      <c r="F15" s="80">
        <f>'Income Statement'!L14</f>
        <v>653000000</v>
      </c>
      <c r="G15" s="80">
        <f>'Income Statement'!M14</f>
        <v>731300000</v>
      </c>
      <c r="H15" s="80">
        <f>'Income Statement'!N14</f>
        <v>1018200000</v>
      </c>
      <c r="I15" s="80">
        <f>'Income Statement'!O14</f>
        <v>1092000000</v>
      </c>
      <c r="J15" s="14"/>
      <c r="K15" s="2"/>
      <c r="L15" s="2"/>
      <c r="M15" s="2"/>
      <c r="N15" s="2"/>
      <c r="O15" s="3"/>
    </row>
    <row r="16" spans="2:15" x14ac:dyDescent="0.4">
      <c r="B16" s="1"/>
      <c r="C16" s="2"/>
      <c r="D16" s="16" t="s">
        <v>8</v>
      </c>
      <c r="E16" s="80">
        <f>-'Income Statement'!K22</f>
        <v>75919533.527696788</v>
      </c>
      <c r="F16" s="80">
        <f>-'Income Statement'!L22</f>
        <v>78329533.527696788</v>
      </c>
      <c r="G16" s="80">
        <f>-'Income Statement'!M22</f>
        <v>90263440.233236134</v>
      </c>
      <c r="H16" s="80">
        <f>-'Income Statement'!N22</f>
        <v>92673440.233236134</v>
      </c>
      <c r="I16" s="80">
        <f>-'Income Statement'!O22</f>
        <v>95083440.233236134</v>
      </c>
      <c r="J16" s="14"/>
      <c r="K16" s="2"/>
      <c r="L16" s="2"/>
      <c r="M16" s="2"/>
      <c r="N16" s="2"/>
      <c r="O16" s="3"/>
    </row>
    <row r="17" spans="2:15" x14ac:dyDescent="0.4">
      <c r="B17" s="1"/>
      <c r="C17" s="2"/>
      <c r="D17" s="16" t="s">
        <v>7</v>
      </c>
      <c r="E17" s="80">
        <f>'Income Statement'!K29</f>
        <v>482156656.94849366</v>
      </c>
      <c r="F17" s="80">
        <f>'Income Statement'!L29</f>
        <v>562496656.9484936</v>
      </c>
      <c r="G17" s="80">
        <f>'Income Statement'!M29</f>
        <v>625879416.90962112</v>
      </c>
      <c r="H17" s="80">
        <f>'Income Statement'!N29</f>
        <v>908469416.90962112</v>
      </c>
      <c r="I17" s="80">
        <f>'Income Statement'!O29</f>
        <v>980709416.90962112</v>
      </c>
      <c r="J17" s="14"/>
      <c r="K17" s="2"/>
      <c r="L17" s="2"/>
      <c r="M17" s="2"/>
      <c r="N17" s="2"/>
      <c r="O17" s="3"/>
    </row>
    <row r="18" spans="2:15" x14ac:dyDescent="0.4">
      <c r="B18" s="1"/>
      <c r="C18" s="2"/>
      <c r="D18" s="16" t="s">
        <v>9</v>
      </c>
      <c r="E18" s="80">
        <f ca="1">'Income Statement'!K39</f>
        <v>337904965.14170194</v>
      </c>
      <c r="F18" s="80">
        <f ca="1">'Income Statement'!L39</f>
        <v>407751455.35426259</v>
      </c>
      <c r="G18" s="80">
        <f ca="1">'Income Statement'!M39</f>
        <v>467710702.90949595</v>
      </c>
      <c r="H18" s="80">
        <f ca="1">'Income Statement'!N39</f>
        <v>683384191.08277309</v>
      </c>
      <c r="I18" s="80">
        <f ca="1">'Income Statement'!O39</f>
        <v>756546704.71387005</v>
      </c>
      <c r="J18" s="14"/>
      <c r="K18" s="2"/>
      <c r="L18" s="2"/>
      <c r="M18" s="2"/>
      <c r="N18" s="2"/>
      <c r="O18" s="3"/>
    </row>
    <row r="19" spans="2:15" x14ac:dyDescent="0.4">
      <c r="B19" s="1"/>
      <c r="C19" s="2"/>
      <c r="D19" s="2"/>
      <c r="E19" s="81"/>
      <c r="F19" s="81"/>
      <c r="G19" s="81"/>
      <c r="H19" s="81"/>
      <c r="I19" s="81"/>
      <c r="J19" s="2"/>
      <c r="K19" s="2"/>
      <c r="L19" s="2"/>
      <c r="M19" s="2"/>
      <c r="N19" s="2"/>
      <c r="O19" s="3"/>
    </row>
    <row r="20" spans="2:15" x14ac:dyDescent="0.4">
      <c r="B20" s="1"/>
      <c r="C20" s="7" t="s">
        <v>10</v>
      </c>
      <c r="D20" s="2"/>
      <c r="E20" s="81"/>
      <c r="F20" s="81"/>
      <c r="G20" s="81"/>
      <c r="H20" s="81"/>
      <c r="I20" s="81"/>
      <c r="J20" s="2"/>
      <c r="K20" s="2"/>
      <c r="L20" s="2"/>
      <c r="M20" s="2"/>
      <c r="N20" s="2"/>
      <c r="O20" s="3"/>
    </row>
    <row r="21" spans="2:15" x14ac:dyDescent="0.4">
      <c r="B21" s="1"/>
      <c r="C21" s="2"/>
      <c r="D21" s="16" t="s">
        <v>11</v>
      </c>
      <c r="E21" s="80">
        <f>'Balance Sheet'!K8</f>
        <v>94552380.952380955</v>
      </c>
      <c r="F21" s="80">
        <f>'Balance Sheet'!L8</f>
        <v>83378571.428571433</v>
      </c>
      <c r="G21" s="80">
        <f>'Balance Sheet'!M8</f>
        <v>96221428.571428567</v>
      </c>
      <c r="H21" s="80">
        <f>'Balance Sheet'!N8</f>
        <v>87164285.714285702</v>
      </c>
      <c r="I21" s="80">
        <f>'Balance Sheet'!O8</f>
        <v>76457142.857142851</v>
      </c>
      <c r="J21" s="14"/>
      <c r="K21" s="2"/>
      <c r="L21" s="2"/>
      <c r="M21" s="2"/>
      <c r="N21" s="2"/>
      <c r="O21" s="3"/>
    </row>
    <row r="22" spans="2:15" x14ac:dyDescent="0.4">
      <c r="B22" s="1"/>
      <c r="C22" s="2"/>
      <c r="D22" s="16" t="s">
        <v>12</v>
      </c>
      <c r="E22" s="80">
        <f ca="1">'Balance Sheet'!K13</f>
        <v>393715673.1551497</v>
      </c>
      <c r="F22" s="80">
        <f ca="1">'Balance Sheet'!L13</f>
        <v>840939568.17020822</v>
      </c>
      <c r="G22" s="80">
        <f ca="1">'Balance Sheet'!M13</f>
        <v>1225083608.5903125</v>
      </c>
      <c r="H22" s="80">
        <f ca="1">'Balance Sheet'!N13</f>
        <v>1813623823.8643222</v>
      </c>
      <c r="I22" s="80">
        <f ca="1">'Balance Sheet'!O13</f>
        <v>2469146618.4299064</v>
      </c>
      <c r="J22" s="14"/>
      <c r="K22" s="2"/>
      <c r="L22" s="2"/>
      <c r="M22" s="2"/>
      <c r="N22" s="2"/>
      <c r="O22" s="3"/>
    </row>
    <row r="23" spans="2:15" x14ac:dyDescent="0.4">
      <c r="B23" s="1"/>
      <c r="C23" s="2"/>
      <c r="D23" s="16" t="s">
        <v>13</v>
      </c>
      <c r="E23" s="80">
        <f>'Balance Sheet'!K23</f>
        <v>40000000</v>
      </c>
      <c r="F23" s="80">
        <f>'Balance Sheet'!L23</f>
        <v>30000000</v>
      </c>
      <c r="G23" s="80">
        <f>'Balance Sheet'!M23</f>
        <v>20000000</v>
      </c>
      <c r="H23" s="80">
        <f>'Balance Sheet'!N23</f>
        <v>10000000</v>
      </c>
      <c r="I23" s="80">
        <f>'Balance Sheet'!O23</f>
        <v>0</v>
      </c>
      <c r="J23" s="14"/>
      <c r="K23" s="2"/>
      <c r="L23" s="2"/>
      <c r="M23" s="2"/>
      <c r="N23" s="2"/>
      <c r="O23" s="3"/>
    </row>
    <row r="24" spans="2:15" x14ac:dyDescent="0.4">
      <c r="B24" s="1"/>
      <c r="C24" s="2"/>
      <c r="D24" s="16" t="s">
        <v>14</v>
      </c>
      <c r="E24" s="80">
        <f ca="1">'Balance Sheet'!K28</f>
        <v>11835616.438356165</v>
      </c>
      <c r="F24" s="80">
        <f ca="1">'Balance Sheet'!L28</f>
        <v>25134246.575342465</v>
      </c>
      <c r="G24" s="80">
        <f ca="1">'Balance Sheet'!M28</f>
        <v>32228493.15068493</v>
      </c>
      <c r="H24" s="80">
        <f ca="1">'Balance Sheet'!N28</f>
        <v>37418082.19178082</v>
      </c>
      <c r="I24" s="80">
        <f ca="1">'Balance Sheet'!O28</f>
        <v>45386301.369863011</v>
      </c>
      <c r="J24" s="14"/>
      <c r="K24" s="2"/>
      <c r="L24" s="2"/>
      <c r="M24" s="2"/>
      <c r="N24" s="2"/>
      <c r="O24" s="3"/>
    </row>
    <row r="25" spans="2:15" x14ac:dyDescent="0.4">
      <c r="B25" s="1"/>
      <c r="C25" s="2"/>
      <c r="D25" s="16" t="s">
        <v>15</v>
      </c>
      <c r="E25" s="80">
        <f ca="1">'Balance Sheet'!K33</f>
        <v>436432437.66917449</v>
      </c>
      <c r="F25" s="80">
        <f ca="1">'Balance Sheet'!L33</f>
        <v>869183893.02343702</v>
      </c>
      <c r="G25" s="80">
        <f ca="1">'Balance Sheet'!M33</f>
        <v>1269076544.0110559</v>
      </c>
      <c r="H25" s="80">
        <f ca="1">'Balance Sheet'!N33</f>
        <v>1853370027.386827</v>
      </c>
      <c r="I25" s="80">
        <f ca="1">'Balance Sheet'!O33</f>
        <v>2500217459.9171858</v>
      </c>
      <c r="J25" s="14"/>
      <c r="K25" s="2"/>
      <c r="L25" s="2"/>
      <c r="M25" s="2"/>
      <c r="N25" s="2"/>
      <c r="O25" s="3"/>
    </row>
    <row r="26" spans="2:15" x14ac:dyDescent="0.4">
      <c r="B26" s="1"/>
      <c r="C26" s="2"/>
      <c r="D26" s="2"/>
      <c r="E26" s="81"/>
      <c r="F26" s="81"/>
      <c r="G26" s="81"/>
      <c r="H26" s="81"/>
      <c r="I26" s="81"/>
      <c r="J26" s="2"/>
      <c r="K26" s="2"/>
      <c r="L26" s="2"/>
      <c r="M26" s="2"/>
      <c r="N26" s="2"/>
      <c r="O26" s="3"/>
    </row>
    <row r="27" spans="2:15" x14ac:dyDescent="0.4">
      <c r="B27" s="1"/>
      <c r="C27" s="7" t="s">
        <v>16</v>
      </c>
      <c r="D27" s="2"/>
      <c r="E27" s="81"/>
      <c r="F27" s="81"/>
      <c r="G27" s="81"/>
      <c r="H27" s="81"/>
      <c r="I27" s="81"/>
      <c r="J27" s="2"/>
      <c r="K27" s="2"/>
      <c r="L27" s="2"/>
      <c r="M27" s="2"/>
      <c r="N27" s="2"/>
      <c r="O27" s="3"/>
    </row>
    <row r="28" spans="2:15" x14ac:dyDescent="0.4">
      <c r="B28" s="1"/>
      <c r="C28" s="2"/>
      <c r="D28" s="16" t="s">
        <v>17</v>
      </c>
      <c r="E28" s="80">
        <f ca="1">Cashflow!K8</f>
        <v>307921587.08672059</v>
      </c>
      <c r="F28" s="80">
        <f ca="1">Cashflow!L8</f>
        <v>405136281.10521221</v>
      </c>
      <c r="G28" s="80">
        <f ca="1">Cashflow!M8</f>
        <v>435329937.58050239</v>
      </c>
      <c r="H28" s="80">
        <f ca="1">Cashflow!N8</f>
        <v>618105702.92307055</v>
      </c>
      <c r="I28" s="80">
        <f ca="1">Cashflow!O8</f>
        <v>667434038.56845164</v>
      </c>
      <c r="J28" s="14"/>
      <c r="K28" s="2"/>
      <c r="L28" s="2"/>
      <c r="M28" s="2"/>
      <c r="N28" s="2"/>
      <c r="O28" s="3"/>
    </row>
    <row r="29" spans="2:15" x14ac:dyDescent="0.4">
      <c r="B29" s="1"/>
      <c r="C29" s="2"/>
      <c r="D29" s="16" t="s">
        <v>18</v>
      </c>
      <c r="E29" s="80">
        <f ca="1">Cashflow!K21</f>
        <v>-29435278.174633726</v>
      </c>
      <c r="F29" s="80">
        <f ca="1">Cashflow!L21</f>
        <v>27005422.129024364</v>
      </c>
      <c r="G29" s="80">
        <f ca="1">Cashflow!M21</f>
        <v>20278730.103944533</v>
      </c>
      <c r="H29" s="80">
        <f ca="1">Cashflow!N21</f>
        <v>63793713.208626136</v>
      </c>
      <c r="I29" s="80">
        <f ca="1">Cashflow!O21</f>
        <v>96571589.824478999</v>
      </c>
      <c r="J29" s="14"/>
      <c r="K29" s="2"/>
      <c r="L29" s="2"/>
      <c r="M29" s="2"/>
      <c r="N29" s="2"/>
      <c r="O29" s="3"/>
    </row>
    <row r="30" spans="2:15" x14ac:dyDescent="0.4">
      <c r="B30" s="1"/>
      <c r="C30" s="2"/>
      <c r="D30" s="16" t="s">
        <v>19</v>
      </c>
      <c r="E30" s="80">
        <f ca="1">Cashflow!K29</f>
        <v>-20000000</v>
      </c>
      <c r="F30" s="80">
        <f ca="1">Cashflow!L29</f>
        <v>7000000</v>
      </c>
      <c r="G30" s="80">
        <f ca="1">Cashflow!M29</f>
        <v>-83818051.921876907</v>
      </c>
      <c r="H30" s="80">
        <f ca="1">Cashflow!N29</f>
        <v>-113090707.7070021</v>
      </c>
      <c r="I30" s="80">
        <f ca="1">Cashflow!O29</f>
        <v>-121699272.18351117</v>
      </c>
      <c r="J30" s="14"/>
      <c r="K30" s="2"/>
      <c r="L30" s="2"/>
      <c r="M30" s="2"/>
      <c r="N30" s="2"/>
      <c r="O30" s="3"/>
    </row>
    <row r="31" spans="2:15" x14ac:dyDescent="0.4">
      <c r="B31" s="1"/>
      <c r="C31" s="2"/>
      <c r="D31" s="16" t="s">
        <v>20</v>
      </c>
      <c r="E31" s="80">
        <f ca="1">Cashflow!K38</f>
        <v>258486308.91208684</v>
      </c>
      <c r="F31" s="80">
        <f ca="1">Cashflow!L38</f>
        <v>439141703.2342366</v>
      </c>
      <c r="G31" s="80">
        <f ca="1">Cashflow!M38</f>
        <v>371790615.76257002</v>
      </c>
      <c r="H31" s="80">
        <f ca="1">Cashflow!N38</f>
        <v>568808708.42469454</v>
      </c>
      <c r="I31" s="80">
        <f ca="1">Cashflow!O38</f>
        <v>642306356.20941949</v>
      </c>
      <c r="J31" s="14"/>
      <c r="K31" s="2"/>
      <c r="L31" s="2"/>
      <c r="M31" s="2"/>
      <c r="N31" s="2"/>
      <c r="O31" s="3"/>
    </row>
    <row r="32" spans="2:15" x14ac:dyDescent="0.4">
      <c r="B32" s="1"/>
      <c r="C32" s="2"/>
      <c r="D32" s="16" t="s">
        <v>21</v>
      </c>
      <c r="E32" s="80">
        <f ca="1">Cashflow!K47</f>
        <v>275486308.91208684</v>
      </c>
      <c r="F32" s="80">
        <f ca="1">Cashflow!L47</f>
        <v>429741703.2342366</v>
      </c>
      <c r="G32" s="80">
        <f ca="1">Cashflow!M47</f>
        <v>453808667.68444693</v>
      </c>
      <c r="H32" s="80">
        <f ca="1">Cashflow!N47</f>
        <v>680699416.1316967</v>
      </c>
      <c r="I32" s="80">
        <f ca="1">Cashflow!O47</f>
        <v>763405628.39293063</v>
      </c>
      <c r="J32" s="14"/>
      <c r="K32" s="2"/>
      <c r="L32" s="2"/>
      <c r="M32" s="2"/>
      <c r="N32" s="2"/>
      <c r="O32" s="3"/>
    </row>
    <row r="33" spans="2:15" x14ac:dyDescent="0.4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2:15" x14ac:dyDescent="0.4">
      <c r="B34" s="1"/>
      <c r="C34" s="7" t="s">
        <v>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2:15" x14ac:dyDescent="0.4">
      <c r="B35" s="1"/>
      <c r="C35" s="2"/>
      <c r="D35" s="16" t="s">
        <v>23</v>
      </c>
      <c r="E35" s="74">
        <f>'Financial Ratios'!K29</f>
        <v>0.61290322580645162</v>
      </c>
      <c r="F35" s="74">
        <f>'Financial Ratios'!L29</f>
        <v>0.61028037383177569</v>
      </c>
      <c r="G35" s="74">
        <f>'Financial Ratios'!M29</f>
        <v>0.57764612954186412</v>
      </c>
      <c r="H35" s="74">
        <f>'Financial Ratios'!N29</f>
        <v>0.62123245881635147</v>
      </c>
      <c r="I35" s="74">
        <f>'Financial Ratios'!O29</f>
        <v>0.59186991869918704</v>
      </c>
      <c r="J35" s="14"/>
      <c r="K35" s="2"/>
      <c r="L35" s="2"/>
      <c r="M35" s="2"/>
      <c r="N35" s="2"/>
      <c r="O35" s="3"/>
    </row>
    <row r="36" spans="2:15" x14ac:dyDescent="0.4">
      <c r="B36" s="1"/>
      <c r="C36" s="2"/>
      <c r="D36" s="16" t="s">
        <v>24</v>
      </c>
      <c r="E36" s="74">
        <f>'Financial Ratios'!K30</f>
        <v>0.51844801822418674</v>
      </c>
      <c r="F36" s="74">
        <f>'Financial Ratios'!L30</f>
        <v>0.52569781023223705</v>
      </c>
      <c r="G36" s="74">
        <f>'Financial Ratios'!M30</f>
        <v>0.49437552678485081</v>
      </c>
      <c r="H36" s="74">
        <f>'Financial Ratios'!N30</f>
        <v>0.55428274369104402</v>
      </c>
      <c r="I36" s="74">
        <f>'Financial Ratios'!O30</f>
        <v>0.53154981946320923</v>
      </c>
      <c r="J36" s="14"/>
      <c r="K36" s="2"/>
      <c r="L36" s="2"/>
      <c r="M36" s="2"/>
      <c r="N36" s="2"/>
      <c r="O36" s="3"/>
    </row>
    <row r="37" spans="2:15" x14ac:dyDescent="0.4">
      <c r="B37" s="1"/>
      <c r="C37" s="2"/>
      <c r="D37" s="16" t="s">
        <v>25</v>
      </c>
      <c r="E37" s="74">
        <f ca="1">'Financial Ratios'!K31</f>
        <v>0.36333867219537841</v>
      </c>
      <c r="F37" s="74">
        <f ca="1">'Financial Ratios'!L31</f>
        <v>0.38107612649931083</v>
      </c>
      <c r="G37" s="74">
        <f ca="1">'Financial Ratios'!M31</f>
        <v>0.36943973373577876</v>
      </c>
      <c r="H37" s="74">
        <f ca="1">'Financial Ratios'!N31</f>
        <v>0.41695191646294882</v>
      </c>
      <c r="I37" s="74">
        <f ca="1">'Financial Ratios'!O31</f>
        <v>0.41005241447906238</v>
      </c>
      <c r="J37" s="14"/>
      <c r="K37" s="2"/>
      <c r="L37" s="2"/>
      <c r="M37" s="2"/>
      <c r="N37" s="2"/>
      <c r="O37" s="3"/>
    </row>
    <row r="38" spans="2:15" x14ac:dyDescent="0.4">
      <c r="B38" s="1"/>
      <c r="C38" s="2"/>
      <c r="D38" s="16" t="s">
        <v>26</v>
      </c>
      <c r="E38" s="73">
        <f ca="1">'Financial Ratios'!K25</f>
        <v>48.215665694849363</v>
      </c>
      <c r="F38" s="73">
        <f ca="1">'Financial Ratios'!L25</f>
        <v>70.312082118561705</v>
      </c>
      <c r="G38" s="73">
        <f ca="1">'Financial Ratios'!M25</f>
        <v>104.31323615160352</v>
      </c>
      <c r="H38" s="73">
        <f ca="1">'Financial Ratios'!N25</f>
        <v>227.11735422740529</v>
      </c>
      <c r="I38" s="73">
        <f ca="1">'Financial Ratios'!O25</f>
        <v>490.35470845481058</v>
      </c>
      <c r="J38" s="14"/>
      <c r="K38" s="2"/>
      <c r="L38" s="2"/>
      <c r="M38" s="2"/>
      <c r="N38" s="2"/>
      <c r="O38" s="3"/>
    </row>
    <row r="39" spans="2:15" x14ac:dyDescent="0.4">
      <c r="B39" s="1"/>
      <c r="C39" s="2"/>
      <c r="D39" s="16" t="s">
        <v>27</v>
      </c>
      <c r="E39" s="73">
        <f ca="1">'Financial Ratios'!K8</f>
        <v>33.265328866117969</v>
      </c>
      <c r="F39" s="73">
        <f ca="1">'Financial Ratios'!L8</f>
        <v>33.457918288873557</v>
      </c>
      <c r="G39" s="73">
        <f ca="1">'Financial Ratios'!M8</f>
        <v>38.012438337169868</v>
      </c>
      <c r="H39" s="73">
        <f ca="1">'Financial Ratios'!N8</f>
        <v>48.469181679832303</v>
      </c>
      <c r="I39" s="73">
        <f ca="1">'Financial Ratios'!O8</f>
        <v>54.402904486714711</v>
      </c>
      <c r="J39" s="14"/>
      <c r="K39" s="2"/>
      <c r="L39" s="2"/>
      <c r="M39" s="2"/>
      <c r="N39" s="2"/>
      <c r="O39" s="3"/>
    </row>
    <row r="40" spans="2:15" x14ac:dyDescent="0.4">
      <c r="B40" s="1"/>
      <c r="C40" s="2"/>
      <c r="D40" s="16" t="s">
        <v>28</v>
      </c>
      <c r="E40" s="73">
        <f ca="1">'Financial Ratios'!K24</f>
        <v>0.11877122771898251</v>
      </c>
      <c r="F40" s="73">
        <f ca="1">'Financial Ratios'!L24</f>
        <v>6.3432200041764697E-2</v>
      </c>
      <c r="G40" s="73">
        <f ca="1">'Financial Ratios'!M24</f>
        <v>4.1154722618709061E-2</v>
      </c>
      <c r="H40" s="73">
        <f ca="1">'Financial Ratios'!N24</f>
        <v>2.558478959468137E-2</v>
      </c>
      <c r="I40" s="73">
        <f ca="1">'Financial Ratios'!O24</f>
        <v>1.8152941533080221E-2</v>
      </c>
      <c r="J40" s="14"/>
      <c r="K40" s="2"/>
      <c r="L40" s="2"/>
      <c r="M40" s="2"/>
      <c r="N40" s="2"/>
      <c r="O40" s="3"/>
    </row>
    <row r="41" spans="2:15" x14ac:dyDescent="0.4">
      <c r="B41" s="1"/>
      <c r="C41" s="2"/>
      <c r="D41" s="16" t="s">
        <v>29</v>
      </c>
      <c r="E41" s="74">
        <f ca="1">'Financial Ratios'!K32</f>
        <v>1.0612667677716945</v>
      </c>
      <c r="F41" s="74">
        <f ca="1">'Financial Ratios'!L32</f>
        <v>0.57731196463758994</v>
      </c>
      <c r="G41" s="74">
        <f ca="1">'Financial Ratios'!M32</f>
        <v>0.4165531490320683</v>
      </c>
      <c r="H41" s="74">
        <f ca="1">'Financial Ratios'!N32</f>
        <v>0.42418648993690522</v>
      </c>
      <c r="I41" s="74">
        <f ca="1">'Financial Ratios'!O32</f>
        <v>0.34029690890316416</v>
      </c>
      <c r="J41" s="14"/>
      <c r="K41" s="2"/>
      <c r="L41" s="2"/>
      <c r="M41" s="2"/>
      <c r="N41" s="2"/>
      <c r="O41" s="3"/>
    </row>
    <row r="42" spans="2:15" x14ac:dyDescent="0.4">
      <c r="B42" s="1"/>
      <c r="C42" s="2"/>
      <c r="D42" s="16" t="s">
        <v>30</v>
      </c>
      <c r="E42" s="74">
        <f ca="1">'Financial Ratios'!K33</f>
        <v>0.77424347041280517</v>
      </c>
      <c r="F42" s="74">
        <f ca="1">'Financial Ratios'!L33</f>
        <v>0.46911989353128503</v>
      </c>
      <c r="G42" s="74">
        <f ca="1">'Financial Ratios'!M33</f>
        <v>0.36854412376990664</v>
      </c>
      <c r="H42" s="74">
        <f ca="1">'Financial Ratios'!N33</f>
        <v>0.36872517683169603</v>
      </c>
      <c r="I42" s="74">
        <f ca="1">'Financial Ratios'!O33</f>
        <v>0.30259236120162486</v>
      </c>
      <c r="J42" s="14"/>
      <c r="K42" s="2"/>
      <c r="L42" s="2"/>
      <c r="M42" s="2"/>
      <c r="N42" s="2"/>
      <c r="O42" s="3"/>
    </row>
    <row r="43" spans="2:15" ht="15" thickBot="1" x14ac:dyDescent="0.4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</sheetData>
  <hyperlinks>
    <hyperlink ref="N6" r:id="rId1" xr:uid="{77654E8D-D8FF-4B79-AFA3-AB13157FB113}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69A1038-DA2E-440E-8BF6-AAAB564B5C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Summary!E13:I13</xm:f>
              <xm:sqref>J13</xm:sqref>
            </x14:sparkline>
            <x14:sparkline>
              <xm:f>Summary!E14:I14</xm:f>
              <xm:sqref>J14</xm:sqref>
            </x14:sparkline>
            <x14:sparkline>
              <xm:f>Summary!E15:I15</xm:f>
              <xm:sqref>J15</xm:sqref>
            </x14:sparkline>
            <x14:sparkline>
              <xm:f>Summary!E16:I16</xm:f>
              <xm:sqref>J16</xm:sqref>
            </x14:sparkline>
            <x14:sparkline>
              <xm:f>Summary!E17:I17</xm:f>
              <xm:sqref>J17</xm:sqref>
            </x14:sparkline>
            <x14:sparkline>
              <xm:f>Summary!E18:I18</xm:f>
              <xm:sqref>J18</xm:sqref>
            </x14:sparkline>
          </x14:sparklines>
        </x14:sparklineGroup>
        <x14:sparklineGroup displayEmptyCellsAs="gap" xr2:uid="{6A1D1654-D0F9-448F-AA59-DBEAC2FB7A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Summary!E21:I21</xm:f>
              <xm:sqref>J21</xm:sqref>
            </x14:sparkline>
            <x14:sparkline>
              <xm:f>Summary!E22:I22</xm:f>
              <xm:sqref>J22</xm:sqref>
            </x14:sparkline>
            <x14:sparkline>
              <xm:f>Summary!E23:I23</xm:f>
              <xm:sqref>J23</xm:sqref>
            </x14:sparkline>
            <x14:sparkline>
              <xm:f>Summary!E24:I24</xm:f>
              <xm:sqref>J24</xm:sqref>
            </x14:sparkline>
            <x14:sparkline>
              <xm:f>Summary!E25:I25</xm:f>
              <xm:sqref>J25</xm:sqref>
            </x14:sparkline>
          </x14:sparklines>
        </x14:sparklineGroup>
        <x14:sparklineGroup displayEmptyCellsAs="gap" xr2:uid="{297E7FD5-6915-4CFC-AF4A-F055415D87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Summary!E28:I28</xm:f>
              <xm:sqref>J28</xm:sqref>
            </x14:sparkline>
            <x14:sparkline>
              <xm:f>Summary!E29:I29</xm:f>
              <xm:sqref>J29</xm:sqref>
            </x14:sparkline>
            <x14:sparkline>
              <xm:f>Summary!E30:I30</xm:f>
              <xm:sqref>J30</xm:sqref>
            </x14:sparkline>
            <x14:sparkline>
              <xm:f>Summary!E31:I31</xm:f>
              <xm:sqref>J31</xm:sqref>
            </x14:sparkline>
            <x14:sparkline>
              <xm:f>Summary!E32:I32</xm:f>
              <xm:sqref>J32</xm:sqref>
            </x14:sparkline>
          </x14:sparklines>
        </x14:sparklineGroup>
        <x14:sparklineGroup displayEmptyCellsAs="gap" xr2:uid="{5B1D8BF1-1D68-456E-B20F-B8195E7B2F2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Summary!E35:I35</xm:f>
              <xm:sqref>J35</xm:sqref>
            </x14:sparkline>
            <x14:sparkline>
              <xm:f>Summary!E36:I36</xm:f>
              <xm:sqref>J36</xm:sqref>
            </x14:sparkline>
            <x14:sparkline>
              <xm:f>Summary!E37:I37</xm:f>
              <xm:sqref>J37</xm:sqref>
            </x14:sparkline>
            <x14:sparkline>
              <xm:f>Summary!E38:I38</xm:f>
              <xm:sqref>J38</xm:sqref>
            </x14:sparkline>
            <x14:sparkline>
              <xm:f>Summary!E39:I39</xm:f>
              <xm:sqref>J39</xm:sqref>
            </x14:sparkline>
            <x14:sparkline>
              <xm:f>Summary!E40:I40</xm:f>
              <xm:sqref>J40</xm:sqref>
            </x14:sparkline>
            <x14:sparkline>
              <xm:f>Summary!E41:I41</xm:f>
              <xm:sqref>J41</xm:sqref>
            </x14:sparkline>
            <x14:sparkline>
              <xm:f>Summary!E42:I42</xm:f>
              <xm:sqref>J42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B3C-491A-4D3B-A2D6-93C778B68482}">
  <sheetPr>
    <tabColor theme="4"/>
  </sheetPr>
  <dimension ref="B1:T19"/>
  <sheetViews>
    <sheetView showGridLines="0" workbookViewId="0">
      <selection activeCell="L17" sqref="L17"/>
    </sheetView>
  </sheetViews>
  <sheetFormatPr defaultRowHeight="14.6" x14ac:dyDescent="0.4"/>
  <sheetData>
    <row r="1" spans="2:20" s="12" customFormat="1" x14ac:dyDescent="0.4">
      <c r="C1" s="12" t="str">
        <f>Summary!D3</f>
        <v>CK Healthcare Limited</v>
      </c>
      <c r="K1" s="12" t="str">
        <f>Scenarios!K1</f>
        <v>Currently running scenario: Conservative</v>
      </c>
      <c r="T1" s="12" t="str">
        <f>Summary!K2</f>
        <v>Last Updated: 24-July-2020</v>
      </c>
    </row>
    <row r="3" spans="2:20" ht="20.6" x14ac:dyDescent="0.55000000000000004">
      <c r="B3" s="18" t="s">
        <v>31</v>
      </c>
      <c r="C3" s="18"/>
      <c r="D3" s="18"/>
      <c r="E3" s="18"/>
      <c r="F3" s="18"/>
      <c r="G3" s="18"/>
      <c r="H3" s="18"/>
    </row>
    <row r="5" spans="2:20" x14ac:dyDescent="0.4">
      <c r="B5">
        <v>1</v>
      </c>
      <c r="C5" s="20" t="s">
        <v>32</v>
      </c>
    </row>
    <row r="6" spans="2:20" x14ac:dyDescent="0.4">
      <c r="B6">
        <v>2</v>
      </c>
      <c r="C6" s="20" t="s">
        <v>33</v>
      </c>
    </row>
    <row r="7" spans="2:20" x14ac:dyDescent="0.4">
      <c r="B7">
        <v>3</v>
      </c>
      <c r="C7" s="20" t="s">
        <v>34</v>
      </c>
    </row>
    <row r="8" spans="2:20" x14ac:dyDescent="0.4">
      <c r="B8">
        <v>4</v>
      </c>
      <c r="C8" s="20" t="s">
        <v>35</v>
      </c>
    </row>
    <row r="9" spans="2:20" x14ac:dyDescent="0.4">
      <c r="B9">
        <v>5</v>
      </c>
      <c r="C9" s="20" t="s">
        <v>36</v>
      </c>
    </row>
    <row r="10" spans="2:20" x14ac:dyDescent="0.4">
      <c r="B10">
        <v>6</v>
      </c>
      <c r="C10" s="20" t="s">
        <v>37</v>
      </c>
    </row>
    <row r="11" spans="2:20" x14ac:dyDescent="0.4">
      <c r="B11">
        <v>7</v>
      </c>
      <c r="C11" s="20" t="s">
        <v>38</v>
      </c>
    </row>
    <row r="12" spans="2:20" x14ac:dyDescent="0.4">
      <c r="B12">
        <v>8</v>
      </c>
      <c r="C12" s="20" t="s">
        <v>39</v>
      </c>
    </row>
    <row r="13" spans="2:20" x14ac:dyDescent="0.4">
      <c r="B13">
        <v>9</v>
      </c>
      <c r="C13" s="20" t="s">
        <v>40</v>
      </c>
    </row>
    <row r="14" spans="2:20" x14ac:dyDescent="0.4">
      <c r="B14">
        <v>10</v>
      </c>
      <c r="C14" s="20" t="s">
        <v>41</v>
      </c>
    </row>
    <row r="15" spans="2:20" x14ac:dyDescent="0.4">
      <c r="B15">
        <v>11</v>
      </c>
      <c r="C15" s="20" t="s">
        <v>3</v>
      </c>
    </row>
    <row r="16" spans="2:20" x14ac:dyDescent="0.4">
      <c r="B16">
        <v>12</v>
      </c>
      <c r="C16" s="20" t="s">
        <v>10</v>
      </c>
    </row>
    <row r="17" spans="2:3" x14ac:dyDescent="0.4">
      <c r="B17">
        <v>13</v>
      </c>
      <c r="C17" s="20" t="s">
        <v>42</v>
      </c>
    </row>
    <row r="18" spans="2:3" x14ac:dyDescent="0.4">
      <c r="B18">
        <v>14</v>
      </c>
      <c r="C18" s="20" t="s">
        <v>43</v>
      </c>
    </row>
    <row r="19" spans="2:3" x14ac:dyDescent="0.4">
      <c r="B19">
        <v>15</v>
      </c>
      <c r="C19" s="20" t="s">
        <v>44</v>
      </c>
    </row>
  </sheetData>
  <hyperlinks>
    <hyperlink ref="C5" location="'Model Inputs'!A1" display="Model Inputs and Financial Plans" xr:uid="{D91F8E8F-EF9E-4E06-8B36-CD4AD0F12966}"/>
    <hyperlink ref="C6" location="'Director and Staff Costs'!A1" display="Director and Staff Costs" xr:uid="{B5FC9785-E518-4B92-BB91-66BB4113425A}"/>
    <hyperlink ref="C7" location="Scenarios!A1" display="Scenarios" xr:uid="{50092991-C62A-40E5-A3C1-2FE0EF6162E6}"/>
    <hyperlink ref="C8" location="Revenue!A1" display="Revenue Schedule" xr:uid="{799B0A27-653F-43BA-9614-715F61079AB8}"/>
    <hyperlink ref="C9" location="'Cost of Sales'!A1" display="Cost of Sales Schedule" xr:uid="{0C33790E-38EE-4E4D-85B8-F472AA5409E1}"/>
    <hyperlink ref="C10" location="'Working Capital'!A1" display="Working Capital Schedule" xr:uid="{AC5BF149-932E-46E0-A248-5D681C034C55}"/>
    <hyperlink ref="C11" location="Depreciation!A1" display="Depreciation Schedule" xr:uid="{8E88331E-53B4-4B50-B967-F13DEF896193}"/>
    <hyperlink ref="C12" location="Debt!A1" display="Debt Schedule" xr:uid="{1423DA8E-0D87-4B20-AD95-F71AD859A9A1}"/>
    <hyperlink ref="C13" location="Equity!A1" display="Equity Schedule" xr:uid="{82B0B78E-8D36-4568-812A-858565CBE601}"/>
    <hyperlink ref="C14" location="Tax!A1" display="Tax Schedule" xr:uid="{A3CE582C-EF84-43EE-A3B3-7F198ADD909D}"/>
    <hyperlink ref="C15" location="'Income Statement'!A1" display="Income Statement" xr:uid="{43F0C1FC-C25F-4EA3-AB25-CCA145F1BA6E}"/>
    <hyperlink ref="C16" location="'Balance Sheet'!A1" display="Balance Sheet" xr:uid="{FBD258E7-D3A3-4066-906E-03499F505C42}"/>
    <hyperlink ref="C17" location="Cashflow!A1" display="Cashflow Statement" xr:uid="{39E1FEB4-DEC7-4304-B337-091B262DFF52}"/>
    <hyperlink ref="C18" location="'DCF Valuation'!A1" display="DCF Valuation" xr:uid="{2C6B043B-CF3E-4CAC-AD26-4912D7B2BC4F}"/>
    <hyperlink ref="C19" location="'Financial Ratios'!A1" display="Financial Ratios &amp; Charts" xr:uid="{A6FE7907-3528-47FF-949E-6352975D252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8DD2-B0DD-464A-9B3C-7B46D40246A5}">
  <sheetPr>
    <tabColor theme="7"/>
  </sheetPr>
  <dimension ref="B1:T116"/>
  <sheetViews>
    <sheetView showGridLines="0" zoomScale="130" zoomScaleNormal="130" workbookViewId="0">
      <selection activeCell="G13" sqref="G13"/>
    </sheetView>
  </sheetViews>
  <sheetFormatPr defaultRowHeight="14.6" x14ac:dyDescent="0.4"/>
  <cols>
    <col min="1" max="1" width="4.69140625" style="26" customWidth="1"/>
    <col min="2" max="2" width="3.15234375" style="26" customWidth="1"/>
    <col min="3" max="3" width="47.3828125" style="26" customWidth="1"/>
    <col min="4" max="4" width="9.23046875" style="26"/>
    <col min="5" max="5" width="3.53515625" style="26" customWidth="1"/>
    <col min="6" max="6" width="11.4609375" style="26" customWidth="1"/>
    <col min="7" max="7" width="8.53515625" style="26" bestFit="1" customWidth="1"/>
    <col min="8" max="8" width="8.53515625" style="26" customWidth="1"/>
    <col min="9" max="9" width="9.3828125" style="26" bestFit="1" customWidth="1"/>
    <col min="10" max="10" width="14.3828125" style="26" customWidth="1"/>
    <col min="11" max="15" width="14.23046875" style="26" bestFit="1" customWidth="1"/>
    <col min="16" max="16" width="11.69140625" style="26" bestFit="1" customWidth="1"/>
    <col min="17" max="16384" width="9.23046875" style="26"/>
  </cols>
  <sheetData>
    <row r="1" spans="2:20" s="34" customFormat="1" x14ac:dyDescent="0.4">
      <c r="C1" s="34" t="str">
        <f>Summary!D3</f>
        <v>CK Healthcare Limited</v>
      </c>
      <c r="K1" s="34" t="str">
        <f>Scenarios!K1</f>
        <v>Currently running scenario: Conservative</v>
      </c>
      <c r="O1" s="64" t="s">
        <v>240</v>
      </c>
      <c r="T1" s="34" t="str">
        <f>Summary!K2</f>
        <v>Last Updated: 24-July-2020</v>
      </c>
    </row>
    <row r="3" spans="2:20" ht="20.6" x14ac:dyDescent="0.55000000000000004">
      <c r="B3" s="35" t="s">
        <v>32</v>
      </c>
      <c r="C3" s="35"/>
      <c r="D3" s="35"/>
      <c r="E3" s="35"/>
      <c r="F3" s="35"/>
      <c r="G3" s="35"/>
      <c r="H3" s="35"/>
    </row>
    <row r="6" spans="2:20" x14ac:dyDescent="0.4">
      <c r="B6" s="22"/>
      <c r="C6" s="23" t="s">
        <v>294</v>
      </c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</row>
    <row r="7" spans="2:20" x14ac:dyDescent="0.4">
      <c r="F7" s="36"/>
    </row>
    <row r="8" spans="2:20" x14ac:dyDescent="0.4">
      <c r="B8" s="26" t="s">
        <v>136</v>
      </c>
      <c r="F8" s="37"/>
    </row>
    <row r="9" spans="2:20" x14ac:dyDescent="0.4">
      <c r="C9" s="26" t="s">
        <v>47</v>
      </c>
      <c r="D9" s="26" t="s">
        <v>117</v>
      </c>
      <c r="F9" s="37"/>
      <c r="G9" s="33"/>
      <c r="H9" s="33"/>
      <c r="I9" s="33"/>
      <c r="J9" s="33"/>
      <c r="K9" s="33">
        <v>500000</v>
      </c>
      <c r="L9" s="33">
        <v>600000</v>
      </c>
      <c r="M9" s="33">
        <v>750000</v>
      </c>
      <c r="N9" s="33">
        <v>900000</v>
      </c>
      <c r="O9" s="33">
        <v>1000000</v>
      </c>
    </row>
    <row r="10" spans="2:20" x14ac:dyDescent="0.4">
      <c r="C10" s="26" t="s">
        <v>48</v>
      </c>
      <c r="D10" s="26" t="s">
        <v>49</v>
      </c>
      <c r="F10" s="37"/>
      <c r="G10" s="32"/>
      <c r="H10" s="32"/>
      <c r="I10" s="32"/>
      <c r="J10" s="32"/>
      <c r="K10" s="32">
        <v>1000</v>
      </c>
      <c r="L10" s="32">
        <v>1000</v>
      </c>
      <c r="M10" s="32">
        <v>1000</v>
      </c>
      <c r="N10" s="32">
        <v>1200</v>
      </c>
      <c r="O10" s="32">
        <v>1200</v>
      </c>
    </row>
    <row r="11" spans="2:20" x14ac:dyDescent="0.4">
      <c r="C11" s="26" t="s">
        <v>50</v>
      </c>
      <c r="D11" s="26" t="s">
        <v>49</v>
      </c>
      <c r="F11" s="37"/>
      <c r="G11" s="32"/>
      <c r="H11" s="32"/>
      <c r="I11" s="32"/>
      <c r="J11" s="32"/>
      <c r="K11" s="32">
        <v>400</v>
      </c>
      <c r="L11" s="32">
        <v>400</v>
      </c>
      <c r="M11" s="32">
        <v>450</v>
      </c>
      <c r="N11" s="32">
        <v>450</v>
      </c>
      <c r="O11" s="32">
        <v>500</v>
      </c>
    </row>
    <row r="12" spans="2:20" x14ac:dyDescent="0.4">
      <c r="F12" s="37"/>
    </row>
    <row r="13" spans="2:20" x14ac:dyDescent="0.4">
      <c r="B13" s="26" t="s">
        <v>114</v>
      </c>
      <c r="F13" s="37"/>
    </row>
    <row r="14" spans="2:20" x14ac:dyDescent="0.4">
      <c r="C14" s="26" t="s">
        <v>47</v>
      </c>
      <c r="D14" s="26" t="s">
        <v>117</v>
      </c>
      <c r="F14" s="37"/>
      <c r="G14" s="33"/>
      <c r="H14" s="33"/>
      <c r="I14" s="33"/>
      <c r="J14" s="33"/>
      <c r="K14" s="33">
        <v>800000</v>
      </c>
      <c r="L14" s="33">
        <v>850000</v>
      </c>
      <c r="M14" s="33">
        <v>900000</v>
      </c>
      <c r="N14" s="33">
        <v>950000</v>
      </c>
      <c r="O14" s="33">
        <v>1050000</v>
      </c>
    </row>
    <row r="15" spans="2:20" x14ac:dyDescent="0.4">
      <c r="C15" s="26" t="s">
        <v>48</v>
      </c>
      <c r="D15" s="26" t="s">
        <v>49</v>
      </c>
      <c r="F15" s="37"/>
      <c r="G15" s="32"/>
      <c r="H15" s="32"/>
      <c r="I15" s="32"/>
      <c r="J15" s="32"/>
      <c r="K15" s="32">
        <v>500</v>
      </c>
      <c r="L15" s="32">
        <v>500</v>
      </c>
      <c r="M15" s="32">
        <v>500</v>
      </c>
      <c r="N15" s="32">
        <v>500</v>
      </c>
      <c r="O15" s="32">
        <v>500</v>
      </c>
    </row>
    <row r="16" spans="2:20" x14ac:dyDescent="0.4">
      <c r="C16" s="26" t="s">
        <v>50</v>
      </c>
      <c r="D16" s="26" t="s">
        <v>49</v>
      </c>
      <c r="F16" s="37"/>
      <c r="G16" s="32"/>
      <c r="H16" s="32"/>
      <c r="I16" s="32"/>
      <c r="J16" s="32"/>
      <c r="K16" s="32">
        <v>180</v>
      </c>
      <c r="L16" s="32">
        <v>180</v>
      </c>
      <c r="M16" s="32">
        <v>180</v>
      </c>
      <c r="N16" s="32">
        <v>180</v>
      </c>
      <c r="O16" s="32">
        <v>180</v>
      </c>
    </row>
    <row r="17" spans="2:15" x14ac:dyDescent="0.4">
      <c r="F17" s="37"/>
    </row>
    <row r="18" spans="2:15" x14ac:dyDescent="0.4">
      <c r="B18" s="26" t="s">
        <v>115</v>
      </c>
      <c r="F18" s="37"/>
    </row>
    <row r="19" spans="2:15" x14ac:dyDescent="0.4">
      <c r="C19" s="26" t="s">
        <v>47</v>
      </c>
      <c r="D19" s="26" t="s">
        <v>117</v>
      </c>
      <c r="F19" s="37"/>
      <c r="G19" s="33"/>
      <c r="H19" s="33"/>
      <c r="I19" s="33"/>
      <c r="J19" s="33"/>
      <c r="K19" s="33">
        <v>1000000</v>
      </c>
      <c r="L19" s="33">
        <v>1500000</v>
      </c>
      <c r="M19" s="33">
        <v>2200000</v>
      </c>
      <c r="N19" s="33">
        <v>2800000</v>
      </c>
      <c r="O19" s="33">
        <v>4000000</v>
      </c>
    </row>
    <row r="20" spans="2:15" x14ac:dyDescent="0.4">
      <c r="C20" s="26" t="s">
        <v>48</v>
      </c>
      <c r="D20" s="26" t="s">
        <v>49</v>
      </c>
      <c r="F20" s="37"/>
      <c r="G20" s="32"/>
      <c r="H20" s="32"/>
      <c r="I20" s="32"/>
      <c r="J20" s="32"/>
      <c r="K20" s="32">
        <v>20</v>
      </c>
      <c r="L20" s="32">
        <v>20</v>
      </c>
      <c r="M20" s="32">
        <v>20</v>
      </c>
      <c r="N20" s="32">
        <v>20</v>
      </c>
      <c r="O20" s="32">
        <v>20</v>
      </c>
    </row>
    <row r="21" spans="2:15" x14ac:dyDescent="0.4">
      <c r="C21" s="26" t="s">
        <v>50</v>
      </c>
      <c r="D21" s="26" t="s">
        <v>49</v>
      </c>
      <c r="F21" s="37"/>
      <c r="G21" s="32"/>
      <c r="H21" s="32"/>
      <c r="I21" s="32"/>
      <c r="J21" s="32"/>
      <c r="K21" s="32">
        <v>10</v>
      </c>
      <c r="L21" s="32">
        <v>10</v>
      </c>
      <c r="M21" s="32">
        <v>10</v>
      </c>
      <c r="N21" s="32">
        <v>10</v>
      </c>
      <c r="O21" s="32">
        <v>10</v>
      </c>
    </row>
    <row r="22" spans="2:15" x14ac:dyDescent="0.4">
      <c r="F22" s="37"/>
    </row>
    <row r="23" spans="2:15" x14ac:dyDescent="0.4">
      <c r="B23" s="26" t="s">
        <v>116</v>
      </c>
      <c r="F23" s="37"/>
    </row>
    <row r="24" spans="2:15" x14ac:dyDescent="0.4">
      <c r="C24" s="26" t="s">
        <v>47</v>
      </c>
      <c r="F24" s="37"/>
      <c r="G24" s="33"/>
      <c r="H24" s="33"/>
      <c r="I24" s="33"/>
      <c r="J24" s="33"/>
      <c r="K24" s="33">
        <v>1000000</v>
      </c>
      <c r="L24" s="33">
        <v>1500000</v>
      </c>
      <c r="M24" s="33">
        <v>2200000</v>
      </c>
      <c r="N24" s="33">
        <v>2800000</v>
      </c>
      <c r="O24" s="33">
        <v>4000000</v>
      </c>
    </row>
    <row r="25" spans="2:15" x14ac:dyDescent="0.4">
      <c r="C25" s="26" t="s">
        <v>48</v>
      </c>
      <c r="D25" s="26" t="s">
        <v>49</v>
      </c>
      <c r="F25" s="37"/>
      <c r="G25" s="32"/>
      <c r="H25" s="32"/>
      <c r="I25" s="32"/>
      <c r="J25" s="32"/>
      <c r="K25" s="32">
        <v>10</v>
      </c>
      <c r="L25" s="32">
        <v>10</v>
      </c>
      <c r="M25" s="32">
        <v>10</v>
      </c>
      <c r="N25" s="32">
        <v>10</v>
      </c>
      <c r="O25" s="32">
        <v>10</v>
      </c>
    </row>
    <row r="26" spans="2:15" x14ac:dyDescent="0.4">
      <c r="C26" s="26" t="s">
        <v>50</v>
      </c>
      <c r="D26" s="26" t="s">
        <v>49</v>
      </c>
      <c r="F26" s="37"/>
      <c r="G26" s="32"/>
      <c r="H26" s="32"/>
      <c r="I26" s="32"/>
      <c r="J26" s="32"/>
      <c r="K26" s="32">
        <v>6</v>
      </c>
      <c r="L26" s="32">
        <v>6</v>
      </c>
      <c r="M26" s="32">
        <v>6</v>
      </c>
      <c r="N26" s="32">
        <v>6</v>
      </c>
      <c r="O26" s="32">
        <v>6</v>
      </c>
    </row>
    <row r="27" spans="2:15" x14ac:dyDescent="0.4">
      <c r="F27" s="37"/>
    </row>
    <row r="28" spans="2:15" x14ac:dyDescent="0.4">
      <c r="F28" s="37"/>
    </row>
    <row r="29" spans="2:15" x14ac:dyDescent="0.4">
      <c r="B29" s="26" t="s">
        <v>51</v>
      </c>
      <c r="F29" s="37"/>
    </row>
    <row r="30" spans="2:15" x14ac:dyDescent="0.4">
      <c r="C30" s="26" t="s">
        <v>52</v>
      </c>
      <c r="D30" s="26" t="s">
        <v>49</v>
      </c>
      <c r="F30" s="37"/>
      <c r="G30" s="33"/>
      <c r="H30" s="33"/>
      <c r="I30" s="33"/>
      <c r="J30" s="33"/>
      <c r="K30" s="33">
        <v>2000000</v>
      </c>
      <c r="L30" s="33">
        <v>2000000</v>
      </c>
      <c r="M30" s="33">
        <v>2000000</v>
      </c>
      <c r="N30" s="33">
        <v>2000000</v>
      </c>
      <c r="O30" s="33">
        <v>2000000</v>
      </c>
    </row>
    <row r="31" spans="2:15" x14ac:dyDescent="0.4">
      <c r="C31" s="26" t="s">
        <v>53</v>
      </c>
      <c r="D31" s="26" t="s">
        <v>49</v>
      </c>
      <c r="F31" s="37"/>
      <c r="G31" s="33"/>
      <c r="H31" s="33"/>
      <c r="I31" s="33"/>
      <c r="J31" s="33"/>
      <c r="K31" s="33">
        <f>'Directors and Staff Costs'!K9</f>
        <v>6500000</v>
      </c>
      <c r="L31" s="33">
        <f>('Directors and Staff Costs'!L9)*1.1</f>
        <v>7150000.0000000009</v>
      </c>
      <c r="M31" s="33">
        <f>('Directors and Staff Costs'!M9)*1.2</f>
        <v>7800000</v>
      </c>
      <c r="N31" s="33">
        <f>('Directors and Staff Costs'!N9)*1.3</f>
        <v>8450000</v>
      </c>
      <c r="O31" s="33">
        <f>('Directors and Staff Costs'!O9)*1.4</f>
        <v>9100000</v>
      </c>
    </row>
    <row r="32" spans="2:15" x14ac:dyDescent="0.4">
      <c r="C32" s="26" t="s">
        <v>54</v>
      </c>
      <c r="D32" s="26" t="s">
        <v>49</v>
      </c>
      <c r="F32" s="37"/>
      <c r="G32" s="33"/>
      <c r="H32" s="33"/>
      <c r="I32" s="33"/>
      <c r="J32" s="33"/>
      <c r="K32" s="33">
        <v>1500000</v>
      </c>
      <c r="L32" s="33">
        <v>1650000.0000000002</v>
      </c>
      <c r="M32" s="33">
        <v>1800000</v>
      </c>
      <c r="N32" s="33">
        <v>1950000</v>
      </c>
      <c r="O32" s="33">
        <v>2100000</v>
      </c>
    </row>
    <row r="33" spans="3:15" x14ac:dyDescent="0.4">
      <c r="C33" s="26" t="s">
        <v>55</v>
      </c>
      <c r="D33" s="26" t="s">
        <v>49</v>
      </c>
      <c r="F33" s="37"/>
      <c r="G33" s="33"/>
      <c r="H33" s="33"/>
      <c r="I33" s="33"/>
      <c r="J33" s="33"/>
      <c r="K33" s="33">
        <v>1200000</v>
      </c>
      <c r="L33" s="33">
        <v>1320000</v>
      </c>
      <c r="M33" s="33">
        <v>1440000</v>
      </c>
      <c r="N33" s="33">
        <v>1560000</v>
      </c>
      <c r="O33" s="33">
        <v>1680000</v>
      </c>
    </row>
    <row r="34" spans="3:15" x14ac:dyDescent="0.4">
      <c r="C34" s="26" t="s">
        <v>56</v>
      </c>
      <c r="D34" s="26" t="s">
        <v>49</v>
      </c>
      <c r="F34" s="37"/>
      <c r="G34" s="33"/>
      <c r="H34" s="33"/>
      <c r="I34" s="33"/>
      <c r="J34" s="33"/>
      <c r="K34" s="33">
        <v>2000000</v>
      </c>
      <c r="L34" s="33">
        <v>2200000</v>
      </c>
      <c r="M34" s="33">
        <v>2400000</v>
      </c>
      <c r="N34" s="33">
        <v>2600000</v>
      </c>
      <c r="O34" s="33">
        <v>2800000</v>
      </c>
    </row>
    <row r="35" spans="3:15" x14ac:dyDescent="0.4">
      <c r="C35" s="26" t="s">
        <v>57</v>
      </c>
      <c r="D35" s="26" t="s">
        <v>49</v>
      </c>
      <c r="F35" s="37"/>
      <c r="G35" s="33"/>
      <c r="H35" s="33"/>
      <c r="I35" s="33"/>
      <c r="J35" s="33"/>
      <c r="K35" s="33">
        <v>5000000</v>
      </c>
      <c r="L35" s="33">
        <v>5500000</v>
      </c>
      <c r="M35" s="33">
        <v>6000000</v>
      </c>
      <c r="N35" s="33">
        <v>6500000</v>
      </c>
      <c r="O35" s="33">
        <v>7000000</v>
      </c>
    </row>
    <row r="36" spans="3:15" x14ac:dyDescent="0.4">
      <c r="C36" s="26" t="s">
        <v>58</v>
      </c>
      <c r="D36" s="26" t="s">
        <v>49</v>
      </c>
      <c r="F36" s="37"/>
      <c r="G36" s="33"/>
      <c r="H36" s="33"/>
      <c r="I36" s="33"/>
      <c r="J36" s="33"/>
      <c r="K36" s="33">
        <v>1000000</v>
      </c>
      <c r="L36" s="33">
        <v>1100000</v>
      </c>
      <c r="M36" s="33">
        <v>1200000</v>
      </c>
      <c r="N36" s="33">
        <v>1300000</v>
      </c>
      <c r="O36" s="33">
        <v>1400000</v>
      </c>
    </row>
    <row r="37" spans="3:15" x14ac:dyDescent="0.4">
      <c r="C37" s="26" t="s">
        <v>126</v>
      </c>
      <c r="D37" s="26" t="s">
        <v>49</v>
      </c>
      <c r="F37" s="37"/>
      <c r="G37" s="33"/>
      <c r="H37" s="33"/>
      <c r="I37" s="33"/>
      <c r="J37" s="33"/>
      <c r="K37" s="33">
        <v>400000</v>
      </c>
      <c r="L37" s="33">
        <v>440000.00000000006</v>
      </c>
      <c r="M37" s="33">
        <v>480000</v>
      </c>
      <c r="N37" s="33">
        <v>520000</v>
      </c>
      <c r="O37" s="33">
        <v>560000</v>
      </c>
    </row>
    <row r="38" spans="3:15" x14ac:dyDescent="0.4">
      <c r="C38" s="26" t="s">
        <v>59</v>
      </c>
      <c r="D38" s="26" t="s">
        <v>49</v>
      </c>
      <c r="F38" s="37"/>
      <c r="G38" s="33"/>
      <c r="H38" s="33"/>
      <c r="I38" s="33"/>
      <c r="J38" s="33"/>
      <c r="K38" s="33">
        <v>800000</v>
      </c>
      <c r="L38" s="33">
        <v>880000.00000000012</v>
      </c>
      <c r="M38" s="33">
        <v>960000</v>
      </c>
      <c r="N38" s="33">
        <v>1040000</v>
      </c>
      <c r="O38" s="33">
        <v>1120000</v>
      </c>
    </row>
    <row r="39" spans="3:15" x14ac:dyDescent="0.4">
      <c r="C39" s="26" t="s">
        <v>60</v>
      </c>
      <c r="D39" s="26" t="s">
        <v>49</v>
      </c>
      <c r="F39" s="37"/>
      <c r="G39" s="33"/>
      <c r="H39" s="33"/>
      <c r="I39" s="33"/>
      <c r="J39" s="33"/>
      <c r="K39" s="33">
        <v>500000</v>
      </c>
      <c r="L39" s="33">
        <v>550000</v>
      </c>
      <c r="M39" s="33">
        <v>600000</v>
      </c>
      <c r="N39" s="33">
        <v>650000</v>
      </c>
      <c r="O39" s="33">
        <v>700000</v>
      </c>
    </row>
    <row r="40" spans="3:15" x14ac:dyDescent="0.4">
      <c r="C40" s="26" t="s">
        <v>61</v>
      </c>
      <c r="D40" s="26" t="s">
        <v>49</v>
      </c>
      <c r="F40" s="37"/>
      <c r="G40" s="33"/>
      <c r="H40" s="33"/>
      <c r="I40" s="33"/>
      <c r="J40" s="33"/>
      <c r="K40" s="33">
        <v>300000</v>
      </c>
      <c r="L40" s="33">
        <v>330000</v>
      </c>
      <c r="M40" s="33">
        <v>360000</v>
      </c>
      <c r="N40" s="33">
        <v>390000</v>
      </c>
      <c r="O40" s="33">
        <v>420000</v>
      </c>
    </row>
    <row r="41" spans="3:15" x14ac:dyDescent="0.4">
      <c r="C41" s="26" t="s">
        <v>62</v>
      </c>
      <c r="D41" s="26" t="s">
        <v>49</v>
      </c>
      <c r="F41" s="37"/>
      <c r="G41" s="33"/>
      <c r="H41" s="33"/>
      <c r="I41" s="33"/>
      <c r="J41" s="33"/>
      <c r="K41" s="33">
        <f>'Directors and Staff Costs'!K10</f>
        <v>47619533.527696788</v>
      </c>
      <c r="L41" s="33">
        <f>'Directors and Staff Costs'!L10</f>
        <v>47619533.527696788</v>
      </c>
      <c r="M41" s="33">
        <f>'Directors and Staff Costs'!M10</f>
        <v>57143440.233236142</v>
      </c>
      <c r="N41" s="33">
        <f>'Directors and Staff Costs'!N10</f>
        <v>57143440.233236142</v>
      </c>
      <c r="O41" s="33">
        <f>'Directors and Staff Costs'!O10</f>
        <v>57143440.233236142</v>
      </c>
    </row>
    <row r="42" spans="3:15" x14ac:dyDescent="0.4">
      <c r="C42" s="26" t="s">
        <v>63</v>
      </c>
      <c r="D42" s="26" t="s">
        <v>49</v>
      </c>
      <c r="F42" s="37"/>
      <c r="G42" s="33"/>
      <c r="H42" s="33"/>
      <c r="I42" s="33"/>
      <c r="J42" s="33"/>
      <c r="K42" s="33">
        <v>500000</v>
      </c>
      <c r="L42" s="33">
        <v>550000</v>
      </c>
      <c r="M42" s="33">
        <v>600000</v>
      </c>
      <c r="N42" s="33">
        <v>650000</v>
      </c>
      <c r="O42" s="33">
        <v>700000</v>
      </c>
    </row>
    <row r="43" spans="3:15" x14ac:dyDescent="0.4">
      <c r="C43" s="26" t="s">
        <v>64</v>
      </c>
      <c r="D43" s="26" t="s">
        <v>49</v>
      </c>
      <c r="F43" s="37"/>
      <c r="G43" s="33"/>
      <c r="H43" s="33"/>
      <c r="I43" s="33"/>
      <c r="J43" s="33"/>
      <c r="K43" s="33">
        <v>1200000</v>
      </c>
      <c r="L43" s="33">
        <v>1320000</v>
      </c>
      <c r="M43" s="33">
        <v>1440000</v>
      </c>
      <c r="N43" s="33">
        <v>1560000</v>
      </c>
      <c r="O43" s="33">
        <v>1680000</v>
      </c>
    </row>
    <row r="44" spans="3:15" x14ac:dyDescent="0.4">
      <c r="C44" s="26" t="s">
        <v>65</v>
      </c>
      <c r="D44" s="26" t="s">
        <v>49</v>
      </c>
      <c r="F44" s="37"/>
      <c r="G44" s="33"/>
      <c r="H44" s="33"/>
      <c r="I44" s="33"/>
      <c r="J44" s="33"/>
      <c r="K44" s="33">
        <v>1500000</v>
      </c>
      <c r="L44" s="33">
        <v>1650000.0000000002</v>
      </c>
      <c r="M44" s="33">
        <v>1800000</v>
      </c>
      <c r="N44" s="33">
        <v>1950000</v>
      </c>
      <c r="O44" s="33">
        <v>2100000</v>
      </c>
    </row>
    <row r="45" spans="3:15" x14ac:dyDescent="0.4">
      <c r="C45" s="26" t="s">
        <v>66</v>
      </c>
      <c r="D45" s="26" t="s">
        <v>49</v>
      </c>
      <c r="F45" s="37"/>
      <c r="G45" s="33"/>
      <c r="H45" s="33"/>
      <c r="I45" s="33"/>
      <c r="J45" s="33"/>
      <c r="K45" s="33">
        <v>1200000</v>
      </c>
      <c r="L45" s="33">
        <v>1320000</v>
      </c>
      <c r="M45" s="33">
        <v>1440000</v>
      </c>
      <c r="N45" s="33">
        <v>1560000</v>
      </c>
      <c r="O45" s="33">
        <v>1680000</v>
      </c>
    </row>
    <row r="46" spans="3:15" x14ac:dyDescent="0.4">
      <c r="C46" s="26" t="s">
        <v>67</v>
      </c>
      <c r="D46" s="26" t="s">
        <v>49</v>
      </c>
      <c r="F46" s="37"/>
      <c r="G46" s="33"/>
      <c r="H46" s="33"/>
      <c r="I46" s="33"/>
      <c r="J46" s="33"/>
      <c r="K46" s="33">
        <v>500000</v>
      </c>
      <c r="L46" s="33">
        <v>550000</v>
      </c>
      <c r="M46" s="33">
        <v>600000</v>
      </c>
      <c r="N46" s="33">
        <v>650000</v>
      </c>
      <c r="O46" s="33">
        <v>700000</v>
      </c>
    </row>
    <row r="47" spans="3:15" ht="15" thickBot="1" x14ac:dyDescent="0.45">
      <c r="F47" s="37"/>
      <c r="G47" s="38"/>
      <c r="H47" s="38"/>
      <c r="I47" s="38"/>
      <c r="J47" s="38"/>
      <c r="K47" s="46">
        <f>SUM(K30:K46)</f>
        <v>73719533.527696788</v>
      </c>
      <c r="L47" s="46">
        <f t="shared" ref="L47:O47" si="0">SUM(L30:L46)</f>
        <v>76129533.527696788</v>
      </c>
      <c r="M47" s="46">
        <f t="shared" si="0"/>
        <v>88063440.233236134</v>
      </c>
      <c r="N47" s="46">
        <f t="shared" si="0"/>
        <v>90473440.233236134</v>
      </c>
      <c r="O47" s="46">
        <f t="shared" si="0"/>
        <v>92883440.233236134</v>
      </c>
    </row>
    <row r="48" spans="3:15" ht="15" thickTop="1" x14ac:dyDescent="0.4">
      <c r="F48" s="37"/>
      <c r="J48" s="30"/>
    </row>
    <row r="49" spans="2:15" x14ac:dyDescent="0.4">
      <c r="B49" s="26" t="s">
        <v>68</v>
      </c>
      <c r="F49" s="37"/>
    </row>
    <row r="50" spans="2:15" x14ac:dyDescent="0.4">
      <c r="C50" s="26" t="s">
        <v>69</v>
      </c>
      <c r="D50" s="26" t="s">
        <v>49</v>
      </c>
      <c r="F50" s="37"/>
      <c r="G50" s="33"/>
      <c r="H50" s="33"/>
      <c r="I50" s="33"/>
      <c r="J50" s="33"/>
      <c r="K50" s="33">
        <v>1500000</v>
      </c>
      <c r="L50" s="33">
        <v>1500000</v>
      </c>
      <c r="M50" s="33">
        <v>1500000</v>
      </c>
      <c r="N50" s="33">
        <v>1500000</v>
      </c>
      <c r="O50" s="33">
        <v>1500000</v>
      </c>
    </row>
    <row r="51" spans="2:15" x14ac:dyDescent="0.4">
      <c r="C51" s="26" t="s">
        <v>70</v>
      </c>
      <c r="D51" s="26" t="s">
        <v>49</v>
      </c>
      <c r="F51" s="37"/>
      <c r="G51" s="33"/>
      <c r="H51" s="33"/>
      <c r="I51" s="33"/>
      <c r="J51" s="33"/>
      <c r="K51" s="33">
        <v>200000</v>
      </c>
      <c r="L51" s="33">
        <v>200000</v>
      </c>
      <c r="M51" s="33">
        <v>200000</v>
      </c>
      <c r="N51" s="33">
        <v>200000</v>
      </c>
      <c r="O51" s="33">
        <v>200000</v>
      </c>
    </row>
    <row r="52" spans="2:15" x14ac:dyDescent="0.4">
      <c r="C52" s="26" t="s">
        <v>71</v>
      </c>
      <c r="D52" s="26" t="s">
        <v>49</v>
      </c>
      <c r="F52" s="37"/>
      <c r="G52" s="33"/>
      <c r="H52" s="33"/>
      <c r="I52" s="33"/>
      <c r="J52" s="33"/>
      <c r="K52" s="33">
        <v>500000</v>
      </c>
      <c r="L52" s="33">
        <v>500000</v>
      </c>
      <c r="M52" s="33">
        <v>500000</v>
      </c>
      <c r="N52" s="33">
        <v>500000</v>
      </c>
      <c r="O52" s="33">
        <v>500000</v>
      </c>
    </row>
    <row r="53" spans="2:15" x14ac:dyDescent="0.4">
      <c r="C53" s="26" t="s">
        <v>67</v>
      </c>
      <c r="D53" s="26" t="s">
        <v>49</v>
      </c>
      <c r="F53" s="37"/>
      <c r="G53" s="33"/>
      <c r="H53" s="33"/>
      <c r="I53" s="33"/>
      <c r="J53" s="33"/>
      <c r="K53" s="33"/>
      <c r="L53" s="33"/>
      <c r="M53" s="33"/>
      <c r="N53" s="33"/>
      <c r="O53" s="33"/>
    </row>
    <row r="54" spans="2:15" ht="15" thickBot="1" x14ac:dyDescent="0.45">
      <c r="F54" s="37"/>
      <c r="G54" s="38"/>
      <c r="H54" s="38"/>
      <c r="I54" s="38"/>
      <c r="J54" s="38"/>
      <c r="K54" s="46">
        <f>SUM(K50:K53)</f>
        <v>2200000</v>
      </c>
      <c r="L54" s="46">
        <f t="shared" ref="L54:O54" si="1">SUM(L50:L53)</f>
        <v>2200000</v>
      </c>
      <c r="M54" s="46">
        <f t="shared" si="1"/>
        <v>2200000</v>
      </c>
      <c r="N54" s="46">
        <f t="shared" si="1"/>
        <v>2200000</v>
      </c>
      <c r="O54" s="46">
        <f t="shared" si="1"/>
        <v>2200000</v>
      </c>
    </row>
    <row r="55" spans="2:15" ht="15" thickTop="1" x14ac:dyDescent="0.4">
      <c r="F55" s="37"/>
    </row>
    <row r="56" spans="2:15" x14ac:dyDescent="0.4">
      <c r="B56" s="26" t="s">
        <v>72</v>
      </c>
      <c r="F56" s="37"/>
    </row>
    <row r="57" spans="2:15" x14ac:dyDescent="0.4">
      <c r="C57" s="26" t="s">
        <v>73</v>
      </c>
      <c r="D57" s="26" t="s">
        <v>49</v>
      </c>
      <c r="F57" s="37"/>
      <c r="K57" s="32">
        <v>0</v>
      </c>
      <c r="L57" s="32">
        <v>0</v>
      </c>
      <c r="M57" s="32">
        <v>0</v>
      </c>
      <c r="N57" s="32">
        <v>0</v>
      </c>
      <c r="O57" s="32">
        <v>0</v>
      </c>
    </row>
    <row r="58" spans="2:15" x14ac:dyDescent="0.4">
      <c r="F58" s="37"/>
    </row>
    <row r="59" spans="2:15" x14ac:dyDescent="0.4">
      <c r="F59" s="37"/>
    </row>
    <row r="60" spans="2:15" x14ac:dyDescent="0.4">
      <c r="B60" s="26" t="s">
        <v>74</v>
      </c>
      <c r="F60" s="37"/>
    </row>
    <row r="61" spans="2:15" x14ac:dyDescent="0.4">
      <c r="C61" s="26" t="s">
        <v>75</v>
      </c>
      <c r="D61" s="26" t="s">
        <v>76</v>
      </c>
      <c r="F61" s="37"/>
      <c r="G61" s="39">
        <v>0.3</v>
      </c>
      <c r="H61" s="39">
        <v>0.3</v>
      </c>
      <c r="I61" s="39">
        <v>0.3</v>
      </c>
      <c r="J61" s="39">
        <v>0.3</v>
      </c>
      <c r="K61" s="39">
        <v>0.3</v>
      </c>
      <c r="L61" s="39">
        <v>0.3</v>
      </c>
      <c r="M61" s="39">
        <v>0.3</v>
      </c>
      <c r="N61" s="39">
        <v>0.3</v>
      </c>
      <c r="O61" s="39">
        <v>0.3</v>
      </c>
    </row>
    <row r="62" spans="2:15" x14ac:dyDescent="0.4">
      <c r="F62" s="37"/>
    </row>
    <row r="63" spans="2:15" x14ac:dyDescent="0.4">
      <c r="B63" s="26" t="s">
        <v>127</v>
      </c>
      <c r="F63" s="37"/>
    </row>
    <row r="64" spans="2:15" x14ac:dyDescent="0.4">
      <c r="C64" s="26" t="s">
        <v>77</v>
      </c>
      <c r="D64" s="26" t="s">
        <v>49</v>
      </c>
      <c r="E64" s="33"/>
      <c r="F64" s="40"/>
      <c r="J64" s="47">
        <v>0</v>
      </c>
      <c r="K64" s="33">
        <f>SUM(J64:J65)+J66</f>
        <v>50000000</v>
      </c>
      <c r="L64" s="33">
        <f t="shared" ref="L64:O64" si="2">SUM(K64:K65)+K66</f>
        <v>40000000</v>
      </c>
      <c r="M64" s="33">
        <f t="shared" si="2"/>
        <v>30000000</v>
      </c>
      <c r="N64" s="33">
        <f t="shared" si="2"/>
        <v>20000000</v>
      </c>
      <c r="O64" s="33">
        <f t="shared" si="2"/>
        <v>10000000</v>
      </c>
    </row>
    <row r="65" spans="2:15" x14ac:dyDescent="0.4">
      <c r="C65" s="26" t="s">
        <v>78</v>
      </c>
      <c r="E65" s="33"/>
      <c r="F65" s="40"/>
      <c r="J65" s="47">
        <v>50000000</v>
      </c>
      <c r="K65" s="33"/>
      <c r="L65" s="30"/>
      <c r="M65" s="30"/>
      <c r="N65" s="30"/>
      <c r="O65" s="30"/>
    </row>
    <row r="66" spans="2:15" x14ac:dyDescent="0.4">
      <c r="C66" s="26" t="s">
        <v>79</v>
      </c>
      <c r="D66" s="26" t="s">
        <v>49</v>
      </c>
      <c r="E66" s="42"/>
      <c r="F66" s="43"/>
      <c r="K66" s="30">
        <f>-$J$65/$J$69</f>
        <v>-10000000</v>
      </c>
      <c r="L66" s="30">
        <f t="shared" ref="L66:O66" si="3">-$J$65/$J$69</f>
        <v>-10000000</v>
      </c>
      <c r="M66" s="30">
        <f t="shared" si="3"/>
        <v>-10000000</v>
      </c>
      <c r="N66" s="30">
        <f t="shared" si="3"/>
        <v>-10000000</v>
      </c>
      <c r="O66" s="30">
        <f t="shared" si="3"/>
        <v>-10000000</v>
      </c>
    </row>
    <row r="67" spans="2:15" x14ac:dyDescent="0.4">
      <c r="C67" s="26" t="s">
        <v>80</v>
      </c>
      <c r="D67" s="26" t="s">
        <v>49</v>
      </c>
      <c r="F67" s="37"/>
      <c r="K67" s="30">
        <f>-K64*$J$68</f>
        <v>-10000000</v>
      </c>
      <c r="L67" s="30">
        <f t="shared" ref="L67:O67" si="4">-L64*$J$68</f>
        <v>-8000000</v>
      </c>
      <c r="M67" s="30">
        <f t="shared" si="4"/>
        <v>-6000000</v>
      </c>
      <c r="N67" s="30">
        <f t="shared" si="4"/>
        <v>-4000000</v>
      </c>
      <c r="O67" s="30">
        <f t="shared" si="4"/>
        <v>-2000000</v>
      </c>
    </row>
    <row r="68" spans="2:15" x14ac:dyDescent="0.4">
      <c r="C68" s="26" t="s">
        <v>81</v>
      </c>
      <c r="D68" s="26" t="s">
        <v>76</v>
      </c>
      <c r="F68" s="37"/>
      <c r="J68" s="39">
        <v>0.2</v>
      </c>
      <c r="K68" s="39"/>
      <c r="L68" s="39"/>
      <c r="M68" s="39"/>
    </row>
    <row r="69" spans="2:15" x14ac:dyDescent="0.4">
      <c r="C69" s="26" t="s">
        <v>82</v>
      </c>
      <c r="D69" s="26" t="s">
        <v>83</v>
      </c>
      <c r="F69" s="37"/>
      <c r="J69" s="26">
        <v>5</v>
      </c>
    </row>
    <row r="70" spans="2:15" x14ac:dyDescent="0.4">
      <c r="E70" s="33"/>
      <c r="F70" s="40"/>
    </row>
    <row r="71" spans="2:15" x14ac:dyDescent="0.4">
      <c r="B71" s="26" t="s">
        <v>84</v>
      </c>
      <c r="E71" s="42"/>
      <c r="F71" s="43"/>
    </row>
    <row r="72" spans="2:15" x14ac:dyDescent="0.4">
      <c r="C72" s="26" t="s">
        <v>77</v>
      </c>
      <c r="D72" s="26" t="s">
        <v>49</v>
      </c>
      <c r="F72" s="37"/>
    </row>
    <row r="73" spans="2:15" x14ac:dyDescent="0.4">
      <c r="C73" s="26" t="s">
        <v>78</v>
      </c>
      <c r="E73" s="33"/>
      <c r="F73" s="40"/>
      <c r="K73" s="32"/>
      <c r="L73" s="41"/>
      <c r="M73" s="41"/>
    </row>
    <row r="74" spans="2:15" x14ac:dyDescent="0.4">
      <c r="C74" s="26" t="s">
        <v>79</v>
      </c>
      <c r="D74" s="26" t="s">
        <v>49</v>
      </c>
      <c r="F74" s="37"/>
    </row>
    <row r="75" spans="2:15" x14ac:dyDescent="0.4">
      <c r="C75" s="26" t="s">
        <v>80</v>
      </c>
      <c r="D75" s="26" t="s">
        <v>49</v>
      </c>
      <c r="F75" s="37"/>
    </row>
    <row r="76" spans="2:15" x14ac:dyDescent="0.4">
      <c r="C76" s="26" t="s">
        <v>81</v>
      </c>
      <c r="D76" s="26" t="s">
        <v>76</v>
      </c>
      <c r="F76" s="37"/>
    </row>
    <row r="77" spans="2:15" x14ac:dyDescent="0.4">
      <c r="C77" s="26" t="s">
        <v>82</v>
      </c>
      <c r="D77" s="26" t="s">
        <v>83</v>
      </c>
      <c r="F77" s="37"/>
    </row>
    <row r="78" spans="2:15" x14ac:dyDescent="0.4">
      <c r="F78" s="37"/>
    </row>
    <row r="79" spans="2:15" x14ac:dyDescent="0.4">
      <c r="B79" s="26" t="s">
        <v>85</v>
      </c>
      <c r="E79" s="42"/>
      <c r="F79" s="43"/>
    </row>
    <row r="80" spans="2:15" x14ac:dyDescent="0.4">
      <c r="C80" s="26" t="s">
        <v>77</v>
      </c>
      <c r="D80" s="26" t="s">
        <v>49</v>
      </c>
      <c r="F80" s="37"/>
    </row>
    <row r="81" spans="2:15" x14ac:dyDescent="0.4">
      <c r="C81" s="26" t="s">
        <v>78</v>
      </c>
      <c r="E81" s="33"/>
      <c r="F81" s="40"/>
      <c r="K81" s="32"/>
      <c r="L81" s="41"/>
      <c r="M81" s="41"/>
    </row>
    <row r="82" spans="2:15" x14ac:dyDescent="0.4">
      <c r="C82" s="26" t="s">
        <v>79</v>
      </c>
      <c r="D82" s="26" t="s">
        <v>49</v>
      </c>
      <c r="F82" s="37"/>
    </row>
    <row r="83" spans="2:15" x14ac:dyDescent="0.4">
      <c r="C83" s="26" t="s">
        <v>80</v>
      </c>
      <c r="D83" s="26" t="s">
        <v>49</v>
      </c>
      <c r="F83" s="37"/>
    </row>
    <row r="84" spans="2:15" x14ac:dyDescent="0.4">
      <c r="C84" s="26" t="s">
        <v>81</v>
      </c>
      <c r="D84" s="26" t="s">
        <v>76</v>
      </c>
      <c r="F84" s="37"/>
    </row>
    <row r="85" spans="2:15" x14ac:dyDescent="0.4">
      <c r="C85" s="26" t="s">
        <v>82</v>
      </c>
      <c r="D85" s="26" t="s">
        <v>83</v>
      </c>
      <c r="F85" s="37"/>
    </row>
    <row r="86" spans="2:15" x14ac:dyDescent="0.4">
      <c r="F86" s="37"/>
    </row>
    <row r="87" spans="2:15" x14ac:dyDescent="0.4">
      <c r="B87" s="26" t="s">
        <v>86</v>
      </c>
      <c r="F87" s="37"/>
    </row>
    <row r="88" spans="2:15" x14ac:dyDescent="0.4">
      <c r="C88" s="26" t="s">
        <v>81</v>
      </c>
      <c r="D88" s="26" t="s">
        <v>76</v>
      </c>
      <c r="F88" s="37"/>
      <c r="G88" s="39">
        <v>0.15</v>
      </c>
      <c r="H88" s="39">
        <v>0.15</v>
      </c>
      <c r="I88" s="39">
        <v>0.15</v>
      </c>
      <c r="J88" s="39">
        <v>0.15</v>
      </c>
      <c r="K88" s="39">
        <v>0.15</v>
      </c>
      <c r="L88" s="39">
        <v>0.15</v>
      </c>
      <c r="M88" s="39">
        <v>0.15</v>
      </c>
      <c r="N88" s="39">
        <v>0.15</v>
      </c>
      <c r="O88" s="39">
        <v>0.15</v>
      </c>
    </row>
    <row r="89" spans="2:15" x14ac:dyDescent="0.4">
      <c r="F89" s="37"/>
      <c r="J89" s="39"/>
      <c r="K89" s="39"/>
      <c r="L89" s="39"/>
      <c r="M89" s="39"/>
      <c r="N89" s="39"/>
      <c r="O89" s="39"/>
    </row>
    <row r="90" spans="2:15" x14ac:dyDescent="0.4">
      <c r="B90" s="26" t="s">
        <v>239</v>
      </c>
      <c r="D90" s="26" t="s">
        <v>76</v>
      </c>
      <c r="F90" s="37"/>
      <c r="G90" s="39">
        <v>0.05</v>
      </c>
      <c r="H90" s="39">
        <v>0.05</v>
      </c>
      <c r="I90" s="39">
        <v>0.05</v>
      </c>
      <c r="J90" s="39">
        <v>0.05</v>
      </c>
      <c r="K90" s="39">
        <v>0.05</v>
      </c>
      <c r="L90" s="39">
        <v>0.05</v>
      </c>
      <c r="M90" s="39">
        <v>0.05</v>
      </c>
      <c r="N90" s="39">
        <v>0.05</v>
      </c>
      <c r="O90" s="39">
        <v>0.05</v>
      </c>
    </row>
    <row r="91" spans="2:15" x14ac:dyDescent="0.4">
      <c r="F91" s="37"/>
      <c r="J91" s="39"/>
      <c r="K91" s="39"/>
      <c r="L91" s="39"/>
      <c r="M91" s="39"/>
      <c r="N91" s="39"/>
      <c r="O91" s="39"/>
    </row>
    <row r="92" spans="2:15" x14ac:dyDescent="0.4">
      <c r="F92" s="37"/>
    </row>
    <row r="93" spans="2:15" x14ac:dyDescent="0.4">
      <c r="B93" s="26" t="s">
        <v>15</v>
      </c>
      <c r="F93" s="37"/>
    </row>
    <row r="94" spans="2:15" x14ac:dyDescent="0.4">
      <c r="C94" s="26" t="s">
        <v>87</v>
      </c>
      <c r="D94" s="26" t="s">
        <v>49</v>
      </c>
      <c r="F94" s="37"/>
      <c r="J94" s="33">
        <v>100000000</v>
      </c>
      <c r="K94" s="33"/>
      <c r="L94" s="33"/>
      <c r="M94" s="33"/>
      <c r="N94" s="33"/>
      <c r="O94" s="33"/>
    </row>
    <row r="95" spans="2:15" x14ac:dyDescent="0.4">
      <c r="C95" s="26" t="s">
        <v>88</v>
      </c>
      <c r="D95" s="26" t="s">
        <v>76</v>
      </c>
      <c r="F95" s="37"/>
      <c r="J95" s="39">
        <v>0</v>
      </c>
      <c r="K95" s="39">
        <v>0</v>
      </c>
      <c r="L95" s="39">
        <v>0</v>
      </c>
      <c r="M95" s="39">
        <v>0.1</v>
      </c>
      <c r="N95" s="39">
        <v>0.1</v>
      </c>
      <c r="O95" s="39">
        <v>0.1</v>
      </c>
    </row>
    <row r="96" spans="2:15" x14ac:dyDescent="0.4">
      <c r="C96" s="26" t="s">
        <v>89</v>
      </c>
      <c r="D96" s="26" t="s">
        <v>49</v>
      </c>
      <c r="F96" s="37"/>
      <c r="J96" s="33"/>
      <c r="K96" s="33"/>
      <c r="L96" s="33">
        <v>25000000</v>
      </c>
      <c r="M96" s="33"/>
      <c r="N96" s="33"/>
      <c r="O96" s="33"/>
    </row>
    <row r="97" spans="2:15" x14ac:dyDescent="0.4">
      <c r="C97" s="26" t="s">
        <v>90</v>
      </c>
      <c r="D97" s="26" t="s">
        <v>76</v>
      </c>
      <c r="F97" s="37"/>
      <c r="J97" s="39">
        <v>0</v>
      </c>
      <c r="K97" s="39">
        <v>0</v>
      </c>
      <c r="L97" s="39">
        <v>0</v>
      </c>
      <c r="M97" s="39">
        <v>0.05</v>
      </c>
      <c r="N97" s="39">
        <v>0.05</v>
      </c>
      <c r="O97" s="39">
        <v>0.05</v>
      </c>
    </row>
    <row r="98" spans="2:15" x14ac:dyDescent="0.4">
      <c r="F98" s="37"/>
    </row>
    <row r="99" spans="2:15" x14ac:dyDescent="0.4">
      <c r="B99" s="26" t="s">
        <v>91</v>
      </c>
      <c r="E99" s="26" t="s">
        <v>92</v>
      </c>
      <c r="F99" s="37"/>
    </row>
    <row r="100" spans="2:15" x14ac:dyDescent="0.4">
      <c r="C100" s="26" t="s">
        <v>93</v>
      </c>
      <c r="D100" s="44">
        <v>35</v>
      </c>
      <c r="E100" s="26">
        <v>0</v>
      </c>
      <c r="F100" s="37"/>
      <c r="G100" s="33"/>
      <c r="H100" s="33"/>
      <c r="I100" s="33"/>
      <c r="J100" s="33">
        <v>30000000</v>
      </c>
      <c r="K100" s="33"/>
      <c r="L100" s="33"/>
      <c r="M100" s="33"/>
      <c r="N100" s="33"/>
      <c r="O100" s="33"/>
    </row>
    <row r="101" spans="2:15" x14ac:dyDescent="0.4">
      <c r="C101" s="26" t="s">
        <v>94</v>
      </c>
      <c r="D101" s="44">
        <v>15</v>
      </c>
      <c r="E101" s="26">
        <v>0</v>
      </c>
      <c r="F101" s="37"/>
      <c r="G101" s="33"/>
      <c r="H101" s="33"/>
      <c r="I101" s="33"/>
      <c r="J101" s="33">
        <v>40000000</v>
      </c>
      <c r="K101" s="33"/>
      <c r="L101" s="33"/>
      <c r="M101" s="33">
        <v>20000000</v>
      </c>
      <c r="N101" s="33"/>
      <c r="O101" s="33"/>
    </row>
    <row r="102" spans="2:15" x14ac:dyDescent="0.4">
      <c r="C102" s="26" t="s">
        <v>95</v>
      </c>
      <c r="D102" s="44">
        <v>5</v>
      </c>
      <c r="E102" s="26">
        <v>0</v>
      </c>
      <c r="F102" s="37"/>
      <c r="G102" s="33"/>
      <c r="H102" s="33"/>
      <c r="I102" s="33"/>
      <c r="J102" s="33"/>
      <c r="K102" s="33">
        <v>20000000</v>
      </c>
      <c r="L102" s="33"/>
      <c r="M102" s="33">
        <v>5000000</v>
      </c>
      <c r="N102" s="33"/>
      <c r="O102" s="33"/>
    </row>
    <row r="103" spans="2:15" x14ac:dyDescent="0.4">
      <c r="C103" s="26" t="s">
        <v>96</v>
      </c>
      <c r="D103" s="44">
        <v>5</v>
      </c>
      <c r="E103" s="26">
        <v>0</v>
      </c>
      <c r="F103" s="37"/>
      <c r="G103" s="33"/>
      <c r="H103" s="33"/>
      <c r="I103" s="33"/>
      <c r="J103" s="33"/>
      <c r="K103" s="33">
        <v>10000000</v>
      </c>
      <c r="L103" s="33"/>
      <c r="M103" s="33">
        <v>2000000</v>
      </c>
      <c r="N103" s="33">
        <v>2000000</v>
      </c>
      <c r="O103" s="33">
        <v>2000000</v>
      </c>
    </row>
    <row r="104" spans="2:15" x14ac:dyDescent="0.4">
      <c r="C104" s="26" t="s">
        <v>97</v>
      </c>
      <c r="D104" s="44">
        <v>4</v>
      </c>
      <c r="E104" s="26">
        <v>0</v>
      </c>
      <c r="F104" s="37"/>
      <c r="G104" s="33"/>
      <c r="H104" s="33"/>
      <c r="I104" s="33"/>
      <c r="J104" s="33"/>
      <c r="K104" s="33">
        <v>8000000</v>
      </c>
      <c r="L104" s="33">
        <v>1000000</v>
      </c>
      <c r="M104" s="33">
        <v>1000000</v>
      </c>
      <c r="N104" s="33">
        <v>6000000</v>
      </c>
      <c r="O104" s="33">
        <v>1000000</v>
      </c>
    </row>
    <row r="105" spans="2:15" x14ac:dyDescent="0.4">
      <c r="C105" s="26" t="s">
        <v>98</v>
      </c>
      <c r="D105" s="44">
        <v>5</v>
      </c>
      <c r="E105" s="26">
        <v>0</v>
      </c>
      <c r="F105" s="37"/>
      <c r="G105" s="33"/>
      <c r="H105" s="33"/>
      <c r="I105" s="33"/>
      <c r="J105" s="33"/>
      <c r="K105" s="33">
        <v>2000000</v>
      </c>
      <c r="L105" s="33"/>
      <c r="M105" s="33"/>
      <c r="N105" s="33"/>
      <c r="O105" s="33">
        <v>2500000</v>
      </c>
    </row>
    <row r="106" spans="2:15" x14ac:dyDescent="0.4">
      <c r="F106" s="37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2:15" x14ac:dyDescent="0.4">
      <c r="B107" s="26" t="s">
        <v>99</v>
      </c>
      <c r="F107" s="37"/>
    </row>
    <row r="108" spans="2:15" x14ac:dyDescent="0.4">
      <c r="C108" s="26" t="s">
        <v>100</v>
      </c>
      <c r="D108" s="26" t="s">
        <v>101</v>
      </c>
      <c r="F108" s="37"/>
      <c r="J108" s="26">
        <v>15</v>
      </c>
      <c r="K108" s="26">
        <v>15</v>
      </c>
      <c r="L108" s="26">
        <v>15</v>
      </c>
      <c r="M108" s="26">
        <v>15</v>
      </c>
      <c r="N108" s="26">
        <v>15</v>
      </c>
      <c r="O108" s="26">
        <v>15</v>
      </c>
    </row>
    <row r="109" spans="2:15" x14ac:dyDescent="0.4">
      <c r="C109" s="26" t="s">
        <v>102</v>
      </c>
      <c r="D109" s="26" t="s">
        <v>101</v>
      </c>
      <c r="F109" s="37"/>
      <c r="J109" s="26">
        <v>5</v>
      </c>
      <c r="K109" s="26">
        <v>10</v>
      </c>
      <c r="L109" s="26">
        <v>20</v>
      </c>
      <c r="M109" s="26">
        <v>20</v>
      </c>
      <c r="N109" s="26">
        <v>20</v>
      </c>
      <c r="O109" s="26">
        <v>20</v>
      </c>
    </row>
    <row r="110" spans="2:15" x14ac:dyDescent="0.4">
      <c r="C110" s="26" t="s">
        <v>103</v>
      </c>
      <c r="D110" s="26" t="s">
        <v>101</v>
      </c>
      <c r="F110" s="37"/>
      <c r="G110" s="45"/>
      <c r="J110" s="26">
        <v>10</v>
      </c>
      <c r="K110" s="26">
        <v>10</v>
      </c>
      <c r="L110" s="26">
        <v>10</v>
      </c>
      <c r="M110" s="26">
        <v>10</v>
      </c>
      <c r="N110" s="26">
        <v>10</v>
      </c>
      <c r="O110" s="26">
        <v>10</v>
      </c>
    </row>
    <row r="111" spans="2:15" x14ac:dyDescent="0.4">
      <c r="C111" s="26" t="s">
        <v>104</v>
      </c>
      <c r="D111" s="26" t="s">
        <v>101</v>
      </c>
      <c r="F111" s="37"/>
      <c r="J111" s="26">
        <v>2</v>
      </c>
      <c r="K111" s="26">
        <v>2</v>
      </c>
      <c r="L111" s="26">
        <v>2</v>
      </c>
      <c r="M111" s="26">
        <v>2</v>
      </c>
      <c r="N111" s="26">
        <v>2</v>
      </c>
      <c r="O111" s="26">
        <v>2</v>
      </c>
    </row>
    <row r="112" spans="2:15" x14ac:dyDescent="0.4">
      <c r="C112" s="26" t="s">
        <v>105</v>
      </c>
      <c r="D112" s="26" t="s">
        <v>101</v>
      </c>
      <c r="F112" s="37"/>
      <c r="J112" s="26">
        <v>2</v>
      </c>
      <c r="K112" s="26">
        <v>2</v>
      </c>
      <c r="L112" s="26">
        <v>2</v>
      </c>
      <c r="M112" s="26">
        <v>2</v>
      </c>
      <c r="N112" s="26">
        <v>2</v>
      </c>
      <c r="O112" s="26">
        <v>2</v>
      </c>
    </row>
    <row r="113" spans="6:6" x14ac:dyDescent="0.4">
      <c r="F113" s="37"/>
    </row>
    <row r="114" spans="6:6" x14ac:dyDescent="0.4">
      <c r="F114" s="37"/>
    </row>
    <row r="115" spans="6:6" x14ac:dyDescent="0.4">
      <c r="F115" s="37"/>
    </row>
    <row r="116" spans="6:6" x14ac:dyDescent="0.4">
      <c r="F116" s="37"/>
    </row>
  </sheetData>
  <hyperlinks>
    <hyperlink ref="O1" location="'Table of Content'!A1" display="&gt;&gt; Table of Contents" xr:uid="{1EDA8EBF-FFBC-471D-992F-316A663EFEE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9253-9FA4-4901-83DE-40293D9E5810}">
  <sheetPr>
    <tabColor theme="7"/>
  </sheetPr>
  <dimension ref="A1:T30"/>
  <sheetViews>
    <sheetView showGridLines="0" workbookViewId="0">
      <selection activeCell="F27" sqref="F27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9" width="10.53515625" bestFit="1" customWidth="1"/>
    <col min="10" max="15" width="11.152343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1:20" ht="20.6" x14ac:dyDescent="0.55000000000000004">
      <c r="B3" s="19" t="s">
        <v>128</v>
      </c>
      <c r="C3" s="19"/>
      <c r="D3" s="19"/>
      <c r="E3" s="19"/>
      <c r="F3" s="19"/>
      <c r="G3" s="19"/>
      <c r="H3" s="19"/>
    </row>
    <row r="5" spans="1:20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0" x14ac:dyDescent="0.4">
      <c r="A6" s="21"/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  <c r="P6" s="21"/>
    </row>
    <row r="7" spans="1:20" x14ac:dyDescent="0.4">
      <c r="A7" s="2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1"/>
    </row>
    <row r="8" spans="1:20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1"/>
    </row>
    <row r="9" spans="1:20" x14ac:dyDescent="0.4">
      <c r="A9" s="21"/>
      <c r="B9" s="27" t="s">
        <v>106</v>
      </c>
      <c r="C9" s="26"/>
      <c r="D9" s="26"/>
      <c r="E9" s="26" t="s">
        <v>49</v>
      </c>
      <c r="F9" s="26"/>
      <c r="G9" s="28">
        <f>SUM(G14:G15)</f>
        <v>0</v>
      </c>
      <c r="H9" s="28">
        <f t="shared" ref="H9:O9" si="0">SUM(H14:H15)</f>
        <v>0</v>
      </c>
      <c r="I9" s="28">
        <f t="shared" si="0"/>
        <v>0</v>
      </c>
      <c r="J9" s="28">
        <f t="shared" si="0"/>
        <v>0</v>
      </c>
      <c r="K9" s="28">
        <f t="shared" si="0"/>
        <v>6500000</v>
      </c>
      <c r="L9" s="28">
        <f t="shared" si="0"/>
        <v>6500000</v>
      </c>
      <c r="M9" s="28">
        <f t="shared" si="0"/>
        <v>6500000</v>
      </c>
      <c r="N9" s="28">
        <f t="shared" si="0"/>
        <v>6500000</v>
      </c>
      <c r="O9" s="28">
        <f t="shared" si="0"/>
        <v>6500000</v>
      </c>
      <c r="P9" s="21"/>
    </row>
    <row r="10" spans="1:20" x14ac:dyDescent="0.4">
      <c r="A10" s="21"/>
      <c r="B10" s="27" t="s">
        <v>107</v>
      </c>
      <c r="C10" s="26"/>
      <c r="D10" s="26"/>
      <c r="E10" s="26" t="s">
        <v>49</v>
      </c>
      <c r="F10" s="26"/>
      <c r="G10" s="28">
        <f t="shared" ref="G10:J10" si="1">SUM(G16:G25)</f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>SUM(K16:K25)</f>
        <v>47619533.527696788</v>
      </c>
      <c r="L10" s="28">
        <f t="shared" ref="L10:O10" si="2">SUM(L16:L25)</f>
        <v>47619533.527696788</v>
      </c>
      <c r="M10" s="28">
        <f t="shared" si="2"/>
        <v>57143440.233236142</v>
      </c>
      <c r="N10" s="28">
        <f t="shared" si="2"/>
        <v>57143440.233236142</v>
      </c>
      <c r="O10" s="28">
        <f t="shared" si="2"/>
        <v>57143440.233236142</v>
      </c>
      <c r="P10" s="21"/>
    </row>
    <row r="11" spans="1:20" x14ac:dyDescent="0.4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1"/>
    </row>
    <row r="12" spans="1:20" x14ac:dyDescent="0.4">
      <c r="A12" s="2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1"/>
    </row>
    <row r="13" spans="1:20" x14ac:dyDescent="0.4">
      <c r="A13" s="21"/>
      <c r="B13" s="26" t="s">
        <v>108</v>
      </c>
      <c r="C13" s="26"/>
      <c r="D13" s="29" t="s">
        <v>109</v>
      </c>
      <c r="E13" s="26" t="s">
        <v>292</v>
      </c>
      <c r="F13" s="26"/>
      <c r="G13" s="30"/>
      <c r="H13" s="30"/>
      <c r="I13" s="30"/>
      <c r="J13" s="30"/>
      <c r="K13" s="30"/>
      <c r="L13" s="30"/>
      <c r="M13" s="30"/>
      <c r="N13" s="30"/>
      <c r="O13" s="30"/>
      <c r="P13" s="21"/>
    </row>
    <row r="14" spans="1:20" x14ac:dyDescent="0.4">
      <c r="A14" s="21"/>
      <c r="B14" s="26"/>
      <c r="C14" s="26" t="s">
        <v>110</v>
      </c>
      <c r="D14" s="31">
        <v>1</v>
      </c>
      <c r="E14" s="32">
        <v>1500000</v>
      </c>
      <c r="F14" s="26"/>
      <c r="G14" s="33"/>
      <c r="H14" s="33"/>
      <c r="I14" s="33"/>
      <c r="J14" s="33"/>
      <c r="K14" s="33">
        <f t="shared" ref="K14:O24" si="3">$D14*$E14</f>
        <v>1500000</v>
      </c>
      <c r="L14" s="33">
        <f t="shared" si="3"/>
        <v>1500000</v>
      </c>
      <c r="M14" s="33">
        <f t="shared" si="3"/>
        <v>1500000</v>
      </c>
      <c r="N14" s="33">
        <f t="shared" si="3"/>
        <v>1500000</v>
      </c>
      <c r="O14" s="33">
        <f t="shared" si="3"/>
        <v>1500000</v>
      </c>
      <c r="P14" s="21"/>
    </row>
    <row r="15" spans="1:20" x14ac:dyDescent="0.4">
      <c r="A15" s="21"/>
      <c r="B15" s="26"/>
      <c r="C15" s="26" t="s">
        <v>111</v>
      </c>
      <c r="D15" s="31">
        <v>5</v>
      </c>
      <c r="E15" s="32">
        <v>1000000</v>
      </c>
      <c r="F15" s="26"/>
      <c r="G15" s="33"/>
      <c r="H15" s="33"/>
      <c r="I15" s="33"/>
      <c r="J15" s="33"/>
      <c r="K15" s="33">
        <f t="shared" si="3"/>
        <v>5000000</v>
      </c>
      <c r="L15" s="33">
        <f t="shared" si="3"/>
        <v>5000000</v>
      </c>
      <c r="M15" s="33">
        <f t="shared" si="3"/>
        <v>5000000</v>
      </c>
      <c r="N15" s="33">
        <f t="shared" si="3"/>
        <v>5000000</v>
      </c>
      <c r="O15" s="33">
        <f t="shared" si="3"/>
        <v>5000000</v>
      </c>
      <c r="P15" s="21"/>
    </row>
    <row r="16" spans="1:20" x14ac:dyDescent="0.4">
      <c r="A16" s="21"/>
      <c r="B16" s="26"/>
      <c r="C16" s="26" t="s">
        <v>112</v>
      </c>
      <c r="D16" s="31">
        <v>1</v>
      </c>
      <c r="E16" s="32">
        <v>6377551.0204081638</v>
      </c>
      <c r="F16" s="26"/>
      <c r="G16" s="33"/>
      <c r="H16" s="33"/>
      <c r="I16" s="33"/>
      <c r="J16" s="33"/>
      <c r="K16" s="33">
        <f t="shared" si="3"/>
        <v>6377551.0204081638</v>
      </c>
      <c r="L16" s="33">
        <f t="shared" si="3"/>
        <v>6377551.0204081638</v>
      </c>
      <c r="M16" s="33">
        <f t="shared" ref="M16:O25" si="4">($D16*$E16)*1.2</f>
        <v>7653061.224489796</v>
      </c>
      <c r="N16" s="33">
        <f t="shared" si="4"/>
        <v>7653061.224489796</v>
      </c>
      <c r="O16" s="33">
        <f t="shared" si="4"/>
        <v>7653061.224489796</v>
      </c>
      <c r="P16" s="21"/>
    </row>
    <row r="17" spans="1:16" x14ac:dyDescent="0.4">
      <c r="A17" s="21"/>
      <c r="B17" s="26"/>
      <c r="C17" s="26" t="s">
        <v>121</v>
      </c>
      <c r="D17" s="31">
        <v>1</v>
      </c>
      <c r="E17" s="32">
        <v>3500000</v>
      </c>
      <c r="F17" s="26"/>
      <c r="G17" s="33"/>
      <c r="H17" s="33"/>
      <c r="I17" s="33"/>
      <c r="J17" s="33"/>
      <c r="K17" s="33">
        <f t="shared" si="3"/>
        <v>3500000</v>
      </c>
      <c r="L17" s="33">
        <f t="shared" si="3"/>
        <v>3500000</v>
      </c>
      <c r="M17" s="33">
        <f t="shared" si="4"/>
        <v>4200000</v>
      </c>
      <c r="N17" s="33">
        <f t="shared" si="4"/>
        <v>4200000</v>
      </c>
      <c r="O17" s="33">
        <f t="shared" si="4"/>
        <v>4200000</v>
      </c>
      <c r="P17" s="21"/>
    </row>
    <row r="18" spans="1:16" x14ac:dyDescent="0.4">
      <c r="A18" s="21"/>
      <c r="B18" s="26"/>
      <c r="C18" s="26" t="s">
        <v>122</v>
      </c>
      <c r="D18" s="31">
        <v>1</v>
      </c>
      <c r="E18" s="32">
        <v>3500000</v>
      </c>
      <c r="F18" s="26"/>
      <c r="G18" s="33"/>
      <c r="H18" s="33"/>
      <c r="I18" s="33"/>
      <c r="J18" s="33"/>
      <c r="K18" s="33">
        <f t="shared" si="3"/>
        <v>3500000</v>
      </c>
      <c r="L18" s="33">
        <f t="shared" si="3"/>
        <v>3500000</v>
      </c>
      <c r="M18" s="33">
        <f t="shared" si="4"/>
        <v>4200000</v>
      </c>
      <c r="N18" s="33">
        <f t="shared" si="4"/>
        <v>4200000</v>
      </c>
      <c r="O18" s="33">
        <f t="shared" si="4"/>
        <v>4200000</v>
      </c>
      <c r="P18" s="21"/>
    </row>
    <row r="19" spans="1:16" x14ac:dyDescent="0.4">
      <c r="A19" s="21"/>
      <c r="B19" s="26"/>
      <c r="C19" s="26" t="s">
        <v>118</v>
      </c>
      <c r="D19" s="31">
        <v>5</v>
      </c>
      <c r="E19" s="32">
        <v>2466472.3032069998</v>
      </c>
      <c r="F19" s="26"/>
      <c r="G19" s="33"/>
      <c r="H19" s="33"/>
      <c r="I19" s="33"/>
      <c r="J19" s="33"/>
      <c r="K19" s="33">
        <f t="shared" si="3"/>
        <v>12332361.516034998</v>
      </c>
      <c r="L19" s="33">
        <f t="shared" si="3"/>
        <v>12332361.516034998</v>
      </c>
      <c r="M19" s="33">
        <f t="shared" si="4"/>
        <v>14798833.819241997</v>
      </c>
      <c r="N19" s="33">
        <f t="shared" si="4"/>
        <v>14798833.819241997</v>
      </c>
      <c r="O19" s="33">
        <f t="shared" si="4"/>
        <v>14798833.819241997</v>
      </c>
      <c r="P19" s="21"/>
    </row>
    <row r="20" spans="1:16" x14ac:dyDescent="0.4">
      <c r="A20" s="21"/>
      <c r="B20" s="26"/>
      <c r="C20" s="26" t="s">
        <v>120</v>
      </c>
      <c r="D20" s="31">
        <v>2</v>
      </c>
      <c r="E20" s="32">
        <v>2466472.3032069998</v>
      </c>
      <c r="F20" s="26"/>
      <c r="G20" s="33"/>
      <c r="H20" s="33"/>
      <c r="I20" s="33"/>
      <c r="J20" s="33"/>
      <c r="K20" s="33">
        <f t="shared" si="3"/>
        <v>4932944.6064139996</v>
      </c>
      <c r="L20" s="33">
        <f t="shared" si="3"/>
        <v>4932944.6064139996</v>
      </c>
      <c r="M20" s="33">
        <f t="shared" si="4"/>
        <v>5919533.5276967995</v>
      </c>
      <c r="N20" s="33">
        <f t="shared" si="4"/>
        <v>5919533.5276967995</v>
      </c>
      <c r="O20" s="33">
        <f t="shared" si="4"/>
        <v>5919533.5276967995</v>
      </c>
      <c r="P20" s="21"/>
    </row>
    <row r="21" spans="1:16" x14ac:dyDescent="0.4">
      <c r="A21" s="21"/>
      <c r="B21" s="26"/>
      <c r="C21" s="26" t="s">
        <v>113</v>
      </c>
      <c r="D21" s="31">
        <v>1</v>
      </c>
      <c r="E21" s="32">
        <v>2466472.3032069998</v>
      </c>
      <c r="F21" s="26"/>
      <c r="G21" s="33"/>
      <c r="H21" s="33"/>
      <c r="I21" s="33"/>
      <c r="J21" s="33"/>
      <c r="K21" s="33">
        <f t="shared" si="3"/>
        <v>2466472.3032069998</v>
      </c>
      <c r="L21" s="33">
        <f t="shared" si="3"/>
        <v>2466472.3032069998</v>
      </c>
      <c r="M21" s="33">
        <f t="shared" si="4"/>
        <v>2959766.7638483997</v>
      </c>
      <c r="N21" s="33">
        <f t="shared" si="4"/>
        <v>2959766.7638483997</v>
      </c>
      <c r="O21" s="33">
        <f t="shared" si="4"/>
        <v>2959766.7638483997</v>
      </c>
      <c r="P21" s="21"/>
    </row>
    <row r="22" spans="1:16" x14ac:dyDescent="0.4">
      <c r="A22" s="21"/>
      <c r="B22" s="26"/>
      <c r="C22" s="26" t="s">
        <v>123</v>
      </c>
      <c r="D22" s="29">
        <v>6</v>
      </c>
      <c r="E22" s="32">
        <v>1644314.8688046599</v>
      </c>
      <c r="F22" s="26"/>
      <c r="G22" s="33"/>
      <c r="H22" s="33"/>
      <c r="I22" s="33"/>
      <c r="J22" s="33"/>
      <c r="K22" s="33">
        <f t="shared" si="3"/>
        <v>9865889.21282796</v>
      </c>
      <c r="L22" s="33">
        <f t="shared" si="3"/>
        <v>9865889.21282796</v>
      </c>
      <c r="M22" s="33">
        <f t="shared" si="4"/>
        <v>11839067.055393552</v>
      </c>
      <c r="N22" s="33">
        <f t="shared" si="4"/>
        <v>11839067.055393552</v>
      </c>
      <c r="O22" s="33">
        <f t="shared" si="4"/>
        <v>11839067.055393552</v>
      </c>
      <c r="P22" s="21"/>
    </row>
    <row r="23" spans="1:16" x14ac:dyDescent="0.4">
      <c r="A23" s="21"/>
      <c r="B23" s="26"/>
      <c r="C23" s="26" t="s">
        <v>124</v>
      </c>
      <c r="D23" s="29">
        <v>1</v>
      </c>
      <c r="E23" s="32">
        <v>1444314.8688046599</v>
      </c>
      <c r="F23" s="26"/>
      <c r="G23" s="33"/>
      <c r="H23" s="33"/>
      <c r="I23" s="33"/>
      <c r="J23" s="33"/>
      <c r="K23" s="33">
        <f t="shared" si="3"/>
        <v>1444314.8688046599</v>
      </c>
      <c r="L23" s="33">
        <f t="shared" si="3"/>
        <v>1444314.8688046599</v>
      </c>
      <c r="M23" s="33">
        <f t="shared" si="4"/>
        <v>1733177.8425655919</v>
      </c>
      <c r="N23" s="33">
        <f t="shared" si="4"/>
        <v>1733177.8425655919</v>
      </c>
      <c r="O23" s="33">
        <f t="shared" si="4"/>
        <v>1733177.8425655919</v>
      </c>
      <c r="P23" s="21"/>
    </row>
    <row r="24" spans="1:16" x14ac:dyDescent="0.4">
      <c r="A24" s="21"/>
      <c r="B24" s="26"/>
      <c r="C24" s="26" t="s">
        <v>125</v>
      </c>
      <c r="D24" s="31">
        <v>1</v>
      </c>
      <c r="E24" s="32">
        <v>1200000</v>
      </c>
      <c r="F24" s="26"/>
      <c r="G24" s="33"/>
      <c r="H24" s="33"/>
      <c r="I24" s="33"/>
      <c r="J24" s="33"/>
      <c r="K24" s="33">
        <f t="shared" si="3"/>
        <v>1200000</v>
      </c>
      <c r="L24" s="33">
        <f t="shared" si="3"/>
        <v>1200000</v>
      </c>
      <c r="M24" s="33">
        <f t="shared" si="4"/>
        <v>1440000</v>
      </c>
      <c r="N24" s="33">
        <f t="shared" si="4"/>
        <v>1440000</v>
      </c>
      <c r="O24" s="33">
        <f t="shared" si="4"/>
        <v>1440000</v>
      </c>
      <c r="P24" s="21"/>
    </row>
    <row r="25" spans="1:16" x14ac:dyDescent="0.4">
      <c r="A25" s="21"/>
      <c r="B25" s="26"/>
      <c r="C25" s="26" t="s">
        <v>119</v>
      </c>
      <c r="D25" s="31">
        <v>2</v>
      </c>
      <c r="E25" s="32">
        <v>1000000</v>
      </c>
      <c r="F25" s="26"/>
      <c r="G25" s="33"/>
      <c r="H25" s="33"/>
      <c r="I25" s="33"/>
      <c r="J25" s="33"/>
      <c r="K25" s="33">
        <f>$D25*$E25</f>
        <v>2000000</v>
      </c>
      <c r="L25" s="33">
        <f>$D25*$E25</f>
        <v>2000000</v>
      </c>
      <c r="M25" s="33">
        <f t="shared" si="4"/>
        <v>2400000</v>
      </c>
      <c r="N25" s="33">
        <f t="shared" si="4"/>
        <v>2400000</v>
      </c>
      <c r="O25" s="33">
        <f t="shared" si="4"/>
        <v>2400000</v>
      </c>
      <c r="P25" s="21"/>
    </row>
    <row r="26" spans="1:16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hyperlinks>
    <hyperlink ref="O1" location="'Table of Content'!A1" display="&gt;&gt; Table of Contents" xr:uid="{8D8A9707-B60F-4177-AE31-E3683B6BC47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6C67-C58D-486C-8981-F0F554C35EBF}">
  <sheetPr>
    <tabColor theme="4"/>
  </sheetPr>
  <dimension ref="A1:BF88"/>
  <sheetViews>
    <sheetView showGridLines="0" workbookViewId="0">
      <selection activeCell="L17" sqref="L17"/>
    </sheetView>
  </sheetViews>
  <sheetFormatPr defaultRowHeight="14.6" x14ac:dyDescent="0.4"/>
  <cols>
    <col min="5" max="5" width="11.4609375" bestFit="1" customWidth="1"/>
    <col min="8" max="8" width="9.4609375" customWidth="1"/>
    <col min="9" max="9" width="20.61328125" customWidth="1"/>
    <col min="10" max="10" width="8.69140625" customWidth="1"/>
    <col min="11" max="14" width="9.3046875" bestFit="1" customWidth="1"/>
    <col min="15" max="18" width="11.07421875" bestFit="1" customWidth="1"/>
    <col min="19" max="19" width="12.53515625" bestFit="1" customWidth="1"/>
  </cols>
  <sheetData>
    <row r="1" spans="1:58" s="17" customFormat="1" x14ac:dyDescent="0.4">
      <c r="C1" s="17" t="str">
        <f>Summary!D3</f>
        <v>CK Healthcare Limited</v>
      </c>
      <c r="K1" s="17" t="str" cm="1">
        <f t="array" ref="K1">"Currently running scenario: "&amp;INDEX($BF$1:$BF$3,$BE$1)</f>
        <v>Currently running scenario: Conservative</v>
      </c>
      <c r="O1" s="64" t="s">
        <v>240</v>
      </c>
      <c r="X1" s="17" t="str">
        <f>Summary!K2</f>
        <v>Last Updated: 24-July-2020</v>
      </c>
      <c r="BE1" s="17">
        <v>2</v>
      </c>
      <c r="BF1" s="17" t="s">
        <v>130</v>
      </c>
    </row>
    <row r="2" spans="1:58" x14ac:dyDescent="0.4">
      <c r="BF2" t="s">
        <v>131</v>
      </c>
    </row>
    <row r="3" spans="1:58" ht="20.6" x14ac:dyDescent="0.55000000000000004">
      <c r="B3" s="19" t="s">
        <v>34</v>
      </c>
      <c r="C3" s="19"/>
      <c r="D3" s="19"/>
      <c r="E3" s="19"/>
      <c r="F3" s="19"/>
      <c r="G3" s="19"/>
      <c r="H3" s="19"/>
      <c r="I3" s="19"/>
      <c r="J3" s="19"/>
      <c r="K3" s="19"/>
      <c r="L3" s="19"/>
      <c r="BF3" t="s">
        <v>132</v>
      </c>
    </row>
    <row r="5" spans="1:58" x14ac:dyDescent="0.4">
      <c r="B5" t="s">
        <v>129</v>
      </c>
      <c r="D5" t="s">
        <v>131</v>
      </c>
    </row>
    <row r="7" spans="1:58" x14ac:dyDescent="0.4">
      <c r="A7" s="21"/>
      <c r="B7" s="22"/>
      <c r="C7" s="23"/>
      <c r="D7" s="23"/>
      <c r="E7" s="23"/>
      <c r="F7" s="24"/>
      <c r="G7" s="24"/>
      <c r="H7" s="24"/>
      <c r="I7" s="24"/>
      <c r="J7" s="24"/>
      <c r="K7" s="25">
        <v>2016</v>
      </c>
      <c r="L7" s="25">
        <v>2017</v>
      </c>
      <c r="M7" s="25">
        <v>2018</v>
      </c>
      <c r="N7" s="25">
        <v>2019</v>
      </c>
      <c r="O7" s="25">
        <v>2020</v>
      </c>
      <c r="P7" s="25">
        <v>2021</v>
      </c>
      <c r="Q7" s="25">
        <v>2022</v>
      </c>
      <c r="R7" s="25">
        <v>2023</v>
      </c>
      <c r="S7" s="25">
        <v>2024</v>
      </c>
      <c r="T7" s="21"/>
    </row>
    <row r="8" spans="1:58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1"/>
    </row>
    <row r="9" spans="1:58" x14ac:dyDescent="0.4">
      <c r="B9" s="26" t="s">
        <v>136</v>
      </c>
      <c r="C9" s="26"/>
    </row>
    <row r="10" spans="1:58" x14ac:dyDescent="0.4">
      <c r="B10" s="26"/>
      <c r="C10" s="26" t="s">
        <v>47</v>
      </c>
      <c r="K10" s="48">
        <f>'Model Inputs'!G9</f>
        <v>0</v>
      </c>
      <c r="L10" s="48">
        <f>'Model Inputs'!H9</f>
        <v>0</v>
      </c>
      <c r="M10" s="48">
        <f>'Model Inputs'!I9</f>
        <v>0</v>
      </c>
      <c r="N10" s="48">
        <f>'Model Inputs'!J9</f>
        <v>0</v>
      </c>
      <c r="O10" s="48" cm="1">
        <f t="array" ref="O10">INDEX(O11:O13,$BE$1)</f>
        <v>500000</v>
      </c>
      <c r="P10" s="48" cm="1">
        <f t="array" ref="P10">INDEX(P11:P13,$BE$1)</f>
        <v>600000</v>
      </c>
      <c r="Q10" s="48" cm="1">
        <f t="array" ref="Q10">INDEX(Q11:Q13,$BE$1)</f>
        <v>750000</v>
      </c>
      <c r="R10" s="48" cm="1">
        <f t="array" ref="R10">INDEX(R11:R13,$BE$1)</f>
        <v>900000</v>
      </c>
      <c r="S10" s="48" cm="1">
        <f t="array" ref="S10">INDEX(S11:S13,$BE$1)</f>
        <v>1000000</v>
      </c>
    </row>
    <row r="11" spans="1:58" x14ac:dyDescent="0.4">
      <c r="E11" t="s">
        <v>130</v>
      </c>
      <c r="G11" t="s">
        <v>117</v>
      </c>
      <c r="I11" s="50">
        <v>1.2</v>
      </c>
      <c r="K11" s="49"/>
      <c r="L11" s="49"/>
      <c r="M11" s="49"/>
      <c r="N11" s="49"/>
      <c r="O11" s="48">
        <f>$I11*O12</f>
        <v>600000</v>
      </c>
      <c r="P11" s="48">
        <f t="shared" ref="P11:S11" si="0">$I11*P12</f>
        <v>720000</v>
      </c>
      <c r="Q11" s="48">
        <f t="shared" si="0"/>
        <v>900000</v>
      </c>
      <c r="R11" s="48">
        <f t="shared" si="0"/>
        <v>1080000</v>
      </c>
      <c r="S11" s="48">
        <f t="shared" si="0"/>
        <v>1200000</v>
      </c>
    </row>
    <row r="12" spans="1:58" x14ac:dyDescent="0.4">
      <c r="E12" t="s">
        <v>131</v>
      </c>
      <c r="G12" t="s">
        <v>117</v>
      </c>
      <c r="I12" s="51" t="s">
        <v>133</v>
      </c>
      <c r="K12" s="49"/>
      <c r="L12" s="49"/>
      <c r="M12" s="49"/>
      <c r="N12" s="49"/>
      <c r="O12" s="48">
        <f>'Model Inputs'!K9</f>
        <v>500000</v>
      </c>
      <c r="P12" s="48">
        <f>'Model Inputs'!L9</f>
        <v>600000</v>
      </c>
      <c r="Q12" s="48">
        <f>'Model Inputs'!M9</f>
        <v>750000</v>
      </c>
      <c r="R12" s="48">
        <f>'Model Inputs'!N9</f>
        <v>900000</v>
      </c>
      <c r="S12" s="48">
        <f>'Model Inputs'!O9</f>
        <v>1000000</v>
      </c>
    </row>
    <row r="13" spans="1:58" x14ac:dyDescent="0.4">
      <c r="E13" t="s">
        <v>132</v>
      </c>
      <c r="G13" t="s">
        <v>117</v>
      </c>
      <c r="I13" s="50">
        <v>0.9</v>
      </c>
      <c r="K13" s="49"/>
      <c r="L13" s="49"/>
      <c r="M13" s="49"/>
      <c r="N13" s="49"/>
      <c r="O13" s="48">
        <f>$I13*O12</f>
        <v>450000</v>
      </c>
      <c r="P13" s="48">
        <f t="shared" ref="P13:S13" si="1">$I13*P12</f>
        <v>540000</v>
      </c>
      <c r="Q13" s="48">
        <f t="shared" si="1"/>
        <v>675000</v>
      </c>
      <c r="R13" s="48">
        <f t="shared" si="1"/>
        <v>810000</v>
      </c>
      <c r="S13" s="48">
        <f t="shared" si="1"/>
        <v>900000</v>
      </c>
    </row>
    <row r="15" spans="1:58" x14ac:dyDescent="0.4">
      <c r="B15" s="26"/>
      <c r="C15" s="26" t="s">
        <v>48</v>
      </c>
      <c r="K15" s="48">
        <f>'Model Inputs'!G10</f>
        <v>0</v>
      </c>
      <c r="L15" s="48">
        <f>'Model Inputs'!H10</f>
        <v>0</v>
      </c>
      <c r="M15" s="48">
        <f>'Model Inputs'!I10</f>
        <v>0</v>
      </c>
      <c r="N15" s="48">
        <f>'Model Inputs'!J10</f>
        <v>0</v>
      </c>
      <c r="O15" s="48" cm="1">
        <f t="array" ref="O15">INDEX(O16:O18,$BE$1)</f>
        <v>1000</v>
      </c>
      <c r="P15" s="48" cm="1">
        <f t="array" ref="P15">INDEX(P16:P18,$BE$1)</f>
        <v>1000</v>
      </c>
      <c r="Q15" s="48" cm="1">
        <f t="array" ref="Q15">INDEX(Q16:Q18,$BE$1)</f>
        <v>1000</v>
      </c>
      <c r="R15" s="48" cm="1">
        <f t="array" ref="R15">INDEX(R16:R18,$BE$1)</f>
        <v>1200</v>
      </c>
      <c r="S15" s="48" cm="1">
        <f t="array" ref="S15">INDEX(S16:S18,$BE$1)</f>
        <v>1200</v>
      </c>
    </row>
    <row r="16" spans="1:58" x14ac:dyDescent="0.4">
      <c r="E16" t="s">
        <v>130</v>
      </c>
      <c r="G16" t="s">
        <v>49</v>
      </c>
      <c r="I16" s="50">
        <v>1.2</v>
      </c>
      <c r="K16" s="49"/>
      <c r="L16" s="49"/>
      <c r="M16" s="49"/>
      <c r="N16" s="49"/>
      <c r="O16" s="48">
        <f>$I16*O17</f>
        <v>1200</v>
      </c>
      <c r="P16" s="48">
        <f t="shared" ref="P16" si="2">$I16*P17</f>
        <v>1200</v>
      </c>
      <c r="Q16" s="48">
        <f t="shared" ref="Q16" si="3">$I16*Q17</f>
        <v>1200</v>
      </c>
      <c r="R16" s="48">
        <f t="shared" ref="R16" si="4">$I16*R17</f>
        <v>1440</v>
      </c>
      <c r="S16" s="48">
        <f t="shared" ref="S16" si="5">$I16*S17</f>
        <v>1440</v>
      </c>
    </row>
    <row r="17" spans="2:19" x14ac:dyDescent="0.4">
      <c r="E17" t="s">
        <v>131</v>
      </c>
      <c r="G17" t="s">
        <v>49</v>
      </c>
      <c r="I17" s="51" t="s">
        <v>133</v>
      </c>
      <c r="K17" s="49"/>
      <c r="L17" s="49"/>
      <c r="M17" s="49"/>
      <c r="N17" s="49"/>
      <c r="O17" s="48">
        <f>'Model Inputs'!K10</f>
        <v>1000</v>
      </c>
      <c r="P17" s="48">
        <f>'Model Inputs'!L10</f>
        <v>1000</v>
      </c>
      <c r="Q17" s="48">
        <f>'Model Inputs'!M10</f>
        <v>1000</v>
      </c>
      <c r="R17" s="48">
        <f>'Model Inputs'!N10</f>
        <v>1200</v>
      </c>
      <c r="S17" s="48">
        <f>'Model Inputs'!O10</f>
        <v>1200</v>
      </c>
    </row>
    <row r="18" spans="2:19" x14ac:dyDescent="0.4">
      <c r="E18" t="s">
        <v>132</v>
      </c>
      <c r="G18" t="s">
        <v>49</v>
      </c>
      <c r="I18" s="50">
        <v>0.9</v>
      </c>
      <c r="K18" s="49"/>
      <c r="L18" s="49"/>
      <c r="M18" s="49"/>
      <c r="N18" s="49"/>
      <c r="O18" s="48">
        <f>$I18*O17</f>
        <v>900</v>
      </c>
      <c r="P18" s="48">
        <f t="shared" ref="P18" si="6">$I18*P17</f>
        <v>900</v>
      </c>
      <c r="Q18" s="48">
        <f t="shared" ref="Q18" si="7">$I18*Q17</f>
        <v>900</v>
      </c>
      <c r="R18" s="48">
        <f t="shared" ref="R18" si="8">$I18*R17</f>
        <v>1080</v>
      </c>
      <c r="S18" s="48">
        <f t="shared" ref="S18" si="9">$I18*S17</f>
        <v>1080</v>
      </c>
    </row>
    <row r="20" spans="2:19" x14ac:dyDescent="0.4">
      <c r="B20" s="26"/>
      <c r="C20" s="26" t="s">
        <v>50</v>
      </c>
      <c r="K20" s="48">
        <f>'Model Inputs'!G11</f>
        <v>0</v>
      </c>
      <c r="L20" s="48">
        <f>'Model Inputs'!H11</f>
        <v>0</v>
      </c>
      <c r="M20" s="48">
        <f>'Model Inputs'!I11</f>
        <v>0</v>
      </c>
      <c r="N20" s="48">
        <f>'Model Inputs'!J11</f>
        <v>0</v>
      </c>
      <c r="O20" s="48" cm="1">
        <f t="array" ref="O20">INDEX(O21:O23,$BE$1)</f>
        <v>400</v>
      </c>
      <c r="P20" s="48" cm="1">
        <f t="array" ref="P20">INDEX(P21:P23,$BE$1)</f>
        <v>400</v>
      </c>
      <c r="Q20" s="48" cm="1">
        <f t="array" ref="Q20">INDEX(Q21:Q23,$BE$1)</f>
        <v>450</v>
      </c>
      <c r="R20" s="48" cm="1">
        <f t="array" ref="R20">INDEX(R21:R23,$BE$1)</f>
        <v>450</v>
      </c>
      <c r="S20" s="48" cm="1">
        <f t="array" ref="S20">INDEX(S21:S23,$BE$1)</f>
        <v>500</v>
      </c>
    </row>
    <row r="21" spans="2:19" x14ac:dyDescent="0.4">
      <c r="E21" t="s">
        <v>130</v>
      </c>
      <c r="G21" t="s">
        <v>49</v>
      </c>
      <c r="I21" s="50">
        <v>0.9</v>
      </c>
      <c r="K21" s="49"/>
      <c r="L21" s="49"/>
      <c r="M21" s="49"/>
      <c r="N21" s="49"/>
      <c r="O21" s="48">
        <f>$I21*O22</f>
        <v>360</v>
      </c>
      <c r="P21" s="48">
        <f t="shared" ref="P21" si="10">$I21*P22</f>
        <v>360</v>
      </c>
      <c r="Q21" s="48">
        <f t="shared" ref="Q21" si="11">$I21*Q22</f>
        <v>405</v>
      </c>
      <c r="R21" s="48">
        <f t="shared" ref="R21" si="12">$I21*R22</f>
        <v>405</v>
      </c>
      <c r="S21" s="48">
        <f t="shared" ref="S21" si="13">$I21*S22</f>
        <v>450</v>
      </c>
    </row>
    <row r="22" spans="2:19" x14ac:dyDescent="0.4">
      <c r="E22" t="s">
        <v>131</v>
      </c>
      <c r="G22" t="s">
        <v>49</v>
      </c>
      <c r="I22" s="51" t="s">
        <v>133</v>
      </c>
      <c r="K22" s="49"/>
      <c r="L22" s="49"/>
      <c r="M22" s="49"/>
      <c r="N22" s="49"/>
      <c r="O22" s="48">
        <f>'Model Inputs'!K11</f>
        <v>400</v>
      </c>
      <c r="P22" s="48">
        <f>'Model Inputs'!L11</f>
        <v>400</v>
      </c>
      <c r="Q22" s="48">
        <f>'Model Inputs'!M11</f>
        <v>450</v>
      </c>
      <c r="R22" s="48">
        <f>'Model Inputs'!N11</f>
        <v>450</v>
      </c>
      <c r="S22" s="48">
        <f>'Model Inputs'!O11</f>
        <v>500</v>
      </c>
    </row>
    <row r="23" spans="2:19" x14ac:dyDescent="0.4">
      <c r="E23" t="s">
        <v>132</v>
      </c>
      <c r="G23" t="s">
        <v>49</v>
      </c>
      <c r="I23" s="50">
        <v>1.1000000000000001</v>
      </c>
      <c r="K23" s="49"/>
      <c r="L23" s="49"/>
      <c r="M23" s="49"/>
      <c r="N23" s="49"/>
      <c r="O23" s="48">
        <f>$I23*O22</f>
        <v>440.00000000000006</v>
      </c>
      <c r="P23" s="48">
        <f t="shared" ref="P23" si="14">$I23*P22</f>
        <v>440.00000000000006</v>
      </c>
      <c r="Q23" s="48">
        <f t="shared" ref="Q23" si="15">$I23*Q22</f>
        <v>495.00000000000006</v>
      </c>
      <c r="R23" s="48">
        <f t="shared" ref="R23" si="16">$I23*R22</f>
        <v>495.00000000000006</v>
      </c>
      <c r="S23" s="48">
        <f t="shared" ref="S23" si="17">$I23*S22</f>
        <v>550</v>
      </c>
    </row>
    <row r="26" spans="2:19" x14ac:dyDescent="0.4">
      <c r="B26" s="26" t="s">
        <v>114</v>
      </c>
      <c r="C26" s="26"/>
    </row>
    <row r="27" spans="2:19" x14ac:dyDescent="0.4">
      <c r="B27" s="26"/>
      <c r="C27" s="26" t="s">
        <v>47</v>
      </c>
      <c r="K27" s="48">
        <f>'Model Inputs'!G14</f>
        <v>0</v>
      </c>
      <c r="L27" s="48">
        <f>'Model Inputs'!H14</f>
        <v>0</v>
      </c>
      <c r="M27" s="48">
        <f>'Model Inputs'!I14</f>
        <v>0</v>
      </c>
      <c r="N27" s="48">
        <f>'Model Inputs'!J14</f>
        <v>0</v>
      </c>
      <c r="O27" s="48" cm="1">
        <f t="array" ref="O27">INDEX(O28:O30,$BE$1)</f>
        <v>800000</v>
      </c>
      <c r="P27" s="48" cm="1">
        <f t="array" ref="P27">INDEX(P28:P30,$BE$1)</f>
        <v>850000</v>
      </c>
      <c r="Q27" s="48" cm="1">
        <f t="array" ref="Q27">INDEX(Q28:Q30,$BE$1)</f>
        <v>900000</v>
      </c>
      <c r="R27" s="48" cm="1">
        <f t="array" ref="R27">INDEX(R28:R30,$BE$1)</f>
        <v>950000</v>
      </c>
      <c r="S27" s="48" cm="1">
        <f t="array" ref="S27">INDEX(S28:S30,$BE$1)</f>
        <v>1050000</v>
      </c>
    </row>
    <row r="28" spans="2:19" x14ac:dyDescent="0.4">
      <c r="E28" t="s">
        <v>130</v>
      </c>
      <c r="G28" t="s">
        <v>117</v>
      </c>
      <c r="I28" s="50">
        <v>1.2</v>
      </c>
      <c r="K28" s="49"/>
      <c r="L28" s="49"/>
      <c r="M28" s="49"/>
      <c r="N28" s="49"/>
      <c r="O28" s="48">
        <f>$I28*O29</f>
        <v>960000</v>
      </c>
      <c r="P28" s="48">
        <f t="shared" ref="P28" si="18">$I28*P29</f>
        <v>1020000</v>
      </c>
      <c r="Q28" s="48">
        <f t="shared" ref="Q28" si="19">$I28*Q29</f>
        <v>1080000</v>
      </c>
      <c r="R28" s="48">
        <f t="shared" ref="R28" si="20">$I28*R29</f>
        <v>1140000</v>
      </c>
      <c r="S28" s="48">
        <f t="shared" ref="S28" si="21">$I28*S29</f>
        <v>1260000</v>
      </c>
    </row>
    <row r="29" spans="2:19" x14ac:dyDescent="0.4">
      <c r="E29" t="s">
        <v>131</v>
      </c>
      <c r="G29" t="s">
        <v>117</v>
      </c>
      <c r="I29" s="51" t="s">
        <v>133</v>
      </c>
      <c r="K29" s="49"/>
      <c r="L29" s="49"/>
      <c r="M29" s="49"/>
      <c r="N29" s="49"/>
      <c r="O29" s="48">
        <f>'Model Inputs'!K14</f>
        <v>800000</v>
      </c>
      <c r="P29" s="48">
        <f>'Model Inputs'!L14</f>
        <v>850000</v>
      </c>
      <c r="Q29" s="48">
        <f>'Model Inputs'!M14</f>
        <v>900000</v>
      </c>
      <c r="R29" s="48">
        <f>'Model Inputs'!N14</f>
        <v>950000</v>
      </c>
      <c r="S29" s="48">
        <f>'Model Inputs'!O14</f>
        <v>1050000</v>
      </c>
    </row>
    <row r="30" spans="2:19" x14ac:dyDescent="0.4">
      <c r="E30" t="s">
        <v>132</v>
      </c>
      <c r="G30" t="s">
        <v>117</v>
      </c>
      <c r="I30" s="50">
        <v>0.9</v>
      </c>
      <c r="K30" s="49"/>
      <c r="L30" s="49"/>
      <c r="M30" s="49"/>
      <c r="N30" s="49"/>
      <c r="O30" s="48">
        <f>$I30*O29</f>
        <v>720000</v>
      </c>
      <c r="P30" s="48">
        <f t="shared" ref="P30" si="22">$I30*P29</f>
        <v>765000</v>
      </c>
      <c r="Q30" s="48">
        <f t="shared" ref="Q30" si="23">$I30*Q29</f>
        <v>810000</v>
      </c>
      <c r="R30" s="48">
        <f t="shared" ref="R30" si="24">$I30*R29</f>
        <v>855000</v>
      </c>
      <c r="S30" s="48">
        <f t="shared" ref="S30" si="25">$I30*S29</f>
        <v>945000</v>
      </c>
    </row>
    <row r="32" spans="2:19" x14ac:dyDescent="0.4">
      <c r="B32" s="26"/>
      <c r="C32" s="26" t="s">
        <v>48</v>
      </c>
      <c r="K32" s="48">
        <f>'Model Inputs'!G15</f>
        <v>0</v>
      </c>
      <c r="L32" s="48">
        <f>'Model Inputs'!H15</f>
        <v>0</v>
      </c>
      <c r="M32" s="48">
        <f>'Model Inputs'!I15</f>
        <v>0</v>
      </c>
      <c r="N32" s="48">
        <f>'Model Inputs'!J15</f>
        <v>0</v>
      </c>
      <c r="O32" s="48" cm="1">
        <f t="array" ref="O32">INDEX(O33:O35,$BE$1)</f>
        <v>500</v>
      </c>
      <c r="P32" s="48" cm="1">
        <f t="array" ref="P32">INDEX(P33:P35,$BE$1)</f>
        <v>500</v>
      </c>
      <c r="Q32" s="48" cm="1">
        <f t="array" ref="Q32">INDEX(Q33:Q35,$BE$1)</f>
        <v>500</v>
      </c>
      <c r="R32" s="48" cm="1">
        <f t="array" ref="R32">INDEX(R33:R35,$BE$1)</f>
        <v>500</v>
      </c>
      <c r="S32" s="48" cm="1">
        <f t="array" ref="S32">INDEX(S33:S35,$BE$1)</f>
        <v>500</v>
      </c>
    </row>
    <row r="33" spans="2:19" x14ac:dyDescent="0.4">
      <c r="E33" t="s">
        <v>130</v>
      </c>
      <c r="G33" t="s">
        <v>49</v>
      </c>
      <c r="I33" s="50">
        <v>1.2</v>
      </c>
      <c r="K33" s="49"/>
      <c r="L33" s="49"/>
      <c r="M33" s="49"/>
      <c r="N33" s="49"/>
      <c r="O33" s="48">
        <f>$I33*O34</f>
        <v>600</v>
      </c>
      <c r="P33" s="48">
        <f t="shared" ref="P33" si="26">$I33*P34</f>
        <v>600</v>
      </c>
      <c r="Q33" s="48">
        <f t="shared" ref="Q33" si="27">$I33*Q34</f>
        <v>600</v>
      </c>
      <c r="R33" s="48">
        <f t="shared" ref="R33" si="28">$I33*R34</f>
        <v>600</v>
      </c>
      <c r="S33" s="48">
        <f t="shared" ref="S33" si="29">$I33*S34</f>
        <v>600</v>
      </c>
    </row>
    <row r="34" spans="2:19" x14ac:dyDescent="0.4">
      <c r="E34" t="s">
        <v>131</v>
      </c>
      <c r="G34" t="s">
        <v>49</v>
      </c>
      <c r="I34" s="51" t="s">
        <v>133</v>
      </c>
      <c r="K34" s="49"/>
      <c r="L34" s="49"/>
      <c r="M34" s="49"/>
      <c r="N34" s="49"/>
      <c r="O34" s="48">
        <f>'Model Inputs'!K15</f>
        <v>500</v>
      </c>
      <c r="P34" s="48">
        <f>'Model Inputs'!L15</f>
        <v>500</v>
      </c>
      <c r="Q34" s="48">
        <f>'Model Inputs'!M15</f>
        <v>500</v>
      </c>
      <c r="R34" s="48">
        <f>'Model Inputs'!N15</f>
        <v>500</v>
      </c>
      <c r="S34" s="48">
        <f>'Model Inputs'!O15</f>
        <v>500</v>
      </c>
    </row>
    <row r="35" spans="2:19" x14ac:dyDescent="0.4">
      <c r="E35" t="s">
        <v>132</v>
      </c>
      <c r="G35" t="s">
        <v>49</v>
      </c>
      <c r="I35" s="50">
        <v>0.9</v>
      </c>
      <c r="K35" s="49"/>
      <c r="L35" s="49"/>
      <c r="M35" s="49"/>
      <c r="N35" s="49"/>
      <c r="O35" s="48">
        <f>$I35*O34</f>
        <v>450</v>
      </c>
      <c r="P35" s="48">
        <f t="shared" ref="P35" si="30">$I35*P34</f>
        <v>450</v>
      </c>
      <c r="Q35" s="48">
        <f t="shared" ref="Q35" si="31">$I35*Q34</f>
        <v>450</v>
      </c>
      <c r="R35" s="48">
        <f t="shared" ref="R35" si="32">$I35*R34</f>
        <v>450</v>
      </c>
      <c r="S35" s="48">
        <f t="shared" ref="S35" si="33">$I35*S34</f>
        <v>450</v>
      </c>
    </row>
    <row r="37" spans="2:19" x14ac:dyDescent="0.4">
      <c r="B37" s="26"/>
      <c r="C37" s="26" t="s">
        <v>50</v>
      </c>
      <c r="K37" s="48">
        <f>'Model Inputs'!G16</f>
        <v>0</v>
      </c>
      <c r="L37" s="48">
        <f>'Model Inputs'!H16</f>
        <v>0</v>
      </c>
      <c r="M37" s="48">
        <f>'Model Inputs'!I16</f>
        <v>0</v>
      </c>
      <c r="N37" s="48">
        <f>'Model Inputs'!J16</f>
        <v>0</v>
      </c>
      <c r="O37" s="48" cm="1">
        <f t="array" ref="O37">INDEX(O38:O40,$BE$1)</f>
        <v>180</v>
      </c>
      <c r="P37" s="48" cm="1">
        <f t="array" ref="P37">INDEX(P38:P40,$BE$1)</f>
        <v>180</v>
      </c>
      <c r="Q37" s="48" cm="1">
        <f t="array" ref="Q37">INDEX(Q38:Q40,$BE$1)</f>
        <v>180</v>
      </c>
      <c r="R37" s="48" cm="1">
        <f t="array" ref="R37">INDEX(R38:R40,$BE$1)</f>
        <v>180</v>
      </c>
      <c r="S37" s="48" cm="1">
        <f t="array" ref="S37">INDEX(S38:S40,$BE$1)</f>
        <v>180</v>
      </c>
    </row>
    <row r="38" spans="2:19" x14ac:dyDescent="0.4">
      <c r="E38" t="s">
        <v>130</v>
      </c>
      <c r="G38" t="s">
        <v>49</v>
      </c>
      <c r="I38" s="50">
        <v>0.9</v>
      </c>
      <c r="K38" s="49"/>
      <c r="L38" s="49"/>
      <c r="M38" s="49"/>
      <c r="N38" s="49"/>
      <c r="O38" s="48">
        <f>$I38*O39</f>
        <v>162</v>
      </c>
      <c r="P38" s="48">
        <f t="shared" ref="P38" si="34">$I38*P39</f>
        <v>162</v>
      </c>
      <c r="Q38" s="48">
        <f t="shared" ref="Q38" si="35">$I38*Q39</f>
        <v>162</v>
      </c>
      <c r="R38" s="48">
        <f t="shared" ref="R38" si="36">$I38*R39</f>
        <v>162</v>
      </c>
      <c r="S38" s="48">
        <f t="shared" ref="S38" si="37">$I38*S39</f>
        <v>162</v>
      </c>
    </row>
    <row r="39" spans="2:19" x14ac:dyDescent="0.4">
      <c r="E39" t="s">
        <v>131</v>
      </c>
      <c r="G39" t="s">
        <v>49</v>
      </c>
      <c r="I39" s="51" t="s">
        <v>133</v>
      </c>
      <c r="K39" s="49"/>
      <c r="L39" s="49"/>
      <c r="M39" s="49"/>
      <c r="N39" s="49"/>
      <c r="O39" s="48">
        <f>'Model Inputs'!K16</f>
        <v>180</v>
      </c>
      <c r="P39" s="48">
        <f>'Model Inputs'!L16</f>
        <v>180</v>
      </c>
      <c r="Q39" s="48">
        <f>'Model Inputs'!M16</f>
        <v>180</v>
      </c>
      <c r="R39" s="48">
        <f>'Model Inputs'!N16</f>
        <v>180</v>
      </c>
      <c r="S39" s="48">
        <f>'Model Inputs'!O16</f>
        <v>180</v>
      </c>
    </row>
    <row r="40" spans="2:19" x14ac:dyDescent="0.4">
      <c r="E40" t="s">
        <v>132</v>
      </c>
      <c r="G40" t="s">
        <v>49</v>
      </c>
      <c r="I40" s="50">
        <v>1.1000000000000001</v>
      </c>
      <c r="K40" s="49"/>
      <c r="L40" s="49"/>
      <c r="M40" s="49"/>
      <c r="N40" s="49"/>
      <c r="O40" s="48">
        <f>$I40*O39</f>
        <v>198.00000000000003</v>
      </c>
      <c r="P40" s="48">
        <f t="shared" ref="P40" si="38">$I40*P39</f>
        <v>198.00000000000003</v>
      </c>
      <c r="Q40" s="48">
        <f t="shared" ref="Q40" si="39">$I40*Q39</f>
        <v>198.00000000000003</v>
      </c>
      <c r="R40" s="48">
        <f t="shared" ref="R40" si="40">$I40*R39</f>
        <v>198.00000000000003</v>
      </c>
      <c r="S40" s="48">
        <f t="shared" ref="S40" si="41">$I40*S39</f>
        <v>198.00000000000003</v>
      </c>
    </row>
    <row r="43" spans="2:19" x14ac:dyDescent="0.4">
      <c r="B43" s="26" t="s">
        <v>115</v>
      </c>
      <c r="C43" s="26"/>
    </row>
    <row r="44" spans="2:19" x14ac:dyDescent="0.4">
      <c r="B44" s="26"/>
      <c r="C44" s="26" t="s">
        <v>47</v>
      </c>
      <c r="K44" s="48">
        <f>'Model Inputs'!G19</f>
        <v>0</v>
      </c>
      <c r="L44" s="48">
        <f>'Model Inputs'!H19</f>
        <v>0</v>
      </c>
      <c r="M44" s="48">
        <f>'Model Inputs'!I19</f>
        <v>0</v>
      </c>
      <c r="N44" s="48">
        <f>'Model Inputs'!J19</f>
        <v>0</v>
      </c>
      <c r="O44" s="48" cm="1">
        <f t="array" ref="O44">INDEX(O45:O47,$BE$1)</f>
        <v>1000000</v>
      </c>
      <c r="P44" s="48" cm="1">
        <f t="array" ref="P44">INDEX(P45:P47,$BE$1)</f>
        <v>1500000</v>
      </c>
      <c r="Q44" s="48" cm="1">
        <f t="array" ref="Q44">INDEX(Q45:Q47,$BE$1)</f>
        <v>2200000</v>
      </c>
      <c r="R44" s="48" cm="1">
        <f t="array" ref="R44">INDEX(R45:R47,$BE$1)</f>
        <v>2800000</v>
      </c>
      <c r="S44" s="48" cm="1">
        <f t="array" ref="S44">INDEX(S45:S47,$BE$1)</f>
        <v>4000000</v>
      </c>
    </row>
    <row r="45" spans="2:19" x14ac:dyDescent="0.4">
      <c r="E45" t="s">
        <v>130</v>
      </c>
      <c r="G45" t="s">
        <v>117</v>
      </c>
      <c r="I45" s="50">
        <v>1.2</v>
      </c>
      <c r="K45" s="49"/>
      <c r="L45" s="49"/>
      <c r="M45" s="49"/>
      <c r="N45" s="49"/>
      <c r="O45" s="48">
        <f>$I45*O46</f>
        <v>1200000</v>
      </c>
      <c r="P45" s="48">
        <f t="shared" ref="P45" si="42">$I45*P46</f>
        <v>1800000</v>
      </c>
      <c r="Q45" s="48">
        <f t="shared" ref="Q45" si="43">$I45*Q46</f>
        <v>2640000</v>
      </c>
      <c r="R45" s="48">
        <f t="shared" ref="R45" si="44">$I45*R46</f>
        <v>3360000</v>
      </c>
      <c r="S45" s="48">
        <f t="shared" ref="S45" si="45">$I45*S46</f>
        <v>4800000</v>
      </c>
    </row>
    <row r="46" spans="2:19" x14ac:dyDescent="0.4">
      <c r="E46" t="s">
        <v>131</v>
      </c>
      <c r="G46" t="s">
        <v>117</v>
      </c>
      <c r="I46" s="51" t="s">
        <v>133</v>
      </c>
      <c r="K46" s="49"/>
      <c r="L46" s="49"/>
      <c r="M46" s="49"/>
      <c r="N46" s="49"/>
      <c r="O46" s="48">
        <f>'Model Inputs'!K19</f>
        <v>1000000</v>
      </c>
      <c r="P46" s="48">
        <f>'Model Inputs'!L19</f>
        <v>1500000</v>
      </c>
      <c r="Q46" s="48">
        <f>'Model Inputs'!M19</f>
        <v>2200000</v>
      </c>
      <c r="R46" s="48">
        <f>'Model Inputs'!N19</f>
        <v>2800000</v>
      </c>
      <c r="S46" s="48">
        <f>'Model Inputs'!O19</f>
        <v>4000000</v>
      </c>
    </row>
    <row r="47" spans="2:19" x14ac:dyDescent="0.4">
      <c r="E47" t="s">
        <v>132</v>
      </c>
      <c r="G47" t="s">
        <v>117</v>
      </c>
      <c r="I47" s="50">
        <v>0.9</v>
      </c>
      <c r="K47" s="49"/>
      <c r="L47" s="49"/>
      <c r="M47" s="49"/>
      <c r="N47" s="49"/>
      <c r="O47" s="48">
        <f>$I47*O46</f>
        <v>900000</v>
      </c>
      <c r="P47" s="48">
        <f t="shared" ref="P47" si="46">$I47*P46</f>
        <v>1350000</v>
      </c>
      <c r="Q47" s="48">
        <f t="shared" ref="Q47" si="47">$I47*Q46</f>
        <v>1980000</v>
      </c>
      <c r="R47" s="48">
        <f t="shared" ref="R47" si="48">$I47*R46</f>
        <v>2520000</v>
      </c>
      <c r="S47" s="48">
        <f t="shared" ref="S47" si="49">$I47*S46</f>
        <v>3600000</v>
      </c>
    </row>
    <row r="49" spans="2:19" x14ac:dyDescent="0.4">
      <c r="B49" s="26"/>
      <c r="C49" s="26" t="s">
        <v>48</v>
      </c>
      <c r="K49" s="48">
        <f>'Model Inputs'!G20</f>
        <v>0</v>
      </c>
      <c r="L49" s="48">
        <f>'Model Inputs'!H20</f>
        <v>0</v>
      </c>
      <c r="M49" s="48">
        <f>'Model Inputs'!I20</f>
        <v>0</v>
      </c>
      <c r="N49" s="48">
        <f>'Model Inputs'!J20</f>
        <v>0</v>
      </c>
      <c r="O49" s="48" cm="1">
        <f t="array" ref="O49">INDEX(O50:O52,$BE$1)</f>
        <v>20</v>
      </c>
      <c r="P49" s="48" cm="1">
        <f t="array" ref="P49">INDEX(P50:P52,$BE$1)</f>
        <v>20</v>
      </c>
      <c r="Q49" s="48" cm="1">
        <f t="array" ref="Q49">INDEX(Q50:Q52,$BE$1)</f>
        <v>20</v>
      </c>
      <c r="R49" s="48" cm="1">
        <f t="array" ref="R49">INDEX(R50:R52,$BE$1)</f>
        <v>20</v>
      </c>
      <c r="S49" s="48" cm="1">
        <f t="array" ref="S49">INDEX(S50:S52,$BE$1)</f>
        <v>20</v>
      </c>
    </row>
    <row r="50" spans="2:19" x14ac:dyDescent="0.4">
      <c r="E50" t="s">
        <v>130</v>
      </c>
      <c r="G50" t="s">
        <v>49</v>
      </c>
      <c r="I50" s="50">
        <v>1.2</v>
      </c>
      <c r="K50" s="49"/>
      <c r="L50" s="49"/>
      <c r="M50" s="49"/>
      <c r="N50" s="49"/>
      <c r="O50" s="48">
        <f>$I50*O51</f>
        <v>24</v>
      </c>
      <c r="P50" s="48">
        <f t="shared" ref="P50" si="50">$I50*P51</f>
        <v>24</v>
      </c>
      <c r="Q50" s="48">
        <f t="shared" ref="Q50" si="51">$I50*Q51</f>
        <v>24</v>
      </c>
      <c r="R50" s="48">
        <f t="shared" ref="R50" si="52">$I50*R51</f>
        <v>24</v>
      </c>
      <c r="S50" s="48">
        <f t="shared" ref="S50" si="53">$I50*S51</f>
        <v>24</v>
      </c>
    </row>
    <row r="51" spans="2:19" x14ac:dyDescent="0.4">
      <c r="E51" t="s">
        <v>131</v>
      </c>
      <c r="G51" t="s">
        <v>49</v>
      </c>
      <c r="I51" s="51" t="s">
        <v>133</v>
      </c>
      <c r="K51" s="49"/>
      <c r="L51" s="49"/>
      <c r="M51" s="49"/>
      <c r="N51" s="49"/>
      <c r="O51" s="48">
        <f>'Model Inputs'!K20</f>
        <v>20</v>
      </c>
      <c r="P51" s="48">
        <f>'Model Inputs'!L20</f>
        <v>20</v>
      </c>
      <c r="Q51" s="48">
        <f>'Model Inputs'!M20</f>
        <v>20</v>
      </c>
      <c r="R51" s="48">
        <f>'Model Inputs'!N20</f>
        <v>20</v>
      </c>
      <c r="S51" s="48">
        <f>'Model Inputs'!O20</f>
        <v>20</v>
      </c>
    </row>
    <row r="52" spans="2:19" x14ac:dyDescent="0.4">
      <c r="E52" t="s">
        <v>132</v>
      </c>
      <c r="G52" t="s">
        <v>49</v>
      </c>
      <c r="I52" s="50">
        <v>0.9</v>
      </c>
      <c r="K52" s="49"/>
      <c r="L52" s="49"/>
      <c r="M52" s="49"/>
      <c r="N52" s="49"/>
      <c r="O52" s="48">
        <f>$I52*O51</f>
        <v>18</v>
      </c>
      <c r="P52" s="48">
        <f t="shared" ref="P52" si="54">$I52*P51</f>
        <v>18</v>
      </c>
      <c r="Q52" s="48">
        <f t="shared" ref="Q52" si="55">$I52*Q51</f>
        <v>18</v>
      </c>
      <c r="R52" s="48">
        <f t="shared" ref="R52" si="56">$I52*R51</f>
        <v>18</v>
      </c>
      <c r="S52" s="48">
        <f t="shared" ref="S52" si="57">$I52*S51</f>
        <v>18</v>
      </c>
    </row>
    <row r="54" spans="2:19" x14ac:dyDescent="0.4">
      <c r="B54" s="26"/>
      <c r="C54" s="26" t="s">
        <v>50</v>
      </c>
      <c r="K54" s="48">
        <f>'Model Inputs'!G21</f>
        <v>0</v>
      </c>
      <c r="L54" s="48">
        <f>'Model Inputs'!H21</f>
        <v>0</v>
      </c>
      <c r="M54" s="48">
        <f>'Model Inputs'!I21</f>
        <v>0</v>
      </c>
      <c r="N54" s="48">
        <f>'Model Inputs'!J21</f>
        <v>0</v>
      </c>
      <c r="O54" s="48" cm="1">
        <f t="array" ref="O54">INDEX(O55:O57,$BE$1)</f>
        <v>10</v>
      </c>
      <c r="P54" s="48" cm="1">
        <f t="array" ref="P54">INDEX(P55:P57,$BE$1)</f>
        <v>10</v>
      </c>
      <c r="Q54" s="48" cm="1">
        <f t="array" ref="Q54">INDEX(Q55:Q57,$BE$1)</f>
        <v>10</v>
      </c>
      <c r="R54" s="48" cm="1">
        <f t="array" ref="R54">INDEX(R55:R57,$BE$1)</f>
        <v>10</v>
      </c>
      <c r="S54" s="48" cm="1">
        <f t="array" ref="S54">INDEX(S55:S57,$BE$1)</f>
        <v>10</v>
      </c>
    </row>
    <row r="55" spans="2:19" x14ac:dyDescent="0.4">
      <c r="E55" t="s">
        <v>130</v>
      </c>
      <c r="G55" t="s">
        <v>49</v>
      </c>
      <c r="I55" s="50">
        <v>0.9</v>
      </c>
      <c r="K55" s="49"/>
      <c r="L55" s="49"/>
      <c r="M55" s="49"/>
      <c r="N55" s="49"/>
      <c r="O55" s="48">
        <f>$I55*O56</f>
        <v>9</v>
      </c>
      <c r="P55" s="48">
        <f t="shared" ref="P55" si="58">$I55*P56</f>
        <v>9</v>
      </c>
      <c r="Q55" s="48">
        <f t="shared" ref="Q55" si="59">$I55*Q56</f>
        <v>9</v>
      </c>
      <c r="R55" s="48">
        <f t="shared" ref="R55" si="60">$I55*R56</f>
        <v>9</v>
      </c>
      <c r="S55" s="48">
        <f t="shared" ref="S55" si="61">$I55*S56</f>
        <v>9</v>
      </c>
    </row>
    <row r="56" spans="2:19" x14ac:dyDescent="0.4">
      <c r="E56" t="s">
        <v>131</v>
      </c>
      <c r="G56" t="s">
        <v>49</v>
      </c>
      <c r="I56" s="51" t="s">
        <v>133</v>
      </c>
      <c r="K56" s="49"/>
      <c r="L56" s="49"/>
      <c r="M56" s="49"/>
      <c r="N56" s="49"/>
      <c r="O56" s="48">
        <f>'Model Inputs'!K21</f>
        <v>10</v>
      </c>
      <c r="P56" s="48">
        <f>'Model Inputs'!L21</f>
        <v>10</v>
      </c>
      <c r="Q56" s="48">
        <f>'Model Inputs'!M21</f>
        <v>10</v>
      </c>
      <c r="R56" s="48">
        <f>'Model Inputs'!N21</f>
        <v>10</v>
      </c>
      <c r="S56" s="48">
        <f>'Model Inputs'!O21</f>
        <v>10</v>
      </c>
    </row>
    <row r="57" spans="2:19" x14ac:dyDescent="0.4">
      <c r="E57" t="s">
        <v>132</v>
      </c>
      <c r="G57" t="s">
        <v>49</v>
      </c>
      <c r="I57" s="50">
        <v>1.1000000000000001</v>
      </c>
      <c r="K57" s="49"/>
      <c r="L57" s="49"/>
      <c r="M57" s="49"/>
      <c r="N57" s="49"/>
      <c r="O57" s="48">
        <f>$I57*O56</f>
        <v>11</v>
      </c>
      <c r="P57" s="48">
        <f t="shared" ref="P57" si="62">$I57*P56</f>
        <v>11</v>
      </c>
      <c r="Q57" s="48">
        <f t="shared" ref="Q57" si="63">$I57*Q56</f>
        <v>11</v>
      </c>
      <c r="R57" s="48">
        <f t="shared" ref="R57" si="64">$I57*R56</f>
        <v>11</v>
      </c>
      <c r="S57" s="48">
        <f t="shared" ref="S57" si="65">$I57*S56</f>
        <v>11</v>
      </c>
    </row>
    <row r="60" spans="2:19" x14ac:dyDescent="0.4">
      <c r="B60" s="26" t="s">
        <v>116</v>
      </c>
      <c r="C60" s="26"/>
    </row>
    <row r="61" spans="2:19" x14ac:dyDescent="0.4">
      <c r="B61" s="26"/>
      <c r="C61" s="26" t="s">
        <v>47</v>
      </c>
      <c r="K61" s="48">
        <f>'Model Inputs'!G24</f>
        <v>0</v>
      </c>
      <c r="L61" s="48">
        <f>'Model Inputs'!H24</f>
        <v>0</v>
      </c>
      <c r="M61" s="48">
        <f>'Model Inputs'!I24</f>
        <v>0</v>
      </c>
      <c r="N61" s="48">
        <f>'Model Inputs'!J24</f>
        <v>0</v>
      </c>
      <c r="O61" s="48" cm="1">
        <f t="array" ref="O61">INDEX(O62:O64,$BE$1)</f>
        <v>1000000</v>
      </c>
      <c r="P61" s="48" cm="1">
        <f t="array" ref="P61">INDEX(P62:P64,$BE$1)</f>
        <v>1500000</v>
      </c>
      <c r="Q61" s="48" cm="1">
        <f t="array" ref="Q61">INDEX(Q62:Q64,$BE$1)</f>
        <v>2200000</v>
      </c>
      <c r="R61" s="48" cm="1">
        <f t="array" ref="R61">INDEX(R62:R64,$BE$1)</f>
        <v>2800000</v>
      </c>
      <c r="S61" s="48" cm="1">
        <f t="array" ref="S61">INDEX(S62:S64,$BE$1)</f>
        <v>4000000</v>
      </c>
    </row>
    <row r="62" spans="2:19" x14ac:dyDescent="0.4">
      <c r="E62" t="s">
        <v>130</v>
      </c>
      <c r="G62" t="s">
        <v>117</v>
      </c>
      <c r="I62" s="50">
        <v>1.2</v>
      </c>
      <c r="K62" s="49"/>
      <c r="L62" s="49"/>
      <c r="M62" s="49"/>
      <c r="N62" s="49"/>
      <c r="O62" s="48">
        <f>$I62*O63</f>
        <v>1200000</v>
      </c>
      <c r="P62" s="48">
        <f t="shared" ref="P62" si="66">$I62*P63</f>
        <v>1800000</v>
      </c>
      <c r="Q62" s="48">
        <f t="shared" ref="Q62" si="67">$I62*Q63</f>
        <v>2640000</v>
      </c>
      <c r="R62" s="48">
        <f t="shared" ref="R62" si="68">$I62*R63</f>
        <v>3360000</v>
      </c>
      <c r="S62" s="48">
        <f t="shared" ref="S62" si="69">$I62*S63</f>
        <v>4800000</v>
      </c>
    </row>
    <row r="63" spans="2:19" x14ac:dyDescent="0.4">
      <c r="E63" t="s">
        <v>131</v>
      </c>
      <c r="G63" t="s">
        <v>117</v>
      </c>
      <c r="I63" s="51" t="s">
        <v>133</v>
      </c>
      <c r="K63" s="49"/>
      <c r="L63" s="49"/>
      <c r="M63" s="49"/>
      <c r="N63" s="49"/>
      <c r="O63" s="48">
        <f>'Model Inputs'!K24</f>
        <v>1000000</v>
      </c>
      <c r="P63" s="48">
        <f>'Model Inputs'!L24</f>
        <v>1500000</v>
      </c>
      <c r="Q63" s="48">
        <f>'Model Inputs'!M24</f>
        <v>2200000</v>
      </c>
      <c r="R63" s="48">
        <f>'Model Inputs'!N24</f>
        <v>2800000</v>
      </c>
      <c r="S63" s="48">
        <f>'Model Inputs'!O24</f>
        <v>4000000</v>
      </c>
    </row>
    <row r="64" spans="2:19" x14ac:dyDescent="0.4">
      <c r="E64" t="s">
        <v>132</v>
      </c>
      <c r="G64" t="s">
        <v>117</v>
      </c>
      <c r="I64" s="50">
        <v>0.9</v>
      </c>
      <c r="K64" s="49"/>
      <c r="L64" s="49"/>
      <c r="M64" s="49"/>
      <c r="N64" s="49"/>
      <c r="O64" s="48">
        <f>$I64*O63</f>
        <v>900000</v>
      </c>
      <c r="P64" s="48">
        <f t="shared" ref="P64" si="70">$I64*P63</f>
        <v>1350000</v>
      </c>
      <c r="Q64" s="48">
        <f t="shared" ref="Q64" si="71">$I64*Q63</f>
        <v>1980000</v>
      </c>
      <c r="R64" s="48">
        <f t="shared" ref="R64" si="72">$I64*R63</f>
        <v>2520000</v>
      </c>
      <c r="S64" s="48">
        <f t="shared" ref="S64" si="73">$I64*S63</f>
        <v>3600000</v>
      </c>
    </row>
    <row r="66" spans="2:19" x14ac:dyDescent="0.4">
      <c r="B66" s="26"/>
      <c r="C66" s="26" t="s">
        <v>48</v>
      </c>
      <c r="K66" s="48">
        <f>'Model Inputs'!G25</f>
        <v>0</v>
      </c>
      <c r="L66" s="48">
        <f>'Model Inputs'!H25</f>
        <v>0</v>
      </c>
      <c r="M66" s="48">
        <f>'Model Inputs'!I25</f>
        <v>0</v>
      </c>
      <c r="N66" s="48">
        <f>'Model Inputs'!J25</f>
        <v>0</v>
      </c>
      <c r="O66" s="48" cm="1">
        <f t="array" ref="O66">INDEX(O67:O69,$BE$1)</f>
        <v>10</v>
      </c>
      <c r="P66" s="48" cm="1">
        <f t="array" ref="P66">INDEX(P67:P69,$BE$1)</f>
        <v>10</v>
      </c>
      <c r="Q66" s="48" cm="1">
        <f t="array" ref="Q66">INDEX(Q67:Q69,$BE$1)</f>
        <v>10</v>
      </c>
      <c r="R66" s="48" cm="1">
        <f t="array" ref="R66">INDEX(R67:R69,$BE$1)</f>
        <v>10</v>
      </c>
      <c r="S66" s="48" cm="1">
        <f t="array" ref="S66">INDEX(S67:S69,$BE$1)</f>
        <v>10</v>
      </c>
    </row>
    <row r="67" spans="2:19" x14ac:dyDescent="0.4">
      <c r="E67" t="s">
        <v>130</v>
      </c>
      <c r="G67" t="s">
        <v>49</v>
      </c>
      <c r="I67" s="50">
        <v>1.2</v>
      </c>
      <c r="K67" s="49"/>
      <c r="L67" s="49"/>
      <c r="M67" s="49"/>
      <c r="N67" s="49"/>
      <c r="O67" s="48">
        <f>$I67*O68</f>
        <v>12</v>
      </c>
      <c r="P67" s="48">
        <f t="shared" ref="P67" si="74">$I67*P68</f>
        <v>12</v>
      </c>
      <c r="Q67" s="48">
        <f t="shared" ref="Q67" si="75">$I67*Q68</f>
        <v>12</v>
      </c>
      <c r="R67" s="48">
        <f t="shared" ref="R67" si="76">$I67*R68</f>
        <v>12</v>
      </c>
      <c r="S67" s="48">
        <f t="shared" ref="S67" si="77">$I67*S68</f>
        <v>12</v>
      </c>
    </row>
    <row r="68" spans="2:19" x14ac:dyDescent="0.4">
      <c r="E68" t="s">
        <v>131</v>
      </c>
      <c r="G68" t="s">
        <v>49</v>
      </c>
      <c r="I68" s="51" t="s">
        <v>133</v>
      </c>
      <c r="K68" s="49"/>
      <c r="L68" s="49"/>
      <c r="M68" s="49"/>
      <c r="N68" s="49"/>
      <c r="O68" s="48">
        <f>'Model Inputs'!K25</f>
        <v>10</v>
      </c>
      <c r="P68" s="48">
        <f>'Model Inputs'!L25</f>
        <v>10</v>
      </c>
      <c r="Q68" s="48">
        <f>'Model Inputs'!M25</f>
        <v>10</v>
      </c>
      <c r="R68" s="48">
        <f>'Model Inputs'!N25</f>
        <v>10</v>
      </c>
      <c r="S68" s="48">
        <f>'Model Inputs'!O25</f>
        <v>10</v>
      </c>
    </row>
    <row r="69" spans="2:19" x14ac:dyDescent="0.4">
      <c r="E69" t="s">
        <v>132</v>
      </c>
      <c r="G69" t="s">
        <v>49</v>
      </c>
      <c r="I69" s="50">
        <v>0.9</v>
      </c>
      <c r="K69" s="49"/>
      <c r="L69" s="49"/>
      <c r="M69" s="49"/>
      <c r="N69" s="49"/>
      <c r="O69" s="48">
        <f>$I69*O68</f>
        <v>9</v>
      </c>
      <c r="P69" s="48">
        <f t="shared" ref="P69" si="78">$I69*P68</f>
        <v>9</v>
      </c>
      <c r="Q69" s="48">
        <f t="shared" ref="Q69" si="79">$I69*Q68</f>
        <v>9</v>
      </c>
      <c r="R69" s="48">
        <f t="shared" ref="R69" si="80">$I69*R68</f>
        <v>9</v>
      </c>
      <c r="S69" s="48">
        <f t="shared" ref="S69" si="81">$I69*S68</f>
        <v>9</v>
      </c>
    </row>
    <row r="71" spans="2:19" x14ac:dyDescent="0.4">
      <c r="B71" s="26"/>
      <c r="C71" s="26" t="s">
        <v>50</v>
      </c>
      <c r="K71" s="48">
        <f>'Model Inputs'!G26</f>
        <v>0</v>
      </c>
      <c r="L71" s="48">
        <f>'Model Inputs'!H26</f>
        <v>0</v>
      </c>
      <c r="M71" s="48">
        <f>'Model Inputs'!I26</f>
        <v>0</v>
      </c>
      <c r="N71" s="48">
        <f>'Model Inputs'!J26</f>
        <v>0</v>
      </c>
      <c r="O71" s="48" cm="1">
        <f t="array" ref="O71">INDEX(O72:O74,$BE$1)</f>
        <v>6</v>
      </c>
      <c r="P71" s="48" cm="1">
        <f t="array" ref="P71">INDEX(P72:P74,$BE$1)</f>
        <v>6</v>
      </c>
      <c r="Q71" s="48" cm="1">
        <f t="array" ref="Q71">INDEX(Q72:Q74,$BE$1)</f>
        <v>6</v>
      </c>
      <c r="R71" s="48" cm="1">
        <f t="array" ref="R71">INDEX(R72:R74,$BE$1)</f>
        <v>6</v>
      </c>
      <c r="S71" s="48" cm="1">
        <f t="array" ref="S71">INDEX(S72:S74,$BE$1)</f>
        <v>6</v>
      </c>
    </row>
    <row r="72" spans="2:19" x14ac:dyDescent="0.4">
      <c r="E72" t="s">
        <v>130</v>
      </c>
      <c r="G72" t="s">
        <v>49</v>
      </c>
      <c r="I72" s="50">
        <v>0.9</v>
      </c>
      <c r="K72" s="49"/>
      <c r="L72" s="49"/>
      <c r="M72" s="49"/>
      <c r="N72" s="49"/>
      <c r="O72" s="48">
        <f>$I72*O73</f>
        <v>5.4</v>
      </c>
      <c r="P72" s="48">
        <f t="shared" ref="P72" si="82">$I72*P73</f>
        <v>5.4</v>
      </c>
      <c r="Q72" s="48">
        <f t="shared" ref="Q72" si="83">$I72*Q73</f>
        <v>5.4</v>
      </c>
      <c r="R72" s="48">
        <f t="shared" ref="R72" si="84">$I72*R73</f>
        <v>5.4</v>
      </c>
      <c r="S72" s="48">
        <f t="shared" ref="S72" si="85">$I72*S73</f>
        <v>5.4</v>
      </c>
    </row>
    <row r="73" spans="2:19" x14ac:dyDescent="0.4">
      <c r="E73" t="s">
        <v>131</v>
      </c>
      <c r="G73" t="s">
        <v>49</v>
      </c>
      <c r="I73" s="51" t="s">
        <v>133</v>
      </c>
      <c r="K73" s="49"/>
      <c r="L73" s="49"/>
      <c r="M73" s="49"/>
      <c r="N73" s="49"/>
      <c r="O73" s="48">
        <f>'Model Inputs'!K26</f>
        <v>6</v>
      </c>
      <c r="P73" s="48">
        <f>'Model Inputs'!L26</f>
        <v>6</v>
      </c>
      <c r="Q73" s="48">
        <f>'Model Inputs'!M26</f>
        <v>6</v>
      </c>
      <c r="R73" s="48">
        <f>'Model Inputs'!N26</f>
        <v>6</v>
      </c>
      <c r="S73" s="48">
        <f>'Model Inputs'!O26</f>
        <v>6</v>
      </c>
    </row>
    <row r="74" spans="2:19" x14ac:dyDescent="0.4">
      <c r="E74" t="s">
        <v>132</v>
      </c>
      <c r="G74" t="s">
        <v>49</v>
      </c>
      <c r="I74" s="50">
        <v>1.1000000000000001</v>
      </c>
      <c r="K74" s="49"/>
      <c r="L74" s="49"/>
      <c r="M74" s="49"/>
      <c r="N74" s="49"/>
      <c r="O74" s="48">
        <f>$I74*O73</f>
        <v>6.6000000000000005</v>
      </c>
      <c r="P74" s="48">
        <f t="shared" ref="P74" si="86">$I74*P73</f>
        <v>6.6000000000000005</v>
      </c>
      <c r="Q74" s="48">
        <f t="shared" ref="Q74" si="87">$I74*Q73</f>
        <v>6.6000000000000005</v>
      </c>
      <c r="R74" s="48">
        <f t="shared" ref="R74" si="88">$I74*R73</f>
        <v>6.6000000000000005</v>
      </c>
      <c r="S74" s="48">
        <f t="shared" ref="S74" si="89">$I74*S73</f>
        <v>6.6000000000000005</v>
      </c>
    </row>
    <row r="77" spans="2:19" x14ac:dyDescent="0.4">
      <c r="B77" s="26" t="s">
        <v>51</v>
      </c>
      <c r="C77" s="26"/>
    </row>
    <row r="78" spans="2:19" x14ac:dyDescent="0.4">
      <c r="B78" s="26"/>
      <c r="C78" s="26" t="s">
        <v>134</v>
      </c>
      <c r="K78" s="48">
        <f>'Model Inputs'!G47</f>
        <v>0</v>
      </c>
      <c r="L78" s="48">
        <f>'Model Inputs'!H47</f>
        <v>0</v>
      </c>
      <c r="M78" s="48">
        <f>'Model Inputs'!I47</f>
        <v>0</v>
      </c>
      <c r="N78" s="48">
        <f>'Model Inputs'!J47</f>
        <v>0</v>
      </c>
      <c r="O78" s="48" cm="1">
        <f t="array" ref="O78">INDEX(O79:O81,$BE$1)</f>
        <v>73719533.527696788</v>
      </c>
      <c r="P78" s="48" cm="1">
        <f t="array" ref="P78">INDEX(P79:P81,$BE$1)</f>
        <v>76129533.527696788</v>
      </c>
      <c r="Q78" s="48" cm="1">
        <f t="array" ref="Q78">INDEX(Q79:Q81,$BE$1)</f>
        <v>88063440.233236134</v>
      </c>
      <c r="R78" s="48" cm="1">
        <f t="array" ref="R78">INDEX(R79:R81,$BE$1)</f>
        <v>90473440.233236134</v>
      </c>
      <c r="S78" s="48" cm="1">
        <f t="array" ref="S78">INDEX(S79:S81,$BE$1)</f>
        <v>92883440.233236134</v>
      </c>
    </row>
    <row r="79" spans="2:19" x14ac:dyDescent="0.4">
      <c r="E79" t="s">
        <v>130</v>
      </c>
      <c r="G79" t="s">
        <v>49</v>
      </c>
      <c r="I79" s="50">
        <v>0.9</v>
      </c>
      <c r="K79" s="49"/>
      <c r="L79" s="49"/>
      <c r="M79" s="49"/>
      <c r="N79" s="49"/>
      <c r="O79" s="48">
        <f>$I79*O80</f>
        <v>66347580.174927108</v>
      </c>
      <c r="P79" s="48">
        <f t="shared" ref="P79" si="90">$I79*P80</f>
        <v>68516580.174927115</v>
      </c>
      <c r="Q79" s="48">
        <f t="shared" ref="Q79" si="91">$I79*Q80</f>
        <v>79257096.209912524</v>
      </c>
      <c r="R79" s="48">
        <f t="shared" ref="R79" si="92">$I79*R80</f>
        <v>81426096.209912524</v>
      </c>
      <c r="S79" s="48">
        <f t="shared" ref="S79" si="93">$I79*S80</f>
        <v>83595096.209912524</v>
      </c>
    </row>
    <row r="80" spans="2:19" x14ac:dyDescent="0.4">
      <c r="E80" t="s">
        <v>131</v>
      </c>
      <c r="G80" t="s">
        <v>49</v>
      </c>
      <c r="I80" s="51" t="s">
        <v>133</v>
      </c>
      <c r="K80" s="49"/>
      <c r="L80" s="49"/>
      <c r="M80" s="49"/>
      <c r="N80" s="49"/>
      <c r="O80" s="48">
        <f>'Model Inputs'!K47</f>
        <v>73719533.527696788</v>
      </c>
      <c r="P80" s="48">
        <f>'Model Inputs'!L47</f>
        <v>76129533.527696788</v>
      </c>
      <c r="Q80" s="48">
        <f>'Model Inputs'!M47</f>
        <v>88063440.233236134</v>
      </c>
      <c r="R80" s="48">
        <f>'Model Inputs'!N47</f>
        <v>90473440.233236134</v>
      </c>
      <c r="S80" s="48">
        <f>'Model Inputs'!O47</f>
        <v>92883440.233236134</v>
      </c>
    </row>
    <row r="81" spans="2:19" x14ac:dyDescent="0.4">
      <c r="E81" t="s">
        <v>132</v>
      </c>
      <c r="G81" t="s">
        <v>49</v>
      </c>
      <c r="I81" s="50">
        <v>1.1000000000000001</v>
      </c>
      <c r="K81" s="49"/>
      <c r="L81" s="49"/>
      <c r="M81" s="49"/>
      <c r="N81" s="49"/>
      <c r="O81" s="48">
        <f>$I81*O80</f>
        <v>81091486.880466476</v>
      </c>
      <c r="P81" s="48">
        <f t="shared" ref="P81" si="94">$I81*P80</f>
        <v>83742486.880466476</v>
      </c>
      <c r="Q81" s="48">
        <f t="shared" ref="Q81" si="95">$I81*Q80</f>
        <v>96869784.256559759</v>
      </c>
      <c r="R81" s="48">
        <f t="shared" ref="R81" si="96">$I81*R80</f>
        <v>99520784.256559759</v>
      </c>
      <c r="S81" s="48">
        <f t="shared" ref="S81" si="97">$I81*S80</f>
        <v>102171784.25655976</v>
      </c>
    </row>
    <row r="84" spans="2:19" x14ac:dyDescent="0.4">
      <c r="B84" s="26" t="s">
        <v>68</v>
      </c>
      <c r="C84" s="26"/>
    </row>
    <row r="85" spans="2:19" x14ac:dyDescent="0.4">
      <c r="B85" s="26"/>
      <c r="C85" s="26" t="s">
        <v>68</v>
      </c>
      <c r="K85" s="48">
        <f>'Model Inputs'!G54</f>
        <v>0</v>
      </c>
      <c r="L85" s="48">
        <f>'Model Inputs'!H54</f>
        <v>0</v>
      </c>
      <c r="M85" s="48">
        <f>'Model Inputs'!I54</f>
        <v>0</v>
      </c>
      <c r="N85" s="48">
        <f>'Model Inputs'!J54</f>
        <v>0</v>
      </c>
      <c r="O85" s="48" cm="1">
        <f t="array" ref="O85">INDEX(O86:O88,$BE$1)</f>
        <v>2200000</v>
      </c>
      <c r="P85" s="48" cm="1">
        <f t="array" ref="P85">INDEX(P86:P88,$BE$1)</f>
        <v>2200000</v>
      </c>
      <c r="Q85" s="48" cm="1">
        <f t="array" ref="Q85">INDEX(Q86:Q88,$BE$1)</f>
        <v>2200000</v>
      </c>
      <c r="R85" s="48" cm="1">
        <f t="array" ref="R85">INDEX(R86:R88,$BE$1)</f>
        <v>2200000</v>
      </c>
      <c r="S85" s="48" cm="1">
        <f t="array" ref="S85">INDEX(S86:S88,$BE$1)</f>
        <v>2200000</v>
      </c>
    </row>
    <row r="86" spans="2:19" x14ac:dyDescent="0.4">
      <c r="E86" t="s">
        <v>130</v>
      </c>
      <c r="G86" t="s">
        <v>49</v>
      </c>
      <c r="I86" s="50">
        <v>0.9</v>
      </c>
      <c r="K86" s="49"/>
      <c r="L86" s="49"/>
      <c r="M86" s="49"/>
      <c r="N86" s="49"/>
      <c r="O86" s="48">
        <f>$I86*O87</f>
        <v>1980000</v>
      </c>
      <c r="P86" s="48">
        <f t="shared" ref="P86" si="98">$I86*P87</f>
        <v>1980000</v>
      </c>
      <c r="Q86" s="48">
        <f t="shared" ref="Q86" si="99">$I86*Q87</f>
        <v>1980000</v>
      </c>
      <c r="R86" s="48">
        <f t="shared" ref="R86" si="100">$I86*R87</f>
        <v>1980000</v>
      </c>
      <c r="S86" s="48">
        <f t="shared" ref="S86" si="101">$I86*S87</f>
        <v>1980000</v>
      </c>
    </row>
    <row r="87" spans="2:19" x14ac:dyDescent="0.4">
      <c r="E87" t="s">
        <v>131</v>
      </c>
      <c r="G87" t="s">
        <v>49</v>
      </c>
      <c r="I87" s="51" t="s">
        <v>133</v>
      </c>
      <c r="K87" s="49"/>
      <c r="L87" s="49"/>
      <c r="M87" s="49"/>
      <c r="N87" s="49"/>
      <c r="O87" s="48">
        <f>'Model Inputs'!K54</f>
        <v>2200000</v>
      </c>
      <c r="P87" s="48">
        <f>'Model Inputs'!L54</f>
        <v>2200000</v>
      </c>
      <c r="Q87" s="48">
        <f>'Model Inputs'!M54</f>
        <v>2200000</v>
      </c>
      <c r="R87" s="48">
        <f>'Model Inputs'!N54</f>
        <v>2200000</v>
      </c>
      <c r="S87" s="48">
        <f>'Model Inputs'!O54</f>
        <v>2200000</v>
      </c>
    </row>
    <row r="88" spans="2:19" x14ac:dyDescent="0.4">
      <c r="E88" t="s">
        <v>132</v>
      </c>
      <c r="G88" t="s">
        <v>49</v>
      </c>
      <c r="I88" s="50">
        <v>1.1000000000000001</v>
      </c>
      <c r="K88" s="49"/>
      <c r="L88" s="49"/>
      <c r="M88" s="49"/>
      <c r="N88" s="49"/>
      <c r="O88" s="48">
        <f>$I88*O87</f>
        <v>2420000</v>
      </c>
      <c r="P88" s="48">
        <f t="shared" ref="P88" si="102">$I88*P87</f>
        <v>2420000</v>
      </c>
      <c r="Q88" s="48">
        <f t="shared" ref="Q88" si="103">$I88*Q87</f>
        <v>2420000</v>
      </c>
      <c r="R88" s="48">
        <f t="shared" ref="R88" si="104">$I88*R87</f>
        <v>2420000</v>
      </c>
      <c r="S88" s="48">
        <f t="shared" ref="S88" si="105">$I88*S87</f>
        <v>2420000</v>
      </c>
    </row>
  </sheetData>
  <dataValidations disablePrompts="1" count="1">
    <dataValidation type="list" allowBlank="1" showInputMessage="1" showErrorMessage="1" sqref="D5" xr:uid="{3C3BF844-CBD5-422A-A0B4-92F18AF9668D}">
      <formula1>"Optimistic,Conservative,Pessimistic"</formula1>
    </dataValidation>
  </dataValidations>
  <hyperlinks>
    <hyperlink ref="O1" location="'Table of Content'!A1" display="&gt;&gt; Table of Contents" xr:uid="{73E7718C-E42C-49C4-B7F5-D34CE4A2290A}"/>
  </hyperlink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2</xdr:col>
                    <xdr:colOff>337457</xdr:colOff>
                    <xdr:row>3</xdr:row>
                    <xdr:rowOff>179614</xdr:rowOff>
                  </from>
                  <to>
                    <xdr:col>4</xdr:col>
                    <xdr:colOff>261257</xdr:colOff>
                    <xdr:row>5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DE65-F3F6-47D1-84DF-C847A82527D3}">
  <sheetPr>
    <tabColor theme="4"/>
  </sheetPr>
  <dimension ref="A1:T28"/>
  <sheetViews>
    <sheetView showGridLines="0" workbookViewId="0">
      <selection activeCell="J28" sqref="J28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1:20" ht="20.6" x14ac:dyDescent="0.55000000000000004">
      <c r="B3" s="19" t="s">
        <v>35</v>
      </c>
      <c r="C3" s="19"/>
      <c r="D3" s="19"/>
      <c r="E3" s="19"/>
      <c r="F3" s="19"/>
      <c r="G3" s="19"/>
      <c r="H3" s="19"/>
    </row>
    <row r="5" spans="1:20" x14ac:dyDescent="0.4">
      <c r="A5" s="21"/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  <c r="P5" s="21"/>
    </row>
    <row r="6" spans="1:20" x14ac:dyDescent="0.4">
      <c r="A6" s="2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1"/>
    </row>
    <row r="7" spans="1:20" s="52" customFormat="1" x14ac:dyDescent="0.4">
      <c r="B7" s="52" t="s">
        <v>135</v>
      </c>
      <c r="G7" s="82">
        <f>SUM(G8:G11)</f>
        <v>0</v>
      </c>
      <c r="H7" s="82">
        <f t="shared" ref="H7:O7" si="0">SUM(H8:H11)</f>
        <v>0</v>
      </c>
      <c r="I7" s="82">
        <f t="shared" si="0"/>
        <v>0</v>
      </c>
      <c r="J7" s="82">
        <f t="shared" si="0"/>
        <v>0</v>
      </c>
      <c r="K7" s="82">
        <f t="shared" si="0"/>
        <v>930000000</v>
      </c>
      <c r="L7" s="82">
        <f t="shared" si="0"/>
        <v>1070000000</v>
      </c>
      <c r="M7" s="82">
        <f t="shared" si="0"/>
        <v>1266000000</v>
      </c>
      <c r="N7" s="82">
        <f t="shared" si="0"/>
        <v>1639000000</v>
      </c>
      <c r="O7" s="82">
        <f t="shared" si="0"/>
        <v>1845000000</v>
      </c>
    </row>
    <row r="8" spans="1:20" x14ac:dyDescent="0.4">
      <c r="C8" t="s">
        <v>136</v>
      </c>
      <c r="D8" t="s">
        <v>49</v>
      </c>
      <c r="G8" s="79">
        <f>G14</f>
        <v>0</v>
      </c>
      <c r="H8" s="79">
        <f t="shared" ref="H8:O8" si="1">H14</f>
        <v>0</v>
      </c>
      <c r="I8" s="79">
        <f t="shared" si="1"/>
        <v>0</v>
      </c>
      <c r="J8" s="79">
        <f t="shared" si="1"/>
        <v>0</v>
      </c>
      <c r="K8" s="79">
        <f t="shared" si="1"/>
        <v>500000000</v>
      </c>
      <c r="L8" s="79">
        <f t="shared" si="1"/>
        <v>600000000</v>
      </c>
      <c r="M8" s="79">
        <f t="shared" si="1"/>
        <v>750000000</v>
      </c>
      <c r="N8" s="79">
        <f t="shared" si="1"/>
        <v>1080000000</v>
      </c>
      <c r="O8" s="79">
        <f t="shared" si="1"/>
        <v>1200000000</v>
      </c>
    </row>
    <row r="9" spans="1:20" x14ac:dyDescent="0.4">
      <c r="C9" s="26" t="s">
        <v>114</v>
      </c>
      <c r="D9" t="s">
        <v>49</v>
      </c>
      <c r="G9" s="79">
        <f>G18</f>
        <v>0</v>
      </c>
      <c r="H9" s="79">
        <f t="shared" ref="H9:O9" si="2">H18</f>
        <v>0</v>
      </c>
      <c r="I9" s="79">
        <f t="shared" si="2"/>
        <v>0</v>
      </c>
      <c r="J9" s="79">
        <f t="shared" si="2"/>
        <v>0</v>
      </c>
      <c r="K9" s="79">
        <f t="shared" si="2"/>
        <v>400000000</v>
      </c>
      <c r="L9" s="79">
        <f t="shared" si="2"/>
        <v>425000000</v>
      </c>
      <c r="M9" s="79">
        <f t="shared" si="2"/>
        <v>450000000</v>
      </c>
      <c r="N9" s="79">
        <f t="shared" si="2"/>
        <v>475000000</v>
      </c>
      <c r="O9" s="79">
        <f t="shared" si="2"/>
        <v>525000000</v>
      </c>
    </row>
    <row r="10" spans="1:20" x14ac:dyDescent="0.4">
      <c r="C10" s="26" t="s">
        <v>115</v>
      </c>
      <c r="D10" t="s">
        <v>49</v>
      </c>
      <c r="G10" s="79">
        <f>G22</f>
        <v>0</v>
      </c>
      <c r="H10" s="79">
        <f t="shared" ref="H10:O10" si="3">H22</f>
        <v>0</v>
      </c>
      <c r="I10" s="79">
        <f t="shared" si="3"/>
        <v>0</v>
      </c>
      <c r="J10" s="79">
        <f t="shared" si="3"/>
        <v>0</v>
      </c>
      <c r="K10" s="79">
        <f t="shared" si="3"/>
        <v>20000000</v>
      </c>
      <c r="L10" s="79">
        <f t="shared" si="3"/>
        <v>30000000</v>
      </c>
      <c r="M10" s="79">
        <f t="shared" si="3"/>
        <v>44000000</v>
      </c>
      <c r="N10" s="79">
        <f t="shared" si="3"/>
        <v>56000000</v>
      </c>
      <c r="O10" s="79">
        <f t="shared" si="3"/>
        <v>80000000</v>
      </c>
    </row>
    <row r="11" spans="1:20" x14ac:dyDescent="0.4">
      <c r="C11" s="26" t="s">
        <v>116</v>
      </c>
      <c r="D11" t="s">
        <v>49</v>
      </c>
      <c r="G11" s="79">
        <f>G26</f>
        <v>0</v>
      </c>
      <c r="H11" s="79">
        <f t="shared" ref="H11:O11" si="4">H26</f>
        <v>0</v>
      </c>
      <c r="I11" s="79">
        <f t="shared" si="4"/>
        <v>0</v>
      </c>
      <c r="J11" s="79">
        <f t="shared" si="4"/>
        <v>0</v>
      </c>
      <c r="K11" s="79">
        <f t="shared" si="4"/>
        <v>10000000</v>
      </c>
      <c r="L11" s="79">
        <f t="shared" si="4"/>
        <v>15000000</v>
      </c>
      <c r="M11" s="79">
        <f t="shared" si="4"/>
        <v>22000000</v>
      </c>
      <c r="N11" s="79">
        <f t="shared" si="4"/>
        <v>28000000</v>
      </c>
      <c r="O11" s="79">
        <f t="shared" si="4"/>
        <v>40000000</v>
      </c>
    </row>
    <row r="12" spans="1:20" x14ac:dyDescent="0.4">
      <c r="G12" s="79"/>
      <c r="H12" s="79"/>
      <c r="I12" s="79"/>
      <c r="J12" s="79"/>
      <c r="K12" s="79"/>
      <c r="L12" s="79"/>
      <c r="M12" s="79"/>
      <c r="N12" s="79"/>
      <c r="O12" s="79"/>
    </row>
    <row r="13" spans="1:20" x14ac:dyDescent="0.4">
      <c r="G13" s="79"/>
      <c r="H13" s="79"/>
      <c r="I13" s="79"/>
      <c r="J13" s="79"/>
      <c r="K13" s="79"/>
      <c r="L13" s="79"/>
      <c r="M13" s="79"/>
      <c r="N13" s="79"/>
      <c r="O13" s="79"/>
    </row>
    <row r="14" spans="1:20" x14ac:dyDescent="0.4">
      <c r="B14" t="s">
        <v>136</v>
      </c>
      <c r="G14" s="48">
        <f>G15*G16</f>
        <v>0</v>
      </c>
      <c r="H14" s="48">
        <f t="shared" ref="H14:O14" si="5">H15*H16</f>
        <v>0</v>
      </c>
      <c r="I14" s="48">
        <f t="shared" si="5"/>
        <v>0</v>
      </c>
      <c r="J14" s="48">
        <f t="shared" si="5"/>
        <v>0</v>
      </c>
      <c r="K14" s="48">
        <f t="shared" si="5"/>
        <v>500000000</v>
      </c>
      <c r="L14" s="48">
        <f t="shared" si="5"/>
        <v>600000000</v>
      </c>
      <c r="M14" s="48">
        <f t="shared" si="5"/>
        <v>750000000</v>
      </c>
      <c r="N14" s="48">
        <f t="shared" si="5"/>
        <v>1080000000</v>
      </c>
      <c r="O14" s="48">
        <f t="shared" si="5"/>
        <v>1200000000</v>
      </c>
    </row>
    <row r="15" spans="1:20" x14ac:dyDescent="0.4">
      <c r="C15" s="26" t="s">
        <v>47</v>
      </c>
      <c r="D15" t="s">
        <v>117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1:20" x14ac:dyDescent="0.4">
      <c r="C16" s="26" t="s">
        <v>48</v>
      </c>
      <c r="D16" t="s">
        <v>49</v>
      </c>
      <c r="G16" s="48">
        <f>Scenarios!K15</f>
        <v>0</v>
      </c>
      <c r="H16" s="48">
        <f>Scenarios!L15</f>
        <v>0</v>
      </c>
      <c r="I16" s="48">
        <f>Scenarios!M15</f>
        <v>0</v>
      </c>
      <c r="J16" s="48">
        <f>Scenarios!N15</f>
        <v>0</v>
      </c>
      <c r="K16" s="48">
        <f>Scenarios!O15</f>
        <v>1000</v>
      </c>
      <c r="L16" s="48">
        <f>Scenarios!P15</f>
        <v>1000</v>
      </c>
      <c r="M16" s="48">
        <f>Scenarios!Q15</f>
        <v>1000</v>
      </c>
      <c r="N16" s="48">
        <f>Scenarios!R15</f>
        <v>1200</v>
      </c>
      <c r="O16" s="48">
        <f>Scenarios!S15</f>
        <v>1200</v>
      </c>
    </row>
    <row r="17" spans="2:15" x14ac:dyDescent="0.4">
      <c r="G17" s="48"/>
      <c r="H17" s="48"/>
      <c r="I17" s="48"/>
      <c r="J17" s="48"/>
      <c r="K17" s="48"/>
      <c r="L17" s="48"/>
      <c r="M17" s="48"/>
      <c r="N17" s="48"/>
      <c r="O17" s="48"/>
    </row>
    <row r="18" spans="2:15" x14ac:dyDescent="0.4">
      <c r="B18" s="26" t="s">
        <v>114</v>
      </c>
      <c r="G18" s="48">
        <f>G19*G20</f>
        <v>0</v>
      </c>
      <c r="H18" s="48">
        <f t="shared" ref="H18:O18" si="6">H19*H20</f>
        <v>0</v>
      </c>
      <c r="I18" s="48">
        <f t="shared" si="6"/>
        <v>0</v>
      </c>
      <c r="J18" s="48">
        <f t="shared" si="6"/>
        <v>0</v>
      </c>
      <c r="K18" s="48">
        <f t="shared" si="6"/>
        <v>400000000</v>
      </c>
      <c r="L18" s="48">
        <f t="shared" si="6"/>
        <v>425000000</v>
      </c>
      <c r="M18" s="48">
        <f t="shared" si="6"/>
        <v>450000000</v>
      </c>
      <c r="N18" s="48">
        <f t="shared" si="6"/>
        <v>475000000</v>
      </c>
      <c r="O18" s="48">
        <f t="shared" si="6"/>
        <v>525000000</v>
      </c>
    </row>
    <row r="19" spans="2:15" x14ac:dyDescent="0.4">
      <c r="C19" s="26" t="s">
        <v>47</v>
      </c>
      <c r="D19" t="s">
        <v>117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48</v>
      </c>
      <c r="D20" t="s">
        <v>49</v>
      </c>
      <c r="G20" s="48">
        <f>Scenarios!K32</f>
        <v>0</v>
      </c>
      <c r="H20" s="48">
        <f>Scenarios!L32</f>
        <v>0</v>
      </c>
      <c r="I20" s="48">
        <f>Scenarios!M32</f>
        <v>0</v>
      </c>
      <c r="J20" s="48">
        <f>Scenarios!N32</f>
        <v>0</v>
      </c>
      <c r="K20" s="48">
        <f>Scenarios!O32</f>
        <v>500</v>
      </c>
      <c r="L20" s="48">
        <f>Scenarios!P32</f>
        <v>500</v>
      </c>
      <c r="M20" s="48">
        <f>Scenarios!Q32</f>
        <v>500</v>
      </c>
      <c r="N20" s="48">
        <f>Scenarios!R32</f>
        <v>500</v>
      </c>
      <c r="O20" s="48">
        <f>Scenarios!S32</f>
        <v>500</v>
      </c>
    </row>
    <row r="21" spans="2:15" x14ac:dyDescent="0.4">
      <c r="G21" s="48"/>
      <c r="H21" s="48"/>
      <c r="I21" s="48"/>
      <c r="J21" s="48"/>
      <c r="K21" s="48"/>
      <c r="L21" s="48"/>
      <c r="M21" s="48"/>
      <c r="N21" s="48"/>
      <c r="O21" s="48"/>
    </row>
    <row r="22" spans="2:15" x14ac:dyDescent="0.4">
      <c r="B22" s="26" t="s">
        <v>115</v>
      </c>
      <c r="G22" s="48">
        <f>G23*G24</f>
        <v>0</v>
      </c>
      <c r="H22" s="48">
        <f t="shared" ref="H22:O22" si="7">H23*H24</f>
        <v>0</v>
      </c>
      <c r="I22" s="48">
        <f t="shared" si="7"/>
        <v>0</v>
      </c>
      <c r="J22" s="48">
        <f t="shared" si="7"/>
        <v>0</v>
      </c>
      <c r="K22" s="48">
        <f t="shared" si="7"/>
        <v>20000000</v>
      </c>
      <c r="L22" s="48">
        <f t="shared" si="7"/>
        <v>30000000</v>
      </c>
      <c r="M22" s="48">
        <f t="shared" si="7"/>
        <v>44000000</v>
      </c>
      <c r="N22" s="48">
        <f t="shared" si="7"/>
        <v>56000000</v>
      </c>
      <c r="O22" s="48">
        <f t="shared" si="7"/>
        <v>80000000</v>
      </c>
    </row>
    <row r="23" spans="2:15" x14ac:dyDescent="0.4">
      <c r="C23" s="26" t="s">
        <v>47</v>
      </c>
      <c r="D23" t="s">
        <v>117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48</v>
      </c>
      <c r="D24" t="s">
        <v>49</v>
      </c>
      <c r="G24" s="48">
        <f>Scenarios!K49</f>
        <v>0</v>
      </c>
      <c r="H24" s="48">
        <f>Scenarios!L49</f>
        <v>0</v>
      </c>
      <c r="I24" s="48">
        <f>Scenarios!M49</f>
        <v>0</v>
      </c>
      <c r="J24" s="48">
        <f>Scenarios!N49</f>
        <v>0</v>
      </c>
      <c r="K24" s="48">
        <f>Scenarios!O49</f>
        <v>20</v>
      </c>
      <c r="L24" s="48">
        <f>Scenarios!P49</f>
        <v>20</v>
      </c>
      <c r="M24" s="48">
        <f>Scenarios!Q49</f>
        <v>20</v>
      </c>
      <c r="N24" s="48">
        <f>Scenarios!R49</f>
        <v>20</v>
      </c>
      <c r="O24" s="48">
        <f>Scenarios!S49</f>
        <v>20</v>
      </c>
    </row>
    <row r="25" spans="2:15" x14ac:dyDescent="0.4">
      <c r="G25" s="48"/>
      <c r="H25" s="48"/>
      <c r="I25" s="48"/>
      <c r="J25" s="48"/>
      <c r="K25" s="48"/>
      <c r="L25" s="48"/>
      <c r="M25" s="48"/>
      <c r="N25" s="48"/>
      <c r="O25" s="48"/>
    </row>
    <row r="26" spans="2:15" x14ac:dyDescent="0.4">
      <c r="B26" s="26" t="s">
        <v>116</v>
      </c>
      <c r="G26" s="48">
        <f>G27*G28</f>
        <v>0</v>
      </c>
      <c r="H26" s="48">
        <f t="shared" ref="H26:O26" si="8">H27*H28</f>
        <v>0</v>
      </c>
      <c r="I26" s="48">
        <f t="shared" si="8"/>
        <v>0</v>
      </c>
      <c r="J26" s="48">
        <f t="shared" si="8"/>
        <v>0</v>
      </c>
      <c r="K26" s="48">
        <f t="shared" si="8"/>
        <v>10000000</v>
      </c>
      <c r="L26" s="48">
        <f t="shared" si="8"/>
        <v>15000000</v>
      </c>
      <c r="M26" s="48">
        <f t="shared" si="8"/>
        <v>22000000</v>
      </c>
      <c r="N26" s="48">
        <f t="shared" si="8"/>
        <v>28000000</v>
      </c>
      <c r="O26" s="48">
        <f t="shared" si="8"/>
        <v>40000000</v>
      </c>
    </row>
    <row r="27" spans="2:15" x14ac:dyDescent="0.4">
      <c r="C27" s="26" t="s">
        <v>47</v>
      </c>
      <c r="D27" t="s">
        <v>117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48</v>
      </c>
      <c r="D28" t="s">
        <v>49</v>
      </c>
      <c r="G28" s="48">
        <f>Scenarios!K66</f>
        <v>0</v>
      </c>
      <c r="H28" s="48">
        <f>Scenarios!L66</f>
        <v>0</v>
      </c>
      <c r="I28" s="48">
        <f>Scenarios!M66</f>
        <v>0</v>
      </c>
      <c r="J28" s="48">
        <f>Scenarios!N66</f>
        <v>0</v>
      </c>
      <c r="K28" s="48">
        <f>Scenarios!O66</f>
        <v>10</v>
      </c>
      <c r="L28" s="48">
        <f>Scenarios!P66</f>
        <v>10</v>
      </c>
      <c r="M28" s="48">
        <f>Scenarios!Q66</f>
        <v>10</v>
      </c>
      <c r="N28" s="48">
        <f>Scenarios!R66</f>
        <v>10</v>
      </c>
      <c r="O28" s="48">
        <f>Scenarios!S66</f>
        <v>10</v>
      </c>
    </row>
  </sheetData>
  <hyperlinks>
    <hyperlink ref="O1" location="'Table of Content'!A1" display="&gt;&gt; Table of Contents" xr:uid="{8527DE7E-568F-4713-B64F-6477D047DA8B}"/>
  </hyperlink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48BD-B3EE-4CC4-81AE-F2BDCD51EE4A}">
  <sheetPr>
    <tabColor theme="4"/>
  </sheetPr>
  <dimension ref="B1:T28"/>
  <sheetViews>
    <sheetView showGridLines="0" workbookViewId="0">
      <selection activeCell="I23" sqref="I23"/>
    </sheetView>
  </sheetViews>
  <sheetFormatPr defaultRowHeight="14.6" x14ac:dyDescent="0.4"/>
  <cols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36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137</v>
      </c>
      <c r="C7" s="52"/>
      <c r="D7" s="52"/>
      <c r="E7" s="52"/>
      <c r="F7" s="52"/>
      <c r="G7" s="82">
        <f>SUM(G8:G11)</f>
        <v>0</v>
      </c>
      <c r="H7" s="82">
        <f t="shared" ref="H7:O7" si="0">SUM(H8:H11)</f>
        <v>0</v>
      </c>
      <c r="I7" s="82">
        <f t="shared" si="0"/>
        <v>0</v>
      </c>
      <c r="J7" s="82">
        <f t="shared" si="0"/>
        <v>0</v>
      </c>
      <c r="K7" s="82">
        <f t="shared" si="0"/>
        <v>360000000</v>
      </c>
      <c r="L7" s="82">
        <f t="shared" si="0"/>
        <v>417000000</v>
      </c>
      <c r="M7" s="82">
        <f t="shared" si="0"/>
        <v>534700000</v>
      </c>
      <c r="N7" s="82">
        <f t="shared" si="0"/>
        <v>620800000</v>
      </c>
      <c r="O7" s="82">
        <f t="shared" si="0"/>
        <v>753000000</v>
      </c>
    </row>
    <row r="8" spans="2:20" x14ac:dyDescent="0.4">
      <c r="C8" t="s">
        <v>136</v>
      </c>
      <c r="D8" t="s">
        <v>49</v>
      </c>
      <c r="G8" s="79">
        <f>G14</f>
        <v>0</v>
      </c>
      <c r="H8" s="79">
        <f t="shared" ref="H8:O8" si="1">H14</f>
        <v>0</v>
      </c>
      <c r="I8" s="79">
        <f t="shared" si="1"/>
        <v>0</v>
      </c>
      <c r="J8" s="79">
        <f t="shared" si="1"/>
        <v>0</v>
      </c>
      <c r="K8" s="79">
        <f t="shared" si="1"/>
        <v>200000000</v>
      </c>
      <c r="L8" s="79">
        <f t="shared" si="1"/>
        <v>240000000</v>
      </c>
      <c r="M8" s="79">
        <f t="shared" si="1"/>
        <v>337500000</v>
      </c>
      <c r="N8" s="79">
        <f t="shared" si="1"/>
        <v>405000000</v>
      </c>
      <c r="O8" s="79">
        <f t="shared" si="1"/>
        <v>500000000</v>
      </c>
    </row>
    <row r="9" spans="2:20" x14ac:dyDescent="0.4">
      <c r="C9" s="26" t="s">
        <v>114</v>
      </c>
      <c r="D9" t="s">
        <v>49</v>
      </c>
      <c r="G9" s="79">
        <f>G18</f>
        <v>0</v>
      </c>
      <c r="H9" s="79">
        <f t="shared" ref="H9:O9" si="2">H18</f>
        <v>0</v>
      </c>
      <c r="I9" s="79">
        <f t="shared" si="2"/>
        <v>0</v>
      </c>
      <c r="J9" s="79">
        <f t="shared" si="2"/>
        <v>0</v>
      </c>
      <c r="K9" s="79">
        <f t="shared" si="2"/>
        <v>144000000</v>
      </c>
      <c r="L9" s="79">
        <f t="shared" si="2"/>
        <v>153000000</v>
      </c>
      <c r="M9" s="79">
        <f t="shared" si="2"/>
        <v>162000000</v>
      </c>
      <c r="N9" s="79">
        <f t="shared" si="2"/>
        <v>171000000</v>
      </c>
      <c r="O9" s="79">
        <f t="shared" si="2"/>
        <v>189000000</v>
      </c>
    </row>
    <row r="10" spans="2:20" x14ac:dyDescent="0.4">
      <c r="C10" s="26" t="s">
        <v>115</v>
      </c>
      <c r="D10" t="s">
        <v>49</v>
      </c>
      <c r="G10" s="79">
        <f>G22</f>
        <v>0</v>
      </c>
      <c r="H10" s="79">
        <f t="shared" ref="H10:O10" si="3">H22</f>
        <v>0</v>
      </c>
      <c r="I10" s="79">
        <f t="shared" si="3"/>
        <v>0</v>
      </c>
      <c r="J10" s="79">
        <f t="shared" si="3"/>
        <v>0</v>
      </c>
      <c r="K10" s="79">
        <f t="shared" si="3"/>
        <v>10000000</v>
      </c>
      <c r="L10" s="79">
        <f t="shared" si="3"/>
        <v>15000000</v>
      </c>
      <c r="M10" s="79">
        <f t="shared" si="3"/>
        <v>22000000</v>
      </c>
      <c r="N10" s="79">
        <f t="shared" si="3"/>
        <v>28000000</v>
      </c>
      <c r="O10" s="79">
        <f t="shared" si="3"/>
        <v>40000000</v>
      </c>
    </row>
    <row r="11" spans="2:20" x14ac:dyDescent="0.4">
      <c r="C11" s="26" t="s">
        <v>116</v>
      </c>
      <c r="D11" t="s">
        <v>49</v>
      </c>
      <c r="G11" s="79">
        <f>G26</f>
        <v>0</v>
      </c>
      <c r="H11" s="79">
        <f t="shared" ref="H11:O11" si="4">H26</f>
        <v>0</v>
      </c>
      <c r="I11" s="79">
        <f t="shared" si="4"/>
        <v>0</v>
      </c>
      <c r="J11" s="79">
        <f t="shared" si="4"/>
        <v>0</v>
      </c>
      <c r="K11" s="79">
        <f t="shared" si="4"/>
        <v>6000000</v>
      </c>
      <c r="L11" s="79">
        <f t="shared" si="4"/>
        <v>9000000</v>
      </c>
      <c r="M11" s="79">
        <f t="shared" si="4"/>
        <v>13200000</v>
      </c>
      <c r="N11" s="79">
        <f t="shared" si="4"/>
        <v>16800000</v>
      </c>
      <c r="O11" s="79">
        <f t="shared" si="4"/>
        <v>24000000</v>
      </c>
    </row>
    <row r="12" spans="2:20" x14ac:dyDescent="0.4">
      <c r="G12" s="79"/>
      <c r="H12" s="79"/>
      <c r="I12" s="79"/>
      <c r="J12" s="79"/>
      <c r="K12" s="79"/>
      <c r="L12" s="79"/>
      <c r="M12" s="79"/>
      <c r="N12" s="79"/>
      <c r="O12" s="79"/>
    </row>
    <row r="13" spans="2:20" x14ac:dyDescent="0.4">
      <c r="G13" s="79"/>
      <c r="H13" s="79"/>
      <c r="I13" s="79"/>
      <c r="J13" s="79"/>
      <c r="K13" s="79"/>
      <c r="L13" s="79"/>
      <c r="M13" s="79"/>
      <c r="N13" s="79"/>
      <c r="O13" s="79"/>
    </row>
    <row r="14" spans="2:20" x14ac:dyDescent="0.4">
      <c r="B14" t="s">
        <v>136</v>
      </c>
      <c r="G14" s="48">
        <f>G15*G16</f>
        <v>0</v>
      </c>
      <c r="H14" s="48">
        <f t="shared" ref="H14:O14" si="5">H15*H16</f>
        <v>0</v>
      </c>
      <c r="I14" s="48">
        <f t="shared" si="5"/>
        <v>0</v>
      </c>
      <c r="J14" s="48">
        <f t="shared" si="5"/>
        <v>0</v>
      </c>
      <c r="K14" s="48">
        <f t="shared" si="5"/>
        <v>200000000</v>
      </c>
      <c r="L14" s="48">
        <f t="shared" si="5"/>
        <v>240000000</v>
      </c>
      <c r="M14" s="48">
        <f t="shared" si="5"/>
        <v>337500000</v>
      </c>
      <c r="N14" s="48">
        <f t="shared" si="5"/>
        <v>405000000</v>
      </c>
      <c r="O14" s="48">
        <f t="shared" si="5"/>
        <v>500000000</v>
      </c>
    </row>
    <row r="15" spans="2:20" x14ac:dyDescent="0.4">
      <c r="C15" s="26" t="s">
        <v>47</v>
      </c>
      <c r="D15" t="s">
        <v>117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2:20" x14ac:dyDescent="0.4">
      <c r="C16" s="26" t="s">
        <v>50</v>
      </c>
      <c r="D16" t="s">
        <v>49</v>
      </c>
      <c r="G16" s="48">
        <f>Scenarios!K20</f>
        <v>0</v>
      </c>
      <c r="H16" s="48">
        <f>Scenarios!L20</f>
        <v>0</v>
      </c>
      <c r="I16" s="48">
        <f>Scenarios!M20</f>
        <v>0</v>
      </c>
      <c r="J16" s="48">
        <f>Scenarios!N20</f>
        <v>0</v>
      </c>
      <c r="K16" s="48">
        <f>Scenarios!O20</f>
        <v>400</v>
      </c>
      <c r="L16" s="48">
        <f>Scenarios!P20</f>
        <v>400</v>
      </c>
      <c r="M16" s="48">
        <f>Scenarios!Q20</f>
        <v>450</v>
      </c>
      <c r="N16" s="48">
        <f>Scenarios!R20</f>
        <v>450</v>
      </c>
      <c r="O16" s="48">
        <f>Scenarios!S20</f>
        <v>500</v>
      </c>
    </row>
    <row r="17" spans="2:15" x14ac:dyDescent="0.4">
      <c r="G17" s="48"/>
      <c r="H17" s="48"/>
      <c r="I17" s="48"/>
      <c r="J17" s="48"/>
      <c r="K17" s="48"/>
      <c r="L17" s="48"/>
      <c r="M17" s="48"/>
      <c r="N17" s="48"/>
      <c r="O17" s="48"/>
    </row>
    <row r="18" spans="2:15" x14ac:dyDescent="0.4">
      <c r="B18" s="26" t="s">
        <v>114</v>
      </c>
      <c r="G18" s="48">
        <f>G19*G20</f>
        <v>0</v>
      </c>
      <c r="H18" s="48">
        <f t="shared" ref="H18:O18" si="6">H19*H20</f>
        <v>0</v>
      </c>
      <c r="I18" s="48">
        <f t="shared" si="6"/>
        <v>0</v>
      </c>
      <c r="J18" s="48">
        <f t="shared" si="6"/>
        <v>0</v>
      </c>
      <c r="K18" s="48">
        <f t="shared" si="6"/>
        <v>144000000</v>
      </c>
      <c r="L18" s="48">
        <f t="shared" si="6"/>
        <v>153000000</v>
      </c>
      <c r="M18" s="48">
        <f t="shared" si="6"/>
        <v>162000000</v>
      </c>
      <c r="N18" s="48">
        <f t="shared" si="6"/>
        <v>171000000</v>
      </c>
      <c r="O18" s="48">
        <f t="shared" si="6"/>
        <v>189000000</v>
      </c>
    </row>
    <row r="19" spans="2:15" x14ac:dyDescent="0.4">
      <c r="C19" s="26" t="s">
        <v>47</v>
      </c>
      <c r="D19" t="s">
        <v>117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50</v>
      </c>
      <c r="D20" t="s">
        <v>49</v>
      </c>
      <c r="G20" s="48">
        <f>Scenarios!K37</f>
        <v>0</v>
      </c>
      <c r="H20" s="48">
        <f>Scenarios!L37</f>
        <v>0</v>
      </c>
      <c r="I20" s="48">
        <f>Scenarios!M37</f>
        <v>0</v>
      </c>
      <c r="J20" s="48">
        <f>Scenarios!N37</f>
        <v>0</v>
      </c>
      <c r="K20" s="48">
        <f>Scenarios!O37</f>
        <v>180</v>
      </c>
      <c r="L20" s="48">
        <f>Scenarios!P37</f>
        <v>180</v>
      </c>
      <c r="M20" s="48">
        <f>Scenarios!Q37</f>
        <v>180</v>
      </c>
      <c r="N20" s="48">
        <f>Scenarios!R37</f>
        <v>180</v>
      </c>
      <c r="O20" s="48">
        <f>Scenarios!S37</f>
        <v>180</v>
      </c>
    </row>
    <row r="21" spans="2:15" x14ac:dyDescent="0.4">
      <c r="G21" s="48"/>
      <c r="H21" s="48"/>
      <c r="I21" s="48"/>
      <c r="J21" s="48"/>
      <c r="K21" s="48"/>
      <c r="L21" s="48"/>
      <c r="M21" s="48"/>
      <c r="N21" s="48"/>
      <c r="O21" s="48"/>
    </row>
    <row r="22" spans="2:15" x14ac:dyDescent="0.4">
      <c r="B22" s="26" t="s">
        <v>115</v>
      </c>
      <c r="G22" s="48">
        <f>G23*G24</f>
        <v>0</v>
      </c>
      <c r="H22" s="48">
        <f t="shared" ref="H22:O22" si="7">H23*H24</f>
        <v>0</v>
      </c>
      <c r="I22" s="48">
        <f t="shared" si="7"/>
        <v>0</v>
      </c>
      <c r="J22" s="48">
        <f t="shared" si="7"/>
        <v>0</v>
      </c>
      <c r="K22" s="48">
        <f t="shared" si="7"/>
        <v>10000000</v>
      </c>
      <c r="L22" s="48">
        <f t="shared" si="7"/>
        <v>15000000</v>
      </c>
      <c r="M22" s="48">
        <f t="shared" si="7"/>
        <v>22000000</v>
      </c>
      <c r="N22" s="48">
        <f t="shared" si="7"/>
        <v>28000000</v>
      </c>
      <c r="O22" s="48">
        <f t="shared" si="7"/>
        <v>40000000</v>
      </c>
    </row>
    <row r="23" spans="2:15" x14ac:dyDescent="0.4">
      <c r="C23" s="26" t="s">
        <v>47</v>
      </c>
      <c r="D23" t="s">
        <v>117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50</v>
      </c>
      <c r="D24" t="s">
        <v>49</v>
      </c>
      <c r="G24" s="48">
        <f>Scenarios!K54</f>
        <v>0</v>
      </c>
      <c r="H24" s="48">
        <f>Scenarios!L54</f>
        <v>0</v>
      </c>
      <c r="I24" s="48">
        <f>Scenarios!M54</f>
        <v>0</v>
      </c>
      <c r="J24" s="48">
        <f>Scenarios!N54</f>
        <v>0</v>
      </c>
      <c r="K24" s="48">
        <f>Scenarios!O54</f>
        <v>10</v>
      </c>
      <c r="L24" s="48">
        <f>Scenarios!P54</f>
        <v>10</v>
      </c>
      <c r="M24" s="48">
        <f>Scenarios!Q54</f>
        <v>10</v>
      </c>
      <c r="N24" s="48">
        <f>Scenarios!R54</f>
        <v>10</v>
      </c>
      <c r="O24" s="48">
        <f>Scenarios!S54</f>
        <v>10</v>
      </c>
    </row>
    <row r="25" spans="2:15" x14ac:dyDescent="0.4">
      <c r="G25" s="48"/>
      <c r="H25" s="48"/>
      <c r="I25" s="48"/>
      <c r="J25" s="48"/>
      <c r="K25" s="48"/>
      <c r="L25" s="48"/>
      <c r="M25" s="48"/>
      <c r="N25" s="48"/>
      <c r="O25" s="48"/>
    </row>
    <row r="26" spans="2:15" x14ac:dyDescent="0.4">
      <c r="B26" s="26" t="s">
        <v>116</v>
      </c>
      <c r="G26" s="48">
        <f>G27*G28</f>
        <v>0</v>
      </c>
      <c r="H26" s="48">
        <f t="shared" ref="H26:O26" si="8">H27*H28</f>
        <v>0</v>
      </c>
      <c r="I26" s="48">
        <f t="shared" si="8"/>
        <v>0</v>
      </c>
      <c r="J26" s="48">
        <f t="shared" si="8"/>
        <v>0</v>
      </c>
      <c r="K26" s="48">
        <f t="shared" si="8"/>
        <v>6000000</v>
      </c>
      <c r="L26" s="48">
        <f t="shared" si="8"/>
        <v>9000000</v>
      </c>
      <c r="M26" s="48">
        <f t="shared" si="8"/>
        <v>13200000</v>
      </c>
      <c r="N26" s="48">
        <f t="shared" si="8"/>
        <v>16800000</v>
      </c>
      <c r="O26" s="48">
        <f t="shared" si="8"/>
        <v>24000000</v>
      </c>
    </row>
    <row r="27" spans="2:15" x14ac:dyDescent="0.4">
      <c r="C27" s="26" t="s">
        <v>47</v>
      </c>
      <c r="D27" t="s">
        <v>117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50</v>
      </c>
      <c r="D28" t="s">
        <v>49</v>
      </c>
      <c r="G28" s="48">
        <f>Scenarios!K71</f>
        <v>0</v>
      </c>
      <c r="H28" s="48">
        <f>Scenarios!L71</f>
        <v>0</v>
      </c>
      <c r="I28" s="48">
        <f>Scenarios!M71</f>
        <v>0</v>
      </c>
      <c r="J28" s="48">
        <f>Scenarios!N71</f>
        <v>0</v>
      </c>
      <c r="K28" s="48">
        <f>Scenarios!O71</f>
        <v>6</v>
      </c>
      <c r="L28" s="48">
        <f>Scenarios!P71</f>
        <v>6</v>
      </c>
      <c r="M28" s="48">
        <f>Scenarios!Q71</f>
        <v>6</v>
      </c>
      <c r="N28" s="48">
        <f>Scenarios!R71</f>
        <v>6</v>
      </c>
      <c r="O28" s="48">
        <f>Scenarios!S71</f>
        <v>6</v>
      </c>
    </row>
  </sheetData>
  <hyperlinks>
    <hyperlink ref="O1" location="'Table of Content'!A1" display="&gt;&gt; Table of Contents" xr:uid="{CC6D2F36-81CC-43E9-9026-96D3AD80F21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DFC-9B24-4B13-AD64-F828BBAB2C33}">
  <sheetPr>
    <tabColor theme="4"/>
  </sheetPr>
  <dimension ref="B1:T31"/>
  <sheetViews>
    <sheetView showGridLines="0" workbookViewId="0">
      <selection activeCell="J29" sqref="J29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37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4</v>
      </c>
      <c r="G7" s="82">
        <f>Revenue!G7</f>
        <v>0</v>
      </c>
      <c r="H7" s="82">
        <f>Revenue!H7</f>
        <v>0</v>
      </c>
      <c r="I7" s="82">
        <f>Revenue!I7</f>
        <v>0</v>
      </c>
      <c r="J7" s="82">
        <f>Revenue!J7</f>
        <v>0</v>
      </c>
      <c r="K7" s="82">
        <f>Revenue!K7</f>
        <v>930000000</v>
      </c>
      <c r="L7" s="82">
        <f>Revenue!L7</f>
        <v>1070000000</v>
      </c>
      <c r="M7" s="82">
        <f>Revenue!M7</f>
        <v>1266000000</v>
      </c>
      <c r="N7" s="82">
        <f>Revenue!N7</f>
        <v>1639000000</v>
      </c>
      <c r="O7" s="82">
        <f>Revenue!O7</f>
        <v>1845000000</v>
      </c>
    </row>
    <row r="8" spans="2:20" s="52" customFormat="1" x14ac:dyDescent="0.4">
      <c r="B8" s="52" t="s">
        <v>138</v>
      </c>
      <c r="G8" s="82">
        <f>'Cost of Sales'!G7</f>
        <v>0</v>
      </c>
      <c r="H8" s="82">
        <f>'Cost of Sales'!H7</f>
        <v>0</v>
      </c>
      <c r="I8" s="82">
        <f>'Cost of Sales'!I7</f>
        <v>0</v>
      </c>
      <c r="J8" s="82">
        <f>'Cost of Sales'!J7</f>
        <v>0</v>
      </c>
      <c r="K8" s="82">
        <f>'Cost of Sales'!K7</f>
        <v>360000000</v>
      </c>
      <c r="L8" s="82">
        <f>'Cost of Sales'!L7</f>
        <v>417000000</v>
      </c>
      <c r="M8" s="82">
        <f>'Cost of Sales'!M7</f>
        <v>534700000</v>
      </c>
      <c r="N8" s="82">
        <f>'Cost of Sales'!N7</f>
        <v>620800000</v>
      </c>
      <c r="O8" s="82">
        <f>'Cost of Sales'!O7</f>
        <v>753000000</v>
      </c>
    </row>
    <row r="9" spans="2:20" x14ac:dyDescent="0.4">
      <c r="G9" s="79"/>
      <c r="H9" s="79"/>
      <c r="I9" s="79"/>
      <c r="J9" s="79"/>
      <c r="K9" s="79"/>
      <c r="L9" s="79"/>
      <c r="M9" s="79"/>
      <c r="N9" s="79"/>
      <c r="O9" s="79"/>
    </row>
    <row r="10" spans="2:20" x14ac:dyDescent="0.4">
      <c r="G10" s="79"/>
      <c r="H10" s="79"/>
      <c r="I10" s="79"/>
      <c r="J10" s="79"/>
      <c r="K10" s="79"/>
      <c r="L10" s="79"/>
      <c r="M10" s="79"/>
      <c r="N10" s="79"/>
      <c r="O10" s="79"/>
    </row>
    <row r="11" spans="2:20" s="52" customFormat="1" x14ac:dyDescent="0.4">
      <c r="B11" s="52" t="s">
        <v>139</v>
      </c>
      <c r="G11" s="82"/>
      <c r="H11" s="82"/>
      <c r="I11" s="82"/>
      <c r="J11" s="82"/>
      <c r="K11" s="82"/>
      <c r="L11" s="82"/>
      <c r="M11" s="82"/>
      <c r="N11" s="82"/>
      <c r="O11" s="82"/>
    </row>
    <row r="12" spans="2:20" x14ac:dyDescent="0.4">
      <c r="C12" t="s">
        <v>140</v>
      </c>
      <c r="D12" t="s">
        <v>49</v>
      </c>
      <c r="G12" s="48">
        <f>G7*G20/365</f>
        <v>0</v>
      </c>
      <c r="H12" s="48">
        <f t="shared" ref="H12:O12" si="0">H7*H20/365</f>
        <v>0</v>
      </c>
      <c r="I12" s="48">
        <f t="shared" si="0"/>
        <v>0</v>
      </c>
      <c r="J12" s="48">
        <f t="shared" si="0"/>
        <v>0</v>
      </c>
      <c r="K12" s="48">
        <f t="shared" si="0"/>
        <v>38219178.08219178</v>
      </c>
      <c r="L12" s="48">
        <f t="shared" si="0"/>
        <v>43972602.739726029</v>
      </c>
      <c r="M12" s="48">
        <f t="shared" si="0"/>
        <v>52027397.260273971</v>
      </c>
      <c r="N12" s="48">
        <f t="shared" si="0"/>
        <v>67356164.383561641</v>
      </c>
      <c r="O12" s="48">
        <f t="shared" si="0"/>
        <v>75821917.80821918</v>
      </c>
    </row>
    <row r="13" spans="2:20" x14ac:dyDescent="0.4">
      <c r="C13" t="s">
        <v>141</v>
      </c>
      <c r="D13" t="s">
        <v>49</v>
      </c>
      <c r="G13" s="48">
        <f>G8*G21/365</f>
        <v>0</v>
      </c>
      <c r="H13" s="48">
        <f t="shared" ref="H13:O13" si="1">H8*H21/365</f>
        <v>0</v>
      </c>
      <c r="I13" s="48">
        <f t="shared" si="1"/>
        <v>0</v>
      </c>
      <c r="J13" s="48">
        <f t="shared" si="1"/>
        <v>0</v>
      </c>
      <c r="K13" s="48">
        <f t="shared" si="1"/>
        <v>9863013.6986301374</v>
      </c>
      <c r="L13" s="48">
        <f t="shared" si="1"/>
        <v>22849315.06849315</v>
      </c>
      <c r="M13" s="48">
        <f t="shared" si="1"/>
        <v>29298630.1369863</v>
      </c>
      <c r="N13" s="48">
        <f t="shared" si="1"/>
        <v>34016438.356164381</v>
      </c>
      <c r="O13" s="48">
        <f t="shared" si="1"/>
        <v>41260273.97260274</v>
      </c>
    </row>
    <row r="14" spans="2:20" x14ac:dyDescent="0.4">
      <c r="C14" t="s">
        <v>142</v>
      </c>
      <c r="D14" t="s">
        <v>49</v>
      </c>
      <c r="G14" s="48">
        <f>G8*G22/365</f>
        <v>0</v>
      </c>
      <c r="H14" s="48">
        <f t="shared" ref="H14:O14" si="2">H8*H22/365</f>
        <v>0</v>
      </c>
      <c r="I14" s="48">
        <f t="shared" si="2"/>
        <v>0</v>
      </c>
      <c r="J14" s="48">
        <f t="shared" si="2"/>
        <v>0</v>
      </c>
      <c r="K14" s="48">
        <f t="shared" si="2"/>
        <v>9863013.6986301374</v>
      </c>
      <c r="L14" s="48">
        <f t="shared" si="2"/>
        <v>11424657.534246575</v>
      </c>
      <c r="M14" s="48">
        <f t="shared" si="2"/>
        <v>14649315.06849315</v>
      </c>
      <c r="N14" s="48">
        <f t="shared" si="2"/>
        <v>17008219.17808219</v>
      </c>
      <c r="O14" s="48">
        <f t="shared" si="2"/>
        <v>20630136.98630137</v>
      </c>
    </row>
    <row r="15" spans="2:20" x14ac:dyDescent="0.4">
      <c r="C15" t="s">
        <v>143</v>
      </c>
      <c r="D15" t="s">
        <v>49</v>
      </c>
      <c r="G15" s="48">
        <f>G7*G23/365</f>
        <v>0</v>
      </c>
      <c r="H15" s="48">
        <f t="shared" ref="H15:O15" si="3">H7*H23/365</f>
        <v>0</v>
      </c>
      <c r="I15" s="48">
        <f t="shared" si="3"/>
        <v>0</v>
      </c>
      <c r="J15" s="48">
        <f t="shared" si="3"/>
        <v>0</v>
      </c>
      <c r="K15" s="48">
        <f t="shared" si="3"/>
        <v>5095890.4109589038</v>
      </c>
      <c r="L15" s="48">
        <f t="shared" si="3"/>
        <v>5863013.6986301374</v>
      </c>
      <c r="M15" s="48">
        <f t="shared" si="3"/>
        <v>6936986.3013698626</v>
      </c>
      <c r="N15" s="48">
        <f t="shared" si="3"/>
        <v>8980821.9178082198</v>
      </c>
      <c r="O15" s="48">
        <f t="shared" si="3"/>
        <v>10109589.04109589</v>
      </c>
    </row>
    <row r="16" spans="2:20" x14ac:dyDescent="0.4">
      <c r="C16" t="s">
        <v>144</v>
      </c>
      <c r="D16" t="s">
        <v>49</v>
      </c>
      <c r="G16" s="48">
        <f>G8*G24/365</f>
        <v>0</v>
      </c>
      <c r="H16" s="48">
        <f t="shared" ref="H16:O16" si="4">H8*H24/365</f>
        <v>0</v>
      </c>
      <c r="I16" s="48">
        <f t="shared" si="4"/>
        <v>0</v>
      </c>
      <c r="J16" s="48">
        <f t="shared" si="4"/>
        <v>0</v>
      </c>
      <c r="K16" s="48">
        <f t="shared" si="4"/>
        <v>1972602.7397260275</v>
      </c>
      <c r="L16" s="48">
        <f t="shared" si="4"/>
        <v>2284931.506849315</v>
      </c>
      <c r="M16" s="48">
        <f t="shared" si="4"/>
        <v>2929863.01369863</v>
      </c>
      <c r="N16" s="48">
        <f t="shared" si="4"/>
        <v>3401643.8356164382</v>
      </c>
      <c r="O16" s="48">
        <f t="shared" si="4"/>
        <v>4126027.3972602738</v>
      </c>
    </row>
    <row r="19" spans="2:15" s="52" customFormat="1" x14ac:dyDescent="0.4">
      <c r="B19" s="52" t="s">
        <v>99</v>
      </c>
    </row>
    <row r="20" spans="2:15" x14ac:dyDescent="0.4">
      <c r="C20" s="26" t="s">
        <v>100</v>
      </c>
      <c r="D20" s="26" t="s">
        <v>101</v>
      </c>
      <c r="G20" s="48">
        <f>'Model Inputs'!G108</f>
        <v>0</v>
      </c>
      <c r="H20" s="48">
        <f>'Model Inputs'!H108</f>
        <v>0</v>
      </c>
      <c r="I20" s="48">
        <f>'Model Inputs'!I108</f>
        <v>0</v>
      </c>
      <c r="J20" s="48">
        <f>'Model Inputs'!J108</f>
        <v>15</v>
      </c>
      <c r="K20" s="48">
        <f>'Model Inputs'!K108</f>
        <v>15</v>
      </c>
      <c r="L20" s="48">
        <f>'Model Inputs'!L108</f>
        <v>15</v>
      </c>
      <c r="M20" s="48">
        <f>'Model Inputs'!M108</f>
        <v>15</v>
      </c>
      <c r="N20" s="48">
        <f>'Model Inputs'!N108</f>
        <v>15</v>
      </c>
      <c r="O20" s="48">
        <f>'Model Inputs'!O108</f>
        <v>15</v>
      </c>
    </row>
    <row r="21" spans="2:15" x14ac:dyDescent="0.4">
      <c r="C21" s="26" t="s">
        <v>102</v>
      </c>
      <c r="D21" s="26" t="s">
        <v>101</v>
      </c>
      <c r="G21" s="48">
        <f>'Model Inputs'!G109</f>
        <v>0</v>
      </c>
      <c r="H21" s="48">
        <f>'Model Inputs'!H109</f>
        <v>0</v>
      </c>
      <c r="I21" s="48">
        <f>'Model Inputs'!I109</f>
        <v>0</v>
      </c>
      <c r="J21" s="48">
        <f>'Model Inputs'!J109</f>
        <v>5</v>
      </c>
      <c r="K21" s="48">
        <f>'Model Inputs'!K109</f>
        <v>10</v>
      </c>
      <c r="L21" s="48">
        <f>'Model Inputs'!L109</f>
        <v>20</v>
      </c>
      <c r="M21" s="48">
        <f>'Model Inputs'!M109</f>
        <v>20</v>
      </c>
      <c r="N21" s="48">
        <f>'Model Inputs'!N109</f>
        <v>20</v>
      </c>
      <c r="O21" s="48">
        <f>'Model Inputs'!O109</f>
        <v>20</v>
      </c>
    </row>
    <row r="22" spans="2:15" x14ac:dyDescent="0.4">
      <c r="C22" s="26" t="s">
        <v>103</v>
      </c>
      <c r="D22" s="26" t="s">
        <v>101</v>
      </c>
      <c r="G22" s="48">
        <f>'Model Inputs'!G110</f>
        <v>0</v>
      </c>
      <c r="H22" s="48">
        <f>'Model Inputs'!H110</f>
        <v>0</v>
      </c>
      <c r="I22" s="48">
        <f>'Model Inputs'!I110</f>
        <v>0</v>
      </c>
      <c r="J22" s="48">
        <f>'Model Inputs'!J110</f>
        <v>10</v>
      </c>
      <c r="K22" s="48">
        <f>'Model Inputs'!K110</f>
        <v>10</v>
      </c>
      <c r="L22" s="48">
        <f>'Model Inputs'!L110</f>
        <v>10</v>
      </c>
      <c r="M22" s="48">
        <f>'Model Inputs'!M110</f>
        <v>10</v>
      </c>
      <c r="N22" s="48">
        <f>'Model Inputs'!N110</f>
        <v>10</v>
      </c>
      <c r="O22" s="48">
        <f>'Model Inputs'!O110</f>
        <v>10</v>
      </c>
    </row>
    <row r="23" spans="2:15" x14ac:dyDescent="0.4">
      <c r="C23" s="26" t="s">
        <v>104</v>
      </c>
      <c r="D23" s="26" t="s">
        <v>101</v>
      </c>
      <c r="G23" s="48">
        <f>'Model Inputs'!G111</f>
        <v>0</v>
      </c>
      <c r="H23" s="48">
        <f>'Model Inputs'!H111</f>
        <v>0</v>
      </c>
      <c r="I23" s="48">
        <f>'Model Inputs'!I111</f>
        <v>0</v>
      </c>
      <c r="J23" s="48">
        <f>'Model Inputs'!J111</f>
        <v>2</v>
      </c>
      <c r="K23" s="48">
        <f>'Model Inputs'!K111</f>
        <v>2</v>
      </c>
      <c r="L23" s="48">
        <f>'Model Inputs'!L111</f>
        <v>2</v>
      </c>
      <c r="M23" s="48">
        <f>'Model Inputs'!M111</f>
        <v>2</v>
      </c>
      <c r="N23" s="48">
        <f>'Model Inputs'!N111</f>
        <v>2</v>
      </c>
      <c r="O23" s="48">
        <f>'Model Inputs'!O111</f>
        <v>2</v>
      </c>
    </row>
    <row r="24" spans="2:15" x14ac:dyDescent="0.4">
      <c r="C24" s="26" t="s">
        <v>105</v>
      </c>
      <c r="D24" s="26" t="s">
        <v>101</v>
      </c>
      <c r="G24" s="48">
        <f>'Model Inputs'!G112</f>
        <v>0</v>
      </c>
      <c r="H24" s="48">
        <f>'Model Inputs'!H112</f>
        <v>0</v>
      </c>
      <c r="I24" s="48">
        <f>'Model Inputs'!I112</f>
        <v>0</v>
      </c>
      <c r="J24" s="48">
        <f>'Model Inputs'!J112</f>
        <v>2</v>
      </c>
      <c r="K24" s="48">
        <f>'Model Inputs'!K112</f>
        <v>2</v>
      </c>
      <c r="L24" s="48">
        <f>'Model Inputs'!L112</f>
        <v>2</v>
      </c>
      <c r="M24" s="48">
        <f>'Model Inputs'!M112</f>
        <v>2</v>
      </c>
      <c r="N24" s="48">
        <f>'Model Inputs'!N112</f>
        <v>2</v>
      </c>
      <c r="O24" s="48">
        <f>'Model Inputs'!O112</f>
        <v>2</v>
      </c>
    </row>
    <row r="30" spans="2:15" x14ac:dyDescent="0.4">
      <c r="C30" t="s">
        <v>145</v>
      </c>
    </row>
    <row r="31" spans="2:15" x14ac:dyDescent="0.4">
      <c r="C31" t="s">
        <v>146</v>
      </c>
    </row>
  </sheetData>
  <conditionalFormatting sqref="D12:D16">
    <cfRule type="uniqueValues" dxfId="0" priority="1"/>
  </conditionalFormatting>
  <hyperlinks>
    <hyperlink ref="O1" location="'Table of Content'!A1" display="&gt;&gt; Table of Contents" xr:uid="{1D781AAF-FC80-46BF-840A-F8BD9CC73CD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C639-5CBE-48AC-8F2B-DA93346A0615}">
  <sheetPr>
    <tabColor theme="4"/>
  </sheetPr>
  <dimension ref="B1:T57"/>
  <sheetViews>
    <sheetView showGridLines="0" zoomScale="110" zoomScaleNormal="1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J47" sqref="J47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38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147</v>
      </c>
      <c r="D7" s="52" t="s">
        <v>49</v>
      </c>
      <c r="G7" s="83">
        <f>SUM(G12:G16)</f>
        <v>0</v>
      </c>
      <c r="H7" s="83">
        <f t="shared" ref="H7:O7" si="0">SUM(H12:H16)</f>
        <v>0</v>
      </c>
      <c r="I7" s="83">
        <f t="shared" si="0"/>
        <v>0</v>
      </c>
      <c r="J7" s="83">
        <f t="shared" si="0"/>
        <v>3523809.5238095238</v>
      </c>
      <c r="K7" s="83">
        <f t="shared" si="0"/>
        <v>11523809.523809524</v>
      </c>
      <c r="L7" s="83">
        <f t="shared" si="0"/>
        <v>11773809.523809524</v>
      </c>
      <c r="M7" s="83">
        <f t="shared" si="0"/>
        <v>14757142.857142858</v>
      </c>
      <c r="N7" s="83">
        <f t="shared" si="0"/>
        <v>16657142.857142858</v>
      </c>
      <c r="O7" s="83">
        <f t="shared" si="0"/>
        <v>15307142.857142858</v>
      </c>
    </row>
    <row r="8" spans="2:20" s="52" customFormat="1" x14ac:dyDescent="0.4">
      <c r="B8" s="52" t="s">
        <v>148</v>
      </c>
      <c r="D8" s="52" t="s">
        <v>49</v>
      </c>
      <c r="G8" s="83">
        <f>G19</f>
        <v>0</v>
      </c>
      <c r="H8" s="83">
        <f t="shared" ref="H8:O8" si="1">H19</f>
        <v>0</v>
      </c>
      <c r="I8" s="83">
        <f t="shared" si="1"/>
        <v>0</v>
      </c>
      <c r="J8" s="83">
        <f t="shared" si="1"/>
        <v>0</v>
      </c>
      <c r="K8" s="83">
        <f t="shared" si="1"/>
        <v>400000</v>
      </c>
      <c r="L8" s="83">
        <f t="shared" si="1"/>
        <v>400000</v>
      </c>
      <c r="M8" s="83">
        <f t="shared" si="1"/>
        <v>400000</v>
      </c>
      <c r="N8" s="83">
        <f t="shared" si="1"/>
        <v>400000</v>
      </c>
      <c r="O8" s="83">
        <f t="shared" si="1"/>
        <v>900000</v>
      </c>
    </row>
    <row r="9" spans="2:20" x14ac:dyDescent="0.4">
      <c r="G9" s="79"/>
      <c r="H9" s="79"/>
      <c r="I9" s="79"/>
      <c r="J9" s="79"/>
      <c r="K9" s="79"/>
      <c r="L9" s="79"/>
      <c r="M9" s="79"/>
      <c r="N9" s="79"/>
      <c r="O9" s="79"/>
    </row>
    <row r="10" spans="2:20" x14ac:dyDescent="0.4">
      <c r="G10" s="79"/>
      <c r="H10" s="79"/>
      <c r="I10" s="79"/>
      <c r="J10" s="79"/>
      <c r="K10" s="79"/>
      <c r="L10" s="79"/>
      <c r="M10" s="79"/>
      <c r="N10" s="79"/>
      <c r="O10" s="79"/>
    </row>
    <row r="11" spans="2:20" s="52" customFormat="1" x14ac:dyDescent="0.4">
      <c r="B11" s="52" t="s">
        <v>149</v>
      </c>
      <c r="E11" s="52" t="s">
        <v>92</v>
      </c>
      <c r="G11" s="82"/>
      <c r="H11" s="82"/>
      <c r="I11" s="82"/>
      <c r="J11" s="82"/>
      <c r="K11" s="82"/>
      <c r="L11" s="82"/>
      <c r="M11" s="82"/>
      <c r="N11" s="82"/>
      <c r="O11" s="82"/>
    </row>
    <row r="12" spans="2:20" x14ac:dyDescent="0.4">
      <c r="C12" s="26" t="s">
        <v>93</v>
      </c>
      <c r="D12" s="44">
        <v>35</v>
      </c>
      <c r="E12" s="26">
        <v>0</v>
      </c>
      <c r="G12" s="79"/>
      <c r="H12" s="79"/>
      <c r="I12" s="79"/>
      <c r="J12" s="48">
        <f>SLN(J23,$E$12,$D$12)</f>
        <v>857142.85714285716</v>
      </c>
      <c r="K12" s="48">
        <f>SLN(SUM($J$23:K23),$E$12,$D$12)</f>
        <v>857142.85714285716</v>
      </c>
      <c r="L12" s="48">
        <f>SLN(SUM($J$23:L23),$E$12,$D$12)</f>
        <v>857142.85714285716</v>
      </c>
      <c r="M12" s="48">
        <f>SLN(SUM($J$23:M23),$E$12,$D$12)</f>
        <v>857142.85714285716</v>
      </c>
      <c r="N12" s="48">
        <f>SLN(SUM($J$23:N23),$E$12,$D$12)</f>
        <v>857142.85714285716</v>
      </c>
      <c r="O12" s="48">
        <f>SLN(SUM($J$23:O23),$E$12,$D$12)</f>
        <v>857142.85714285716</v>
      </c>
    </row>
    <row r="13" spans="2:20" x14ac:dyDescent="0.4">
      <c r="C13" s="26" t="s">
        <v>94</v>
      </c>
      <c r="D13" s="44">
        <v>15</v>
      </c>
      <c r="E13" s="26">
        <v>0</v>
      </c>
      <c r="G13" s="79"/>
      <c r="H13" s="79"/>
      <c r="I13" s="79"/>
      <c r="J13" s="48">
        <f>SLN(SUM($J24:J24),$E13,$D13)</f>
        <v>2666666.6666666665</v>
      </c>
      <c r="K13" s="48">
        <f>SLN(SUM($J24:K24),$E13,$D13)</f>
        <v>2666666.6666666665</v>
      </c>
      <c r="L13" s="48">
        <f>SLN(SUM($J24:L24),$E13,$D13)</f>
        <v>2666666.6666666665</v>
      </c>
      <c r="M13" s="48">
        <f>SLN(SUM($J24:M24),$E13,$D13)</f>
        <v>4000000</v>
      </c>
      <c r="N13" s="48">
        <f>SLN(SUM($J24:N24),$E13,$D13)</f>
        <v>4000000</v>
      </c>
      <c r="O13" s="48">
        <f>SLN(SUM($J24:O24),$E13,$D13)</f>
        <v>4000000</v>
      </c>
    </row>
    <row r="14" spans="2:20" x14ac:dyDescent="0.4">
      <c r="C14" s="26" t="s">
        <v>95</v>
      </c>
      <c r="D14" s="44">
        <v>5</v>
      </c>
      <c r="E14" s="26">
        <v>0</v>
      </c>
      <c r="G14" s="79"/>
      <c r="H14" s="79"/>
      <c r="I14" s="79"/>
      <c r="J14" s="48">
        <f>SLN(SUM($J25:J25),$E14,$D14)</f>
        <v>0</v>
      </c>
      <c r="K14" s="48">
        <f>SLN(SUM($J25:K25),$E14,$D14)</f>
        <v>4000000</v>
      </c>
      <c r="L14" s="48">
        <f>SLN(SUM($J25:L25),$E14,$D14)</f>
        <v>4000000</v>
      </c>
      <c r="M14" s="48">
        <f>SLN(SUM($J25:M25),$E14,$D14)</f>
        <v>5000000</v>
      </c>
      <c r="N14" s="48">
        <f>SLN(SUM($J25:N25),$E14,$D14)</f>
        <v>5000000</v>
      </c>
      <c r="O14" s="48">
        <f>SLN(SUM($K25:O25),$E14,$D14)</f>
        <v>5000000</v>
      </c>
    </row>
    <row r="15" spans="2:20" x14ac:dyDescent="0.4">
      <c r="C15" s="26" t="s">
        <v>96</v>
      </c>
      <c r="D15" s="44">
        <v>5</v>
      </c>
      <c r="E15" s="26">
        <v>0</v>
      </c>
      <c r="G15" s="79"/>
      <c r="H15" s="79"/>
      <c r="I15" s="79"/>
      <c r="J15" s="48">
        <f>SLN(SUM($J26:J26),$E15,$D15)</f>
        <v>0</v>
      </c>
      <c r="K15" s="48">
        <f>SLN(SUM($J26:K26),$E15,$D15)</f>
        <v>2000000</v>
      </c>
      <c r="L15" s="48">
        <f>SLN(SUM($J26:L26),$E15,$D15)</f>
        <v>2000000</v>
      </c>
      <c r="M15" s="48">
        <f>SLN(SUM($J26:M26),$E15,$D15)</f>
        <v>2400000</v>
      </c>
      <c r="N15" s="48">
        <f>SLN(SUM($J26:N26),$E15,$D15)</f>
        <v>2800000</v>
      </c>
      <c r="O15" s="48">
        <f>SLN(SUM($K26:O26),$E15,$D15)</f>
        <v>3200000</v>
      </c>
    </row>
    <row r="16" spans="2:20" x14ac:dyDescent="0.4">
      <c r="C16" s="26" t="s">
        <v>97</v>
      </c>
      <c r="D16" s="44">
        <v>4</v>
      </c>
      <c r="E16" s="26">
        <v>0</v>
      </c>
      <c r="G16" s="79"/>
      <c r="H16" s="79"/>
      <c r="I16" s="79"/>
      <c r="J16" s="48">
        <f>SLN(SUM($J27:J27),$E16,$D16)</f>
        <v>0</v>
      </c>
      <c r="K16" s="48">
        <f>SLN(SUM($J27:K27),$E16,$D16)</f>
        <v>2000000</v>
      </c>
      <c r="L16" s="48">
        <f>SLN(SUM($J27:L27),$E16,$D16)</f>
        <v>2250000</v>
      </c>
      <c r="M16" s="48">
        <f>SLN(SUM($J27:M27),$E16,$D16)</f>
        <v>2500000</v>
      </c>
      <c r="N16" s="48">
        <f>SLN(SUM($K27:N27),$E16,$D16)</f>
        <v>4000000</v>
      </c>
      <c r="O16" s="48">
        <f>SLN(SUM($L27:O27),$E16,$D16)</f>
        <v>2250000</v>
      </c>
    </row>
    <row r="17" spans="2:15" x14ac:dyDescent="0.4">
      <c r="G17" s="79"/>
      <c r="H17" s="79"/>
      <c r="I17" s="79"/>
      <c r="J17" s="79"/>
      <c r="K17" s="79"/>
      <c r="L17" s="79"/>
      <c r="M17" s="79"/>
      <c r="N17" s="79"/>
      <c r="O17" s="79"/>
    </row>
    <row r="18" spans="2:15" s="52" customFormat="1" x14ac:dyDescent="0.4">
      <c r="B18" s="52" t="s">
        <v>150</v>
      </c>
      <c r="G18" s="82"/>
      <c r="H18" s="82"/>
      <c r="I18" s="82"/>
      <c r="J18" s="83"/>
      <c r="K18" s="83"/>
      <c r="L18" s="83"/>
      <c r="M18" s="83"/>
      <c r="N18" s="83"/>
      <c r="O18" s="83"/>
    </row>
    <row r="19" spans="2:15" x14ac:dyDescent="0.4">
      <c r="C19" s="26" t="s">
        <v>98</v>
      </c>
      <c r="D19" s="44">
        <v>5</v>
      </c>
      <c r="E19" s="26">
        <v>0</v>
      </c>
      <c r="G19" s="79"/>
      <c r="H19" s="79"/>
      <c r="I19" s="79"/>
      <c r="J19" s="48">
        <f>SLN(SUM($J28:J28),$E19,$D19)</f>
        <v>0</v>
      </c>
      <c r="K19" s="48">
        <f>SLN(SUM($J28:K28),$E19,$D19)</f>
        <v>400000</v>
      </c>
      <c r="L19" s="48">
        <f>SLN(SUM($J28:L28),$E19,$D19)</f>
        <v>400000</v>
      </c>
      <c r="M19" s="48">
        <f>SLN(SUM($J28:M28),$E19,$D19)</f>
        <v>400000</v>
      </c>
      <c r="N19" s="48">
        <f>SLN(SUM($J28:N28),$E19,$D19)</f>
        <v>400000</v>
      </c>
      <c r="O19" s="48">
        <f>SLN(SUM($K28:O28),$E19,$D19)</f>
        <v>900000</v>
      </c>
    </row>
    <row r="20" spans="2:15" x14ac:dyDescent="0.4">
      <c r="G20" s="79"/>
      <c r="H20" s="79"/>
      <c r="I20" s="79"/>
      <c r="J20" s="79"/>
      <c r="K20" s="79"/>
      <c r="L20" s="79"/>
      <c r="M20" s="79"/>
      <c r="N20" s="79"/>
      <c r="O20" s="79"/>
    </row>
    <row r="21" spans="2:15" x14ac:dyDescent="0.4">
      <c r="G21" s="79"/>
      <c r="H21" s="79"/>
      <c r="I21" s="79"/>
      <c r="J21" s="79"/>
      <c r="K21" s="79"/>
      <c r="L21" s="79"/>
      <c r="M21" s="79"/>
      <c r="N21" s="79"/>
      <c r="O21" s="79"/>
    </row>
    <row r="22" spans="2:15" s="52" customFormat="1" x14ac:dyDescent="0.4">
      <c r="B22" s="27" t="s">
        <v>152</v>
      </c>
      <c r="C22" s="27"/>
      <c r="G22" s="82">
        <f>SUM(G23:G28)</f>
        <v>0</v>
      </c>
      <c r="H22" s="82">
        <f t="shared" ref="H22:O22" si="2">SUM(H23:H28)</f>
        <v>0</v>
      </c>
      <c r="I22" s="82">
        <f t="shared" si="2"/>
        <v>0</v>
      </c>
      <c r="J22" s="82">
        <f t="shared" si="2"/>
        <v>70000000</v>
      </c>
      <c r="K22" s="82">
        <f t="shared" si="2"/>
        <v>40000000</v>
      </c>
      <c r="L22" s="82">
        <f t="shared" si="2"/>
        <v>1000000</v>
      </c>
      <c r="M22" s="82">
        <f t="shared" si="2"/>
        <v>28000000</v>
      </c>
      <c r="N22" s="82">
        <f t="shared" si="2"/>
        <v>8000000</v>
      </c>
      <c r="O22" s="82">
        <f t="shared" si="2"/>
        <v>5500000</v>
      </c>
    </row>
    <row r="23" spans="2:15" x14ac:dyDescent="0.4">
      <c r="B23" s="26"/>
      <c r="C23" s="26" t="s">
        <v>93</v>
      </c>
      <c r="D23" t="s">
        <v>49</v>
      </c>
      <c r="G23" s="48">
        <f>'Model Inputs'!G100</f>
        <v>0</v>
      </c>
      <c r="H23" s="48">
        <f>'Model Inputs'!H100</f>
        <v>0</v>
      </c>
      <c r="I23" s="48">
        <f>'Model Inputs'!I100</f>
        <v>0</v>
      </c>
      <c r="J23" s="48">
        <f>'Model Inputs'!J100</f>
        <v>30000000</v>
      </c>
      <c r="K23" s="48">
        <f>'Model Inputs'!K100</f>
        <v>0</v>
      </c>
      <c r="L23" s="48">
        <f>'Model Inputs'!L100</f>
        <v>0</v>
      </c>
      <c r="M23" s="48">
        <f>'Model Inputs'!M100</f>
        <v>0</v>
      </c>
      <c r="N23" s="48">
        <f>'Model Inputs'!N100</f>
        <v>0</v>
      </c>
      <c r="O23" s="48">
        <f>'Model Inputs'!O100</f>
        <v>0</v>
      </c>
    </row>
    <row r="24" spans="2:15" x14ac:dyDescent="0.4">
      <c r="B24" s="26"/>
      <c r="C24" s="26" t="s">
        <v>94</v>
      </c>
      <c r="D24" t="s">
        <v>49</v>
      </c>
      <c r="G24" s="48">
        <f>'Model Inputs'!G101</f>
        <v>0</v>
      </c>
      <c r="H24" s="48">
        <f>'Model Inputs'!H101</f>
        <v>0</v>
      </c>
      <c r="I24" s="48">
        <f>'Model Inputs'!I101</f>
        <v>0</v>
      </c>
      <c r="J24" s="48">
        <f>'Model Inputs'!J101</f>
        <v>40000000</v>
      </c>
      <c r="K24" s="48">
        <f>'Model Inputs'!K101</f>
        <v>0</v>
      </c>
      <c r="L24" s="48">
        <f>'Model Inputs'!L101</f>
        <v>0</v>
      </c>
      <c r="M24" s="48">
        <f>'Model Inputs'!M101</f>
        <v>20000000</v>
      </c>
      <c r="N24" s="48">
        <f>'Model Inputs'!N101</f>
        <v>0</v>
      </c>
      <c r="O24" s="48">
        <f>'Model Inputs'!O101</f>
        <v>0</v>
      </c>
    </row>
    <row r="25" spans="2:15" x14ac:dyDescent="0.4">
      <c r="B25" s="26"/>
      <c r="C25" s="26" t="s">
        <v>95</v>
      </c>
      <c r="D25" t="s">
        <v>49</v>
      </c>
      <c r="G25" s="48">
        <f>'Model Inputs'!G102</f>
        <v>0</v>
      </c>
      <c r="H25" s="48">
        <f>'Model Inputs'!H102</f>
        <v>0</v>
      </c>
      <c r="I25" s="48">
        <f>'Model Inputs'!I102</f>
        <v>0</v>
      </c>
      <c r="J25" s="48">
        <f>'Model Inputs'!J102</f>
        <v>0</v>
      </c>
      <c r="K25" s="48">
        <f>'Model Inputs'!K102</f>
        <v>20000000</v>
      </c>
      <c r="L25" s="48">
        <f>'Model Inputs'!L102</f>
        <v>0</v>
      </c>
      <c r="M25" s="48">
        <f>'Model Inputs'!M102</f>
        <v>5000000</v>
      </c>
      <c r="N25" s="48">
        <f>'Model Inputs'!N102</f>
        <v>0</v>
      </c>
      <c r="O25" s="48">
        <f>'Model Inputs'!O102</f>
        <v>0</v>
      </c>
    </row>
    <row r="26" spans="2:15" x14ac:dyDescent="0.4">
      <c r="B26" s="26"/>
      <c r="C26" s="26" t="s">
        <v>96</v>
      </c>
      <c r="D26" t="s">
        <v>49</v>
      </c>
      <c r="G26" s="48">
        <f>'Model Inputs'!G103</f>
        <v>0</v>
      </c>
      <c r="H26" s="48">
        <f>'Model Inputs'!H103</f>
        <v>0</v>
      </c>
      <c r="I26" s="48">
        <f>'Model Inputs'!I103</f>
        <v>0</v>
      </c>
      <c r="J26" s="48">
        <f>'Model Inputs'!J103</f>
        <v>0</v>
      </c>
      <c r="K26" s="48">
        <f>'Model Inputs'!K103</f>
        <v>10000000</v>
      </c>
      <c r="L26" s="48">
        <f>'Model Inputs'!L103</f>
        <v>0</v>
      </c>
      <c r="M26" s="48">
        <f>'Model Inputs'!M103</f>
        <v>2000000</v>
      </c>
      <c r="N26" s="48">
        <f>'Model Inputs'!N103</f>
        <v>2000000</v>
      </c>
      <c r="O26" s="48">
        <f>'Model Inputs'!O103</f>
        <v>2000000</v>
      </c>
    </row>
    <row r="27" spans="2:15" x14ac:dyDescent="0.4">
      <c r="B27" s="26"/>
      <c r="C27" s="26" t="s">
        <v>97</v>
      </c>
      <c r="D27" t="s">
        <v>49</v>
      </c>
      <c r="G27" s="48">
        <f>'Model Inputs'!G104</f>
        <v>0</v>
      </c>
      <c r="H27" s="48">
        <f>'Model Inputs'!H104</f>
        <v>0</v>
      </c>
      <c r="I27" s="48">
        <f>'Model Inputs'!I104</f>
        <v>0</v>
      </c>
      <c r="J27" s="48">
        <f>'Model Inputs'!J104</f>
        <v>0</v>
      </c>
      <c r="K27" s="48">
        <f>'Model Inputs'!K104</f>
        <v>8000000</v>
      </c>
      <c r="L27" s="48">
        <f>'Model Inputs'!L104</f>
        <v>1000000</v>
      </c>
      <c r="M27" s="48">
        <f>'Model Inputs'!M104</f>
        <v>1000000</v>
      </c>
      <c r="N27" s="48">
        <f>'Model Inputs'!N104</f>
        <v>6000000</v>
      </c>
      <c r="O27" s="48">
        <f>'Model Inputs'!O104</f>
        <v>1000000</v>
      </c>
    </row>
    <row r="28" spans="2:15" x14ac:dyDescent="0.4">
      <c r="B28" s="26"/>
      <c r="C28" s="26" t="s">
        <v>98</v>
      </c>
      <c r="D28" t="s">
        <v>49</v>
      </c>
      <c r="G28" s="48">
        <f>'Model Inputs'!G105</f>
        <v>0</v>
      </c>
      <c r="H28" s="48">
        <f>'Model Inputs'!H105</f>
        <v>0</v>
      </c>
      <c r="I28" s="48">
        <f>'Model Inputs'!I105</f>
        <v>0</v>
      </c>
      <c r="J28" s="48">
        <f>'Model Inputs'!J105</f>
        <v>0</v>
      </c>
      <c r="K28" s="48">
        <f>'Model Inputs'!K105</f>
        <v>2000000</v>
      </c>
      <c r="L28" s="48">
        <f>'Model Inputs'!L105</f>
        <v>0</v>
      </c>
      <c r="M28" s="48">
        <f>'Model Inputs'!M105</f>
        <v>0</v>
      </c>
      <c r="N28" s="48">
        <f>'Model Inputs'!N105</f>
        <v>0</v>
      </c>
      <c r="O28" s="48">
        <f>'Model Inputs'!O105</f>
        <v>2500000</v>
      </c>
    </row>
    <row r="29" spans="2:15" x14ac:dyDescent="0.4">
      <c r="G29" s="79"/>
      <c r="H29" s="79"/>
      <c r="I29" s="79"/>
      <c r="J29" s="79"/>
      <c r="K29" s="79"/>
      <c r="L29" s="79"/>
      <c r="M29" s="79"/>
      <c r="N29" s="79"/>
      <c r="O29" s="79"/>
    </row>
    <row r="30" spans="2:15" x14ac:dyDescent="0.4">
      <c r="G30" s="79"/>
      <c r="H30" s="79"/>
      <c r="I30" s="79"/>
      <c r="J30" s="79"/>
      <c r="K30" s="79"/>
      <c r="L30" s="79"/>
      <c r="M30" s="79"/>
      <c r="N30" s="79"/>
      <c r="O30" s="79"/>
    </row>
    <row r="31" spans="2:15" s="52" customFormat="1" x14ac:dyDescent="0.4">
      <c r="B31" s="52" t="s">
        <v>151</v>
      </c>
      <c r="G31" s="82"/>
      <c r="H31" s="82"/>
      <c r="I31" s="82"/>
      <c r="J31" s="82"/>
      <c r="K31" s="82"/>
      <c r="L31" s="82"/>
      <c r="M31" s="82"/>
      <c r="N31" s="82"/>
      <c r="O31" s="82"/>
    </row>
    <row r="32" spans="2:15" x14ac:dyDescent="0.4">
      <c r="C32" s="26" t="s">
        <v>93</v>
      </c>
      <c r="D32" t="s">
        <v>49</v>
      </c>
      <c r="G32" s="79">
        <f>F32+G23-G12</f>
        <v>0</v>
      </c>
      <c r="H32" s="79">
        <f t="shared" ref="H32:O32" si="3">G32+H23-H12</f>
        <v>0</v>
      </c>
      <c r="I32" s="79">
        <f t="shared" si="3"/>
        <v>0</v>
      </c>
      <c r="J32" s="79">
        <f t="shared" si="3"/>
        <v>29142857.142857142</v>
      </c>
      <c r="K32" s="79">
        <f t="shared" si="3"/>
        <v>28285714.285714284</v>
      </c>
      <c r="L32" s="79">
        <f t="shared" si="3"/>
        <v>27428571.428571425</v>
      </c>
      <c r="M32" s="79">
        <f t="shared" si="3"/>
        <v>26571428.571428567</v>
      </c>
      <c r="N32" s="79">
        <f t="shared" si="3"/>
        <v>25714285.714285709</v>
      </c>
      <c r="O32" s="79">
        <f t="shared" si="3"/>
        <v>24857142.857142851</v>
      </c>
    </row>
    <row r="33" spans="2:15" x14ac:dyDescent="0.4">
      <c r="C33" s="26" t="s">
        <v>94</v>
      </c>
      <c r="D33" t="s">
        <v>49</v>
      </c>
      <c r="G33" s="79">
        <f t="shared" ref="G33:O36" si="4">F33+G24-G13</f>
        <v>0</v>
      </c>
      <c r="H33" s="79">
        <f t="shared" si="4"/>
        <v>0</v>
      </c>
      <c r="I33" s="79">
        <f t="shared" si="4"/>
        <v>0</v>
      </c>
      <c r="J33" s="79">
        <f t="shared" si="4"/>
        <v>37333333.333333336</v>
      </c>
      <c r="K33" s="79">
        <f t="shared" si="4"/>
        <v>34666666.666666672</v>
      </c>
      <c r="L33" s="79">
        <f t="shared" si="4"/>
        <v>32000000.000000004</v>
      </c>
      <c r="M33" s="79">
        <f t="shared" si="4"/>
        <v>48000000</v>
      </c>
      <c r="N33" s="79">
        <f t="shared" si="4"/>
        <v>44000000</v>
      </c>
      <c r="O33" s="79">
        <f t="shared" si="4"/>
        <v>40000000</v>
      </c>
    </row>
    <row r="34" spans="2:15" x14ac:dyDescent="0.4">
      <c r="C34" s="26" t="s">
        <v>95</v>
      </c>
      <c r="D34" t="s">
        <v>49</v>
      </c>
      <c r="G34" s="79">
        <f t="shared" si="4"/>
        <v>0</v>
      </c>
      <c r="H34" s="79">
        <f t="shared" si="4"/>
        <v>0</v>
      </c>
      <c r="I34" s="79">
        <f t="shared" si="4"/>
        <v>0</v>
      </c>
      <c r="J34" s="79">
        <f t="shared" si="4"/>
        <v>0</v>
      </c>
      <c r="K34" s="79">
        <f t="shared" si="4"/>
        <v>16000000</v>
      </c>
      <c r="L34" s="79">
        <f t="shared" si="4"/>
        <v>12000000</v>
      </c>
      <c r="M34" s="79">
        <f t="shared" si="4"/>
        <v>12000000</v>
      </c>
      <c r="N34" s="79">
        <f t="shared" si="4"/>
        <v>7000000</v>
      </c>
      <c r="O34" s="79">
        <f t="shared" si="4"/>
        <v>2000000</v>
      </c>
    </row>
    <row r="35" spans="2:15" x14ac:dyDescent="0.4">
      <c r="C35" s="26" t="s">
        <v>96</v>
      </c>
      <c r="D35" t="s">
        <v>49</v>
      </c>
      <c r="G35" s="79">
        <f t="shared" si="4"/>
        <v>0</v>
      </c>
      <c r="H35" s="79">
        <f t="shared" si="4"/>
        <v>0</v>
      </c>
      <c r="I35" s="79">
        <f t="shared" si="4"/>
        <v>0</v>
      </c>
      <c r="J35" s="79">
        <f t="shared" si="4"/>
        <v>0</v>
      </c>
      <c r="K35" s="79">
        <f t="shared" si="4"/>
        <v>8000000</v>
      </c>
      <c r="L35" s="79">
        <f t="shared" si="4"/>
        <v>6000000</v>
      </c>
      <c r="M35" s="79">
        <f t="shared" si="4"/>
        <v>5600000</v>
      </c>
      <c r="N35" s="79">
        <f t="shared" si="4"/>
        <v>4800000</v>
      </c>
      <c r="O35" s="79">
        <f t="shared" si="4"/>
        <v>3600000</v>
      </c>
    </row>
    <row r="36" spans="2:15" x14ac:dyDescent="0.4">
      <c r="C36" s="26" t="s">
        <v>97</v>
      </c>
      <c r="D36" t="s">
        <v>49</v>
      </c>
      <c r="G36" s="79">
        <f t="shared" si="4"/>
        <v>0</v>
      </c>
      <c r="H36" s="79">
        <f t="shared" si="4"/>
        <v>0</v>
      </c>
      <c r="I36" s="79">
        <f t="shared" si="4"/>
        <v>0</v>
      </c>
      <c r="J36" s="79">
        <f t="shared" si="4"/>
        <v>0</v>
      </c>
      <c r="K36" s="79">
        <f t="shared" si="4"/>
        <v>6000000</v>
      </c>
      <c r="L36" s="79">
        <f t="shared" si="4"/>
        <v>4750000</v>
      </c>
      <c r="M36" s="79">
        <f t="shared" si="4"/>
        <v>3250000</v>
      </c>
      <c r="N36" s="79">
        <f t="shared" si="4"/>
        <v>5250000</v>
      </c>
      <c r="O36" s="79">
        <f t="shared" si="4"/>
        <v>4000000</v>
      </c>
    </row>
    <row r="37" spans="2:15" x14ac:dyDescent="0.4">
      <c r="C37" s="26" t="s">
        <v>98</v>
      </c>
      <c r="D37" t="s">
        <v>49</v>
      </c>
      <c r="G37" s="79">
        <f>F37+G28-G19</f>
        <v>0</v>
      </c>
      <c r="H37" s="79">
        <f t="shared" ref="H37:O37" si="5">G37+H28-H19</f>
        <v>0</v>
      </c>
      <c r="I37" s="79">
        <f t="shared" si="5"/>
        <v>0</v>
      </c>
      <c r="J37" s="79">
        <f t="shared" si="5"/>
        <v>0</v>
      </c>
      <c r="K37" s="79">
        <f t="shared" si="5"/>
        <v>1600000</v>
      </c>
      <c r="L37" s="79">
        <f t="shared" si="5"/>
        <v>1200000</v>
      </c>
      <c r="M37" s="79">
        <f t="shared" si="5"/>
        <v>800000</v>
      </c>
      <c r="N37" s="79">
        <f t="shared" si="5"/>
        <v>400000</v>
      </c>
      <c r="O37" s="79">
        <f t="shared" si="5"/>
        <v>2000000</v>
      </c>
    </row>
    <row r="38" spans="2:15" x14ac:dyDescent="0.4"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4"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4"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4">
      <c r="G41" s="79"/>
      <c r="H41" s="79"/>
      <c r="I41" s="79"/>
      <c r="J41" s="79"/>
      <c r="K41" s="79"/>
      <c r="L41" s="79"/>
      <c r="M41" s="79"/>
      <c r="N41" s="79"/>
      <c r="O41" s="79"/>
    </row>
    <row r="42" spans="2:15" x14ac:dyDescent="0.4">
      <c r="B42" s="27" t="s">
        <v>152</v>
      </c>
      <c r="C42" s="27"/>
      <c r="D42" s="52"/>
      <c r="G42" s="79"/>
      <c r="H42" s="79"/>
      <c r="I42" s="79"/>
      <c r="J42" s="79"/>
      <c r="K42" s="79"/>
      <c r="L42" s="79"/>
      <c r="M42" s="79"/>
      <c r="N42" s="79"/>
      <c r="O42" s="79"/>
    </row>
    <row r="43" spans="2:15" x14ac:dyDescent="0.4">
      <c r="B43" s="26"/>
      <c r="C43" s="26" t="s">
        <v>93</v>
      </c>
      <c r="D43" t="s">
        <v>49</v>
      </c>
      <c r="G43" s="79">
        <f>G23</f>
        <v>0</v>
      </c>
      <c r="H43" s="79">
        <f t="shared" ref="H43:O43" si="6">H23</f>
        <v>0</v>
      </c>
      <c r="I43" s="79">
        <f t="shared" si="6"/>
        <v>0</v>
      </c>
      <c r="J43" s="79">
        <f t="shared" si="6"/>
        <v>30000000</v>
      </c>
      <c r="K43" s="79">
        <f t="shared" si="6"/>
        <v>0</v>
      </c>
      <c r="L43" s="79">
        <f t="shared" si="6"/>
        <v>0</v>
      </c>
      <c r="M43" s="79">
        <f t="shared" si="6"/>
        <v>0</v>
      </c>
      <c r="N43" s="79">
        <f t="shared" si="6"/>
        <v>0</v>
      </c>
      <c r="O43" s="79">
        <f t="shared" si="6"/>
        <v>0</v>
      </c>
    </row>
    <row r="44" spans="2:15" x14ac:dyDescent="0.4">
      <c r="B44" s="26"/>
      <c r="C44" s="26" t="s">
        <v>94</v>
      </c>
      <c r="D44" t="s">
        <v>49</v>
      </c>
      <c r="G44" s="79">
        <f t="shared" ref="G44:O44" si="7">G24</f>
        <v>0</v>
      </c>
      <c r="H44" s="79">
        <f t="shared" si="7"/>
        <v>0</v>
      </c>
      <c r="I44" s="79">
        <f t="shared" si="7"/>
        <v>0</v>
      </c>
      <c r="J44" s="79">
        <f t="shared" si="7"/>
        <v>40000000</v>
      </c>
      <c r="K44" s="79">
        <f t="shared" si="7"/>
        <v>0</v>
      </c>
      <c r="L44" s="79">
        <f t="shared" si="7"/>
        <v>0</v>
      </c>
      <c r="M44" s="79">
        <f t="shared" si="7"/>
        <v>20000000</v>
      </c>
      <c r="N44" s="79">
        <f t="shared" si="7"/>
        <v>0</v>
      </c>
      <c r="O44" s="79">
        <f t="shared" si="7"/>
        <v>0</v>
      </c>
    </row>
    <row r="45" spans="2:15" x14ac:dyDescent="0.4">
      <c r="B45" s="26"/>
      <c r="C45" s="26" t="s">
        <v>95</v>
      </c>
      <c r="D45" t="s">
        <v>49</v>
      </c>
      <c r="G45" s="79">
        <f t="shared" ref="G45:O45" si="8">G25</f>
        <v>0</v>
      </c>
      <c r="H45" s="79">
        <f t="shared" si="8"/>
        <v>0</v>
      </c>
      <c r="I45" s="79">
        <f t="shared" si="8"/>
        <v>0</v>
      </c>
      <c r="J45" s="79">
        <f t="shared" si="8"/>
        <v>0</v>
      </c>
      <c r="K45" s="79">
        <f t="shared" si="8"/>
        <v>20000000</v>
      </c>
      <c r="L45" s="79">
        <f t="shared" si="8"/>
        <v>0</v>
      </c>
      <c r="M45" s="79">
        <f t="shared" si="8"/>
        <v>5000000</v>
      </c>
      <c r="N45" s="79">
        <f t="shared" si="8"/>
        <v>0</v>
      </c>
      <c r="O45" s="79">
        <f t="shared" si="8"/>
        <v>0</v>
      </c>
    </row>
    <row r="46" spans="2:15" x14ac:dyDescent="0.4">
      <c r="B46" s="26"/>
      <c r="C46" s="26" t="s">
        <v>96</v>
      </c>
      <c r="D46" t="s">
        <v>49</v>
      </c>
      <c r="G46" s="79">
        <f t="shared" ref="G46:O46" si="9">G26</f>
        <v>0</v>
      </c>
      <c r="H46" s="79">
        <f t="shared" si="9"/>
        <v>0</v>
      </c>
      <c r="I46" s="79">
        <f t="shared" si="9"/>
        <v>0</v>
      </c>
      <c r="J46" s="79">
        <f t="shared" si="9"/>
        <v>0</v>
      </c>
      <c r="K46" s="79">
        <f t="shared" si="9"/>
        <v>10000000</v>
      </c>
      <c r="L46" s="79">
        <f t="shared" si="9"/>
        <v>0</v>
      </c>
      <c r="M46" s="79">
        <f t="shared" si="9"/>
        <v>2000000</v>
      </c>
      <c r="N46" s="79">
        <f t="shared" si="9"/>
        <v>2000000</v>
      </c>
      <c r="O46" s="79">
        <f t="shared" si="9"/>
        <v>2000000</v>
      </c>
    </row>
    <row r="47" spans="2:15" x14ac:dyDescent="0.4">
      <c r="B47" s="26"/>
      <c r="C47" s="26" t="s">
        <v>97</v>
      </c>
      <c r="D47" t="s">
        <v>49</v>
      </c>
      <c r="G47" s="79">
        <f t="shared" ref="G47:O47" si="10">G27</f>
        <v>0</v>
      </c>
      <c r="H47" s="79">
        <f t="shared" si="10"/>
        <v>0</v>
      </c>
      <c r="I47" s="79">
        <f t="shared" si="10"/>
        <v>0</v>
      </c>
      <c r="J47" s="79">
        <f t="shared" si="10"/>
        <v>0</v>
      </c>
      <c r="K47" s="79">
        <f t="shared" si="10"/>
        <v>8000000</v>
      </c>
      <c r="L47" s="79">
        <f t="shared" si="10"/>
        <v>1000000</v>
      </c>
      <c r="M47" s="79">
        <f t="shared" si="10"/>
        <v>1000000</v>
      </c>
      <c r="N47" s="79">
        <f t="shared" si="10"/>
        <v>6000000</v>
      </c>
      <c r="O47" s="79">
        <f t="shared" si="10"/>
        <v>1000000</v>
      </c>
    </row>
    <row r="48" spans="2:15" x14ac:dyDescent="0.4">
      <c r="B48" s="26"/>
      <c r="C48" s="26" t="s">
        <v>98</v>
      </c>
      <c r="D48" t="s">
        <v>49</v>
      </c>
      <c r="G48" s="79">
        <f t="shared" ref="G48:O48" si="11">G28</f>
        <v>0</v>
      </c>
      <c r="H48" s="79">
        <f t="shared" si="11"/>
        <v>0</v>
      </c>
      <c r="I48" s="79">
        <f t="shared" si="11"/>
        <v>0</v>
      </c>
      <c r="J48" s="79">
        <f t="shared" si="11"/>
        <v>0</v>
      </c>
      <c r="K48" s="79">
        <f t="shared" si="11"/>
        <v>2000000</v>
      </c>
      <c r="L48" s="79">
        <f t="shared" si="11"/>
        <v>0</v>
      </c>
      <c r="M48" s="79">
        <f t="shared" si="11"/>
        <v>0</v>
      </c>
      <c r="N48" s="79">
        <f t="shared" si="11"/>
        <v>0</v>
      </c>
      <c r="O48" s="79">
        <f t="shared" si="11"/>
        <v>2500000</v>
      </c>
    </row>
    <row r="49" spans="2:15" x14ac:dyDescent="0.4"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4">
      <c r="B50" s="52" t="s">
        <v>149</v>
      </c>
      <c r="C50" s="52"/>
      <c r="E50" s="52" t="s">
        <v>92</v>
      </c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4">
      <c r="C51" s="26" t="s">
        <v>93</v>
      </c>
      <c r="D51" s="44">
        <v>35</v>
      </c>
      <c r="E51" s="26">
        <v>0</v>
      </c>
      <c r="G51" s="79"/>
      <c r="H51" s="79"/>
      <c r="I51" s="79"/>
      <c r="J51" s="48">
        <f>SLN(SUM($G$43:J43),$E$51,$D$51)</f>
        <v>857142.85714285716</v>
      </c>
      <c r="K51" s="48">
        <f>SLN(SUM($G$43:K43),$E$51,$D$51)</f>
        <v>857142.85714285716</v>
      </c>
      <c r="L51" s="48">
        <f>SLN(SUM($G$43:L43),$E$51,$D$51)</f>
        <v>857142.85714285716</v>
      </c>
      <c r="M51" s="48">
        <f>SLN(SUM($G$43:M43),$E$51,$D$51)</f>
        <v>857142.85714285716</v>
      </c>
      <c r="N51" s="48">
        <f>SLN(SUM($G$43:N43),$E$51,$D$51)</f>
        <v>857142.85714285716</v>
      </c>
      <c r="O51" s="48">
        <f>SLN(SUM($G$43:O43),$E$51,$D$51)</f>
        <v>857142.85714285716</v>
      </c>
    </row>
    <row r="52" spans="2:15" x14ac:dyDescent="0.4">
      <c r="C52" s="26" t="s">
        <v>94</v>
      </c>
      <c r="D52" s="44">
        <v>15</v>
      </c>
      <c r="E52" s="26">
        <v>0</v>
      </c>
      <c r="G52" s="79"/>
      <c r="H52" s="79"/>
      <c r="I52" s="79"/>
      <c r="J52" s="48">
        <f>SLN(SUM($G44:J44),$E52,$D52)</f>
        <v>2666666.6666666665</v>
      </c>
      <c r="K52" s="48">
        <f>SLN(SUM($G44:K44),$E52,$D52)</f>
        <v>2666666.6666666665</v>
      </c>
      <c r="L52" s="48">
        <f>SLN(SUM($G44:L44),$E52,$D52)</f>
        <v>2666666.6666666665</v>
      </c>
      <c r="M52" s="48">
        <f>SLN(SUM($G44:M44),$E52,$D52)</f>
        <v>4000000</v>
      </c>
      <c r="N52" s="48">
        <f>SLN(SUM($G44:N44),$E52,$D52)</f>
        <v>4000000</v>
      </c>
      <c r="O52" s="48">
        <f>SLN(SUM($G44:O44),$E52,$D52)</f>
        <v>4000000</v>
      </c>
    </row>
    <row r="53" spans="2:15" x14ac:dyDescent="0.4">
      <c r="C53" s="26" t="s">
        <v>95</v>
      </c>
      <c r="D53" s="44">
        <v>5</v>
      </c>
      <c r="E53" s="26">
        <v>0</v>
      </c>
      <c r="G53" s="79"/>
      <c r="H53" s="79"/>
      <c r="I53" s="79"/>
      <c r="J53" s="48">
        <f>SLN(SUM($G45:J45),$E53,$D53)</f>
        <v>0</v>
      </c>
      <c r="K53" s="48">
        <f>SLN(SUM(G45:K45),$E53,$D53)</f>
        <v>4000000</v>
      </c>
      <c r="L53" s="48">
        <f t="shared" ref="L53:O53" si="12">SLN(SUM(H45:L45),$E53,$D53)</f>
        <v>4000000</v>
      </c>
      <c r="M53" s="48">
        <f t="shared" si="12"/>
        <v>5000000</v>
      </c>
      <c r="N53" s="48">
        <f t="shared" si="12"/>
        <v>5000000</v>
      </c>
      <c r="O53" s="48">
        <f t="shared" si="12"/>
        <v>5000000</v>
      </c>
    </row>
    <row r="54" spans="2:15" x14ac:dyDescent="0.4">
      <c r="C54" s="26" t="s">
        <v>96</v>
      </c>
      <c r="D54" s="44">
        <v>5</v>
      </c>
      <c r="E54" s="26">
        <v>0</v>
      </c>
      <c r="G54" s="79"/>
      <c r="H54" s="79"/>
      <c r="I54" s="79"/>
      <c r="J54" s="48">
        <f>SLN(SUM($G46:J46),$E54,$D54)</f>
        <v>0</v>
      </c>
      <c r="K54" s="48">
        <f>SLN(SUM(G46:K46),$E54,$D54)</f>
        <v>2000000</v>
      </c>
      <c r="L54" s="48">
        <f t="shared" ref="L54" si="13">SLN(SUM(H46:L46),$E54,$D54)</f>
        <v>2000000</v>
      </c>
      <c r="M54" s="48">
        <f t="shared" ref="M54" si="14">SLN(SUM(I46:M46),$E54,$D54)</f>
        <v>2400000</v>
      </c>
      <c r="N54" s="48">
        <f t="shared" ref="N54" si="15">SLN(SUM(J46:N46),$E54,$D54)</f>
        <v>2800000</v>
      </c>
      <c r="O54" s="48">
        <f t="shared" ref="O54" si="16">SLN(SUM(K46:O46),$E54,$D54)</f>
        <v>3200000</v>
      </c>
    </row>
    <row r="55" spans="2:15" x14ac:dyDescent="0.4">
      <c r="C55" s="26" t="s">
        <v>97</v>
      </c>
      <c r="D55" s="44">
        <v>4</v>
      </c>
      <c r="E55" s="26">
        <v>0</v>
      </c>
      <c r="G55" s="79"/>
      <c r="H55" s="79"/>
      <c r="I55" s="79"/>
      <c r="J55" s="48">
        <f>SLN(SUM(G47:J47),$E55,$D55)</f>
        <v>0</v>
      </c>
      <c r="K55" s="48">
        <f t="shared" ref="K55:O55" si="17">SLN(SUM(H47:K47),$E55,$D55)</f>
        <v>2000000</v>
      </c>
      <c r="L55" s="48">
        <f t="shared" si="17"/>
        <v>2250000</v>
      </c>
      <c r="M55" s="48">
        <f t="shared" si="17"/>
        <v>2500000</v>
      </c>
      <c r="N55" s="48">
        <f t="shared" si="17"/>
        <v>4000000</v>
      </c>
      <c r="O55" s="48">
        <f t="shared" si="17"/>
        <v>2250000</v>
      </c>
    </row>
    <row r="56" spans="2:15" x14ac:dyDescent="0.4">
      <c r="C56" s="26" t="s">
        <v>98</v>
      </c>
      <c r="D56" s="44">
        <v>5</v>
      </c>
      <c r="E56" s="26">
        <v>0</v>
      </c>
      <c r="G56" s="79"/>
      <c r="H56" s="79"/>
      <c r="I56" s="79"/>
      <c r="J56" s="48">
        <f>SLN(SUM($G48:J48),$E56,$D56)</f>
        <v>0</v>
      </c>
      <c r="K56" s="48">
        <f>SLN(SUM(G48:K48),$E56,$D56)</f>
        <v>400000</v>
      </c>
      <c r="L56" s="48">
        <f t="shared" ref="L56" si="18">SLN(SUM(H48:L48),$E56,$D56)</f>
        <v>400000</v>
      </c>
      <c r="M56" s="48">
        <f t="shared" ref="M56" si="19">SLN(SUM(I48:M48),$E56,$D56)</f>
        <v>400000</v>
      </c>
      <c r="N56" s="48">
        <f t="shared" ref="N56" si="20">SLN(SUM(J48:N48),$E56,$D56)</f>
        <v>400000</v>
      </c>
      <c r="O56" s="48">
        <f t="shared" ref="O56" si="21">SLN(SUM(K48:O48),$E56,$D56)</f>
        <v>900000</v>
      </c>
    </row>
    <row r="57" spans="2:15" x14ac:dyDescent="0.4">
      <c r="J57" s="48"/>
      <c r="K57" s="48"/>
      <c r="L57" s="48"/>
      <c r="M57" s="48"/>
      <c r="N57" s="48"/>
      <c r="O57" s="48"/>
    </row>
  </sheetData>
  <hyperlinks>
    <hyperlink ref="O1" location="'Table of Content'!A1" display="&gt;&gt; Table of Contents" xr:uid="{C1B4D6AD-E115-44A4-9753-FFE25CE4FABD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403A-8C70-4D1C-A80A-E064149D4785}">
  <sheetPr>
    <tabColor theme="4"/>
  </sheetPr>
  <dimension ref="B1:T59"/>
  <sheetViews>
    <sheetView showGridLines="0" workbookViewId="0">
      <selection activeCell="A32" sqref="A32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5"/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39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153</v>
      </c>
    </row>
    <row r="9" spans="2:20" x14ac:dyDescent="0.4">
      <c r="C9" t="s">
        <v>154</v>
      </c>
      <c r="D9" t="s">
        <v>49</v>
      </c>
      <c r="G9" s="48">
        <f>Cashflow!G40</f>
        <v>0</v>
      </c>
      <c r="H9" s="48">
        <f ca="1">Cashflow!H40</f>
        <v>0</v>
      </c>
      <c r="I9" s="48">
        <f ca="1">Cashflow!I40</f>
        <v>0</v>
      </c>
      <c r="J9" s="48">
        <f ca="1">Cashflow!J40</f>
        <v>0</v>
      </c>
      <c r="K9" s="48">
        <f ca="1">Cashflow!K40</f>
        <v>82051282.051282048</v>
      </c>
      <c r="L9" s="48">
        <f ca="1">Cashflow!L40</f>
        <v>340537590.96336889</v>
      </c>
      <c r="M9" s="48">
        <f ca="1">Cashflow!M40</f>
        <v>779679294.19760549</v>
      </c>
      <c r="N9" s="48">
        <f ca="1">Cashflow!N40</f>
        <v>1151469909.9601755</v>
      </c>
      <c r="O9" s="48">
        <f ca="1">Cashflow!O40</f>
        <v>1720278618.3848701</v>
      </c>
    </row>
    <row r="10" spans="2:20" x14ac:dyDescent="0.4">
      <c r="C10" t="s">
        <v>20</v>
      </c>
      <c r="D10" t="s">
        <v>49</v>
      </c>
      <c r="G10" s="79">
        <f ca="1">Cashflow!G38</f>
        <v>0</v>
      </c>
      <c r="H10" s="79">
        <f ca="1">Cashflow!H38</f>
        <v>0</v>
      </c>
      <c r="I10" s="79">
        <f ca="1">Cashflow!I38</f>
        <v>0</v>
      </c>
      <c r="J10" s="79">
        <f ca="1">Cashflow!J38</f>
        <v>82051282.051282048</v>
      </c>
      <c r="K10" s="79">
        <f ca="1">Cashflow!K38</f>
        <v>258486308.91208684</v>
      </c>
      <c r="L10" s="79">
        <f ca="1">Cashflow!L38</f>
        <v>439141703.2342366</v>
      </c>
      <c r="M10" s="79">
        <f ca="1">Cashflow!M38</f>
        <v>371790615.76257002</v>
      </c>
      <c r="N10" s="79">
        <f ca="1">Cashflow!N38</f>
        <v>568808708.42469454</v>
      </c>
      <c r="O10" s="79">
        <f ca="1">Cashflow!O38</f>
        <v>642306356.20941949</v>
      </c>
    </row>
    <row r="11" spans="2:20" x14ac:dyDescent="0.4">
      <c r="C11" t="s">
        <v>155</v>
      </c>
      <c r="D11" t="s">
        <v>49</v>
      </c>
      <c r="G11" s="79">
        <f ca="1">Cashflow!G41</f>
        <v>0</v>
      </c>
      <c r="H11" s="79">
        <f ca="1">Cashflow!H41</f>
        <v>0</v>
      </c>
      <c r="I11" s="79">
        <f ca="1">Cashflow!I41</f>
        <v>0</v>
      </c>
      <c r="J11" s="79">
        <f ca="1">Cashflow!J41</f>
        <v>82051282.051282048</v>
      </c>
      <c r="K11" s="79">
        <f ca="1">Cashflow!K41</f>
        <v>340537590.96336889</v>
      </c>
      <c r="L11" s="79">
        <f ca="1">Cashflow!L41</f>
        <v>779679294.19760549</v>
      </c>
      <c r="M11" s="79">
        <f ca="1">Cashflow!M41</f>
        <v>1151469909.9601755</v>
      </c>
      <c r="N11" s="79">
        <f ca="1">Cashflow!N41</f>
        <v>1720278618.3848701</v>
      </c>
      <c r="O11" s="79">
        <f ca="1">Cashflow!O41</f>
        <v>2362584974.5942898</v>
      </c>
    </row>
    <row r="13" spans="2:20" x14ac:dyDescent="0.4">
      <c r="C13" t="s">
        <v>156</v>
      </c>
      <c r="D13" t="s">
        <v>76</v>
      </c>
      <c r="G13" s="57">
        <f>'Model Inputs'!G90</f>
        <v>0.05</v>
      </c>
      <c r="H13" s="57">
        <f>'Model Inputs'!H90</f>
        <v>0.05</v>
      </c>
      <c r="I13" s="57">
        <f>'Model Inputs'!I90</f>
        <v>0.05</v>
      </c>
      <c r="J13" s="57">
        <f>'Model Inputs'!J90</f>
        <v>0.05</v>
      </c>
      <c r="K13" s="57">
        <f>'Model Inputs'!K90</f>
        <v>0.05</v>
      </c>
      <c r="L13" s="57">
        <f>'Model Inputs'!L90</f>
        <v>0.05</v>
      </c>
      <c r="M13" s="57">
        <f>'Model Inputs'!M90</f>
        <v>0.05</v>
      </c>
      <c r="N13" s="57">
        <f>'Model Inputs'!N90</f>
        <v>0.05</v>
      </c>
      <c r="O13" s="57">
        <f>'Model Inputs'!O90</f>
        <v>0.05</v>
      </c>
    </row>
    <row r="15" spans="2:20" x14ac:dyDescent="0.4">
      <c r="C15" t="s">
        <v>157</v>
      </c>
      <c r="D15" t="s">
        <v>49</v>
      </c>
      <c r="G15" s="79">
        <f ca="1">AVERAGE(G9,G11)*G13</f>
        <v>0</v>
      </c>
      <c r="H15" s="79">
        <f t="shared" ref="H15:O15" ca="1" si="0">AVERAGE(H9,H11)*H13</f>
        <v>0</v>
      </c>
      <c r="I15" s="79">
        <f t="shared" ca="1" si="0"/>
        <v>0</v>
      </c>
      <c r="J15" s="79">
        <f t="shared" ca="1" si="0"/>
        <v>2051282.0512820513</v>
      </c>
      <c r="K15" s="79">
        <f t="shared" ca="1" si="0"/>
        <v>10564721.825366274</v>
      </c>
      <c r="L15" s="79">
        <f t="shared" ca="1" si="0"/>
        <v>28005422.129024364</v>
      </c>
      <c r="M15" s="79">
        <f t="shared" ca="1" si="0"/>
        <v>48278730.103944533</v>
      </c>
      <c r="N15" s="79">
        <f t="shared" ca="1" si="0"/>
        <v>71793713.208626136</v>
      </c>
      <c r="O15" s="79">
        <f t="shared" ca="1" si="0"/>
        <v>102071589.824479</v>
      </c>
    </row>
    <row r="16" spans="2:20" x14ac:dyDescent="0.4">
      <c r="G16" s="79"/>
      <c r="H16" s="79"/>
      <c r="I16" s="79"/>
      <c r="J16" s="79"/>
      <c r="K16" s="79"/>
      <c r="L16" s="79"/>
      <c r="M16" s="79"/>
      <c r="N16" s="79"/>
      <c r="O16" s="79"/>
    </row>
    <row r="17" spans="2:15" x14ac:dyDescent="0.4">
      <c r="G17" s="79"/>
      <c r="H17" s="79"/>
      <c r="I17" s="79"/>
      <c r="J17" s="79"/>
      <c r="K17" s="79"/>
      <c r="L17" s="79"/>
      <c r="M17" s="79"/>
      <c r="N17" s="79"/>
      <c r="O17" s="79"/>
    </row>
    <row r="18" spans="2:15" s="52" customFormat="1" x14ac:dyDescent="0.4">
      <c r="B18" s="52" t="s">
        <v>158</v>
      </c>
      <c r="G18" s="82"/>
      <c r="H18" s="82"/>
      <c r="I18" s="82"/>
      <c r="J18" s="82"/>
      <c r="K18" s="82"/>
      <c r="L18" s="82"/>
      <c r="M18" s="82"/>
      <c r="N18" s="82"/>
      <c r="O18" s="82"/>
    </row>
    <row r="19" spans="2:15" x14ac:dyDescent="0.4">
      <c r="C19" t="s">
        <v>159</v>
      </c>
      <c r="D19" t="s">
        <v>49</v>
      </c>
      <c r="G19" s="79">
        <f ca="1">Cashflow!G8</f>
        <v>0</v>
      </c>
      <c r="H19" s="79">
        <f ca="1">Cashflow!H8</f>
        <v>0</v>
      </c>
      <c r="I19" s="79">
        <f ca="1">Cashflow!I8</f>
        <v>0</v>
      </c>
      <c r="J19" s="79">
        <f ca="1">Cashflow!J8</f>
        <v>0</v>
      </c>
      <c r="K19" s="79">
        <f ca="1">Cashflow!K8</f>
        <v>307921587.08672059</v>
      </c>
      <c r="L19" s="79">
        <f ca="1">Cashflow!L8</f>
        <v>405136281.10521221</v>
      </c>
      <c r="M19" s="79">
        <f ca="1">Cashflow!M8</f>
        <v>435329937.58050239</v>
      </c>
      <c r="N19" s="79">
        <f ca="1">Cashflow!N8</f>
        <v>618105702.92307055</v>
      </c>
      <c r="O19" s="79">
        <f ca="1">Cashflow!O8</f>
        <v>667434038.56845164</v>
      </c>
    </row>
    <row r="20" spans="2:15" x14ac:dyDescent="0.4">
      <c r="C20" t="s">
        <v>160</v>
      </c>
      <c r="D20" t="s">
        <v>49</v>
      </c>
      <c r="G20" s="79">
        <f ca="1">Cashflow!G21</f>
        <v>0</v>
      </c>
      <c r="H20" s="79">
        <f ca="1">Cashflow!H21</f>
        <v>0</v>
      </c>
      <c r="I20" s="79">
        <f ca="1">Cashflow!I21</f>
        <v>0</v>
      </c>
      <c r="J20" s="79">
        <f ca="1">Cashflow!J21</f>
        <v>-67948717.948717952</v>
      </c>
      <c r="K20" s="79">
        <f ca="1">Cashflow!K21</f>
        <v>-29435278.174633726</v>
      </c>
      <c r="L20" s="79">
        <f ca="1">Cashflow!L21</f>
        <v>27005422.129024364</v>
      </c>
      <c r="M20" s="79">
        <f ca="1">Cashflow!M21</f>
        <v>20278730.103944533</v>
      </c>
      <c r="N20" s="79">
        <f ca="1">Cashflow!N21</f>
        <v>63793713.208626136</v>
      </c>
      <c r="O20" s="79">
        <f ca="1">Cashflow!O21</f>
        <v>96571589.824478999</v>
      </c>
    </row>
    <row r="21" spans="2:15" x14ac:dyDescent="0.4">
      <c r="C21" t="s">
        <v>161</v>
      </c>
      <c r="D21" t="s">
        <v>49</v>
      </c>
      <c r="G21" s="79">
        <f>SUM(Cashflow!G32:G33)</f>
        <v>0</v>
      </c>
      <c r="H21" s="79">
        <f>SUM(Cashflow!H32:H33)</f>
        <v>0</v>
      </c>
      <c r="I21" s="79">
        <f>SUM(Cashflow!I32:I33)</f>
        <v>0</v>
      </c>
      <c r="J21" s="79">
        <f>SUM(Cashflow!J32:J33)</f>
        <v>50000000</v>
      </c>
      <c r="K21" s="79">
        <f>SUM(Cashflow!K32:K33)</f>
        <v>-10000000</v>
      </c>
      <c r="L21" s="79">
        <f>SUM(Cashflow!L32:L33)</f>
        <v>-10000000</v>
      </c>
      <c r="M21" s="79">
        <f>SUM(Cashflow!M32:M33)</f>
        <v>-10000000</v>
      </c>
      <c r="N21" s="79">
        <f>SUM(Cashflow!N32:N33)</f>
        <v>-10000000</v>
      </c>
      <c r="O21" s="79">
        <f>SUM(Cashflow!O32:O33)</f>
        <v>-10000000</v>
      </c>
    </row>
    <row r="22" spans="2:15" x14ac:dyDescent="0.4">
      <c r="C22" t="s">
        <v>162</v>
      </c>
      <c r="D22" t="s">
        <v>49</v>
      </c>
      <c r="G22" s="79">
        <f>Cashflow!G35</f>
        <v>0</v>
      </c>
      <c r="H22" s="79">
        <f>Cashflow!H35</f>
        <v>0</v>
      </c>
      <c r="I22" s="79">
        <f>Cashflow!I35</f>
        <v>0</v>
      </c>
      <c r="J22" s="79">
        <f>Cashflow!J35</f>
        <v>100000000</v>
      </c>
      <c r="K22" s="79">
        <f>Cashflow!K35</f>
        <v>0</v>
      </c>
      <c r="L22" s="79">
        <f>Cashflow!L35</f>
        <v>25000000</v>
      </c>
      <c r="M22" s="79">
        <f>Cashflow!M35</f>
        <v>0</v>
      </c>
      <c r="N22" s="79">
        <f>Cashflow!N35</f>
        <v>0</v>
      </c>
      <c r="O22" s="79">
        <f>Cashflow!O35</f>
        <v>0</v>
      </c>
    </row>
    <row r="23" spans="2:15" x14ac:dyDescent="0.4">
      <c r="C23" t="s">
        <v>163</v>
      </c>
      <c r="D23" t="s">
        <v>49</v>
      </c>
      <c r="G23" s="79">
        <f ca="1">Cashflow!G34</f>
        <v>0</v>
      </c>
      <c r="H23" s="79">
        <f ca="1">Cashflow!H34</f>
        <v>0</v>
      </c>
      <c r="I23" s="79">
        <f ca="1">Cashflow!I34</f>
        <v>0</v>
      </c>
      <c r="J23" s="79">
        <f ca="1">Cashflow!J34</f>
        <v>0</v>
      </c>
      <c r="K23" s="79">
        <f ca="1">Cashflow!K34</f>
        <v>0</v>
      </c>
      <c r="L23" s="79">
        <f ca="1">Cashflow!L34</f>
        <v>0</v>
      </c>
      <c r="M23" s="79">
        <f ca="1">Cashflow!M34</f>
        <v>-67818051.921876907</v>
      </c>
      <c r="N23" s="79">
        <f ca="1">Cashflow!N34</f>
        <v>-99090707.707002103</v>
      </c>
      <c r="O23" s="79">
        <f ca="1">Cashflow!O34</f>
        <v>-109699272.18351117</v>
      </c>
    </row>
    <row r="24" spans="2:15" x14ac:dyDescent="0.4">
      <c r="C24" t="s">
        <v>191</v>
      </c>
      <c r="D24" t="s">
        <v>49</v>
      </c>
      <c r="G24" s="79">
        <f ca="1">SUM(G19:G23)</f>
        <v>0</v>
      </c>
      <c r="H24" s="79">
        <f t="shared" ref="H24:O24" ca="1" si="1">SUM(H19:H23)</f>
        <v>0</v>
      </c>
      <c r="I24" s="79">
        <f t="shared" ca="1" si="1"/>
        <v>0</v>
      </c>
      <c r="J24" s="79">
        <f t="shared" ca="1" si="1"/>
        <v>82051282.051282048</v>
      </c>
      <c r="K24" s="79">
        <f t="shared" ca="1" si="1"/>
        <v>268486308.91208684</v>
      </c>
      <c r="L24" s="79">
        <f t="shared" ca="1" si="1"/>
        <v>447141703.2342366</v>
      </c>
      <c r="M24" s="79">
        <f t="shared" ca="1" si="1"/>
        <v>377790615.76257002</v>
      </c>
      <c r="N24" s="79">
        <f t="shared" ca="1" si="1"/>
        <v>572808708.42469454</v>
      </c>
      <c r="O24" s="79">
        <f t="shared" ca="1" si="1"/>
        <v>644306356.20941949</v>
      </c>
    </row>
    <row r="25" spans="2:15" x14ac:dyDescent="0.4">
      <c r="G25" s="79"/>
      <c r="H25" s="79"/>
      <c r="I25" s="79"/>
      <c r="J25" s="79"/>
      <c r="K25" s="79"/>
      <c r="L25" s="79"/>
      <c r="M25" s="79"/>
      <c r="N25" s="79"/>
      <c r="O25" s="79"/>
    </row>
    <row r="26" spans="2:15" x14ac:dyDescent="0.4">
      <c r="C26" t="s">
        <v>164</v>
      </c>
      <c r="D26" t="s">
        <v>49</v>
      </c>
      <c r="G26" s="79"/>
      <c r="H26" s="79">
        <f ca="1">G28</f>
        <v>0</v>
      </c>
      <c r="I26" s="79">
        <f t="shared" ref="I26:O26" ca="1" si="2">H28</f>
        <v>0</v>
      </c>
      <c r="J26" s="79">
        <f t="shared" ca="1" si="2"/>
        <v>0</v>
      </c>
      <c r="K26" s="79">
        <f t="shared" ca="1" si="2"/>
        <v>0</v>
      </c>
      <c r="L26" s="79">
        <f t="shared" ca="1" si="2"/>
        <v>0</v>
      </c>
      <c r="M26" s="79">
        <f t="shared" ca="1" si="2"/>
        <v>0</v>
      </c>
      <c r="N26" s="79">
        <f t="shared" ca="1" si="2"/>
        <v>0</v>
      </c>
      <c r="O26" s="79">
        <f t="shared" ca="1" si="2"/>
        <v>0</v>
      </c>
    </row>
    <row r="27" spans="2:15" x14ac:dyDescent="0.4">
      <c r="C27" t="s">
        <v>165</v>
      </c>
      <c r="D27" t="s">
        <v>49</v>
      </c>
      <c r="G27" s="79">
        <f ca="1">-MIN((G9+G24),G26)</f>
        <v>0</v>
      </c>
      <c r="H27" s="79">
        <f ca="1">-MIN((H9+H24),H26)</f>
        <v>0</v>
      </c>
      <c r="I27" s="79">
        <f t="shared" ref="I27:O27" ca="1" si="3">-MIN((I9+I24),I26)</f>
        <v>0</v>
      </c>
      <c r="J27" s="79">
        <f t="shared" ca="1" si="3"/>
        <v>0</v>
      </c>
      <c r="K27" s="79">
        <f t="shared" ca="1" si="3"/>
        <v>0</v>
      </c>
      <c r="L27" s="79">
        <f t="shared" ca="1" si="3"/>
        <v>0</v>
      </c>
      <c r="M27" s="79">
        <f t="shared" ca="1" si="3"/>
        <v>0</v>
      </c>
      <c r="N27" s="79">
        <f t="shared" ca="1" si="3"/>
        <v>0</v>
      </c>
      <c r="O27" s="79">
        <f t="shared" ca="1" si="3"/>
        <v>0</v>
      </c>
    </row>
    <row r="28" spans="2:15" x14ac:dyDescent="0.4">
      <c r="C28" t="s">
        <v>166</v>
      </c>
      <c r="D28" t="s">
        <v>49</v>
      </c>
      <c r="G28" s="48">
        <f ca="1">SUM(G26:G27)</f>
        <v>0</v>
      </c>
      <c r="H28" s="48">
        <f ca="1">SUM(H26:H27)</f>
        <v>0</v>
      </c>
      <c r="I28" s="48">
        <f t="shared" ref="I28:O28" ca="1" si="4">SUM(I26:I27)</f>
        <v>0</v>
      </c>
      <c r="J28" s="48">
        <f t="shared" ca="1" si="4"/>
        <v>0</v>
      </c>
      <c r="K28" s="48">
        <f t="shared" ca="1" si="4"/>
        <v>0</v>
      </c>
      <c r="L28" s="48">
        <f t="shared" ca="1" si="4"/>
        <v>0</v>
      </c>
      <c r="M28" s="48">
        <f t="shared" ca="1" si="4"/>
        <v>0</v>
      </c>
      <c r="N28" s="48">
        <f t="shared" ca="1" si="4"/>
        <v>0</v>
      </c>
      <c r="O28" s="48">
        <f t="shared" ca="1" si="4"/>
        <v>0</v>
      </c>
    </row>
    <row r="30" spans="2:15" x14ac:dyDescent="0.4">
      <c r="C30" t="s">
        <v>167</v>
      </c>
      <c r="D30" t="s">
        <v>76</v>
      </c>
      <c r="G30" s="57">
        <f>'Model Inputs'!G88</f>
        <v>0.15</v>
      </c>
      <c r="H30" s="57">
        <f>'Model Inputs'!H88</f>
        <v>0.15</v>
      </c>
      <c r="I30" s="57">
        <f>'Model Inputs'!I88</f>
        <v>0.15</v>
      </c>
      <c r="J30" s="57">
        <f>'Model Inputs'!J88</f>
        <v>0.15</v>
      </c>
      <c r="K30" s="57">
        <f>'Model Inputs'!K88</f>
        <v>0.15</v>
      </c>
      <c r="L30" s="57">
        <f>'Model Inputs'!L88</f>
        <v>0.15</v>
      </c>
      <c r="M30" s="57">
        <f>'Model Inputs'!M88</f>
        <v>0.15</v>
      </c>
      <c r="N30" s="57">
        <f>'Model Inputs'!N88</f>
        <v>0.15</v>
      </c>
      <c r="O30" s="57">
        <f>'Model Inputs'!O88</f>
        <v>0.15</v>
      </c>
    </row>
    <row r="32" spans="2:15" x14ac:dyDescent="0.4">
      <c r="C32" t="s">
        <v>168</v>
      </c>
      <c r="D32" t="s">
        <v>49</v>
      </c>
      <c r="G32" s="53">
        <f ca="1">-AVERAGE(G26,G28)*G30</f>
        <v>0</v>
      </c>
      <c r="H32" s="53">
        <f t="shared" ref="H32:O32" ca="1" si="5">-AVERAGE(H26,H28)*H30</f>
        <v>0</v>
      </c>
      <c r="I32" s="53">
        <f t="shared" ca="1" si="5"/>
        <v>0</v>
      </c>
      <c r="J32" s="53">
        <f t="shared" ca="1" si="5"/>
        <v>0</v>
      </c>
      <c r="K32" s="53">
        <f t="shared" ca="1" si="5"/>
        <v>0</v>
      </c>
      <c r="L32" s="53">
        <f t="shared" ca="1" si="5"/>
        <v>0</v>
      </c>
      <c r="M32" s="53">
        <f t="shared" ca="1" si="5"/>
        <v>0</v>
      </c>
      <c r="N32" s="53">
        <f t="shared" ca="1" si="5"/>
        <v>0</v>
      </c>
      <c r="O32" s="53">
        <f t="shared" ca="1" si="5"/>
        <v>0</v>
      </c>
    </row>
    <row r="34" spans="2:15" x14ac:dyDescent="0.4">
      <c r="G34" s="48"/>
      <c r="H34" s="48"/>
      <c r="I34" s="48"/>
      <c r="J34" s="48"/>
      <c r="K34" s="48"/>
      <c r="L34" s="48"/>
      <c r="M34" s="48"/>
      <c r="N34" s="48"/>
      <c r="O34" s="48"/>
    </row>
    <row r="35" spans="2:15" x14ac:dyDescent="0.4">
      <c r="B35" s="27" t="s">
        <v>127</v>
      </c>
      <c r="C35" s="26"/>
      <c r="G35" s="48"/>
      <c r="H35" s="48"/>
      <c r="I35" s="48"/>
      <c r="J35" s="48"/>
      <c r="K35" s="48"/>
      <c r="L35" s="48"/>
      <c r="M35" s="48"/>
      <c r="N35" s="48"/>
      <c r="O35" s="48"/>
    </row>
    <row r="36" spans="2:15" x14ac:dyDescent="0.4">
      <c r="B36" s="27"/>
      <c r="C36" s="26" t="s">
        <v>77</v>
      </c>
      <c r="D36" t="s">
        <v>49</v>
      </c>
      <c r="G36" s="48"/>
      <c r="H36" s="48"/>
      <c r="I36" s="48"/>
      <c r="J36" s="48">
        <f>'Model Inputs'!J64</f>
        <v>0</v>
      </c>
      <c r="K36" s="48">
        <f>'Model Inputs'!K64</f>
        <v>50000000</v>
      </c>
      <c r="L36" s="48">
        <f>'Model Inputs'!L64</f>
        <v>40000000</v>
      </c>
      <c r="M36" s="48">
        <f>'Model Inputs'!M64</f>
        <v>30000000</v>
      </c>
      <c r="N36" s="48">
        <f>'Model Inputs'!N64</f>
        <v>20000000</v>
      </c>
      <c r="O36" s="48">
        <f>'Model Inputs'!O64</f>
        <v>10000000</v>
      </c>
    </row>
    <row r="37" spans="2:15" x14ac:dyDescent="0.4">
      <c r="B37" s="27"/>
      <c r="C37" s="26" t="s">
        <v>78</v>
      </c>
      <c r="D37" t="s">
        <v>49</v>
      </c>
      <c r="G37" s="48"/>
      <c r="H37" s="48"/>
      <c r="I37" s="48"/>
      <c r="J37" s="48">
        <f>'Model Inputs'!J65</f>
        <v>50000000</v>
      </c>
      <c r="K37" s="48">
        <f>'Model Inputs'!K65</f>
        <v>0</v>
      </c>
      <c r="L37" s="48">
        <f>'Model Inputs'!L65</f>
        <v>0</v>
      </c>
      <c r="M37" s="48">
        <f>'Model Inputs'!M65</f>
        <v>0</v>
      </c>
      <c r="N37" s="48">
        <f>'Model Inputs'!N65</f>
        <v>0</v>
      </c>
      <c r="O37" s="48">
        <f>'Model Inputs'!O65</f>
        <v>0</v>
      </c>
    </row>
    <row r="38" spans="2:15" x14ac:dyDescent="0.4">
      <c r="B38" s="27"/>
      <c r="C38" s="26" t="s">
        <v>79</v>
      </c>
      <c r="D38" t="s">
        <v>49</v>
      </c>
      <c r="G38" s="48"/>
      <c r="H38" s="48"/>
      <c r="I38" s="48"/>
      <c r="J38" s="48">
        <f>'Model Inputs'!J66</f>
        <v>0</v>
      </c>
      <c r="K38" s="48">
        <f>'Model Inputs'!K66</f>
        <v>-10000000</v>
      </c>
      <c r="L38" s="48">
        <f>'Model Inputs'!L66</f>
        <v>-10000000</v>
      </c>
      <c r="M38" s="48">
        <f>'Model Inputs'!M66</f>
        <v>-10000000</v>
      </c>
      <c r="N38" s="48">
        <f>'Model Inputs'!N66</f>
        <v>-10000000</v>
      </c>
      <c r="O38" s="48">
        <f>'Model Inputs'!O66</f>
        <v>-10000000</v>
      </c>
    </row>
    <row r="39" spans="2:15" x14ac:dyDescent="0.4">
      <c r="B39" s="27"/>
      <c r="C39" s="26" t="s">
        <v>80</v>
      </c>
      <c r="D39" t="s">
        <v>49</v>
      </c>
      <c r="G39" s="48"/>
      <c r="H39" s="48"/>
      <c r="I39" s="48"/>
      <c r="J39" s="48">
        <f>'Model Inputs'!J67</f>
        <v>0</v>
      </c>
      <c r="K39" s="48">
        <f>'Model Inputs'!K67</f>
        <v>-10000000</v>
      </c>
      <c r="L39" s="48">
        <f>'Model Inputs'!L67</f>
        <v>-8000000</v>
      </c>
      <c r="M39" s="48">
        <f>'Model Inputs'!M67</f>
        <v>-6000000</v>
      </c>
      <c r="N39" s="48">
        <f>'Model Inputs'!N67</f>
        <v>-4000000</v>
      </c>
      <c r="O39" s="48">
        <f>'Model Inputs'!O67</f>
        <v>-2000000</v>
      </c>
    </row>
    <row r="40" spans="2:15" x14ac:dyDescent="0.4">
      <c r="B40" s="27"/>
      <c r="C40" s="26" t="s">
        <v>217</v>
      </c>
      <c r="G40" s="48"/>
      <c r="H40" s="48"/>
      <c r="I40" s="48"/>
      <c r="J40" s="48">
        <f>J36+J37+J38</f>
        <v>50000000</v>
      </c>
      <c r="K40" s="48">
        <f t="shared" ref="K40:O40" si="6">K36+K37+K38</f>
        <v>40000000</v>
      </c>
      <c r="L40" s="48">
        <f t="shared" si="6"/>
        <v>30000000</v>
      </c>
      <c r="M40" s="48">
        <f t="shared" si="6"/>
        <v>20000000</v>
      </c>
      <c r="N40" s="48">
        <f t="shared" si="6"/>
        <v>10000000</v>
      </c>
      <c r="O40" s="48">
        <f t="shared" si="6"/>
        <v>0</v>
      </c>
    </row>
    <row r="41" spans="2:15" x14ac:dyDescent="0.4">
      <c r="B41" s="27"/>
      <c r="C41" s="26"/>
      <c r="G41" s="48"/>
      <c r="H41" s="48"/>
      <c r="I41" s="48"/>
      <c r="J41" s="48"/>
      <c r="K41" s="48"/>
      <c r="L41" s="48"/>
      <c r="M41" s="48"/>
      <c r="N41" s="48"/>
      <c r="O41" s="48"/>
    </row>
    <row r="42" spans="2:15" x14ac:dyDescent="0.4">
      <c r="B42" s="27" t="s">
        <v>84</v>
      </c>
      <c r="C42" s="26"/>
      <c r="D42" t="s">
        <v>49</v>
      </c>
      <c r="G42" s="48"/>
      <c r="H42" s="48"/>
      <c r="I42" s="48"/>
      <c r="J42" s="48"/>
      <c r="K42" s="48"/>
      <c r="L42" s="48"/>
      <c r="M42" s="48"/>
      <c r="N42" s="48"/>
      <c r="O42" s="48"/>
    </row>
    <row r="43" spans="2:15" x14ac:dyDescent="0.4">
      <c r="B43" s="27"/>
      <c r="C43" s="26" t="s">
        <v>77</v>
      </c>
      <c r="D43" t="s">
        <v>49</v>
      </c>
      <c r="G43" s="48"/>
      <c r="H43" s="48"/>
      <c r="I43" s="48"/>
      <c r="J43" s="48"/>
      <c r="K43" s="48"/>
      <c r="L43" s="48"/>
      <c r="M43" s="48"/>
      <c r="N43" s="48"/>
      <c r="O43" s="48"/>
    </row>
    <row r="44" spans="2:15" x14ac:dyDescent="0.4">
      <c r="B44" s="27"/>
      <c r="C44" s="26" t="s">
        <v>78</v>
      </c>
      <c r="D44" t="s">
        <v>49</v>
      </c>
      <c r="G44" s="48"/>
      <c r="H44" s="48"/>
      <c r="I44" s="48"/>
      <c r="J44" s="48">
        <f>'Model Inputs'!J72</f>
        <v>0</v>
      </c>
      <c r="K44" s="48">
        <f>'Model Inputs'!K72</f>
        <v>0</v>
      </c>
      <c r="L44" s="48">
        <f>'Model Inputs'!L72</f>
        <v>0</v>
      </c>
      <c r="M44" s="48">
        <f>'Model Inputs'!M72</f>
        <v>0</v>
      </c>
      <c r="N44" s="48">
        <f>'Model Inputs'!N72</f>
        <v>0</v>
      </c>
      <c r="O44" s="48">
        <f>'Model Inputs'!O72</f>
        <v>0</v>
      </c>
    </row>
    <row r="45" spans="2:15" x14ac:dyDescent="0.4">
      <c r="B45" s="27"/>
      <c r="C45" s="26" t="s">
        <v>79</v>
      </c>
      <c r="D45" t="s">
        <v>49</v>
      </c>
      <c r="G45" s="48"/>
      <c r="H45" s="48"/>
      <c r="I45" s="48"/>
      <c r="J45" s="48">
        <f>'Model Inputs'!J73</f>
        <v>0</v>
      </c>
      <c r="K45" s="48">
        <f>'Model Inputs'!K73</f>
        <v>0</v>
      </c>
      <c r="L45" s="48">
        <f>'Model Inputs'!L73</f>
        <v>0</v>
      </c>
      <c r="M45" s="48">
        <f>'Model Inputs'!M73</f>
        <v>0</v>
      </c>
      <c r="N45" s="48">
        <f>'Model Inputs'!N73</f>
        <v>0</v>
      </c>
      <c r="O45" s="48">
        <f>'Model Inputs'!O73</f>
        <v>0</v>
      </c>
    </row>
    <row r="46" spans="2:15" x14ac:dyDescent="0.4">
      <c r="B46" s="27"/>
      <c r="C46" s="26" t="s">
        <v>80</v>
      </c>
      <c r="D46" t="s">
        <v>49</v>
      </c>
      <c r="G46" s="48"/>
      <c r="H46" s="48"/>
      <c r="I46" s="48"/>
      <c r="J46" s="48">
        <f>'Model Inputs'!J74</f>
        <v>0</v>
      </c>
      <c r="K46" s="48">
        <f>'Model Inputs'!K74</f>
        <v>0</v>
      </c>
      <c r="L46" s="48">
        <f>'Model Inputs'!L74</f>
        <v>0</v>
      </c>
      <c r="M46" s="48">
        <f>'Model Inputs'!M74</f>
        <v>0</v>
      </c>
      <c r="N46" s="48">
        <f>'Model Inputs'!N74</f>
        <v>0</v>
      </c>
      <c r="O46" s="48">
        <f>'Model Inputs'!O74</f>
        <v>0</v>
      </c>
    </row>
    <row r="47" spans="2:15" x14ac:dyDescent="0.4">
      <c r="B47" s="27"/>
      <c r="C47" s="26" t="s">
        <v>217</v>
      </c>
      <c r="G47" s="48"/>
      <c r="H47" s="48"/>
      <c r="I47" s="48"/>
      <c r="J47" s="48">
        <f>J43+J44+J45</f>
        <v>0</v>
      </c>
      <c r="K47" s="48">
        <f t="shared" ref="K47:O47" si="7">K43+K44+K45</f>
        <v>0</v>
      </c>
      <c r="L47" s="48">
        <f t="shared" si="7"/>
        <v>0</v>
      </c>
      <c r="M47" s="48">
        <f t="shared" si="7"/>
        <v>0</v>
      </c>
      <c r="N47" s="48">
        <f t="shared" si="7"/>
        <v>0</v>
      </c>
      <c r="O47" s="48">
        <f t="shared" si="7"/>
        <v>0</v>
      </c>
    </row>
    <row r="48" spans="2:15" x14ac:dyDescent="0.4">
      <c r="B48" s="27"/>
      <c r="C48" s="26"/>
      <c r="G48" s="48"/>
      <c r="H48" s="48"/>
      <c r="I48" s="48"/>
      <c r="J48" s="48"/>
      <c r="K48" s="48"/>
      <c r="L48" s="48"/>
      <c r="M48" s="48"/>
      <c r="N48" s="48"/>
      <c r="O48" s="48"/>
    </row>
    <row r="49" spans="2:15" x14ac:dyDescent="0.4">
      <c r="B49" s="27" t="s">
        <v>85</v>
      </c>
      <c r="C49" s="26"/>
      <c r="D49" t="s">
        <v>49</v>
      </c>
      <c r="G49" s="48"/>
      <c r="H49" s="48"/>
      <c r="I49" s="48"/>
      <c r="J49" s="48"/>
      <c r="K49" s="48"/>
      <c r="L49" s="48"/>
      <c r="M49" s="48"/>
      <c r="N49" s="48"/>
      <c r="O49" s="48"/>
    </row>
    <row r="50" spans="2:15" x14ac:dyDescent="0.4">
      <c r="B50" s="27"/>
      <c r="C50" s="26" t="s">
        <v>77</v>
      </c>
      <c r="D50" t="s">
        <v>49</v>
      </c>
      <c r="G50" s="48"/>
      <c r="H50" s="48"/>
      <c r="I50" s="48"/>
      <c r="J50" s="48">
        <f>'Model Inputs'!J80</f>
        <v>0</v>
      </c>
      <c r="K50" s="48">
        <f>'Model Inputs'!K80</f>
        <v>0</v>
      </c>
      <c r="L50" s="48">
        <f>'Model Inputs'!L80</f>
        <v>0</v>
      </c>
      <c r="M50" s="48">
        <f>'Model Inputs'!M80</f>
        <v>0</v>
      </c>
      <c r="N50" s="48">
        <f>'Model Inputs'!N80</f>
        <v>0</v>
      </c>
      <c r="O50" s="48">
        <f>'Model Inputs'!O80</f>
        <v>0</v>
      </c>
    </row>
    <row r="51" spans="2:15" x14ac:dyDescent="0.4">
      <c r="B51" s="27"/>
      <c r="C51" s="26" t="s">
        <v>78</v>
      </c>
      <c r="D51" t="s">
        <v>49</v>
      </c>
      <c r="G51" s="48"/>
      <c r="H51" s="48"/>
      <c r="I51" s="48"/>
      <c r="J51" s="48">
        <f>'Model Inputs'!J81</f>
        <v>0</v>
      </c>
      <c r="K51" s="48">
        <f>'Model Inputs'!K81</f>
        <v>0</v>
      </c>
      <c r="L51" s="48">
        <f>'Model Inputs'!L81</f>
        <v>0</v>
      </c>
      <c r="M51" s="48">
        <f>'Model Inputs'!M81</f>
        <v>0</v>
      </c>
      <c r="N51" s="48">
        <f>'Model Inputs'!N81</f>
        <v>0</v>
      </c>
      <c r="O51" s="48">
        <f>'Model Inputs'!O81</f>
        <v>0</v>
      </c>
    </row>
    <row r="52" spans="2:15" x14ac:dyDescent="0.4">
      <c r="B52" s="27"/>
      <c r="C52" s="26" t="s">
        <v>79</v>
      </c>
      <c r="D52" t="s">
        <v>49</v>
      </c>
      <c r="G52" s="48"/>
      <c r="H52" s="48"/>
      <c r="I52" s="48"/>
      <c r="J52" s="48">
        <f>'Model Inputs'!J82</f>
        <v>0</v>
      </c>
      <c r="K52" s="48">
        <f>'Model Inputs'!K82</f>
        <v>0</v>
      </c>
      <c r="L52" s="48">
        <f>'Model Inputs'!L82</f>
        <v>0</v>
      </c>
      <c r="M52" s="48">
        <f>'Model Inputs'!M82</f>
        <v>0</v>
      </c>
      <c r="N52" s="48">
        <f>'Model Inputs'!N82</f>
        <v>0</v>
      </c>
      <c r="O52" s="48">
        <f>'Model Inputs'!O82</f>
        <v>0</v>
      </c>
    </row>
    <row r="53" spans="2:15" x14ac:dyDescent="0.4">
      <c r="B53" s="27"/>
      <c r="C53" s="26" t="s">
        <v>80</v>
      </c>
      <c r="D53" t="s">
        <v>49</v>
      </c>
      <c r="G53" s="48"/>
      <c r="H53" s="48"/>
      <c r="I53" s="48"/>
      <c r="J53" s="48">
        <f>'Model Inputs'!J83</f>
        <v>0</v>
      </c>
      <c r="K53" s="48">
        <f>'Model Inputs'!K83</f>
        <v>0</v>
      </c>
      <c r="L53" s="48">
        <f>'Model Inputs'!L83</f>
        <v>0</v>
      </c>
      <c r="M53" s="48">
        <f>'Model Inputs'!M83</f>
        <v>0</v>
      </c>
      <c r="N53" s="48">
        <f>'Model Inputs'!N83</f>
        <v>0</v>
      </c>
      <c r="O53" s="48">
        <f>'Model Inputs'!O83</f>
        <v>0</v>
      </c>
    </row>
    <row r="54" spans="2:15" x14ac:dyDescent="0.4">
      <c r="B54" s="27"/>
      <c r="C54" s="26" t="s">
        <v>217</v>
      </c>
      <c r="G54" s="48"/>
      <c r="H54" s="48"/>
      <c r="I54" s="48"/>
      <c r="J54" s="48">
        <f>J50+J51+J52</f>
        <v>0</v>
      </c>
      <c r="K54" s="48">
        <f t="shared" ref="K54:O54" si="8">K50+K51+K52</f>
        <v>0</v>
      </c>
      <c r="L54" s="48">
        <f t="shared" si="8"/>
        <v>0</v>
      </c>
      <c r="M54" s="48">
        <f t="shared" si="8"/>
        <v>0</v>
      </c>
      <c r="N54" s="48">
        <f t="shared" si="8"/>
        <v>0</v>
      </c>
      <c r="O54" s="48">
        <f t="shared" si="8"/>
        <v>0</v>
      </c>
    </row>
    <row r="55" spans="2:15" x14ac:dyDescent="0.4">
      <c r="G55" s="48"/>
      <c r="H55" s="48"/>
      <c r="I55" s="48"/>
      <c r="J55" s="48"/>
      <c r="K55" s="48"/>
      <c r="L55" s="48"/>
      <c r="M55" s="48"/>
      <c r="N55" s="48"/>
      <c r="O55" s="48"/>
    </row>
    <row r="56" spans="2:15" x14ac:dyDescent="0.4">
      <c r="G56" s="48"/>
      <c r="H56" s="48"/>
      <c r="I56" s="48"/>
      <c r="J56" s="48"/>
      <c r="K56" s="48"/>
      <c r="L56" s="48"/>
      <c r="M56" s="48"/>
      <c r="N56" s="48"/>
      <c r="O56" s="48"/>
    </row>
    <row r="57" spans="2:15" s="52" customFormat="1" x14ac:dyDescent="0.4">
      <c r="B57" s="52" t="s">
        <v>170</v>
      </c>
      <c r="D57" s="52" t="s">
        <v>49</v>
      </c>
      <c r="G57" s="83">
        <f t="shared" ref="G57:I57" ca="1" si="9">G15</f>
        <v>0</v>
      </c>
      <c r="H57" s="83">
        <f t="shared" ca="1" si="9"/>
        <v>0</v>
      </c>
      <c r="I57" s="83">
        <f t="shared" ca="1" si="9"/>
        <v>0</v>
      </c>
      <c r="J57" s="83">
        <f ca="1">J15</f>
        <v>2051282.0512820513</v>
      </c>
      <c r="K57" s="83">
        <f t="shared" ref="K57:O57" ca="1" si="10">K15</f>
        <v>10564721.825366274</v>
      </c>
      <c r="L57" s="83">
        <f t="shared" ca="1" si="10"/>
        <v>28005422.129024364</v>
      </c>
      <c r="M57" s="83">
        <f t="shared" ca="1" si="10"/>
        <v>48278730.103944533</v>
      </c>
      <c r="N57" s="83">
        <f t="shared" ca="1" si="10"/>
        <v>71793713.208626136</v>
      </c>
      <c r="O57" s="83">
        <f t="shared" ca="1" si="10"/>
        <v>102071589.824479</v>
      </c>
    </row>
    <row r="58" spans="2:15" s="52" customFormat="1" x14ac:dyDescent="0.4">
      <c r="B58" s="52" t="s">
        <v>169</v>
      </c>
      <c r="D58" s="52" t="s">
        <v>49</v>
      </c>
      <c r="G58" s="83">
        <f t="shared" ref="G58:I58" ca="1" si="11">G32+G39+G46+G53</f>
        <v>0</v>
      </c>
      <c r="H58" s="83">
        <f t="shared" ca="1" si="11"/>
        <v>0</v>
      </c>
      <c r="I58" s="83">
        <f t="shared" ca="1" si="11"/>
        <v>0</v>
      </c>
      <c r="J58" s="83">
        <f ca="1">J32+J39+J46+J53</f>
        <v>0</v>
      </c>
      <c r="K58" s="83">
        <f t="shared" ref="K58:O58" ca="1" si="12">K32+K39+K46+K53</f>
        <v>-10000000</v>
      </c>
      <c r="L58" s="83">
        <f t="shared" ca="1" si="12"/>
        <v>-8000000</v>
      </c>
      <c r="M58" s="83">
        <f t="shared" ca="1" si="12"/>
        <v>-6000000</v>
      </c>
      <c r="N58" s="83">
        <f t="shared" ca="1" si="12"/>
        <v>-4000000</v>
      </c>
      <c r="O58" s="83">
        <f t="shared" ca="1" si="12"/>
        <v>-2000000</v>
      </c>
    </row>
    <row r="59" spans="2:15" x14ac:dyDescent="0.4">
      <c r="D59" s="52"/>
    </row>
  </sheetData>
  <hyperlinks>
    <hyperlink ref="O1" location="'Table of Content'!A1" display="&gt;&gt; Table of Contents" xr:uid="{AA03EA4C-AAF7-483C-9B5F-924D8FA01A35}"/>
  </hyperlink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8894-9E2F-4B23-87DA-7E3A03958AD8}">
  <sheetPr>
    <tabColor theme="4"/>
  </sheetPr>
  <dimension ref="B1:T33"/>
  <sheetViews>
    <sheetView showGridLines="0" workbookViewId="0">
      <selection activeCell="H15" sqref="H15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5"/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40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171</v>
      </c>
    </row>
    <row r="8" spans="2:20" x14ac:dyDescent="0.4">
      <c r="C8" t="s">
        <v>172</v>
      </c>
      <c r="D8" t="s">
        <v>49</v>
      </c>
      <c r="G8" s="48"/>
      <c r="H8" s="48">
        <f>G10</f>
        <v>0</v>
      </c>
      <c r="I8" s="48">
        <f t="shared" ref="I8:O8" si="0">H10</f>
        <v>0</v>
      </c>
      <c r="J8" s="48">
        <f t="shared" si="0"/>
        <v>0</v>
      </c>
      <c r="K8" s="48">
        <f t="shared" si="0"/>
        <v>100000000</v>
      </c>
      <c r="L8" s="48">
        <f t="shared" si="0"/>
        <v>100000000</v>
      </c>
      <c r="M8" s="48">
        <f t="shared" si="0"/>
        <v>100000000</v>
      </c>
      <c r="N8" s="48">
        <f t="shared" si="0"/>
        <v>100000000</v>
      </c>
      <c r="O8" s="48">
        <f t="shared" si="0"/>
        <v>100000000</v>
      </c>
    </row>
    <row r="9" spans="2:20" x14ac:dyDescent="0.4">
      <c r="C9" t="s">
        <v>173</v>
      </c>
      <c r="D9" t="s">
        <v>49</v>
      </c>
      <c r="G9" s="48">
        <f>'Model Inputs'!G94</f>
        <v>0</v>
      </c>
      <c r="H9" s="48">
        <f>'Model Inputs'!H94</f>
        <v>0</v>
      </c>
      <c r="I9" s="48">
        <f>'Model Inputs'!I94</f>
        <v>0</v>
      </c>
      <c r="J9" s="48">
        <f>'Model Inputs'!J94</f>
        <v>100000000</v>
      </c>
      <c r="K9" s="48">
        <f>'Model Inputs'!K94</f>
        <v>0</v>
      </c>
      <c r="L9" s="48">
        <f>'Model Inputs'!L94</f>
        <v>0</v>
      </c>
      <c r="M9" s="48">
        <f>'Model Inputs'!M94</f>
        <v>0</v>
      </c>
      <c r="N9" s="48">
        <f>'Model Inputs'!N94</f>
        <v>0</v>
      </c>
      <c r="O9" s="48">
        <f>'Model Inputs'!O94</f>
        <v>0</v>
      </c>
    </row>
    <row r="10" spans="2:20" x14ac:dyDescent="0.4">
      <c r="C10" t="s">
        <v>174</v>
      </c>
      <c r="D10" t="s">
        <v>49</v>
      </c>
      <c r="G10" s="48">
        <f>SUM(G8:G9)</f>
        <v>0</v>
      </c>
      <c r="H10" s="48">
        <f>SUM(H8:H9)</f>
        <v>0</v>
      </c>
      <c r="I10" s="48">
        <f t="shared" ref="I10:O10" si="1">SUM(I8:I9)</f>
        <v>0</v>
      </c>
      <c r="J10" s="48">
        <f t="shared" si="1"/>
        <v>100000000</v>
      </c>
      <c r="K10" s="48">
        <f t="shared" si="1"/>
        <v>100000000</v>
      </c>
      <c r="L10" s="48">
        <f t="shared" si="1"/>
        <v>100000000</v>
      </c>
      <c r="M10" s="48">
        <f t="shared" si="1"/>
        <v>100000000</v>
      </c>
      <c r="N10" s="48">
        <f t="shared" si="1"/>
        <v>100000000</v>
      </c>
      <c r="O10" s="48">
        <f t="shared" si="1"/>
        <v>100000000</v>
      </c>
    </row>
    <row r="11" spans="2:20" x14ac:dyDescent="0.4">
      <c r="G11" s="79"/>
      <c r="H11" s="79"/>
      <c r="I11" s="79"/>
      <c r="J11" s="79"/>
      <c r="K11" s="79"/>
      <c r="L11" s="79"/>
      <c r="M11" s="79"/>
      <c r="N11" s="79"/>
      <c r="O11" s="79"/>
    </row>
    <row r="12" spans="2:20" x14ac:dyDescent="0.4">
      <c r="G12" s="79"/>
      <c r="H12" s="79"/>
      <c r="I12" s="79"/>
      <c r="J12" s="79"/>
      <c r="K12" s="79"/>
      <c r="L12" s="79"/>
      <c r="M12" s="79"/>
      <c r="N12" s="79"/>
      <c r="O12" s="79"/>
    </row>
    <row r="13" spans="2:20" x14ac:dyDescent="0.4">
      <c r="B13" s="52" t="s">
        <v>175</v>
      </c>
      <c r="G13" s="79"/>
      <c r="H13" s="79"/>
      <c r="I13" s="79"/>
      <c r="J13" s="79"/>
      <c r="K13" s="79"/>
      <c r="L13" s="79"/>
      <c r="M13" s="79"/>
      <c r="N13" s="79"/>
      <c r="O13" s="79"/>
    </row>
    <row r="14" spans="2:20" x14ac:dyDescent="0.4">
      <c r="C14" t="s">
        <v>172</v>
      </c>
      <c r="D14" t="s">
        <v>49</v>
      </c>
      <c r="G14" s="79"/>
      <c r="H14" s="48">
        <f>G16</f>
        <v>0</v>
      </c>
      <c r="I14" s="48">
        <f t="shared" ref="I14:O14" si="2">H16</f>
        <v>0</v>
      </c>
      <c r="J14" s="48">
        <f t="shared" si="2"/>
        <v>0</v>
      </c>
      <c r="K14" s="48">
        <f t="shared" si="2"/>
        <v>0</v>
      </c>
      <c r="L14" s="48">
        <f t="shared" si="2"/>
        <v>0</v>
      </c>
      <c r="M14" s="48">
        <f t="shared" si="2"/>
        <v>25000000</v>
      </c>
      <c r="N14" s="48">
        <f t="shared" si="2"/>
        <v>25000000</v>
      </c>
      <c r="O14" s="48">
        <f t="shared" si="2"/>
        <v>25000000</v>
      </c>
    </row>
    <row r="15" spans="2:20" x14ac:dyDescent="0.4">
      <c r="C15" t="s">
        <v>173</v>
      </c>
      <c r="D15" t="s">
        <v>49</v>
      </c>
      <c r="G15" s="48">
        <f>'Model Inputs'!G96</f>
        <v>0</v>
      </c>
      <c r="H15" s="48">
        <f>'Model Inputs'!H96</f>
        <v>0</v>
      </c>
      <c r="I15" s="48">
        <f>'Model Inputs'!I96</f>
        <v>0</v>
      </c>
      <c r="J15" s="48">
        <f>'Model Inputs'!J96</f>
        <v>0</v>
      </c>
      <c r="K15" s="48">
        <f>'Model Inputs'!K96</f>
        <v>0</v>
      </c>
      <c r="L15" s="48">
        <f>'Model Inputs'!L96</f>
        <v>25000000</v>
      </c>
      <c r="M15" s="48">
        <f>'Model Inputs'!M96</f>
        <v>0</v>
      </c>
      <c r="N15" s="48">
        <f>'Model Inputs'!N96</f>
        <v>0</v>
      </c>
      <c r="O15" s="48">
        <f>'Model Inputs'!O96</f>
        <v>0</v>
      </c>
    </row>
    <row r="16" spans="2:20" x14ac:dyDescent="0.4">
      <c r="C16" t="s">
        <v>174</v>
      </c>
      <c r="D16" t="s">
        <v>49</v>
      </c>
      <c r="G16" s="48">
        <f>SUM(G14:G15)</f>
        <v>0</v>
      </c>
      <c r="H16" s="48">
        <f>SUM(H14:H15)</f>
        <v>0</v>
      </c>
      <c r="I16" s="48">
        <f t="shared" ref="I16:O16" si="3">SUM(I14:I15)</f>
        <v>0</v>
      </c>
      <c r="J16" s="48">
        <f t="shared" si="3"/>
        <v>0</v>
      </c>
      <c r="K16" s="48">
        <f t="shared" si="3"/>
        <v>0</v>
      </c>
      <c r="L16" s="48">
        <f t="shared" si="3"/>
        <v>25000000</v>
      </c>
      <c r="M16" s="48">
        <f t="shared" si="3"/>
        <v>25000000</v>
      </c>
      <c r="N16" s="48">
        <f t="shared" si="3"/>
        <v>25000000</v>
      </c>
      <c r="O16" s="48">
        <f t="shared" si="3"/>
        <v>25000000</v>
      </c>
    </row>
    <row r="19" spans="2:15" x14ac:dyDescent="0.4">
      <c r="B19" s="52" t="s">
        <v>163</v>
      </c>
    </row>
    <row r="20" spans="2:15" x14ac:dyDescent="0.4">
      <c r="C20" t="s">
        <v>176</v>
      </c>
      <c r="D20" t="s">
        <v>49</v>
      </c>
      <c r="G20" s="48">
        <f ca="1">'Income Statement'!G39</f>
        <v>0</v>
      </c>
      <c r="H20" s="48">
        <f ca="1">'Income Statement'!H39</f>
        <v>0</v>
      </c>
      <c r="I20" s="48">
        <f ca="1">'Income Statement'!I39</f>
        <v>0</v>
      </c>
      <c r="J20" s="48">
        <f ca="1">'Income Statement'!J39</f>
        <v>-1472527.4725274725</v>
      </c>
      <c r="K20" s="48">
        <f ca="1">'Income Statement'!K39</f>
        <v>337904965.14170194</v>
      </c>
      <c r="L20" s="48">
        <f ca="1">'Income Statement'!L39</f>
        <v>407751455.35426259</v>
      </c>
      <c r="M20" s="48">
        <f ca="1">'Income Statement'!M39</f>
        <v>467710702.90949595</v>
      </c>
      <c r="N20" s="48">
        <f ca="1">'Income Statement'!N39</f>
        <v>683384191.08277309</v>
      </c>
      <c r="O20" s="48">
        <f ca="1">'Income Statement'!O39</f>
        <v>756546704.71387005</v>
      </c>
    </row>
    <row r="21" spans="2:15" x14ac:dyDescent="0.4">
      <c r="C21" t="s">
        <v>177</v>
      </c>
      <c r="D21" t="s">
        <v>76</v>
      </c>
      <c r="G21" s="62">
        <f>'Model Inputs'!G97</f>
        <v>0</v>
      </c>
      <c r="H21" s="62">
        <f>'Model Inputs'!H97</f>
        <v>0</v>
      </c>
      <c r="I21" s="62">
        <f>'Model Inputs'!I97</f>
        <v>0</v>
      </c>
      <c r="J21" s="62">
        <f>'Model Inputs'!J97</f>
        <v>0</v>
      </c>
      <c r="K21" s="62">
        <f>'Model Inputs'!K97</f>
        <v>0</v>
      </c>
      <c r="L21" s="62">
        <f>'Model Inputs'!L97</f>
        <v>0</v>
      </c>
      <c r="M21" s="62">
        <f>'Model Inputs'!M97</f>
        <v>0.05</v>
      </c>
      <c r="N21" s="62">
        <f>'Model Inputs'!N97</f>
        <v>0.05</v>
      </c>
      <c r="O21" s="62">
        <f>'Model Inputs'!O97</f>
        <v>0.05</v>
      </c>
    </row>
    <row r="22" spans="2:15" x14ac:dyDescent="0.4">
      <c r="C22" t="s">
        <v>178</v>
      </c>
      <c r="D22" t="s">
        <v>49</v>
      </c>
      <c r="G22" s="48">
        <f ca="1">MAX(0,G20)*G21</f>
        <v>0</v>
      </c>
      <c r="H22" s="48">
        <f t="shared" ref="H22:O22" ca="1" si="4">MAX(0,H20)*H21</f>
        <v>0</v>
      </c>
      <c r="I22" s="48">
        <f t="shared" ca="1" si="4"/>
        <v>0</v>
      </c>
      <c r="J22" s="48">
        <f t="shared" ca="1" si="4"/>
        <v>0</v>
      </c>
      <c r="K22" s="48">
        <f t="shared" ca="1" si="4"/>
        <v>0</v>
      </c>
      <c r="L22" s="48">
        <f t="shared" ca="1" si="4"/>
        <v>0</v>
      </c>
      <c r="M22" s="48">
        <f t="shared" ca="1" si="4"/>
        <v>23385535.145474799</v>
      </c>
      <c r="N22" s="48">
        <f t="shared" ca="1" si="4"/>
        <v>34169209.554138653</v>
      </c>
      <c r="O22" s="48">
        <f t="shared" ca="1" si="4"/>
        <v>37827335.235693507</v>
      </c>
    </row>
    <row r="23" spans="2:15" x14ac:dyDescent="0.4">
      <c r="C23" t="s">
        <v>179</v>
      </c>
      <c r="D23" t="s">
        <v>49</v>
      </c>
      <c r="G23" s="48">
        <f ca="1">G20-G22</f>
        <v>0</v>
      </c>
      <c r="H23" s="48">
        <f t="shared" ref="H23:O23" ca="1" si="5">H20-H22</f>
        <v>0</v>
      </c>
      <c r="I23" s="48">
        <f t="shared" ca="1" si="5"/>
        <v>0</v>
      </c>
      <c r="J23" s="48">
        <f t="shared" ca="1" si="5"/>
        <v>-1472527.4725274725</v>
      </c>
      <c r="K23" s="48">
        <f t="shared" ca="1" si="5"/>
        <v>337904965.14170194</v>
      </c>
      <c r="L23" s="48">
        <f t="shared" ca="1" si="5"/>
        <v>407751455.35426259</v>
      </c>
      <c r="M23" s="48">
        <f t="shared" ca="1" si="5"/>
        <v>444325167.76402116</v>
      </c>
      <c r="N23" s="48">
        <f t="shared" ca="1" si="5"/>
        <v>649214981.52863443</v>
      </c>
      <c r="O23" s="48">
        <f t="shared" ca="1" si="5"/>
        <v>718719369.47817659</v>
      </c>
    </row>
    <row r="24" spans="2:15" x14ac:dyDescent="0.4">
      <c r="C24" t="s">
        <v>180</v>
      </c>
      <c r="D24" t="s">
        <v>76</v>
      </c>
      <c r="G24" s="62">
        <f>'Model Inputs'!G95</f>
        <v>0</v>
      </c>
      <c r="H24" s="62">
        <f>'Model Inputs'!H95</f>
        <v>0</v>
      </c>
      <c r="I24" s="62">
        <f>'Model Inputs'!I95</f>
        <v>0</v>
      </c>
      <c r="J24" s="62">
        <f>'Model Inputs'!J95</f>
        <v>0</v>
      </c>
      <c r="K24" s="62">
        <f>'Model Inputs'!K95</f>
        <v>0</v>
      </c>
      <c r="L24" s="62">
        <f>'Model Inputs'!L95</f>
        <v>0</v>
      </c>
      <c r="M24" s="62">
        <f>'Model Inputs'!M95</f>
        <v>0.1</v>
      </c>
      <c r="N24" s="62">
        <f>'Model Inputs'!N95</f>
        <v>0.1</v>
      </c>
      <c r="O24" s="62">
        <f>'Model Inputs'!O95</f>
        <v>0.1</v>
      </c>
    </row>
    <row r="25" spans="2:15" x14ac:dyDescent="0.4">
      <c r="C25" t="s">
        <v>181</v>
      </c>
      <c r="D25" t="s">
        <v>49</v>
      </c>
      <c r="G25" s="54">
        <f ca="1">G23*G24</f>
        <v>0</v>
      </c>
      <c r="H25" s="54">
        <f t="shared" ref="H25:O25" ca="1" si="6">H23*H24</f>
        <v>0</v>
      </c>
      <c r="I25" s="54">
        <f t="shared" ca="1" si="6"/>
        <v>0</v>
      </c>
      <c r="J25" s="54">
        <f t="shared" ca="1" si="6"/>
        <v>0</v>
      </c>
      <c r="K25" s="54">
        <f t="shared" ca="1" si="6"/>
        <v>0</v>
      </c>
      <c r="L25" s="54">
        <f t="shared" ca="1" si="6"/>
        <v>0</v>
      </c>
      <c r="M25" s="54">
        <f t="shared" ca="1" si="6"/>
        <v>44432516.776402116</v>
      </c>
      <c r="N25" s="54">
        <f t="shared" ca="1" si="6"/>
        <v>64921498.152863443</v>
      </c>
      <c r="O25" s="54">
        <f t="shared" ca="1" si="6"/>
        <v>71871936.947817668</v>
      </c>
    </row>
    <row r="28" spans="2:15" x14ac:dyDescent="0.4">
      <c r="B28" s="52" t="s">
        <v>182</v>
      </c>
    </row>
    <row r="29" spans="2:15" x14ac:dyDescent="0.4">
      <c r="C29" t="s">
        <v>172</v>
      </c>
      <c r="D29" t="s">
        <v>49</v>
      </c>
      <c r="G29" s="48"/>
      <c r="H29" s="48">
        <f ca="1">G33</f>
        <v>0</v>
      </c>
      <c r="I29" s="48">
        <f t="shared" ref="I29:O29" ca="1" si="7">H33</f>
        <v>0</v>
      </c>
      <c r="J29" s="48">
        <f t="shared" ca="1" si="7"/>
        <v>0</v>
      </c>
      <c r="K29" s="48">
        <f t="shared" ca="1" si="7"/>
        <v>-1472527.4725274725</v>
      </c>
      <c r="L29" s="48">
        <f t="shared" ca="1" si="7"/>
        <v>336432437.66917449</v>
      </c>
      <c r="M29" s="48">
        <f t="shared" ca="1" si="7"/>
        <v>744183893.02343702</v>
      </c>
      <c r="N29" s="48">
        <f t="shared" ca="1" si="7"/>
        <v>1144076544.0110559</v>
      </c>
      <c r="O29" s="48">
        <f t="shared" ca="1" si="7"/>
        <v>1728370027.386827</v>
      </c>
    </row>
    <row r="30" spans="2:15" x14ac:dyDescent="0.4">
      <c r="C30" t="s">
        <v>176</v>
      </c>
      <c r="D30" t="s">
        <v>49</v>
      </c>
      <c r="G30" s="48">
        <f ca="1">G20</f>
        <v>0</v>
      </c>
      <c r="H30" s="48">
        <f t="shared" ref="H30:O30" ca="1" si="8">H20</f>
        <v>0</v>
      </c>
      <c r="I30" s="48">
        <f t="shared" ca="1" si="8"/>
        <v>0</v>
      </c>
      <c r="J30" s="48">
        <f t="shared" ca="1" si="8"/>
        <v>-1472527.4725274725</v>
      </c>
      <c r="K30" s="48">
        <f t="shared" ca="1" si="8"/>
        <v>337904965.14170194</v>
      </c>
      <c r="L30" s="48">
        <f t="shared" ca="1" si="8"/>
        <v>407751455.35426259</v>
      </c>
      <c r="M30" s="48">
        <f t="shared" ca="1" si="8"/>
        <v>467710702.90949595</v>
      </c>
      <c r="N30" s="48">
        <f t="shared" ca="1" si="8"/>
        <v>683384191.08277309</v>
      </c>
      <c r="O30" s="48">
        <f t="shared" ca="1" si="8"/>
        <v>756546704.71387005</v>
      </c>
    </row>
    <row r="31" spans="2:15" x14ac:dyDescent="0.4">
      <c r="C31" t="s">
        <v>183</v>
      </c>
      <c r="D31" t="s">
        <v>49</v>
      </c>
      <c r="G31" s="48">
        <f ca="1">-G22</f>
        <v>0</v>
      </c>
      <c r="H31" s="48">
        <f t="shared" ref="H31:O31" ca="1" si="9">-H22</f>
        <v>0</v>
      </c>
      <c r="I31" s="48">
        <f t="shared" ca="1" si="9"/>
        <v>0</v>
      </c>
      <c r="J31" s="48">
        <f t="shared" ca="1" si="9"/>
        <v>0</v>
      </c>
      <c r="K31" s="48">
        <f t="shared" ca="1" si="9"/>
        <v>0</v>
      </c>
      <c r="L31" s="48">
        <f t="shared" ca="1" si="9"/>
        <v>0</v>
      </c>
      <c r="M31" s="48">
        <f t="shared" ca="1" si="9"/>
        <v>-23385535.145474799</v>
      </c>
      <c r="N31" s="48">
        <f t="shared" ca="1" si="9"/>
        <v>-34169209.554138653</v>
      </c>
      <c r="O31" s="48">
        <f t="shared" ca="1" si="9"/>
        <v>-37827335.235693507</v>
      </c>
    </row>
    <row r="32" spans="2:15" x14ac:dyDescent="0.4">
      <c r="C32" t="s">
        <v>184</v>
      </c>
      <c r="D32" t="s">
        <v>49</v>
      </c>
      <c r="G32" s="48">
        <f ca="1">-G25</f>
        <v>0</v>
      </c>
      <c r="H32" s="48">
        <f t="shared" ref="H32:O32" ca="1" si="10">-H25</f>
        <v>0</v>
      </c>
      <c r="I32" s="48">
        <f t="shared" ca="1" si="10"/>
        <v>0</v>
      </c>
      <c r="J32" s="48">
        <f t="shared" ca="1" si="10"/>
        <v>0</v>
      </c>
      <c r="K32" s="48">
        <f t="shared" ca="1" si="10"/>
        <v>0</v>
      </c>
      <c r="L32" s="48">
        <f t="shared" ca="1" si="10"/>
        <v>0</v>
      </c>
      <c r="M32" s="48">
        <f t="shared" ca="1" si="10"/>
        <v>-44432516.776402116</v>
      </c>
      <c r="N32" s="48">
        <f t="shared" ca="1" si="10"/>
        <v>-64921498.152863443</v>
      </c>
      <c r="O32" s="48">
        <f t="shared" ca="1" si="10"/>
        <v>-71871936.947817668</v>
      </c>
    </row>
    <row r="33" spans="3:15" x14ac:dyDescent="0.4">
      <c r="C33" t="s">
        <v>174</v>
      </c>
      <c r="D33" t="s">
        <v>49</v>
      </c>
      <c r="G33" s="48">
        <f ca="1">SUM(G29:G32)</f>
        <v>0</v>
      </c>
      <c r="H33" s="48">
        <f t="shared" ref="H33:O33" ca="1" si="11">SUM(H29:H32)</f>
        <v>0</v>
      </c>
      <c r="I33" s="48">
        <f t="shared" ca="1" si="11"/>
        <v>0</v>
      </c>
      <c r="J33" s="48">
        <f t="shared" ca="1" si="11"/>
        <v>-1472527.4725274725</v>
      </c>
      <c r="K33" s="48">
        <f t="shared" ca="1" si="11"/>
        <v>336432437.66917449</v>
      </c>
      <c r="L33" s="48">
        <f t="shared" ca="1" si="11"/>
        <v>744183893.02343702</v>
      </c>
      <c r="M33" s="48">
        <f t="shared" ca="1" si="11"/>
        <v>1144076544.0110559</v>
      </c>
      <c r="N33" s="48">
        <f t="shared" ca="1" si="11"/>
        <v>1728370027.386827</v>
      </c>
      <c r="O33" s="48">
        <f t="shared" ca="1" si="11"/>
        <v>2375217459.9171858</v>
      </c>
    </row>
  </sheetData>
  <hyperlinks>
    <hyperlink ref="O1" location="'Table of Content'!A1" display="&gt;&gt; Table of Contents" xr:uid="{FF238F45-5602-4566-8161-A639818EFD0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AFA7-7655-4EF7-B7BC-DDB094E3136E}">
  <sheetPr>
    <tabColor theme="4"/>
  </sheetPr>
  <dimension ref="B1:T18"/>
  <sheetViews>
    <sheetView showGridLines="0" workbookViewId="0">
      <selection activeCell="O11" sqref="G11:O18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41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x14ac:dyDescent="0.4">
      <c r="B8" t="s">
        <v>185</v>
      </c>
      <c r="D8" t="s">
        <v>76</v>
      </c>
      <c r="G8" s="57">
        <f>'Model Inputs'!G61</f>
        <v>0.3</v>
      </c>
      <c r="H8" s="57">
        <f>'Model Inputs'!H61</f>
        <v>0.3</v>
      </c>
      <c r="I8" s="57">
        <f>'Model Inputs'!I61</f>
        <v>0.3</v>
      </c>
      <c r="J8" s="57">
        <f>'Model Inputs'!J61</f>
        <v>0.3</v>
      </c>
      <c r="K8" s="57">
        <f>'Model Inputs'!K61</f>
        <v>0.3</v>
      </c>
      <c r="L8" s="57">
        <f>'Model Inputs'!L61</f>
        <v>0.3</v>
      </c>
      <c r="M8" s="57">
        <f>'Model Inputs'!M61</f>
        <v>0.3</v>
      </c>
      <c r="N8" s="57">
        <f>'Model Inputs'!N61</f>
        <v>0.3</v>
      </c>
      <c r="O8" s="57">
        <f>'Model Inputs'!O61</f>
        <v>0.3</v>
      </c>
    </row>
    <row r="10" spans="2:20" x14ac:dyDescent="0.4">
      <c r="D10" s="56"/>
    </row>
    <row r="11" spans="2:20" x14ac:dyDescent="0.4">
      <c r="B11" t="s">
        <v>186</v>
      </c>
      <c r="D11" s="56" t="s">
        <v>49</v>
      </c>
      <c r="G11" s="79">
        <f ca="1">'Income Statement'!G35</f>
        <v>0</v>
      </c>
      <c r="H11" s="79">
        <f ca="1">'Income Statement'!H35</f>
        <v>0</v>
      </c>
      <c r="I11" s="79">
        <f ca="1">'Income Statement'!I35</f>
        <v>0</v>
      </c>
      <c r="J11" s="79">
        <f ca="1">'Income Statement'!J35</f>
        <v>-1472527.4725274725</v>
      </c>
      <c r="K11" s="79">
        <f ca="1">'Income Statement'!K35</f>
        <v>482721378.77385992</v>
      </c>
      <c r="L11" s="79">
        <f ca="1">'Income Statement'!L35</f>
        <v>582502079.07751799</v>
      </c>
      <c r="M11" s="79">
        <f ca="1">'Income Statement'!M35</f>
        <v>668158147.01356566</v>
      </c>
      <c r="N11" s="79">
        <f ca="1">'Income Statement'!N35</f>
        <v>976263130.11824727</v>
      </c>
      <c r="O11" s="79">
        <f ca="1">'Income Statement'!O35</f>
        <v>1080781006.7341001</v>
      </c>
    </row>
    <row r="12" spans="2:20" x14ac:dyDescent="0.4">
      <c r="B12" t="s">
        <v>201</v>
      </c>
      <c r="D12" s="56" t="s">
        <v>49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</row>
    <row r="13" spans="2:20" x14ac:dyDescent="0.4">
      <c r="B13" t="s">
        <v>187</v>
      </c>
      <c r="D13" s="56" t="s">
        <v>49</v>
      </c>
      <c r="G13" s="79">
        <f ca="1">G11-G12</f>
        <v>0</v>
      </c>
      <c r="H13" s="79">
        <f t="shared" ref="H13:O13" ca="1" si="0">H11-H12</f>
        <v>0</v>
      </c>
      <c r="I13" s="79">
        <f t="shared" ca="1" si="0"/>
        <v>0</v>
      </c>
      <c r="J13" s="79">
        <f t="shared" ca="1" si="0"/>
        <v>-1472527.4725274725</v>
      </c>
      <c r="K13" s="79">
        <f t="shared" ca="1" si="0"/>
        <v>482721378.77385992</v>
      </c>
      <c r="L13" s="79">
        <f t="shared" ca="1" si="0"/>
        <v>582502079.07751799</v>
      </c>
      <c r="M13" s="79">
        <f t="shared" ca="1" si="0"/>
        <v>668158147.01356566</v>
      </c>
      <c r="N13" s="79">
        <f t="shared" ca="1" si="0"/>
        <v>976263130.11824727</v>
      </c>
      <c r="O13" s="79">
        <f t="shared" ca="1" si="0"/>
        <v>1080781006.7341001</v>
      </c>
    </row>
    <row r="14" spans="2:20" x14ac:dyDescent="0.4">
      <c r="D14" s="56"/>
      <c r="G14" s="79"/>
      <c r="H14" s="79"/>
      <c r="I14" s="79"/>
      <c r="J14" s="79"/>
      <c r="K14" s="79"/>
      <c r="L14" s="79"/>
      <c r="M14" s="79"/>
      <c r="N14" s="79"/>
      <c r="O14" s="79"/>
    </row>
    <row r="15" spans="2:20" x14ac:dyDescent="0.4">
      <c r="D15" s="56"/>
      <c r="G15" s="79"/>
      <c r="H15" s="79"/>
      <c r="I15" s="79"/>
      <c r="J15" s="79"/>
      <c r="K15" s="79"/>
      <c r="L15" s="79"/>
      <c r="M15" s="79"/>
      <c r="N15" s="79"/>
      <c r="O15" s="79"/>
    </row>
    <row r="16" spans="2:20" x14ac:dyDescent="0.4">
      <c r="B16" t="s">
        <v>188</v>
      </c>
      <c r="D16" s="56" t="s">
        <v>49</v>
      </c>
      <c r="G16" s="79">
        <f ca="1">G8*MAX(0,G13)</f>
        <v>0</v>
      </c>
      <c r="H16" s="79">
        <f t="shared" ref="H16:O16" ca="1" si="1">H8*MAX(0,H13)</f>
        <v>0</v>
      </c>
      <c r="I16" s="79">
        <f t="shared" ca="1" si="1"/>
        <v>0</v>
      </c>
      <c r="J16" s="79">
        <f t="shared" ca="1" si="1"/>
        <v>0</v>
      </c>
      <c r="K16" s="79">
        <f t="shared" ca="1" si="1"/>
        <v>144816413.63215798</v>
      </c>
      <c r="L16" s="79">
        <f t="shared" ca="1" si="1"/>
        <v>174750623.7232554</v>
      </c>
      <c r="M16" s="79">
        <f t="shared" ca="1" si="1"/>
        <v>200447444.10406968</v>
      </c>
      <c r="N16" s="79">
        <f t="shared" ca="1" si="1"/>
        <v>292878939.03547418</v>
      </c>
      <c r="O16" s="79">
        <f t="shared" ca="1" si="1"/>
        <v>324234302.02023</v>
      </c>
    </row>
    <row r="17" spans="2:15" x14ac:dyDescent="0.4">
      <c r="B17" t="s">
        <v>189</v>
      </c>
      <c r="D17" s="56" t="s">
        <v>49</v>
      </c>
      <c r="G17" s="79">
        <f>G8*G12</f>
        <v>0</v>
      </c>
      <c r="H17" s="79">
        <f t="shared" ref="H17:O17" si="2">H8*H12</f>
        <v>0</v>
      </c>
      <c r="I17" s="79">
        <f t="shared" si="2"/>
        <v>0</v>
      </c>
      <c r="J17" s="79">
        <f t="shared" si="2"/>
        <v>0</v>
      </c>
      <c r="K17" s="79">
        <f t="shared" si="2"/>
        <v>0</v>
      </c>
      <c r="L17" s="79">
        <f t="shared" si="2"/>
        <v>0</v>
      </c>
      <c r="M17" s="79">
        <f t="shared" si="2"/>
        <v>0</v>
      </c>
      <c r="N17" s="79">
        <f t="shared" si="2"/>
        <v>0</v>
      </c>
      <c r="O17" s="79">
        <f t="shared" si="2"/>
        <v>0</v>
      </c>
    </row>
    <row r="18" spans="2:15" s="52" customFormat="1" x14ac:dyDescent="0.4">
      <c r="B18" s="52" t="s">
        <v>190</v>
      </c>
      <c r="D18" s="52" t="s">
        <v>49</v>
      </c>
      <c r="G18" s="83">
        <f ca="1">G8*MAX(0,G11)</f>
        <v>0</v>
      </c>
      <c r="H18" s="83">
        <f t="shared" ref="H18:O18" ca="1" si="3">H8*MAX(0,H11)</f>
        <v>0</v>
      </c>
      <c r="I18" s="83">
        <f t="shared" ca="1" si="3"/>
        <v>0</v>
      </c>
      <c r="J18" s="83">
        <f t="shared" ca="1" si="3"/>
        <v>0</v>
      </c>
      <c r="K18" s="83">
        <f t="shared" ca="1" si="3"/>
        <v>144816413.63215798</v>
      </c>
      <c r="L18" s="83">
        <f t="shared" ca="1" si="3"/>
        <v>174750623.7232554</v>
      </c>
      <c r="M18" s="83">
        <f t="shared" ca="1" si="3"/>
        <v>200447444.10406968</v>
      </c>
      <c r="N18" s="83">
        <f t="shared" ca="1" si="3"/>
        <v>292878939.03547418</v>
      </c>
      <c r="O18" s="83">
        <f t="shared" ca="1" si="3"/>
        <v>324234302.02023</v>
      </c>
    </row>
  </sheetData>
  <hyperlinks>
    <hyperlink ref="O1" location="'Table of Content'!A1" display="&gt;&gt; Table of Contents" xr:uid="{A72ED891-0C00-4DB4-BF93-4179BE957D2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E3BB-53DF-4441-A8FE-3D3F99F571B5}">
  <sheetPr>
    <tabColor theme="4"/>
  </sheetPr>
  <dimension ref="B1:T43"/>
  <sheetViews>
    <sheetView showGridLines="0" workbookViewId="0">
      <selection activeCell="N45" sqref="N45"/>
    </sheetView>
  </sheetViews>
  <sheetFormatPr defaultRowHeight="14.6" x14ac:dyDescent="0.4"/>
  <cols>
    <col min="2" max="2" width="30.4609375" bestFit="1" customWidth="1"/>
    <col min="7" max="9" width="10.84375" customWidth="1"/>
    <col min="10" max="10" width="13.23046875" bestFit="1" customWidth="1"/>
    <col min="11" max="11" width="15.53515625" customWidth="1"/>
    <col min="12" max="14" width="16.07421875" bestFit="1" customWidth="1"/>
    <col min="15" max="15" width="16.843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3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t="s">
        <v>136</v>
      </c>
      <c r="D7" t="s">
        <v>49</v>
      </c>
      <c r="G7" s="79">
        <f>Revenue!G8</f>
        <v>0</v>
      </c>
      <c r="H7" s="79">
        <f>Revenue!H8</f>
        <v>0</v>
      </c>
      <c r="I7" s="79">
        <f>Revenue!I8</f>
        <v>0</v>
      </c>
      <c r="J7" s="79">
        <f>Revenue!J8</f>
        <v>0</v>
      </c>
      <c r="K7" s="79">
        <f>Revenue!K8</f>
        <v>500000000</v>
      </c>
      <c r="L7" s="79">
        <f>Revenue!L8</f>
        <v>600000000</v>
      </c>
      <c r="M7" s="79">
        <f>Revenue!M8</f>
        <v>750000000</v>
      </c>
      <c r="N7" s="79">
        <f>Revenue!N8</f>
        <v>1080000000</v>
      </c>
      <c r="O7" s="79">
        <f>Revenue!O8</f>
        <v>1200000000</v>
      </c>
    </row>
    <row r="8" spans="2:20" x14ac:dyDescent="0.4">
      <c r="B8" s="26" t="s">
        <v>114</v>
      </c>
      <c r="D8" t="s">
        <v>49</v>
      </c>
      <c r="G8" s="79">
        <f>Revenue!G9</f>
        <v>0</v>
      </c>
      <c r="H8" s="79">
        <f>Revenue!H9</f>
        <v>0</v>
      </c>
      <c r="I8" s="79">
        <f>Revenue!I9</f>
        <v>0</v>
      </c>
      <c r="J8" s="79">
        <f>Revenue!J9</f>
        <v>0</v>
      </c>
      <c r="K8" s="79">
        <f>Revenue!K9</f>
        <v>400000000</v>
      </c>
      <c r="L8" s="79">
        <f>Revenue!L9</f>
        <v>425000000</v>
      </c>
      <c r="M8" s="79">
        <f>Revenue!M9</f>
        <v>450000000</v>
      </c>
      <c r="N8" s="79">
        <f>Revenue!N9</f>
        <v>475000000</v>
      </c>
      <c r="O8" s="79">
        <f>Revenue!O9</f>
        <v>525000000</v>
      </c>
    </row>
    <row r="9" spans="2:20" x14ac:dyDescent="0.4">
      <c r="B9" s="26" t="s">
        <v>115</v>
      </c>
      <c r="D9" t="s">
        <v>49</v>
      </c>
      <c r="G9" s="79">
        <f>Revenue!G10</f>
        <v>0</v>
      </c>
      <c r="H9" s="79">
        <f>Revenue!H10</f>
        <v>0</v>
      </c>
      <c r="I9" s="79">
        <f>Revenue!I10</f>
        <v>0</v>
      </c>
      <c r="J9" s="79">
        <f>Revenue!J10</f>
        <v>0</v>
      </c>
      <c r="K9" s="79">
        <f>Revenue!K10</f>
        <v>20000000</v>
      </c>
      <c r="L9" s="79">
        <f>Revenue!L10</f>
        <v>30000000</v>
      </c>
      <c r="M9" s="79">
        <f>Revenue!M10</f>
        <v>44000000</v>
      </c>
      <c r="N9" s="79">
        <f>Revenue!N10</f>
        <v>56000000</v>
      </c>
      <c r="O9" s="79">
        <f>Revenue!O10</f>
        <v>80000000</v>
      </c>
    </row>
    <row r="10" spans="2:20" x14ac:dyDescent="0.4">
      <c r="B10" s="26" t="s">
        <v>116</v>
      </c>
      <c r="D10" t="s">
        <v>49</v>
      </c>
      <c r="G10" s="79">
        <f>Revenue!G11</f>
        <v>0</v>
      </c>
      <c r="H10" s="79">
        <f>Revenue!H11</f>
        <v>0</v>
      </c>
      <c r="I10" s="79">
        <f>Revenue!I11</f>
        <v>0</v>
      </c>
      <c r="J10" s="79">
        <f>Revenue!J11</f>
        <v>0</v>
      </c>
      <c r="K10" s="79">
        <f>Revenue!K11</f>
        <v>10000000</v>
      </c>
      <c r="L10" s="79">
        <f>Revenue!L11</f>
        <v>15000000</v>
      </c>
      <c r="M10" s="79">
        <f>Revenue!M11</f>
        <v>22000000</v>
      </c>
      <c r="N10" s="79">
        <f>Revenue!N11</f>
        <v>28000000</v>
      </c>
      <c r="O10" s="79">
        <f>Revenue!O11</f>
        <v>40000000</v>
      </c>
    </row>
    <row r="11" spans="2:20" x14ac:dyDescent="0.4">
      <c r="B11" s="58" t="s">
        <v>135</v>
      </c>
      <c r="C11" s="59"/>
      <c r="D11" s="59" t="s">
        <v>49</v>
      </c>
      <c r="E11" s="59"/>
      <c r="F11" s="59"/>
      <c r="G11" s="84">
        <f>SUM(G7:G10)</f>
        <v>0</v>
      </c>
      <c r="H11" s="84">
        <f t="shared" ref="H11:O11" si="0">SUM(H7:H10)</f>
        <v>0</v>
      </c>
      <c r="I11" s="84">
        <f t="shared" si="0"/>
        <v>0</v>
      </c>
      <c r="J11" s="84">
        <f t="shared" si="0"/>
        <v>0</v>
      </c>
      <c r="K11" s="84">
        <f t="shared" si="0"/>
        <v>930000000</v>
      </c>
      <c r="L11" s="84">
        <f t="shared" si="0"/>
        <v>1070000000</v>
      </c>
      <c r="M11" s="84">
        <f t="shared" si="0"/>
        <v>1266000000</v>
      </c>
      <c r="N11" s="84">
        <f t="shared" si="0"/>
        <v>1639000000</v>
      </c>
      <c r="O11" s="84">
        <f t="shared" si="0"/>
        <v>1845000000</v>
      </c>
    </row>
    <row r="12" spans="2:20" x14ac:dyDescent="0.4">
      <c r="G12" s="79"/>
      <c r="H12" s="79"/>
      <c r="I12" s="79"/>
      <c r="J12" s="79"/>
      <c r="K12" s="79"/>
      <c r="L12" s="79"/>
      <c r="M12" s="79"/>
      <c r="N12" s="79"/>
      <c r="O12" s="79"/>
    </row>
    <row r="13" spans="2:20" x14ac:dyDescent="0.4">
      <c r="B13" t="s">
        <v>138</v>
      </c>
      <c r="D13" t="s">
        <v>49</v>
      </c>
      <c r="G13" s="79">
        <f>-'Cost of Sales'!G7</f>
        <v>0</v>
      </c>
      <c r="H13" s="79">
        <f>-'Cost of Sales'!H7</f>
        <v>0</v>
      </c>
      <c r="I13" s="79">
        <f>-'Cost of Sales'!I7</f>
        <v>0</v>
      </c>
      <c r="J13" s="79">
        <f>-'Cost of Sales'!J7</f>
        <v>0</v>
      </c>
      <c r="K13" s="79">
        <f>-'Cost of Sales'!K7</f>
        <v>-360000000</v>
      </c>
      <c r="L13" s="79">
        <f>-'Cost of Sales'!L7</f>
        <v>-417000000</v>
      </c>
      <c r="M13" s="79">
        <f>-'Cost of Sales'!M7</f>
        <v>-534700000</v>
      </c>
      <c r="N13" s="79">
        <f>-'Cost of Sales'!N7</f>
        <v>-620800000</v>
      </c>
      <c r="O13" s="79">
        <f>-'Cost of Sales'!O7</f>
        <v>-753000000</v>
      </c>
    </row>
    <row r="14" spans="2:20" x14ac:dyDescent="0.4">
      <c r="B14" s="59" t="s">
        <v>6</v>
      </c>
      <c r="C14" s="59"/>
      <c r="D14" s="59" t="s">
        <v>49</v>
      </c>
      <c r="E14" s="59"/>
      <c r="F14" s="59"/>
      <c r="G14" s="84">
        <f>G11+G13</f>
        <v>0</v>
      </c>
      <c r="H14" s="84">
        <f t="shared" ref="H14:O14" si="1">H11+H13</f>
        <v>0</v>
      </c>
      <c r="I14" s="84">
        <f t="shared" si="1"/>
        <v>0</v>
      </c>
      <c r="J14" s="84">
        <f t="shared" si="1"/>
        <v>0</v>
      </c>
      <c r="K14" s="84">
        <f t="shared" si="1"/>
        <v>570000000</v>
      </c>
      <c r="L14" s="84">
        <f t="shared" si="1"/>
        <v>653000000</v>
      </c>
      <c r="M14" s="84">
        <f t="shared" si="1"/>
        <v>731300000</v>
      </c>
      <c r="N14" s="84">
        <f t="shared" si="1"/>
        <v>1018200000</v>
      </c>
      <c r="O14" s="84">
        <f t="shared" si="1"/>
        <v>1092000000</v>
      </c>
    </row>
    <row r="16" spans="2:20" s="12" customFormat="1" x14ac:dyDescent="0.4">
      <c r="B16" s="12" t="s">
        <v>23</v>
      </c>
      <c r="D16" s="12" t="s">
        <v>76</v>
      </c>
      <c r="G16" s="61">
        <f>IFERROR(G14/G11,0)</f>
        <v>0</v>
      </c>
      <c r="H16" s="61">
        <f t="shared" ref="H16:O16" si="2">IFERROR(H14/H11,0)</f>
        <v>0</v>
      </c>
      <c r="I16" s="61">
        <f t="shared" si="2"/>
        <v>0</v>
      </c>
      <c r="J16" s="61">
        <f t="shared" si="2"/>
        <v>0</v>
      </c>
      <c r="K16" s="61">
        <f t="shared" si="2"/>
        <v>0.61290322580645162</v>
      </c>
      <c r="L16" s="61">
        <f t="shared" si="2"/>
        <v>0.61028037383177569</v>
      </c>
      <c r="M16" s="61">
        <f t="shared" si="2"/>
        <v>0.57764612954186412</v>
      </c>
      <c r="N16" s="61">
        <f t="shared" si="2"/>
        <v>0.62123245881635147</v>
      </c>
      <c r="O16" s="61">
        <f t="shared" si="2"/>
        <v>0.59186991869918704</v>
      </c>
    </row>
    <row r="18" spans="2:15" x14ac:dyDescent="0.4">
      <c r="B18" t="s">
        <v>51</v>
      </c>
      <c r="D18" t="s">
        <v>49</v>
      </c>
      <c r="G18" s="48">
        <f>-Scenarios!K78</f>
        <v>0</v>
      </c>
      <c r="H18" s="48">
        <f>-Scenarios!L78</f>
        <v>0</v>
      </c>
      <c r="I18" s="48">
        <f>-Scenarios!M78</f>
        <v>0</v>
      </c>
      <c r="J18" s="48">
        <f>-Scenarios!N78</f>
        <v>0</v>
      </c>
      <c r="K18" s="48">
        <f>-Scenarios!O78</f>
        <v>-73719533.527696788</v>
      </c>
      <c r="L18" s="48">
        <f>-Scenarios!P78</f>
        <v>-76129533.527696788</v>
      </c>
      <c r="M18" s="48">
        <f>-Scenarios!Q78</f>
        <v>-88063440.233236134</v>
      </c>
      <c r="N18" s="48">
        <f>-Scenarios!R78</f>
        <v>-90473440.233236134</v>
      </c>
      <c r="O18" s="48">
        <f>-Scenarios!S78</f>
        <v>-92883440.233236134</v>
      </c>
    </row>
    <row r="19" spans="2:15" x14ac:dyDescent="0.4">
      <c r="B19" t="s">
        <v>68</v>
      </c>
      <c r="D19" t="s">
        <v>49</v>
      </c>
      <c r="G19" s="48">
        <f>-Scenarios!K85</f>
        <v>0</v>
      </c>
      <c r="H19" s="48">
        <f>-Scenarios!L85</f>
        <v>0</v>
      </c>
      <c r="I19" s="48">
        <f>-Scenarios!M85</f>
        <v>0</v>
      </c>
      <c r="J19" s="48">
        <f>-Scenarios!N85</f>
        <v>0</v>
      </c>
      <c r="K19" s="48">
        <f>-Scenarios!O85</f>
        <v>-2200000</v>
      </c>
      <c r="L19" s="48">
        <f>-Scenarios!P85</f>
        <v>-2200000</v>
      </c>
      <c r="M19" s="48">
        <f>-Scenarios!Q85</f>
        <v>-2200000</v>
      </c>
      <c r="N19" s="48">
        <f>-Scenarios!R85</f>
        <v>-2200000</v>
      </c>
      <c r="O19" s="48">
        <f>-Scenarios!S85</f>
        <v>-2200000</v>
      </c>
    </row>
    <row r="20" spans="2:15" x14ac:dyDescent="0.4">
      <c r="B20" t="s">
        <v>73</v>
      </c>
      <c r="D20" t="s">
        <v>49</v>
      </c>
      <c r="G20" s="48">
        <f>-'Model Inputs'!G57</f>
        <v>0</v>
      </c>
      <c r="H20" s="48">
        <f>-'Model Inputs'!H57</f>
        <v>0</v>
      </c>
      <c r="I20" s="48">
        <f>-'Model Inputs'!I57</f>
        <v>0</v>
      </c>
      <c r="J20" s="48">
        <f>-'Model Inputs'!J57</f>
        <v>0</v>
      </c>
      <c r="K20" s="48">
        <f>-'Model Inputs'!K57</f>
        <v>0</v>
      </c>
      <c r="L20" s="48">
        <f>-'Model Inputs'!L57</f>
        <v>0</v>
      </c>
      <c r="M20" s="48">
        <f>-'Model Inputs'!M57</f>
        <v>0</v>
      </c>
      <c r="N20" s="48">
        <f>-'Model Inputs'!N57</f>
        <v>0</v>
      </c>
      <c r="O20" s="48">
        <f>-'Model Inputs'!O57</f>
        <v>0</v>
      </c>
    </row>
    <row r="21" spans="2:15" x14ac:dyDescent="0.4">
      <c r="B21" t="s">
        <v>192</v>
      </c>
      <c r="D21" t="s">
        <v>49</v>
      </c>
      <c r="G21" s="48"/>
      <c r="H21" s="48"/>
      <c r="I21" s="48"/>
      <c r="J21" s="48"/>
      <c r="K21" s="48"/>
      <c r="L21" s="48"/>
      <c r="M21" s="48"/>
      <c r="N21" s="48"/>
      <c r="O21" s="48"/>
    </row>
    <row r="22" spans="2:15" x14ac:dyDescent="0.4">
      <c r="B22" s="59" t="s">
        <v>8</v>
      </c>
      <c r="C22" s="59"/>
      <c r="D22" s="59" t="s">
        <v>49</v>
      </c>
      <c r="E22" s="59"/>
      <c r="F22" s="59"/>
      <c r="G22" s="84">
        <f>SUM(G18:G21)</f>
        <v>0</v>
      </c>
      <c r="H22" s="84">
        <f t="shared" ref="H22:O22" si="3">SUM(H18:H21)</f>
        <v>0</v>
      </c>
      <c r="I22" s="84">
        <f t="shared" si="3"/>
        <v>0</v>
      </c>
      <c r="J22" s="84">
        <f t="shared" si="3"/>
        <v>0</v>
      </c>
      <c r="K22" s="84">
        <f t="shared" si="3"/>
        <v>-75919533.527696788</v>
      </c>
      <c r="L22" s="84">
        <f t="shared" si="3"/>
        <v>-78329533.527696788</v>
      </c>
      <c r="M22" s="84">
        <f t="shared" si="3"/>
        <v>-90263440.233236134</v>
      </c>
      <c r="N22" s="84">
        <f t="shared" si="3"/>
        <v>-92673440.233236134</v>
      </c>
      <c r="O22" s="84">
        <f t="shared" si="3"/>
        <v>-95083440.233236134</v>
      </c>
    </row>
    <row r="23" spans="2:15" x14ac:dyDescent="0.4">
      <c r="G23" s="79"/>
      <c r="H23" s="79"/>
      <c r="I23" s="79"/>
      <c r="J23" s="79"/>
      <c r="K23" s="79"/>
      <c r="L23" s="79"/>
      <c r="M23" s="79"/>
      <c r="N23" s="79"/>
      <c r="O23" s="79"/>
    </row>
    <row r="24" spans="2:15" s="12" customFormat="1" x14ac:dyDescent="0.4">
      <c r="B24" s="12" t="s">
        <v>194</v>
      </c>
      <c r="D24" t="s">
        <v>49</v>
      </c>
      <c r="G24" s="85">
        <f>G14+G22</f>
        <v>0</v>
      </c>
      <c r="H24" s="85">
        <f t="shared" ref="H24:O24" si="4">H14+H22</f>
        <v>0</v>
      </c>
      <c r="I24" s="85">
        <f t="shared" si="4"/>
        <v>0</v>
      </c>
      <c r="J24" s="85">
        <f t="shared" si="4"/>
        <v>0</v>
      </c>
      <c r="K24" s="85">
        <f t="shared" si="4"/>
        <v>494080466.47230321</v>
      </c>
      <c r="L24" s="85">
        <f t="shared" si="4"/>
        <v>574670466.47230315</v>
      </c>
      <c r="M24" s="85">
        <f t="shared" si="4"/>
        <v>641036559.76676393</v>
      </c>
      <c r="N24" s="85">
        <f t="shared" si="4"/>
        <v>925526559.76676393</v>
      </c>
      <c r="O24" s="85">
        <f t="shared" si="4"/>
        <v>996916559.76676393</v>
      </c>
    </row>
    <row r="26" spans="2:15" s="12" customFormat="1" x14ac:dyDescent="0.4">
      <c r="B26" s="12" t="s">
        <v>193</v>
      </c>
      <c r="D26" s="12" t="s">
        <v>76</v>
      </c>
      <c r="G26" s="61">
        <f>IFERROR(G24/G11,0)</f>
        <v>0</v>
      </c>
      <c r="H26" s="61">
        <f t="shared" ref="H26:O26" si="5">IFERROR(H24/H11,0)</f>
        <v>0</v>
      </c>
      <c r="I26" s="61">
        <f t="shared" si="5"/>
        <v>0</v>
      </c>
      <c r="J26" s="61">
        <f t="shared" si="5"/>
        <v>0</v>
      </c>
      <c r="K26" s="61">
        <f t="shared" si="5"/>
        <v>0.53126931878742278</v>
      </c>
      <c r="L26" s="61">
        <f t="shared" si="5"/>
        <v>0.53707520231056372</v>
      </c>
      <c r="M26" s="61">
        <f t="shared" si="5"/>
        <v>0.50634799349665394</v>
      </c>
      <c r="N26" s="61">
        <f t="shared" si="5"/>
        <v>0.56468978631285172</v>
      </c>
      <c r="O26" s="61">
        <f t="shared" si="5"/>
        <v>0.54033417873537337</v>
      </c>
    </row>
    <row r="28" spans="2:15" x14ac:dyDescent="0.4">
      <c r="B28" t="s">
        <v>195</v>
      </c>
      <c r="D28" t="s">
        <v>49</v>
      </c>
      <c r="G28" s="79">
        <f>-SUM(Depreciation!G7:G8)</f>
        <v>0</v>
      </c>
      <c r="H28" s="79">
        <f>-SUM(Depreciation!H7:H8)</f>
        <v>0</v>
      </c>
      <c r="I28" s="79">
        <f>-SUM(Depreciation!I7:I8)</f>
        <v>0</v>
      </c>
      <c r="J28" s="79">
        <f>-SUM(Depreciation!J7:J8)</f>
        <v>-3523809.5238095238</v>
      </c>
      <c r="K28" s="79">
        <f>-SUM(Depreciation!K7:K8)</f>
        <v>-11923809.523809524</v>
      </c>
      <c r="L28" s="79">
        <f>-SUM(Depreciation!L7:L8)</f>
        <v>-12173809.523809524</v>
      </c>
      <c r="M28" s="79">
        <f>-SUM(Depreciation!M7:M8)</f>
        <v>-15157142.857142858</v>
      </c>
      <c r="N28" s="79">
        <f>-SUM(Depreciation!N7:N8)</f>
        <v>-17057142.857142858</v>
      </c>
      <c r="O28" s="79">
        <f>-SUM(Depreciation!O7:O8)</f>
        <v>-16207142.857142858</v>
      </c>
    </row>
    <row r="29" spans="2:15" x14ac:dyDescent="0.4">
      <c r="B29" s="59" t="s">
        <v>196</v>
      </c>
      <c r="C29" s="59"/>
      <c r="D29" s="59" t="s">
        <v>49</v>
      </c>
      <c r="E29" s="59"/>
      <c r="F29" s="59"/>
      <c r="G29" s="84">
        <f>G24+G28</f>
        <v>0</v>
      </c>
      <c r="H29" s="84">
        <f t="shared" ref="H29:O29" si="6">H24+H28</f>
        <v>0</v>
      </c>
      <c r="I29" s="84">
        <f t="shared" si="6"/>
        <v>0</v>
      </c>
      <c r="J29" s="84">
        <f t="shared" si="6"/>
        <v>-3523809.5238095238</v>
      </c>
      <c r="K29" s="84">
        <f t="shared" si="6"/>
        <v>482156656.94849366</v>
      </c>
      <c r="L29" s="84">
        <f t="shared" si="6"/>
        <v>562496656.9484936</v>
      </c>
      <c r="M29" s="84">
        <f t="shared" si="6"/>
        <v>625879416.90962112</v>
      </c>
      <c r="N29" s="84">
        <f t="shared" si="6"/>
        <v>908469416.90962112</v>
      </c>
      <c r="O29" s="84">
        <f t="shared" si="6"/>
        <v>980709416.90962112</v>
      </c>
    </row>
    <row r="31" spans="2:15" s="12" customFormat="1" x14ac:dyDescent="0.4">
      <c r="B31" s="12" t="s">
        <v>197</v>
      </c>
      <c r="D31" s="12" t="s">
        <v>76</v>
      </c>
      <c r="G31" s="61">
        <f>IFERROR(G29/G11,0)</f>
        <v>0</v>
      </c>
      <c r="H31" s="61">
        <f t="shared" ref="H31:O31" si="7">IFERROR(H29/H11,0)</f>
        <v>0</v>
      </c>
      <c r="I31" s="61">
        <f t="shared" si="7"/>
        <v>0</v>
      </c>
      <c r="J31" s="61">
        <f t="shared" si="7"/>
        <v>0</v>
      </c>
      <c r="K31" s="61">
        <f t="shared" si="7"/>
        <v>0.51844801822418674</v>
      </c>
      <c r="L31" s="61">
        <f t="shared" si="7"/>
        <v>0.52569781023223705</v>
      </c>
      <c r="M31" s="61">
        <f t="shared" si="7"/>
        <v>0.49437552678485081</v>
      </c>
      <c r="N31" s="61">
        <f t="shared" si="7"/>
        <v>0.55428274369104402</v>
      </c>
      <c r="O31" s="61">
        <f t="shared" si="7"/>
        <v>0.53154981946320923</v>
      </c>
    </row>
    <row r="33" spans="2:15" x14ac:dyDescent="0.4">
      <c r="B33" t="s">
        <v>198</v>
      </c>
      <c r="D33" t="s">
        <v>49</v>
      </c>
      <c r="G33" s="48">
        <f ca="1">Debt!G57</f>
        <v>0</v>
      </c>
      <c r="H33" s="48">
        <f ca="1">Debt!H57</f>
        <v>0</v>
      </c>
      <c r="I33" s="48">
        <f ca="1">Debt!I57</f>
        <v>0</v>
      </c>
      <c r="J33" s="48">
        <f ca="1">Debt!J57</f>
        <v>2051282.0512820513</v>
      </c>
      <c r="K33" s="48">
        <f ca="1">Debt!K57</f>
        <v>10564721.825366274</v>
      </c>
      <c r="L33" s="48">
        <f ca="1">Debt!L57</f>
        <v>28005422.129024364</v>
      </c>
      <c r="M33" s="48">
        <f ca="1">Debt!M57</f>
        <v>48278730.103944533</v>
      </c>
      <c r="N33" s="48">
        <f ca="1">Debt!N57</f>
        <v>71793713.208626136</v>
      </c>
      <c r="O33" s="48">
        <f ca="1">Debt!O57</f>
        <v>102071589.824479</v>
      </c>
    </row>
    <row r="34" spans="2:15" x14ac:dyDescent="0.4">
      <c r="B34" t="s">
        <v>199</v>
      </c>
      <c r="D34" t="s">
        <v>49</v>
      </c>
      <c r="G34" s="48">
        <f ca="1">Debt!G58</f>
        <v>0</v>
      </c>
      <c r="H34" s="48">
        <f ca="1">Debt!H58</f>
        <v>0</v>
      </c>
      <c r="I34" s="48">
        <f ca="1">Debt!I58</f>
        <v>0</v>
      </c>
      <c r="J34" s="48">
        <f ca="1">Debt!J58</f>
        <v>0</v>
      </c>
      <c r="K34" s="48">
        <f ca="1">Debt!K58</f>
        <v>-10000000</v>
      </c>
      <c r="L34" s="48">
        <f ca="1">Debt!L58</f>
        <v>-8000000</v>
      </c>
      <c r="M34" s="48">
        <f ca="1">Debt!M58</f>
        <v>-6000000</v>
      </c>
      <c r="N34" s="48">
        <f ca="1">Debt!N58</f>
        <v>-4000000</v>
      </c>
      <c r="O34" s="48">
        <f ca="1">Debt!O58</f>
        <v>-2000000</v>
      </c>
    </row>
    <row r="35" spans="2:15" x14ac:dyDescent="0.4">
      <c r="B35" s="59" t="s">
        <v>200</v>
      </c>
      <c r="C35" s="59"/>
      <c r="D35" s="59" t="s">
        <v>49</v>
      </c>
      <c r="E35" s="59"/>
      <c r="F35" s="59"/>
      <c r="G35" s="84">
        <f ca="1">SUM(G29,G33:G34)</f>
        <v>0</v>
      </c>
      <c r="H35" s="84">
        <f t="shared" ref="H35:O35" ca="1" si="8">SUM(H29,H33:H34)</f>
        <v>0</v>
      </c>
      <c r="I35" s="84">
        <f t="shared" ca="1" si="8"/>
        <v>0</v>
      </c>
      <c r="J35" s="84">
        <f t="shared" ca="1" si="8"/>
        <v>-1472527.4725274725</v>
      </c>
      <c r="K35" s="84">
        <f t="shared" ca="1" si="8"/>
        <v>482721378.77385992</v>
      </c>
      <c r="L35" s="84">
        <f t="shared" ca="1" si="8"/>
        <v>582502079.07751799</v>
      </c>
      <c r="M35" s="84">
        <f t="shared" ca="1" si="8"/>
        <v>668158147.01356566</v>
      </c>
      <c r="N35" s="84">
        <f t="shared" ca="1" si="8"/>
        <v>976263130.11824727</v>
      </c>
      <c r="O35" s="84">
        <f t="shared" ca="1" si="8"/>
        <v>1080781006.7341001</v>
      </c>
    </row>
    <row r="37" spans="2:15" x14ac:dyDescent="0.4">
      <c r="B37" t="s">
        <v>74</v>
      </c>
      <c r="D37" t="s">
        <v>49</v>
      </c>
      <c r="G37" s="48">
        <f ca="1">-Tax!G18</f>
        <v>0</v>
      </c>
      <c r="H37" s="48">
        <f ca="1">-Tax!H18</f>
        <v>0</v>
      </c>
      <c r="I37" s="48">
        <f ca="1">-Tax!I18</f>
        <v>0</v>
      </c>
      <c r="J37" s="48">
        <f ca="1">-Tax!J18</f>
        <v>0</v>
      </c>
      <c r="K37" s="48">
        <f ca="1">-Tax!K18</f>
        <v>-144816413.63215798</v>
      </c>
      <c r="L37" s="48">
        <f ca="1">-Tax!L18</f>
        <v>-174750623.7232554</v>
      </c>
      <c r="M37" s="48">
        <f ca="1">-Tax!M18</f>
        <v>-200447444.10406968</v>
      </c>
      <c r="N37" s="48">
        <f ca="1">-Tax!N18</f>
        <v>-292878939.03547418</v>
      </c>
      <c r="O37" s="48">
        <f ca="1">-Tax!O18</f>
        <v>-324234302.02023</v>
      </c>
    </row>
    <row r="39" spans="2:15" s="52" customFormat="1" x14ac:dyDescent="0.4">
      <c r="B39" s="60" t="s">
        <v>176</v>
      </c>
      <c r="C39" s="60"/>
      <c r="D39" s="60" t="s">
        <v>49</v>
      </c>
      <c r="E39" s="60"/>
      <c r="F39" s="60"/>
      <c r="G39" s="86">
        <f t="shared" ref="G39:O39" ca="1" si="9">G35+G37</f>
        <v>0</v>
      </c>
      <c r="H39" s="86">
        <f t="shared" ca="1" si="9"/>
        <v>0</v>
      </c>
      <c r="I39" s="86">
        <f t="shared" ca="1" si="9"/>
        <v>0</v>
      </c>
      <c r="J39" s="86">
        <f t="shared" ca="1" si="9"/>
        <v>-1472527.4725274725</v>
      </c>
      <c r="K39" s="86">
        <f t="shared" ca="1" si="9"/>
        <v>337904965.14170194</v>
      </c>
      <c r="L39" s="86">
        <f t="shared" ca="1" si="9"/>
        <v>407751455.35426259</v>
      </c>
      <c r="M39" s="86">
        <f t="shared" ca="1" si="9"/>
        <v>467710702.90949595</v>
      </c>
      <c r="N39" s="86">
        <f t="shared" ca="1" si="9"/>
        <v>683384191.08277309</v>
      </c>
      <c r="O39" s="86">
        <f t="shared" ca="1" si="9"/>
        <v>756546704.71387005</v>
      </c>
    </row>
    <row r="40" spans="2:15" x14ac:dyDescent="0.4">
      <c r="K40" s="54"/>
    </row>
    <row r="41" spans="2:15" s="12" customFormat="1" x14ac:dyDescent="0.4">
      <c r="B41" s="12" t="s">
        <v>25</v>
      </c>
      <c r="D41" s="12" t="s">
        <v>76</v>
      </c>
      <c r="G41" s="61">
        <f t="shared" ref="G41:O41" ca="1" si="10">IFERROR(G39/G11,0)</f>
        <v>0</v>
      </c>
      <c r="H41" s="61">
        <f t="shared" ca="1" si="10"/>
        <v>0</v>
      </c>
      <c r="I41" s="61">
        <f t="shared" ca="1" si="10"/>
        <v>0</v>
      </c>
      <c r="J41" s="61">
        <f t="shared" ca="1" si="10"/>
        <v>0</v>
      </c>
      <c r="K41" s="61">
        <f t="shared" ca="1" si="10"/>
        <v>0.36333867219537841</v>
      </c>
      <c r="L41" s="61">
        <f t="shared" ca="1" si="10"/>
        <v>0.38107612649931083</v>
      </c>
      <c r="M41" s="61">
        <f t="shared" ca="1" si="10"/>
        <v>0.36943973373577876</v>
      </c>
      <c r="N41" s="61">
        <f t="shared" ca="1" si="10"/>
        <v>0.41695191646294882</v>
      </c>
      <c r="O41" s="61">
        <f t="shared" ca="1" si="10"/>
        <v>0.41005241447906238</v>
      </c>
    </row>
    <row r="43" spans="2:15" x14ac:dyDescent="0.4">
      <c r="K43" s="53"/>
    </row>
  </sheetData>
  <hyperlinks>
    <hyperlink ref="O1" location="'Table of Content'!A1" display="&gt;&gt; Table of Contents" xr:uid="{D03403EB-8F66-4F9E-B62E-8E3B287A67D3}"/>
  </hyperlink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6FA8-D157-4717-A4E3-C3CBA38FC487}">
  <sheetPr>
    <tabColor theme="4"/>
  </sheetPr>
  <dimension ref="B1:T40"/>
  <sheetViews>
    <sheetView showGridLines="0" workbookViewId="0">
      <selection activeCell="L44" sqref="L44"/>
    </sheetView>
  </sheetViews>
  <sheetFormatPr defaultRowHeight="14.6" x14ac:dyDescent="0.4"/>
  <cols>
    <col min="2" max="2" width="3.15234375" style="52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B1" s="55"/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10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20" s="52" customFormat="1" x14ac:dyDescent="0.4">
      <c r="B8" s="52" t="s">
        <v>11</v>
      </c>
      <c r="E8" s="52" t="s">
        <v>49</v>
      </c>
      <c r="G8" s="82">
        <f>SUM(G9:G11)</f>
        <v>0</v>
      </c>
      <c r="H8" s="82">
        <f t="shared" ref="H8:O8" si="0">SUM(H9:H11)</f>
        <v>0</v>
      </c>
      <c r="I8" s="82">
        <f t="shared" si="0"/>
        <v>0</v>
      </c>
      <c r="J8" s="82">
        <f t="shared" si="0"/>
        <v>66476190.476190478</v>
      </c>
      <c r="K8" s="82">
        <f t="shared" si="0"/>
        <v>94552380.952380955</v>
      </c>
      <c r="L8" s="82">
        <f t="shared" si="0"/>
        <v>83378571.428571433</v>
      </c>
      <c r="M8" s="82">
        <f t="shared" si="0"/>
        <v>96221428.571428567</v>
      </c>
      <c r="N8" s="82">
        <f t="shared" si="0"/>
        <v>87164285.714285702</v>
      </c>
      <c r="O8" s="82">
        <f t="shared" si="0"/>
        <v>76457142.857142851</v>
      </c>
    </row>
    <row r="9" spans="2:20" x14ac:dyDescent="0.4">
      <c r="C9" t="s">
        <v>202</v>
      </c>
      <c r="E9" t="s">
        <v>49</v>
      </c>
      <c r="G9" s="79">
        <f>Depreciation!G37</f>
        <v>0</v>
      </c>
      <c r="H9" s="79">
        <f>Depreciation!H37</f>
        <v>0</v>
      </c>
      <c r="I9" s="79">
        <f>Depreciation!I37</f>
        <v>0</v>
      </c>
      <c r="J9" s="79">
        <f>Depreciation!J37</f>
        <v>0</v>
      </c>
      <c r="K9" s="79">
        <f>Depreciation!K37</f>
        <v>1600000</v>
      </c>
      <c r="L9" s="79">
        <f>Depreciation!L37</f>
        <v>1200000</v>
      </c>
      <c r="M9" s="79">
        <f>Depreciation!M37</f>
        <v>800000</v>
      </c>
      <c r="N9" s="79">
        <f>Depreciation!N37</f>
        <v>400000</v>
      </c>
      <c r="O9" s="79">
        <f>Depreciation!O37</f>
        <v>2000000</v>
      </c>
    </row>
    <row r="10" spans="2:20" x14ac:dyDescent="0.4">
      <c r="C10" t="s">
        <v>203</v>
      </c>
      <c r="E10" t="s">
        <v>49</v>
      </c>
      <c r="G10" s="79">
        <f>SUM(Depreciation!G32:G36)</f>
        <v>0</v>
      </c>
      <c r="H10" s="79">
        <f>SUM(Depreciation!H32:H36)</f>
        <v>0</v>
      </c>
      <c r="I10" s="79">
        <f>SUM(Depreciation!I32:I36)</f>
        <v>0</v>
      </c>
      <c r="J10" s="79">
        <f>SUM(Depreciation!J32:J36)</f>
        <v>66476190.476190478</v>
      </c>
      <c r="K10" s="79">
        <f>SUM(Depreciation!K32:K36)</f>
        <v>92952380.952380955</v>
      </c>
      <c r="L10" s="79">
        <f>SUM(Depreciation!L32:L36)</f>
        <v>82178571.428571433</v>
      </c>
      <c r="M10" s="79">
        <f>SUM(Depreciation!M32:M36)</f>
        <v>95421428.571428567</v>
      </c>
      <c r="N10" s="79">
        <f>SUM(Depreciation!N32:N36)</f>
        <v>86764285.714285702</v>
      </c>
      <c r="O10" s="79">
        <f>SUM(Depreciation!O32:O36)</f>
        <v>74457142.857142851</v>
      </c>
    </row>
    <row r="11" spans="2:20" x14ac:dyDescent="0.4">
      <c r="C11" t="s">
        <v>204</v>
      </c>
      <c r="E11" t="s">
        <v>49</v>
      </c>
      <c r="G11" s="79"/>
      <c r="H11" s="79"/>
      <c r="I11" s="79"/>
      <c r="J11" s="79"/>
      <c r="K11" s="79"/>
      <c r="L11" s="79"/>
      <c r="M11" s="79"/>
      <c r="N11" s="79"/>
      <c r="O11" s="79"/>
    </row>
    <row r="12" spans="2:20" x14ac:dyDescent="0.4">
      <c r="G12" s="79"/>
      <c r="H12" s="79"/>
      <c r="I12" s="79"/>
      <c r="J12" s="79"/>
      <c r="K12" s="79"/>
      <c r="L12" s="79"/>
      <c r="M12" s="79"/>
      <c r="N12" s="79"/>
      <c r="O12" s="79"/>
    </row>
    <row r="13" spans="2:20" s="52" customFormat="1" x14ac:dyDescent="0.4">
      <c r="B13" s="52" t="s">
        <v>12</v>
      </c>
      <c r="E13" s="56" t="s">
        <v>49</v>
      </c>
      <c r="G13" s="82">
        <f ca="1">SUM(G14:G18)</f>
        <v>0</v>
      </c>
      <c r="H13" s="82">
        <f t="shared" ref="H13:O13" ca="1" si="1">SUM(H14:H18)</f>
        <v>0</v>
      </c>
      <c r="I13" s="82">
        <f t="shared" ca="1" si="1"/>
        <v>0</v>
      </c>
      <c r="J13" s="82">
        <f t="shared" ca="1" si="1"/>
        <v>82051282.051282048</v>
      </c>
      <c r="K13" s="82">
        <f t="shared" ca="1" si="1"/>
        <v>393715673.1551497</v>
      </c>
      <c r="L13" s="82">
        <f t="shared" ca="1" si="1"/>
        <v>840939568.17020822</v>
      </c>
      <c r="M13" s="82">
        <f t="shared" ca="1" si="1"/>
        <v>1225083608.5903125</v>
      </c>
      <c r="N13" s="82">
        <f t="shared" ca="1" si="1"/>
        <v>1813623823.8643222</v>
      </c>
      <c r="O13" s="82">
        <f t="shared" ca="1" si="1"/>
        <v>2469146618.4299064</v>
      </c>
    </row>
    <row r="14" spans="2:20" x14ac:dyDescent="0.4">
      <c r="C14" t="s">
        <v>142</v>
      </c>
      <c r="E14" t="s">
        <v>49</v>
      </c>
      <c r="G14" s="79">
        <f>'Working Capital'!G14</f>
        <v>0</v>
      </c>
      <c r="H14" s="79">
        <f>'Working Capital'!H14</f>
        <v>0</v>
      </c>
      <c r="I14" s="79">
        <f>'Working Capital'!I14</f>
        <v>0</v>
      </c>
      <c r="J14" s="79">
        <f>'Working Capital'!J14</f>
        <v>0</v>
      </c>
      <c r="K14" s="79">
        <f>'Working Capital'!K14</f>
        <v>9863013.6986301374</v>
      </c>
      <c r="L14" s="79">
        <f>'Working Capital'!L14</f>
        <v>11424657.534246575</v>
      </c>
      <c r="M14" s="79">
        <f>'Working Capital'!M14</f>
        <v>14649315.06849315</v>
      </c>
      <c r="N14" s="79">
        <f>'Working Capital'!N14</f>
        <v>17008219.17808219</v>
      </c>
      <c r="O14" s="79">
        <f>'Working Capital'!O14</f>
        <v>20630136.98630137</v>
      </c>
    </row>
    <row r="15" spans="2:20" x14ac:dyDescent="0.4">
      <c r="C15" t="s">
        <v>140</v>
      </c>
      <c r="E15" t="s">
        <v>49</v>
      </c>
      <c r="G15" s="79">
        <f>'Working Capital'!G12</f>
        <v>0</v>
      </c>
      <c r="H15" s="79">
        <f>'Working Capital'!H12</f>
        <v>0</v>
      </c>
      <c r="I15" s="79">
        <f>'Working Capital'!I12</f>
        <v>0</v>
      </c>
      <c r="J15" s="79">
        <f>'Working Capital'!J12</f>
        <v>0</v>
      </c>
      <c r="K15" s="79">
        <f>'Working Capital'!K12</f>
        <v>38219178.08219178</v>
      </c>
      <c r="L15" s="79">
        <f>'Working Capital'!L12</f>
        <v>43972602.739726029</v>
      </c>
      <c r="M15" s="79">
        <f>'Working Capital'!M12</f>
        <v>52027397.260273971</v>
      </c>
      <c r="N15" s="79">
        <f>'Working Capital'!N12</f>
        <v>67356164.383561641</v>
      </c>
      <c r="O15" s="79">
        <f>'Working Capital'!O12</f>
        <v>75821917.80821918</v>
      </c>
    </row>
    <row r="16" spans="2:20" x14ac:dyDescent="0.4">
      <c r="C16" t="s">
        <v>143</v>
      </c>
      <c r="E16" t="s">
        <v>49</v>
      </c>
      <c r="G16" s="79">
        <f>'Working Capital'!G15</f>
        <v>0</v>
      </c>
      <c r="H16" s="79">
        <f>'Working Capital'!H15</f>
        <v>0</v>
      </c>
      <c r="I16" s="79">
        <f>'Working Capital'!I15</f>
        <v>0</v>
      </c>
      <c r="J16" s="79">
        <f>'Working Capital'!J15</f>
        <v>0</v>
      </c>
      <c r="K16" s="79">
        <f>'Working Capital'!K15</f>
        <v>5095890.4109589038</v>
      </c>
      <c r="L16" s="79">
        <f>'Working Capital'!L15</f>
        <v>5863013.6986301374</v>
      </c>
      <c r="M16" s="79">
        <f>'Working Capital'!M15</f>
        <v>6936986.3013698626</v>
      </c>
      <c r="N16" s="79">
        <f>'Working Capital'!N15</f>
        <v>8980821.9178082198</v>
      </c>
      <c r="O16" s="79">
        <f>'Working Capital'!O15</f>
        <v>10109589.04109589</v>
      </c>
    </row>
    <row r="17" spans="2:15" x14ac:dyDescent="0.4">
      <c r="G17" s="79"/>
      <c r="H17" s="79"/>
      <c r="I17" s="79"/>
      <c r="J17" s="79"/>
      <c r="K17" s="79"/>
      <c r="L17" s="79"/>
      <c r="M17" s="79"/>
      <c r="N17" s="79"/>
      <c r="O17" s="79"/>
    </row>
    <row r="18" spans="2:15" x14ac:dyDescent="0.4">
      <c r="C18" t="s">
        <v>205</v>
      </c>
      <c r="E18" s="56" t="s">
        <v>49</v>
      </c>
      <c r="G18" s="79">
        <f ca="1">F18+Cashflow!G38</f>
        <v>0</v>
      </c>
      <c r="H18" s="79">
        <f ca="1">G18+Cashflow!H38</f>
        <v>0</v>
      </c>
      <c r="I18" s="79">
        <f ca="1">H18+Cashflow!I38</f>
        <v>0</v>
      </c>
      <c r="J18" s="79">
        <f ca="1">I18+Cashflow!J38</f>
        <v>82051282.051282048</v>
      </c>
      <c r="K18" s="79">
        <f ca="1">J18+Cashflow!K38</f>
        <v>340537590.96336889</v>
      </c>
      <c r="L18" s="79">
        <f ca="1">K18+Cashflow!L38</f>
        <v>779679294.19760549</v>
      </c>
      <c r="M18" s="79">
        <f ca="1">L18+Cashflow!M38</f>
        <v>1151469909.9601755</v>
      </c>
      <c r="N18" s="79">
        <f ca="1">M18+Cashflow!N38</f>
        <v>1720278618.3848701</v>
      </c>
      <c r="O18" s="79">
        <f ca="1">N18+Cashflow!O38</f>
        <v>2362584974.5942898</v>
      </c>
    </row>
    <row r="19" spans="2:15" x14ac:dyDescent="0.4">
      <c r="G19" s="79"/>
      <c r="H19" s="79"/>
      <c r="I19" s="79"/>
      <c r="J19" s="79"/>
      <c r="K19" s="79"/>
      <c r="L19" s="79"/>
      <c r="M19" s="79"/>
      <c r="N19" s="79"/>
      <c r="O19" s="79"/>
    </row>
    <row r="20" spans="2:15" s="52" customFormat="1" x14ac:dyDescent="0.4">
      <c r="B20" s="52" t="s">
        <v>206</v>
      </c>
      <c r="E20" s="52" t="s">
        <v>49</v>
      </c>
      <c r="G20" s="82">
        <f ca="1">G8+G13</f>
        <v>0</v>
      </c>
      <c r="H20" s="82">
        <f t="shared" ref="H20:O20" ca="1" si="2">H8+H13</f>
        <v>0</v>
      </c>
      <c r="I20" s="82">
        <f t="shared" ca="1" si="2"/>
        <v>0</v>
      </c>
      <c r="J20" s="82">
        <f t="shared" ca="1" si="2"/>
        <v>148527472.52747253</v>
      </c>
      <c r="K20" s="82">
        <f t="shared" ca="1" si="2"/>
        <v>488268054.10753065</v>
      </c>
      <c r="L20" s="82">
        <f t="shared" ca="1" si="2"/>
        <v>924318139.59877968</v>
      </c>
      <c r="M20" s="82">
        <f t="shared" ca="1" si="2"/>
        <v>1321305037.161741</v>
      </c>
      <c r="N20" s="82">
        <f t="shared" ca="1" si="2"/>
        <v>1900788109.5786078</v>
      </c>
      <c r="O20" s="82">
        <f t="shared" ca="1" si="2"/>
        <v>2545603761.2870493</v>
      </c>
    </row>
    <row r="21" spans="2:15" x14ac:dyDescent="0.4">
      <c r="G21" s="79"/>
      <c r="H21" s="79"/>
      <c r="I21" s="79"/>
      <c r="J21" s="79"/>
      <c r="K21" s="79"/>
      <c r="L21" s="79"/>
      <c r="M21" s="79"/>
      <c r="N21" s="79"/>
      <c r="O21" s="79"/>
    </row>
    <row r="22" spans="2:15" x14ac:dyDescent="0.4">
      <c r="G22" s="79"/>
      <c r="H22" s="79"/>
      <c r="I22" s="79"/>
      <c r="J22" s="79"/>
      <c r="K22" s="79"/>
      <c r="L22" s="79"/>
      <c r="M22" s="79"/>
      <c r="N22" s="79"/>
      <c r="O22" s="79"/>
    </row>
    <row r="23" spans="2:15" x14ac:dyDescent="0.4">
      <c r="B23" s="52" t="s">
        <v>13</v>
      </c>
      <c r="E23" s="52" t="s">
        <v>49</v>
      </c>
      <c r="G23" s="82">
        <f>SUM(G24:G26)</f>
        <v>0</v>
      </c>
      <c r="H23" s="82">
        <f t="shared" ref="H23:O23" si="3">SUM(H24:H26)</f>
        <v>0</v>
      </c>
      <c r="I23" s="82">
        <f t="shared" si="3"/>
        <v>0</v>
      </c>
      <c r="J23" s="82">
        <f t="shared" si="3"/>
        <v>50000000</v>
      </c>
      <c r="K23" s="82">
        <f t="shared" si="3"/>
        <v>40000000</v>
      </c>
      <c r="L23" s="82">
        <f t="shared" si="3"/>
        <v>30000000</v>
      </c>
      <c r="M23" s="82">
        <f t="shared" si="3"/>
        <v>20000000</v>
      </c>
      <c r="N23" s="82">
        <f t="shared" si="3"/>
        <v>10000000</v>
      </c>
      <c r="O23" s="82">
        <f t="shared" si="3"/>
        <v>0</v>
      </c>
    </row>
    <row r="24" spans="2:15" x14ac:dyDescent="0.4">
      <c r="C24" t="s">
        <v>207</v>
      </c>
      <c r="E24" t="s">
        <v>49</v>
      </c>
      <c r="G24" s="48">
        <f>Debt!G40+Debt!G47+Debt!G54</f>
        <v>0</v>
      </c>
      <c r="H24" s="48">
        <f>Debt!H40+Debt!H47+Debt!H54</f>
        <v>0</v>
      </c>
      <c r="I24" s="48">
        <f>Debt!I40+Debt!I47+Debt!I54</f>
        <v>0</v>
      </c>
      <c r="J24" s="48">
        <f>Debt!J40+Debt!J47+Debt!J54</f>
        <v>50000000</v>
      </c>
      <c r="K24" s="48">
        <f>Debt!K40+Debt!K47+Debt!K54</f>
        <v>40000000</v>
      </c>
      <c r="L24" s="48">
        <f>Debt!L40+Debt!L47+Debt!L54</f>
        <v>30000000</v>
      </c>
      <c r="M24" s="48">
        <f>Debt!M40+Debt!M47+Debt!M54</f>
        <v>20000000</v>
      </c>
      <c r="N24" s="48">
        <f>Debt!N40+Debt!N47+Debt!N54</f>
        <v>10000000</v>
      </c>
      <c r="O24" s="48">
        <f>Debt!O40+Debt!O47+Debt!O54</f>
        <v>0</v>
      </c>
    </row>
    <row r="25" spans="2:15" x14ac:dyDescent="0.4">
      <c r="C25" t="s">
        <v>208</v>
      </c>
      <c r="E25" t="s">
        <v>49</v>
      </c>
      <c r="G25" s="79">
        <f>Tax!G17</f>
        <v>0</v>
      </c>
      <c r="H25" s="79">
        <f>G25+Tax!H17</f>
        <v>0</v>
      </c>
      <c r="I25" s="79">
        <f>H25+Tax!I17</f>
        <v>0</v>
      </c>
      <c r="J25" s="79">
        <f>I25+Tax!J17</f>
        <v>0</v>
      </c>
      <c r="K25" s="79">
        <f>J25+Tax!K17</f>
        <v>0</v>
      </c>
      <c r="L25" s="79">
        <f>K25+Tax!L17</f>
        <v>0</v>
      </c>
      <c r="M25" s="79">
        <f>L25+Tax!M17</f>
        <v>0</v>
      </c>
      <c r="N25" s="79">
        <f>M25+Tax!N17</f>
        <v>0</v>
      </c>
      <c r="O25" s="79">
        <f>N25+Tax!O17</f>
        <v>0</v>
      </c>
    </row>
    <row r="26" spans="2:15" x14ac:dyDescent="0.4">
      <c r="C26" t="s">
        <v>209</v>
      </c>
      <c r="E26" t="s">
        <v>49</v>
      </c>
      <c r="G26" s="79"/>
      <c r="H26" s="79"/>
      <c r="I26" s="79"/>
      <c r="J26" s="79"/>
      <c r="K26" s="79"/>
      <c r="L26" s="79"/>
      <c r="M26" s="79"/>
      <c r="N26" s="79"/>
      <c r="O26" s="79"/>
    </row>
    <row r="27" spans="2:15" x14ac:dyDescent="0.4">
      <c r="G27" s="79"/>
      <c r="H27" s="79"/>
      <c r="I27" s="79"/>
      <c r="J27" s="79"/>
      <c r="K27" s="79"/>
      <c r="L27" s="79"/>
      <c r="M27" s="79"/>
      <c r="N27" s="79"/>
      <c r="O27" s="79"/>
    </row>
    <row r="28" spans="2:15" x14ac:dyDescent="0.4">
      <c r="B28" s="52" t="s">
        <v>14</v>
      </c>
      <c r="E28" s="52" t="s">
        <v>49</v>
      </c>
      <c r="G28" s="82">
        <f ca="1">SUM(G29:G31)</f>
        <v>0</v>
      </c>
      <c r="H28" s="82">
        <f t="shared" ref="H28:O28" ca="1" si="4">SUM(H29:H31)</f>
        <v>0</v>
      </c>
      <c r="I28" s="82">
        <f t="shared" ca="1" si="4"/>
        <v>0</v>
      </c>
      <c r="J28" s="82">
        <f t="shared" ca="1" si="4"/>
        <v>0</v>
      </c>
      <c r="K28" s="82">
        <f t="shared" ca="1" si="4"/>
        <v>11835616.438356165</v>
      </c>
      <c r="L28" s="82">
        <f t="shared" ca="1" si="4"/>
        <v>25134246.575342465</v>
      </c>
      <c r="M28" s="82">
        <f t="shared" ca="1" si="4"/>
        <v>32228493.15068493</v>
      </c>
      <c r="N28" s="82">
        <f t="shared" ca="1" si="4"/>
        <v>37418082.19178082</v>
      </c>
      <c r="O28" s="82">
        <f t="shared" ca="1" si="4"/>
        <v>45386301.369863011</v>
      </c>
    </row>
    <row r="29" spans="2:15" x14ac:dyDescent="0.4">
      <c r="C29" t="s">
        <v>210</v>
      </c>
      <c r="E29" t="s">
        <v>49</v>
      </c>
      <c r="G29" s="48">
        <f ca="1">Debt!G28</f>
        <v>0</v>
      </c>
      <c r="H29" s="48">
        <f ca="1">Debt!H28</f>
        <v>0</v>
      </c>
      <c r="I29" s="48">
        <f ca="1">Debt!I28</f>
        <v>0</v>
      </c>
      <c r="J29" s="48">
        <f ca="1">Debt!J28</f>
        <v>0</v>
      </c>
      <c r="K29" s="48">
        <f ca="1">Debt!K28</f>
        <v>0</v>
      </c>
      <c r="L29" s="48">
        <f ca="1">Debt!L28</f>
        <v>0</v>
      </c>
      <c r="M29" s="48">
        <f ca="1">Debt!M28</f>
        <v>0</v>
      </c>
      <c r="N29" s="48">
        <f ca="1">Debt!N28</f>
        <v>0</v>
      </c>
      <c r="O29" s="48">
        <f ca="1">Debt!O28</f>
        <v>0</v>
      </c>
    </row>
    <row r="30" spans="2:15" x14ac:dyDescent="0.4">
      <c r="C30" t="s">
        <v>141</v>
      </c>
      <c r="E30" t="s">
        <v>49</v>
      </c>
      <c r="G30" s="79">
        <f>'Working Capital'!G13</f>
        <v>0</v>
      </c>
      <c r="H30" s="79">
        <f>'Working Capital'!H13</f>
        <v>0</v>
      </c>
      <c r="I30" s="79">
        <f>'Working Capital'!I13</f>
        <v>0</v>
      </c>
      <c r="J30" s="79">
        <f>'Working Capital'!J13</f>
        <v>0</v>
      </c>
      <c r="K30" s="79">
        <f>'Working Capital'!K13</f>
        <v>9863013.6986301374</v>
      </c>
      <c r="L30" s="79">
        <f>'Working Capital'!L13</f>
        <v>22849315.06849315</v>
      </c>
      <c r="M30" s="79">
        <f>'Working Capital'!M13</f>
        <v>29298630.1369863</v>
      </c>
      <c r="N30" s="79">
        <f>'Working Capital'!N13</f>
        <v>34016438.356164381</v>
      </c>
      <c r="O30" s="79">
        <f>'Working Capital'!O13</f>
        <v>41260273.97260274</v>
      </c>
    </row>
    <row r="31" spans="2:15" x14ac:dyDescent="0.4">
      <c r="C31" t="s">
        <v>144</v>
      </c>
      <c r="E31" t="s">
        <v>49</v>
      </c>
      <c r="G31" s="79">
        <f>'Working Capital'!G16</f>
        <v>0</v>
      </c>
      <c r="H31" s="79">
        <f>'Working Capital'!H16</f>
        <v>0</v>
      </c>
      <c r="I31" s="79">
        <f>'Working Capital'!I16</f>
        <v>0</v>
      </c>
      <c r="J31" s="79">
        <f>'Working Capital'!J16</f>
        <v>0</v>
      </c>
      <c r="K31" s="79">
        <f>'Working Capital'!K16</f>
        <v>1972602.7397260275</v>
      </c>
      <c r="L31" s="79">
        <f>'Working Capital'!L16</f>
        <v>2284931.506849315</v>
      </c>
      <c r="M31" s="79">
        <f>'Working Capital'!M16</f>
        <v>2929863.01369863</v>
      </c>
      <c r="N31" s="79">
        <f>'Working Capital'!N16</f>
        <v>3401643.8356164382</v>
      </c>
      <c r="O31" s="79">
        <f>'Working Capital'!O16</f>
        <v>4126027.3972602738</v>
      </c>
    </row>
    <row r="32" spans="2:15" x14ac:dyDescent="0.4">
      <c r="G32" s="79"/>
      <c r="H32" s="79"/>
      <c r="I32" s="79"/>
      <c r="J32" s="79"/>
      <c r="K32" s="79"/>
      <c r="L32" s="79"/>
      <c r="M32" s="79"/>
      <c r="N32" s="79"/>
      <c r="O32" s="79"/>
    </row>
    <row r="33" spans="2:15" x14ac:dyDescent="0.4">
      <c r="B33" s="52" t="s">
        <v>211</v>
      </c>
      <c r="E33" s="52" t="s">
        <v>49</v>
      </c>
      <c r="G33" s="82">
        <f ca="1">SUM(G34:G36)</f>
        <v>0</v>
      </c>
      <c r="H33" s="82">
        <f t="shared" ref="H33:O33" ca="1" si="5">SUM(H34:H36)</f>
        <v>0</v>
      </c>
      <c r="I33" s="82">
        <f t="shared" ca="1" si="5"/>
        <v>0</v>
      </c>
      <c r="J33" s="82">
        <f t="shared" ca="1" si="5"/>
        <v>98527472.527472526</v>
      </c>
      <c r="K33" s="82">
        <f t="shared" ca="1" si="5"/>
        <v>436432437.66917449</v>
      </c>
      <c r="L33" s="82">
        <f t="shared" ca="1" si="5"/>
        <v>869183893.02343702</v>
      </c>
      <c r="M33" s="82">
        <f t="shared" ca="1" si="5"/>
        <v>1269076544.0110559</v>
      </c>
      <c r="N33" s="82">
        <f t="shared" ca="1" si="5"/>
        <v>1853370027.386827</v>
      </c>
      <c r="O33" s="82">
        <f t="shared" ca="1" si="5"/>
        <v>2500217459.9171858</v>
      </c>
    </row>
    <row r="34" spans="2:15" x14ac:dyDescent="0.4">
      <c r="C34" t="s">
        <v>212</v>
      </c>
      <c r="E34" t="s">
        <v>49</v>
      </c>
      <c r="G34" s="48">
        <f>Equity!G10+Equity!G16</f>
        <v>0</v>
      </c>
      <c r="H34" s="48">
        <f>Equity!H10+Equity!H16</f>
        <v>0</v>
      </c>
      <c r="I34" s="48">
        <f>Equity!I10+Equity!I16</f>
        <v>0</v>
      </c>
      <c r="J34" s="48">
        <f>Equity!J10+Equity!J16</f>
        <v>100000000</v>
      </c>
      <c r="K34" s="48">
        <f>Equity!K10+Equity!K16</f>
        <v>100000000</v>
      </c>
      <c r="L34" s="48">
        <f>Equity!L10+Equity!L16</f>
        <v>125000000</v>
      </c>
      <c r="M34" s="48">
        <f>Equity!M10+Equity!M16</f>
        <v>125000000</v>
      </c>
      <c r="N34" s="48">
        <f>Equity!N10+Equity!N16</f>
        <v>125000000</v>
      </c>
      <c r="O34" s="48">
        <f>Equity!O10+Equity!O16</f>
        <v>125000000</v>
      </c>
    </row>
    <row r="35" spans="2:15" x14ac:dyDescent="0.4">
      <c r="C35" t="s">
        <v>213</v>
      </c>
      <c r="E35" t="s">
        <v>49</v>
      </c>
      <c r="G35" s="48">
        <f ca="1">Equity!G33</f>
        <v>0</v>
      </c>
      <c r="H35" s="48">
        <f ca="1">Equity!H33</f>
        <v>0</v>
      </c>
      <c r="I35" s="48">
        <f ca="1">Equity!I33</f>
        <v>0</v>
      </c>
      <c r="J35" s="48">
        <f ca="1">Equity!J33</f>
        <v>-1472527.4725274725</v>
      </c>
      <c r="K35" s="48">
        <f ca="1">Equity!K33</f>
        <v>336432437.66917449</v>
      </c>
      <c r="L35" s="48">
        <f ca="1">Equity!L33</f>
        <v>744183893.02343702</v>
      </c>
      <c r="M35" s="48">
        <f ca="1">Equity!M33</f>
        <v>1144076544.0110559</v>
      </c>
      <c r="N35" s="48">
        <f ca="1">Equity!N33</f>
        <v>1728370027.386827</v>
      </c>
      <c r="O35" s="48">
        <f ca="1">Equity!O33</f>
        <v>2375217459.9171858</v>
      </c>
    </row>
    <row r="36" spans="2:15" x14ac:dyDescent="0.4">
      <c r="C36" t="s">
        <v>214</v>
      </c>
      <c r="E36" t="s">
        <v>49</v>
      </c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4"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4">
      <c r="B38" s="52" t="s">
        <v>215</v>
      </c>
      <c r="E38" s="52" t="s">
        <v>49</v>
      </c>
      <c r="G38" s="82">
        <f ca="1">G23+G28+G33</f>
        <v>0</v>
      </c>
      <c r="H38" s="82">
        <f t="shared" ref="H38:O38" ca="1" si="6">H23+H28+H33</f>
        <v>0</v>
      </c>
      <c r="I38" s="82">
        <f t="shared" ca="1" si="6"/>
        <v>0</v>
      </c>
      <c r="J38" s="82">
        <f t="shared" ca="1" si="6"/>
        <v>148527472.52747253</v>
      </c>
      <c r="K38" s="82">
        <f t="shared" ca="1" si="6"/>
        <v>488268054.10753065</v>
      </c>
      <c r="L38" s="82">
        <f t="shared" ca="1" si="6"/>
        <v>924318139.59877944</v>
      </c>
      <c r="M38" s="82">
        <f t="shared" ca="1" si="6"/>
        <v>1321305037.1617408</v>
      </c>
      <c r="N38" s="82">
        <f t="shared" ca="1" si="6"/>
        <v>1900788109.5786078</v>
      </c>
      <c r="O38" s="82">
        <f t="shared" ca="1" si="6"/>
        <v>2545603761.2870488</v>
      </c>
    </row>
    <row r="39" spans="2:15" x14ac:dyDescent="0.4">
      <c r="G39" s="79"/>
      <c r="H39" s="79"/>
      <c r="I39" s="79"/>
      <c r="J39" s="79"/>
      <c r="K39" s="79"/>
      <c r="L39" s="79"/>
      <c r="M39" s="79"/>
      <c r="N39" s="79"/>
      <c r="O39" s="79"/>
    </row>
    <row r="40" spans="2:15" s="12" customFormat="1" x14ac:dyDescent="0.4">
      <c r="B40" s="12" t="s">
        <v>216</v>
      </c>
      <c r="E40" s="12" t="s">
        <v>49</v>
      </c>
      <c r="G40" s="85">
        <f ca="1">G20-G38</f>
        <v>0</v>
      </c>
      <c r="H40" s="85">
        <f t="shared" ref="H40:O40" ca="1" si="7">H20-H38</f>
        <v>0</v>
      </c>
      <c r="I40" s="85">
        <f t="shared" ca="1" si="7"/>
        <v>0</v>
      </c>
      <c r="J40" s="85">
        <f t="shared" ca="1" si="7"/>
        <v>0</v>
      </c>
      <c r="K40" s="85">
        <f t="shared" ca="1" si="7"/>
        <v>0</v>
      </c>
      <c r="L40" s="85">
        <f t="shared" ca="1" si="7"/>
        <v>0</v>
      </c>
      <c r="M40" s="85">
        <f t="shared" ca="1" si="7"/>
        <v>0</v>
      </c>
      <c r="N40" s="85">
        <f t="shared" ca="1" si="7"/>
        <v>0</v>
      </c>
      <c r="O40" s="85">
        <f t="shared" ca="1" si="7"/>
        <v>0</v>
      </c>
    </row>
  </sheetData>
  <hyperlinks>
    <hyperlink ref="O1" location="'Table of Content'!A1" display="&gt;&gt; Table of Contents" xr:uid="{8D9A3ECF-7064-46AF-9DE8-CD6341D6C1F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E133-916B-4E90-9A81-0926DB73ADC5}">
  <sheetPr>
    <tabColor theme="4"/>
  </sheetPr>
  <dimension ref="B1:T49"/>
  <sheetViews>
    <sheetView showGridLines="0" workbookViewId="0">
      <selection activeCell="G27" sqref="G27"/>
    </sheetView>
  </sheetViews>
  <sheetFormatPr defaultRowHeight="14.6" x14ac:dyDescent="0.4"/>
  <cols>
    <col min="2" max="2" width="3.15234375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16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17</v>
      </c>
      <c r="E8" s="52" t="s">
        <v>49</v>
      </c>
      <c r="G8" s="82">
        <f ca="1">SUM(G9:G19)</f>
        <v>0</v>
      </c>
      <c r="H8" s="82">
        <f t="shared" ref="H8:I8" ca="1" si="0">SUM(H9:H19)</f>
        <v>0</v>
      </c>
      <c r="I8" s="82">
        <f t="shared" ca="1" si="0"/>
        <v>0</v>
      </c>
      <c r="J8" s="82">
        <f ca="1">SUM(J9:J19)</f>
        <v>0</v>
      </c>
      <c r="K8" s="82">
        <f t="shared" ref="K8" ca="1" si="1">SUM(K9:K19)</f>
        <v>307921587.08672059</v>
      </c>
      <c r="L8" s="82">
        <f t="shared" ref="L8" ca="1" si="2">SUM(L9:L19)</f>
        <v>405136281.10521221</v>
      </c>
      <c r="M8" s="82">
        <f t="shared" ref="M8" ca="1" si="3">SUM(M9:M19)</f>
        <v>435329937.58050239</v>
      </c>
      <c r="N8" s="82">
        <f t="shared" ref="N8" ca="1" si="4">SUM(N9:N19)</f>
        <v>618105702.92307055</v>
      </c>
      <c r="O8" s="82">
        <f t="shared" ref="O8" ca="1" si="5">SUM(O9:O19)</f>
        <v>667434038.56845164</v>
      </c>
    </row>
    <row r="9" spans="2:20" x14ac:dyDescent="0.4">
      <c r="C9" t="s">
        <v>9</v>
      </c>
      <c r="E9" t="s">
        <v>49</v>
      </c>
      <c r="G9" s="79">
        <f ca="1">'Income Statement'!G39</f>
        <v>0</v>
      </c>
      <c r="H9" s="79">
        <f ca="1">'Income Statement'!H39</f>
        <v>0</v>
      </c>
      <c r="I9" s="79">
        <f ca="1">'Income Statement'!I39</f>
        <v>0</v>
      </c>
      <c r="J9" s="79">
        <f ca="1">'Income Statement'!J39</f>
        <v>-1472527.4725274725</v>
      </c>
      <c r="K9" s="79">
        <f ca="1">'Income Statement'!K39</f>
        <v>337904965.14170194</v>
      </c>
      <c r="L9" s="79">
        <f ca="1">'Income Statement'!L39</f>
        <v>407751455.35426259</v>
      </c>
      <c r="M9" s="79">
        <f ca="1">'Income Statement'!M39</f>
        <v>467710702.90949595</v>
      </c>
      <c r="N9" s="79">
        <f ca="1">'Income Statement'!N39</f>
        <v>683384191.08277309</v>
      </c>
      <c r="O9" s="79">
        <f ca="1">'Income Statement'!O39</f>
        <v>756546704.71387005</v>
      </c>
    </row>
    <row r="10" spans="2:20" x14ac:dyDescent="0.4">
      <c r="C10" s="63" t="s">
        <v>218</v>
      </c>
      <c r="E10" t="s">
        <v>49</v>
      </c>
      <c r="G10" s="79">
        <f>-'Income Statement'!G28</f>
        <v>0</v>
      </c>
      <c r="H10" s="79">
        <f>-'Income Statement'!H28</f>
        <v>0</v>
      </c>
      <c r="I10" s="79">
        <f>-'Income Statement'!I28</f>
        <v>0</v>
      </c>
      <c r="J10" s="79">
        <f>-'Income Statement'!J28</f>
        <v>3523809.5238095238</v>
      </c>
      <c r="K10" s="79">
        <f>-'Income Statement'!K28</f>
        <v>11923809.523809524</v>
      </c>
      <c r="L10" s="79">
        <f>-'Income Statement'!L28</f>
        <v>12173809.523809524</v>
      </c>
      <c r="M10" s="79">
        <f>-'Income Statement'!M28</f>
        <v>15157142.857142858</v>
      </c>
      <c r="N10" s="79">
        <f>-'Income Statement'!N28</f>
        <v>17057142.857142858</v>
      </c>
      <c r="O10" s="79">
        <f>-'Income Statement'!O28</f>
        <v>16207142.857142858</v>
      </c>
    </row>
    <row r="11" spans="2:20" x14ac:dyDescent="0.4">
      <c r="C11" s="63" t="s">
        <v>219</v>
      </c>
      <c r="E11" t="s">
        <v>49</v>
      </c>
      <c r="G11" s="79">
        <f ca="1">-'Income Statement'!G33</f>
        <v>0</v>
      </c>
      <c r="H11" s="79">
        <f ca="1">-'Income Statement'!H33</f>
        <v>0</v>
      </c>
      <c r="I11" s="79">
        <f ca="1">-'Income Statement'!I33</f>
        <v>0</v>
      </c>
      <c r="J11" s="79">
        <f ca="1">-'Income Statement'!J33</f>
        <v>-2051282.0512820513</v>
      </c>
      <c r="K11" s="79">
        <f ca="1">-'Income Statement'!K33</f>
        <v>-10564721.825366274</v>
      </c>
      <c r="L11" s="79">
        <f ca="1">-'Income Statement'!L33</f>
        <v>-28005422.129024364</v>
      </c>
      <c r="M11" s="79">
        <f ca="1">-'Income Statement'!M33</f>
        <v>-48278730.103944533</v>
      </c>
      <c r="N11" s="79">
        <f ca="1">-'Income Statement'!N33</f>
        <v>-71793713.208626136</v>
      </c>
      <c r="O11" s="79">
        <f ca="1">-'Income Statement'!O33</f>
        <v>-102071589.824479</v>
      </c>
    </row>
    <row r="12" spans="2:20" x14ac:dyDescent="0.4">
      <c r="C12" s="63" t="s">
        <v>220</v>
      </c>
      <c r="E12" t="s">
        <v>49</v>
      </c>
      <c r="G12" s="79">
        <f ca="1">-'Income Statement'!G34</f>
        <v>0</v>
      </c>
      <c r="H12" s="79">
        <f ca="1">-'Income Statement'!H34</f>
        <v>0</v>
      </c>
      <c r="I12" s="79">
        <f ca="1">-'Income Statement'!I34</f>
        <v>0</v>
      </c>
      <c r="J12" s="79">
        <f ca="1">-'Income Statement'!J34</f>
        <v>0</v>
      </c>
      <c r="K12" s="79">
        <f ca="1">-'Income Statement'!K34</f>
        <v>10000000</v>
      </c>
      <c r="L12" s="79">
        <f ca="1">-'Income Statement'!L34</f>
        <v>8000000</v>
      </c>
      <c r="M12" s="79">
        <f ca="1">-'Income Statement'!M34</f>
        <v>6000000</v>
      </c>
      <c r="N12" s="79">
        <f ca="1">-'Income Statement'!N34</f>
        <v>4000000</v>
      </c>
      <c r="O12" s="79">
        <f ca="1">-'Income Statement'!O34</f>
        <v>2000000</v>
      </c>
    </row>
    <row r="13" spans="2:20" x14ac:dyDescent="0.4">
      <c r="C13" t="s">
        <v>221</v>
      </c>
      <c r="E13" t="s">
        <v>49</v>
      </c>
      <c r="G13" s="79">
        <f>'Balance Sheet'!F14-'Balance Sheet'!G14</f>
        <v>0</v>
      </c>
      <c r="H13" s="79">
        <f>'Balance Sheet'!G14-'Balance Sheet'!H14</f>
        <v>0</v>
      </c>
      <c r="I13" s="79">
        <f>'Balance Sheet'!H14-'Balance Sheet'!I14</f>
        <v>0</v>
      </c>
      <c r="J13" s="79">
        <f>'Balance Sheet'!I14-'Balance Sheet'!J14</f>
        <v>0</v>
      </c>
      <c r="K13" s="79">
        <f>'Balance Sheet'!J14-'Balance Sheet'!K14</f>
        <v>-9863013.6986301374</v>
      </c>
      <c r="L13" s="79">
        <f>'Balance Sheet'!K14-'Balance Sheet'!L14</f>
        <v>-1561643.8356164377</v>
      </c>
      <c r="M13" s="79">
        <f>'Balance Sheet'!L14-'Balance Sheet'!M14</f>
        <v>-3224657.5342465751</v>
      </c>
      <c r="N13" s="79">
        <f>'Balance Sheet'!M14-'Balance Sheet'!N14</f>
        <v>-2358904.1095890403</v>
      </c>
      <c r="O13" s="79">
        <f>'Balance Sheet'!N14-'Balance Sheet'!O14</f>
        <v>-3621917.8082191795</v>
      </c>
    </row>
    <row r="14" spans="2:20" x14ac:dyDescent="0.4">
      <c r="C14" t="s">
        <v>222</v>
      </c>
      <c r="E14" t="s">
        <v>49</v>
      </c>
      <c r="G14" s="79">
        <f>'Balance Sheet'!F15-'Balance Sheet'!G15</f>
        <v>0</v>
      </c>
      <c r="H14" s="79">
        <f>'Balance Sheet'!G15-'Balance Sheet'!H15</f>
        <v>0</v>
      </c>
      <c r="I14" s="79">
        <f>'Balance Sheet'!H15-'Balance Sheet'!I15</f>
        <v>0</v>
      </c>
      <c r="J14" s="79">
        <f>'Balance Sheet'!I15-'Balance Sheet'!J15</f>
        <v>0</v>
      </c>
      <c r="K14" s="79">
        <f>'Balance Sheet'!J15-'Balance Sheet'!K15</f>
        <v>-38219178.08219178</v>
      </c>
      <c r="L14" s="79">
        <f>'Balance Sheet'!K15-'Balance Sheet'!L15</f>
        <v>-5753424.6575342491</v>
      </c>
      <c r="M14" s="79">
        <f>'Balance Sheet'!L15-'Balance Sheet'!M15</f>
        <v>-8054794.5205479413</v>
      </c>
      <c r="N14" s="79">
        <f>'Balance Sheet'!M15-'Balance Sheet'!N15</f>
        <v>-15328767.12328767</v>
      </c>
      <c r="O14" s="79">
        <f>'Balance Sheet'!N15-'Balance Sheet'!O15</f>
        <v>-8465753.4246575385</v>
      </c>
    </row>
    <row r="15" spans="2:20" x14ac:dyDescent="0.4">
      <c r="C15" t="s">
        <v>223</v>
      </c>
      <c r="E15" t="s">
        <v>49</v>
      </c>
      <c r="G15" s="79">
        <f>'Balance Sheet'!F16-'Balance Sheet'!G16</f>
        <v>0</v>
      </c>
      <c r="H15" s="79">
        <f>'Balance Sheet'!G16-'Balance Sheet'!H16</f>
        <v>0</v>
      </c>
      <c r="I15" s="79">
        <f>'Balance Sheet'!H16-'Balance Sheet'!I16</f>
        <v>0</v>
      </c>
      <c r="J15" s="79">
        <f>'Balance Sheet'!I16-'Balance Sheet'!J16</f>
        <v>0</v>
      </c>
      <c r="K15" s="79">
        <f>'Balance Sheet'!J16-'Balance Sheet'!K16</f>
        <v>-5095890.4109589038</v>
      </c>
      <c r="L15" s="79">
        <f>'Balance Sheet'!K16-'Balance Sheet'!L16</f>
        <v>-767123.28767123353</v>
      </c>
      <c r="M15" s="79">
        <f>'Balance Sheet'!L16-'Balance Sheet'!M16</f>
        <v>-1073972.6027397253</v>
      </c>
      <c r="N15" s="79">
        <f>'Balance Sheet'!M16-'Balance Sheet'!N16</f>
        <v>-2043835.6164383572</v>
      </c>
      <c r="O15" s="79">
        <f>'Balance Sheet'!N16-'Balance Sheet'!O16</f>
        <v>-1128767.1232876703</v>
      </c>
    </row>
    <row r="16" spans="2:20" x14ac:dyDescent="0.4">
      <c r="C16" t="s">
        <v>224</v>
      </c>
      <c r="E16" t="s">
        <v>49</v>
      </c>
      <c r="G16" s="79">
        <f>'Balance Sheet'!G30-'Balance Sheet'!F30</f>
        <v>0</v>
      </c>
      <c r="H16" s="79">
        <f>'Balance Sheet'!H30-'Balance Sheet'!G30</f>
        <v>0</v>
      </c>
      <c r="I16" s="79">
        <f>'Balance Sheet'!I30-'Balance Sheet'!H30</f>
        <v>0</v>
      </c>
      <c r="J16" s="79">
        <f>'Balance Sheet'!J30-'Balance Sheet'!I30</f>
        <v>0</v>
      </c>
      <c r="K16" s="79">
        <f>'Balance Sheet'!K30-'Balance Sheet'!J30</f>
        <v>9863013.6986301374</v>
      </c>
      <c r="L16" s="79">
        <f>'Balance Sheet'!L30-'Balance Sheet'!K30</f>
        <v>12986301.369863013</v>
      </c>
      <c r="M16" s="79">
        <f>'Balance Sheet'!M30-'Balance Sheet'!L30</f>
        <v>6449315.0684931502</v>
      </c>
      <c r="N16" s="79">
        <f>'Balance Sheet'!N30-'Balance Sheet'!M30</f>
        <v>4717808.2191780806</v>
      </c>
      <c r="O16" s="79">
        <f>'Balance Sheet'!O30-'Balance Sheet'!N30</f>
        <v>7243835.616438359</v>
      </c>
    </row>
    <row r="17" spans="2:15" x14ac:dyDescent="0.4">
      <c r="C17" t="s">
        <v>225</v>
      </c>
      <c r="E17" t="s">
        <v>49</v>
      </c>
      <c r="G17" s="79">
        <f>'Balance Sheet'!G31-'Balance Sheet'!F31</f>
        <v>0</v>
      </c>
      <c r="H17" s="79">
        <f>'Balance Sheet'!H31-'Balance Sheet'!G31</f>
        <v>0</v>
      </c>
      <c r="I17" s="79">
        <f>'Balance Sheet'!I31-'Balance Sheet'!H31</f>
        <v>0</v>
      </c>
      <c r="J17" s="79">
        <f>'Balance Sheet'!J31-'Balance Sheet'!I31</f>
        <v>0</v>
      </c>
      <c r="K17" s="79">
        <f>'Balance Sheet'!K31-'Balance Sheet'!J31</f>
        <v>1972602.7397260275</v>
      </c>
      <c r="L17" s="79">
        <f>'Balance Sheet'!L31-'Balance Sheet'!K31</f>
        <v>312328.76712328754</v>
      </c>
      <c r="M17" s="79">
        <f>'Balance Sheet'!M31-'Balance Sheet'!L31</f>
        <v>644931.50684931502</v>
      </c>
      <c r="N17" s="79">
        <f>'Balance Sheet'!N31-'Balance Sheet'!M31</f>
        <v>471780.82191780815</v>
      </c>
      <c r="O17" s="79">
        <f>'Balance Sheet'!O31-'Balance Sheet'!N31</f>
        <v>724383.56164383562</v>
      </c>
    </row>
    <row r="18" spans="2:15" x14ac:dyDescent="0.4">
      <c r="C18" s="63" t="s">
        <v>226</v>
      </c>
      <c r="E18" t="s">
        <v>49</v>
      </c>
      <c r="G18" s="79">
        <f ca="1">Tax!G18</f>
        <v>0</v>
      </c>
      <c r="H18" s="79">
        <f ca="1">Tax!H18</f>
        <v>0</v>
      </c>
      <c r="I18" s="79">
        <f ca="1">Tax!I18</f>
        <v>0</v>
      </c>
      <c r="J18" s="79">
        <f ca="1">Tax!J18</f>
        <v>0</v>
      </c>
      <c r="K18" s="79">
        <f ca="1">Tax!K18</f>
        <v>144816413.63215798</v>
      </c>
      <c r="L18" s="79">
        <f ca="1">Tax!L18</f>
        <v>174750623.7232554</v>
      </c>
      <c r="M18" s="79">
        <f ca="1">Tax!M18</f>
        <v>200447444.10406968</v>
      </c>
      <c r="N18" s="79">
        <f ca="1">Tax!N18</f>
        <v>292878939.03547418</v>
      </c>
      <c r="O18" s="79">
        <f ca="1">Tax!O18</f>
        <v>324234302.02023</v>
      </c>
    </row>
    <row r="19" spans="2:15" x14ac:dyDescent="0.4">
      <c r="C19" s="63" t="s">
        <v>227</v>
      </c>
      <c r="E19" t="s">
        <v>49</v>
      </c>
      <c r="G19" s="79">
        <f ca="1">-Tax!G16</f>
        <v>0</v>
      </c>
      <c r="H19" s="79">
        <f ca="1">-Tax!H16</f>
        <v>0</v>
      </c>
      <c r="I19" s="79">
        <f ca="1">-Tax!I16</f>
        <v>0</v>
      </c>
      <c r="J19" s="79">
        <f ca="1">-Tax!J16</f>
        <v>0</v>
      </c>
      <c r="K19" s="79">
        <f ca="1">-Tax!K16</f>
        <v>-144816413.63215798</v>
      </c>
      <c r="L19" s="79">
        <f ca="1">-Tax!L16</f>
        <v>-174750623.7232554</v>
      </c>
      <c r="M19" s="79">
        <f ca="1">-Tax!M16</f>
        <v>-200447444.10406968</v>
      </c>
      <c r="N19" s="79">
        <f ca="1">-Tax!N16</f>
        <v>-292878939.03547418</v>
      </c>
      <c r="O19" s="79">
        <f ca="1">-Tax!O16</f>
        <v>-324234302.02023</v>
      </c>
    </row>
    <row r="20" spans="2:15" x14ac:dyDescent="0.4">
      <c r="G20" s="79"/>
      <c r="H20" s="79"/>
      <c r="I20" s="79"/>
      <c r="J20" s="79"/>
      <c r="K20" s="79"/>
      <c r="L20" s="79"/>
      <c r="M20" s="79"/>
      <c r="N20" s="79"/>
      <c r="O20" s="79"/>
    </row>
    <row r="21" spans="2:15" s="52" customFormat="1" x14ac:dyDescent="0.4">
      <c r="B21" s="52" t="s">
        <v>18</v>
      </c>
      <c r="E21" s="52" t="s">
        <v>49</v>
      </c>
      <c r="G21" s="82">
        <f ca="1">SUM(G22:G27)</f>
        <v>0</v>
      </c>
      <c r="H21" s="82">
        <f t="shared" ref="H21:I21" ca="1" si="6">SUM(H22:H27)</f>
        <v>0</v>
      </c>
      <c r="I21" s="82">
        <f t="shared" ca="1" si="6"/>
        <v>0</v>
      </c>
      <c r="J21" s="82">
        <f t="shared" ref="J21" ca="1" si="7">SUM(J22:J27)</f>
        <v>-67948717.948717952</v>
      </c>
      <c r="K21" s="82">
        <f t="shared" ref="K21" ca="1" si="8">SUM(K22:K27)</f>
        <v>-29435278.174633726</v>
      </c>
      <c r="L21" s="82">
        <f t="shared" ref="L21" ca="1" si="9">SUM(L22:L27)</f>
        <v>27005422.129024364</v>
      </c>
      <c r="M21" s="82">
        <f t="shared" ref="M21" ca="1" si="10">SUM(M22:M27)</f>
        <v>20278730.103944533</v>
      </c>
      <c r="N21" s="82">
        <f t="shared" ref="N21" ca="1" si="11">SUM(N22:N27)</f>
        <v>63793713.208626136</v>
      </c>
      <c r="O21" s="82">
        <f t="shared" ref="O21" ca="1" si="12">SUM(O22:O27)</f>
        <v>96571589.824478999</v>
      </c>
    </row>
    <row r="22" spans="2:15" x14ac:dyDescent="0.4">
      <c r="C22" t="s">
        <v>228</v>
      </c>
      <c r="E22" t="s">
        <v>49</v>
      </c>
      <c r="G22" s="48">
        <f>-Depreciation!G22</f>
        <v>0</v>
      </c>
      <c r="H22" s="48">
        <f>-Depreciation!H22</f>
        <v>0</v>
      </c>
      <c r="I22" s="48">
        <f>-Depreciation!I22</f>
        <v>0</v>
      </c>
      <c r="J22" s="48">
        <f>-Depreciation!J22</f>
        <v>-70000000</v>
      </c>
      <c r="K22" s="48">
        <f>-Depreciation!K22</f>
        <v>-40000000</v>
      </c>
      <c r="L22" s="48">
        <f>-Depreciation!L22</f>
        <v>-1000000</v>
      </c>
      <c r="M22" s="48">
        <f>-Depreciation!M22</f>
        <v>-28000000</v>
      </c>
      <c r="N22" s="48">
        <f>-Depreciation!N22</f>
        <v>-8000000</v>
      </c>
      <c r="O22" s="48">
        <f>-Depreciation!O22</f>
        <v>-5500000</v>
      </c>
    </row>
    <row r="23" spans="2:15" x14ac:dyDescent="0.4">
      <c r="C23" t="s">
        <v>230</v>
      </c>
      <c r="E23" t="s">
        <v>49</v>
      </c>
      <c r="G23" s="48"/>
      <c r="H23" s="48"/>
      <c r="I23" s="48"/>
      <c r="J23" s="48"/>
      <c r="K23" s="48"/>
      <c r="L23" s="48"/>
      <c r="M23" s="48"/>
      <c r="N23" s="48"/>
      <c r="O23" s="48"/>
    </row>
    <row r="24" spans="2:15" x14ac:dyDescent="0.4">
      <c r="C24" t="s">
        <v>198</v>
      </c>
      <c r="E24" t="s">
        <v>49</v>
      </c>
      <c r="G24" s="48">
        <f ca="1">'Income Statement'!G33</f>
        <v>0</v>
      </c>
      <c r="H24" s="48">
        <f ca="1">'Income Statement'!H33</f>
        <v>0</v>
      </c>
      <c r="I24" s="48">
        <f ca="1">'Income Statement'!I33</f>
        <v>0</v>
      </c>
      <c r="J24" s="48">
        <f ca="1">'Income Statement'!J33</f>
        <v>2051282.0512820513</v>
      </c>
      <c r="K24" s="48">
        <f ca="1">'Income Statement'!K33</f>
        <v>10564721.825366274</v>
      </c>
      <c r="L24" s="48">
        <f ca="1">'Income Statement'!L33</f>
        <v>28005422.129024364</v>
      </c>
      <c r="M24" s="48">
        <f ca="1">'Income Statement'!M33</f>
        <v>48278730.103944533</v>
      </c>
      <c r="N24" s="48">
        <f ca="1">'Income Statement'!N33</f>
        <v>71793713.208626136</v>
      </c>
      <c r="O24" s="48">
        <f ca="1">'Income Statement'!O33</f>
        <v>102071589.824479</v>
      </c>
    </row>
    <row r="25" spans="2:15" x14ac:dyDescent="0.4">
      <c r="C25" t="s">
        <v>229</v>
      </c>
      <c r="E25" t="s">
        <v>49</v>
      </c>
      <c r="G25" s="48">
        <f>'Balance Sheet'!F11-'Balance Sheet'!G11</f>
        <v>0</v>
      </c>
      <c r="H25" s="48">
        <f>'Balance Sheet'!G11-'Balance Sheet'!H11</f>
        <v>0</v>
      </c>
      <c r="I25" s="48">
        <f>'Balance Sheet'!H11-'Balance Sheet'!I11</f>
        <v>0</v>
      </c>
      <c r="J25" s="48">
        <f>'Balance Sheet'!I11-'Balance Sheet'!J11</f>
        <v>0</v>
      </c>
      <c r="K25" s="48">
        <f>'Balance Sheet'!J11-'Balance Sheet'!K11</f>
        <v>0</v>
      </c>
      <c r="L25" s="48">
        <f>'Balance Sheet'!K11-'Balance Sheet'!L11</f>
        <v>0</v>
      </c>
      <c r="M25" s="48">
        <f>'Balance Sheet'!L11-'Balance Sheet'!M11</f>
        <v>0</v>
      </c>
      <c r="N25" s="48">
        <f>'Balance Sheet'!M11-'Balance Sheet'!N11</f>
        <v>0</v>
      </c>
      <c r="O25" s="48">
        <f>'Balance Sheet'!N11-'Balance Sheet'!O11</f>
        <v>0</v>
      </c>
    </row>
    <row r="26" spans="2:15" x14ac:dyDescent="0.4">
      <c r="C26" t="s">
        <v>231</v>
      </c>
      <c r="E26" t="s">
        <v>49</v>
      </c>
      <c r="G26" s="48">
        <f>'Balance Sheet'!G25-'Balance Sheet'!F25</f>
        <v>0</v>
      </c>
      <c r="H26" s="48">
        <f>'Balance Sheet'!H25-'Balance Sheet'!G25</f>
        <v>0</v>
      </c>
      <c r="I26" s="48">
        <f>'Balance Sheet'!I25-'Balance Sheet'!H25</f>
        <v>0</v>
      </c>
      <c r="J26" s="48">
        <f>'Balance Sheet'!J25-'Balance Sheet'!I25</f>
        <v>0</v>
      </c>
      <c r="K26" s="48">
        <f>'Balance Sheet'!K25-'Balance Sheet'!J25</f>
        <v>0</v>
      </c>
      <c r="L26" s="48">
        <f>'Balance Sheet'!L25-'Balance Sheet'!K25</f>
        <v>0</v>
      </c>
      <c r="M26" s="48">
        <f>'Balance Sheet'!M25-'Balance Sheet'!L25</f>
        <v>0</v>
      </c>
      <c r="N26" s="48">
        <f>'Balance Sheet'!N25-'Balance Sheet'!M25</f>
        <v>0</v>
      </c>
      <c r="O26" s="48">
        <f>'Balance Sheet'!O25-'Balance Sheet'!N25</f>
        <v>0</v>
      </c>
    </row>
    <row r="27" spans="2:15" x14ac:dyDescent="0.4">
      <c r="C27" t="s">
        <v>232</v>
      </c>
      <c r="E27" t="s">
        <v>49</v>
      </c>
      <c r="G27" s="48">
        <f>'Balance Sheet'!G26-'Balance Sheet'!F26</f>
        <v>0</v>
      </c>
      <c r="H27" s="48">
        <f>'Balance Sheet'!H26-'Balance Sheet'!G26</f>
        <v>0</v>
      </c>
      <c r="I27" s="48">
        <f>'Balance Sheet'!I26-'Balance Sheet'!H26</f>
        <v>0</v>
      </c>
      <c r="J27" s="48">
        <f>'Balance Sheet'!J26-'Balance Sheet'!I26</f>
        <v>0</v>
      </c>
      <c r="K27" s="48">
        <f>'Balance Sheet'!K26-'Balance Sheet'!J26</f>
        <v>0</v>
      </c>
      <c r="L27" s="48">
        <f>'Balance Sheet'!L26-'Balance Sheet'!K26</f>
        <v>0</v>
      </c>
      <c r="M27" s="48">
        <f>'Balance Sheet'!M26-'Balance Sheet'!L26</f>
        <v>0</v>
      </c>
      <c r="N27" s="48">
        <f>'Balance Sheet'!N26-'Balance Sheet'!M26</f>
        <v>0</v>
      </c>
      <c r="O27" s="48">
        <f>'Balance Sheet'!O26-'Balance Sheet'!N26</f>
        <v>0</v>
      </c>
    </row>
    <row r="28" spans="2:15" x14ac:dyDescent="0.4">
      <c r="G28" s="79"/>
      <c r="H28" s="79"/>
      <c r="I28" s="79"/>
      <c r="J28" s="79"/>
      <c r="K28" s="79"/>
      <c r="L28" s="79"/>
      <c r="M28" s="79"/>
      <c r="N28" s="79"/>
      <c r="O28" s="79"/>
    </row>
    <row r="29" spans="2:15" s="52" customFormat="1" x14ac:dyDescent="0.4">
      <c r="B29" s="52" t="s">
        <v>19</v>
      </c>
      <c r="E29" s="52" t="s">
        <v>49</v>
      </c>
      <c r="G29" s="83">
        <f ca="1">SUM(G30:G35)</f>
        <v>0</v>
      </c>
      <c r="H29" s="83">
        <f t="shared" ref="H29:I29" ca="1" si="13">SUM(H30:H35)</f>
        <v>0</v>
      </c>
      <c r="I29" s="83">
        <f t="shared" ca="1" si="13"/>
        <v>0</v>
      </c>
      <c r="J29" s="83">
        <f t="shared" ref="J29" ca="1" si="14">SUM(J30:J35)</f>
        <v>150000000</v>
      </c>
      <c r="K29" s="83">
        <f t="shared" ref="K29" ca="1" si="15">SUM(K30:K35)</f>
        <v>-20000000</v>
      </c>
      <c r="L29" s="83">
        <f t="shared" ref="L29" ca="1" si="16">SUM(L30:L35)</f>
        <v>7000000</v>
      </c>
      <c r="M29" s="83">
        <f t="shared" ref="M29" ca="1" si="17">SUM(M30:M35)</f>
        <v>-83818051.921876907</v>
      </c>
      <c r="N29" s="83">
        <f t="shared" ref="N29" ca="1" si="18">SUM(N30:N35)</f>
        <v>-113090707.7070021</v>
      </c>
      <c r="O29" s="83">
        <f t="shared" ref="O29" ca="1" si="19">SUM(O30:O35)</f>
        <v>-121699272.18351117</v>
      </c>
    </row>
    <row r="30" spans="2:15" x14ac:dyDescent="0.4">
      <c r="C30" t="s">
        <v>234</v>
      </c>
      <c r="E30" t="s">
        <v>49</v>
      </c>
      <c r="G30" s="48">
        <f ca="1">'Income Statement'!G34</f>
        <v>0</v>
      </c>
      <c r="H30" s="48">
        <f ca="1">'Income Statement'!H34</f>
        <v>0</v>
      </c>
      <c r="I30" s="48">
        <f ca="1">'Income Statement'!I34</f>
        <v>0</v>
      </c>
      <c r="J30" s="48">
        <f ca="1">'Income Statement'!J34</f>
        <v>0</v>
      </c>
      <c r="K30" s="48">
        <f ca="1">'Income Statement'!K34</f>
        <v>-10000000</v>
      </c>
      <c r="L30" s="48">
        <f ca="1">'Income Statement'!L34</f>
        <v>-8000000</v>
      </c>
      <c r="M30" s="48">
        <f ca="1">'Income Statement'!M34</f>
        <v>-6000000</v>
      </c>
      <c r="N30" s="48">
        <f ca="1">'Income Statement'!N34</f>
        <v>-4000000</v>
      </c>
      <c r="O30" s="48">
        <f ca="1">'Income Statement'!O34</f>
        <v>-2000000</v>
      </c>
    </row>
    <row r="31" spans="2:15" x14ac:dyDescent="0.4">
      <c r="C31" t="s">
        <v>233</v>
      </c>
      <c r="E31" t="s">
        <v>49</v>
      </c>
      <c r="G31" s="48">
        <f ca="1">Debt!G27</f>
        <v>0</v>
      </c>
      <c r="H31" s="48">
        <f ca="1">Debt!H27</f>
        <v>0</v>
      </c>
      <c r="I31" s="48">
        <f ca="1">Debt!I27</f>
        <v>0</v>
      </c>
      <c r="J31" s="48">
        <f ca="1">Debt!J27</f>
        <v>0</v>
      </c>
      <c r="K31" s="48">
        <f ca="1">Debt!K27</f>
        <v>0</v>
      </c>
      <c r="L31" s="48">
        <f ca="1">Debt!L27</f>
        <v>0</v>
      </c>
      <c r="M31" s="48">
        <f ca="1">Debt!M27</f>
        <v>0</v>
      </c>
      <c r="N31" s="48">
        <f ca="1">Debt!N27</f>
        <v>0</v>
      </c>
      <c r="O31" s="48">
        <f ca="1">Debt!O27</f>
        <v>0</v>
      </c>
    </row>
    <row r="32" spans="2:15" x14ac:dyDescent="0.4">
      <c r="C32" t="s">
        <v>235</v>
      </c>
      <c r="E32" t="s">
        <v>49</v>
      </c>
      <c r="G32" s="48">
        <f>Debt!G37+Debt!G44+Debt!G51</f>
        <v>0</v>
      </c>
      <c r="H32" s="48">
        <f>Debt!H37+Debt!H44+Debt!H51</f>
        <v>0</v>
      </c>
      <c r="I32" s="48">
        <f>Debt!I37+Debt!I44+Debt!I51</f>
        <v>0</v>
      </c>
      <c r="J32" s="48">
        <f>Debt!J37+Debt!J44+Debt!J51</f>
        <v>50000000</v>
      </c>
      <c r="K32" s="48">
        <f>Debt!K37+Debt!K44+Debt!K51</f>
        <v>0</v>
      </c>
      <c r="L32" s="48">
        <f>Debt!L37+Debt!L44+Debt!L51</f>
        <v>0</v>
      </c>
      <c r="M32" s="48">
        <f>Debt!M37+Debt!M44+Debt!M51</f>
        <v>0</v>
      </c>
      <c r="N32" s="48">
        <f>Debt!N37+Debt!N44+Debt!N51</f>
        <v>0</v>
      </c>
      <c r="O32" s="48">
        <f>Debt!O37+Debt!O44+Debt!O51</f>
        <v>0</v>
      </c>
    </row>
    <row r="33" spans="2:15" x14ac:dyDescent="0.4">
      <c r="C33" t="s">
        <v>236</v>
      </c>
      <c r="E33" t="s">
        <v>49</v>
      </c>
      <c r="G33" s="48">
        <f>Debt!G38+Debt!G45+Debt!G52</f>
        <v>0</v>
      </c>
      <c r="H33" s="48">
        <f>Debt!H38+Debt!H45+Debt!H52</f>
        <v>0</v>
      </c>
      <c r="I33" s="48">
        <f>Debt!I38+Debt!I45+Debt!I52</f>
        <v>0</v>
      </c>
      <c r="J33" s="48">
        <f>Debt!J38+Debt!J45+Debt!J52</f>
        <v>0</v>
      </c>
      <c r="K33" s="48">
        <f>Debt!K38+Debt!K45+Debt!K52</f>
        <v>-10000000</v>
      </c>
      <c r="L33" s="48">
        <f>Debt!L38+Debt!L45+Debt!L52</f>
        <v>-10000000</v>
      </c>
      <c r="M33" s="48">
        <f>Debt!M38+Debt!M45+Debt!M52</f>
        <v>-10000000</v>
      </c>
      <c r="N33" s="48">
        <f>Debt!N38+Debt!N45+Debt!N52</f>
        <v>-10000000</v>
      </c>
      <c r="O33" s="48">
        <f>Debt!O38+Debt!O45+Debt!O52</f>
        <v>-10000000</v>
      </c>
    </row>
    <row r="34" spans="2:15" x14ac:dyDescent="0.4">
      <c r="C34" t="s">
        <v>237</v>
      </c>
      <c r="E34" t="s">
        <v>49</v>
      </c>
      <c r="G34" s="48">
        <f ca="1">SUM(Equity!G31:G32)</f>
        <v>0</v>
      </c>
      <c r="H34" s="48">
        <f ca="1">SUM(Equity!H31:H32)</f>
        <v>0</v>
      </c>
      <c r="I34" s="48">
        <f ca="1">SUM(Equity!I31:I32)</f>
        <v>0</v>
      </c>
      <c r="J34" s="48">
        <f ca="1">SUM(Equity!J31:J32)</f>
        <v>0</v>
      </c>
      <c r="K34" s="48">
        <f ca="1">SUM(Equity!K31:K32)</f>
        <v>0</v>
      </c>
      <c r="L34" s="48">
        <f ca="1">SUM(Equity!L31:L32)</f>
        <v>0</v>
      </c>
      <c r="M34" s="48">
        <f ca="1">SUM(Equity!M31:M32)</f>
        <v>-67818051.921876907</v>
      </c>
      <c r="N34" s="48">
        <f ca="1">SUM(Equity!N31:N32)</f>
        <v>-99090707.707002103</v>
      </c>
      <c r="O34" s="48">
        <f ca="1">SUM(Equity!O31:O32)</f>
        <v>-109699272.18351117</v>
      </c>
    </row>
    <row r="35" spans="2:15" x14ac:dyDescent="0.4">
      <c r="C35" t="s">
        <v>238</v>
      </c>
      <c r="E35" t="s">
        <v>49</v>
      </c>
      <c r="G35" s="48">
        <f>Equity!G9+Equity!G15</f>
        <v>0</v>
      </c>
      <c r="H35" s="48">
        <f>Equity!H9+Equity!H15</f>
        <v>0</v>
      </c>
      <c r="I35" s="48">
        <f>Equity!I9+Equity!I15</f>
        <v>0</v>
      </c>
      <c r="J35" s="48">
        <f>Equity!J9+Equity!J15</f>
        <v>100000000</v>
      </c>
      <c r="K35" s="48">
        <f>Equity!K9+Equity!K15</f>
        <v>0</v>
      </c>
      <c r="L35" s="48">
        <f>Equity!L9+Equity!L15</f>
        <v>25000000</v>
      </c>
      <c r="M35" s="48">
        <f>Equity!M9+Equity!M15</f>
        <v>0</v>
      </c>
      <c r="N35" s="48">
        <f>Equity!N9+Equity!N15</f>
        <v>0</v>
      </c>
      <c r="O35" s="48">
        <f>Equity!O9+Equity!O15</f>
        <v>0</v>
      </c>
    </row>
    <row r="36" spans="2:15" x14ac:dyDescent="0.4"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4">
      <c r="G37" s="79"/>
      <c r="H37" s="79"/>
      <c r="I37" s="79"/>
      <c r="J37" s="79"/>
      <c r="K37" s="79"/>
      <c r="L37" s="79"/>
      <c r="M37" s="79"/>
      <c r="N37" s="79"/>
      <c r="O37" s="79"/>
    </row>
    <row r="38" spans="2:15" s="52" customFormat="1" x14ac:dyDescent="0.4">
      <c r="B38" s="52" t="s">
        <v>20</v>
      </c>
      <c r="E38" s="52" t="s">
        <v>49</v>
      </c>
      <c r="G38" s="82">
        <f ca="1">G8+G21+G29</f>
        <v>0</v>
      </c>
      <c r="H38" s="82">
        <f t="shared" ref="H38:I38" ca="1" si="20">H8+H21+H29</f>
        <v>0</v>
      </c>
      <c r="I38" s="82">
        <f t="shared" ca="1" si="20"/>
        <v>0</v>
      </c>
      <c r="J38" s="82">
        <f t="shared" ref="J38:O38" ca="1" si="21">J8+J21+J29</f>
        <v>82051282.051282048</v>
      </c>
      <c r="K38" s="82">
        <f t="shared" ca="1" si="21"/>
        <v>258486308.91208684</v>
      </c>
      <c r="L38" s="82">
        <f t="shared" ca="1" si="21"/>
        <v>439141703.2342366</v>
      </c>
      <c r="M38" s="82">
        <f t="shared" ca="1" si="21"/>
        <v>371790615.76257002</v>
      </c>
      <c r="N38" s="82">
        <f t="shared" ca="1" si="21"/>
        <v>568808708.42469454</v>
      </c>
      <c r="O38" s="82">
        <f t="shared" ca="1" si="21"/>
        <v>642306356.20941949</v>
      </c>
    </row>
    <row r="39" spans="2:15" x14ac:dyDescent="0.4"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4">
      <c r="B40" t="s">
        <v>154</v>
      </c>
      <c r="E40" t="s">
        <v>49</v>
      </c>
      <c r="G40" s="79"/>
      <c r="H40" s="79">
        <f ca="1">G41</f>
        <v>0</v>
      </c>
      <c r="I40" s="79">
        <f t="shared" ref="I40:O40" ca="1" si="22">H41</f>
        <v>0</v>
      </c>
      <c r="J40" s="79">
        <f t="shared" ca="1" si="22"/>
        <v>0</v>
      </c>
      <c r="K40" s="79">
        <f t="shared" ca="1" si="22"/>
        <v>82051282.051282048</v>
      </c>
      <c r="L40" s="79">
        <f t="shared" ca="1" si="22"/>
        <v>340537590.96336889</v>
      </c>
      <c r="M40" s="79">
        <f t="shared" ca="1" si="22"/>
        <v>779679294.19760549</v>
      </c>
      <c r="N40" s="79">
        <f t="shared" ca="1" si="22"/>
        <v>1151469909.9601755</v>
      </c>
      <c r="O40" s="79">
        <f t="shared" ca="1" si="22"/>
        <v>1720278618.3848701</v>
      </c>
    </row>
    <row r="41" spans="2:15" x14ac:dyDescent="0.4">
      <c r="B41" t="s">
        <v>155</v>
      </c>
      <c r="E41" t="s">
        <v>49</v>
      </c>
      <c r="G41" s="79">
        <f ca="1">'Balance Sheet'!G18</f>
        <v>0</v>
      </c>
      <c r="H41" s="79">
        <f ca="1">'Balance Sheet'!H18</f>
        <v>0</v>
      </c>
      <c r="I41" s="79">
        <f ca="1">'Balance Sheet'!I18</f>
        <v>0</v>
      </c>
      <c r="J41" s="79">
        <f ca="1">'Balance Sheet'!J18</f>
        <v>82051282.051282048</v>
      </c>
      <c r="K41" s="79">
        <f ca="1">'Balance Sheet'!K18</f>
        <v>340537590.96336889</v>
      </c>
      <c r="L41" s="79">
        <f ca="1">'Balance Sheet'!L18</f>
        <v>779679294.19760549</v>
      </c>
      <c r="M41" s="79">
        <f ca="1">'Balance Sheet'!M18</f>
        <v>1151469909.9601755</v>
      </c>
      <c r="N41" s="79">
        <f ca="1">'Balance Sheet'!N18</f>
        <v>1720278618.3848701</v>
      </c>
      <c r="O41" s="79">
        <f ca="1">'Balance Sheet'!O18</f>
        <v>2362584974.5942898</v>
      </c>
    </row>
    <row r="42" spans="2:15" x14ac:dyDescent="0.4">
      <c r="G42" s="79"/>
      <c r="H42" s="79"/>
      <c r="I42" s="79"/>
      <c r="J42" s="79"/>
      <c r="K42" s="79"/>
      <c r="L42" s="79"/>
      <c r="M42" s="79"/>
      <c r="N42" s="79"/>
      <c r="O42" s="79"/>
    </row>
    <row r="43" spans="2:15" s="12" customFormat="1" x14ac:dyDescent="0.4">
      <c r="B43" s="12" t="s">
        <v>216</v>
      </c>
      <c r="E43" s="12" t="s">
        <v>49</v>
      </c>
      <c r="G43" s="85">
        <f ca="1">G40+G38-G41</f>
        <v>0</v>
      </c>
      <c r="H43" s="85">
        <f t="shared" ref="H43:I43" ca="1" si="23">H40+H38-H41</f>
        <v>0</v>
      </c>
      <c r="I43" s="85">
        <f t="shared" ca="1" si="23"/>
        <v>0</v>
      </c>
      <c r="J43" s="85">
        <f t="shared" ref="J43:O43" ca="1" si="24">J40+J38-J41</f>
        <v>0</v>
      </c>
      <c r="K43" s="85">
        <f t="shared" ca="1" si="24"/>
        <v>0</v>
      </c>
      <c r="L43" s="85">
        <f t="shared" ca="1" si="24"/>
        <v>0</v>
      </c>
      <c r="M43" s="85">
        <f t="shared" ca="1" si="24"/>
        <v>0</v>
      </c>
      <c r="N43" s="85">
        <f t="shared" ca="1" si="24"/>
        <v>0</v>
      </c>
      <c r="O43" s="85">
        <f t="shared" ca="1" si="24"/>
        <v>0</v>
      </c>
    </row>
    <row r="44" spans="2:15" x14ac:dyDescent="0.4"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4"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4">
      <c r="G46" s="79"/>
      <c r="H46" s="79"/>
      <c r="I46" s="79"/>
      <c r="J46" s="79"/>
      <c r="K46" s="87"/>
      <c r="L46" s="79"/>
      <c r="M46" s="79"/>
      <c r="N46" s="79"/>
      <c r="O46" s="79"/>
    </row>
    <row r="47" spans="2:15" x14ac:dyDescent="0.4">
      <c r="B47" s="52" t="s">
        <v>21</v>
      </c>
      <c r="E47" s="52" t="s">
        <v>49</v>
      </c>
      <c r="G47" s="82">
        <f ca="1">SUM(G48:G49)</f>
        <v>0</v>
      </c>
      <c r="H47" s="82">
        <f t="shared" ref="H47:O47" ca="1" si="25">SUM(H48:H49)</f>
        <v>0</v>
      </c>
      <c r="I47" s="82">
        <f t="shared" ca="1" si="25"/>
        <v>0</v>
      </c>
      <c r="J47" s="82">
        <f t="shared" ca="1" si="25"/>
        <v>-67948717.948717952</v>
      </c>
      <c r="K47" s="88">
        <f t="shared" ca="1" si="25"/>
        <v>275486308.91208684</v>
      </c>
      <c r="L47" s="82">
        <f t="shared" ca="1" si="25"/>
        <v>429741703.2342366</v>
      </c>
      <c r="M47" s="82">
        <f t="shared" ca="1" si="25"/>
        <v>453808667.68444693</v>
      </c>
      <c r="N47" s="82">
        <f t="shared" ca="1" si="25"/>
        <v>680699416.1316967</v>
      </c>
      <c r="O47" s="82">
        <f t="shared" ca="1" si="25"/>
        <v>763405628.39293063</v>
      </c>
    </row>
    <row r="48" spans="2:15" x14ac:dyDescent="0.4">
      <c r="C48" t="s">
        <v>241</v>
      </c>
      <c r="E48" t="s">
        <v>49</v>
      </c>
      <c r="G48" s="79">
        <f ca="1">G8+G21</f>
        <v>0</v>
      </c>
      <c r="H48" s="79">
        <f t="shared" ref="H48:O48" ca="1" si="26">H8+H21</f>
        <v>0</v>
      </c>
      <c r="I48" s="79">
        <f t="shared" ca="1" si="26"/>
        <v>0</v>
      </c>
      <c r="J48" s="79">
        <f t="shared" ca="1" si="26"/>
        <v>-67948717.948717952</v>
      </c>
      <c r="K48" s="89">
        <f t="shared" ca="1" si="26"/>
        <v>278486308.91208684</v>
      </c>
      <c r="L48" s="79">
        <f t="shared" ca="1" si="26"/>
        <v>432141703.2342366</v>
      </c>
      <c r="M48" s="79">
        <f t="shared" ca="1" si="26"/>
        <v>455608667.68444693</v>
      </c>
      <c r="N48" s="79">
        <f t="shared" ca="1" si="26"/>
        <v>681899416.1316967</v>
      </c>
      <c r="O48" s="79">
        <f t="shared" ca="1" si="26"/>
        <v>764005628.39293063</v>
      </c>
    </row>
    <row r="49" spans="3:15" x14ac:dyDescent="0.4">
      <c r="C49" t="s">
        <v>242</v>
      </c>
      <c r="E49" t="s">
        <v>49</v>
      </c>
      <c r="G49" s="79">
        <f ca="1">'Income Statement'!G34*Tax!G8</f>
        <v>0</v>
      </c>
      <c r="H49" s="79">
        <f ca="1">'Income Statement'!H34*Tax!H8</f>
        <v>0</v>
      </c>
      <c r="I49" s="79">
        <f ca="1">'Income Statement'!I34*Tax!I8</f>
        <v>0</v>
      </c>
      <c r="J49" s="79">
        <f ca="1">'Income Statement'!J34*Tax!J8</f>
        <v>0</v>
      </c>
      <c r="K49" s="79">
        <f ca="1">'Income Statement'!K34*Tax!K8</f>
        <v>-3000000</v>
      </c>
      <c r="L49" s="79">
        <f ca="1">'Income Statement'!L34*Tax!L8</f>
        <v>-2400000</v>
      </c>
      <c r="M49" s="79">
        <f ca="1">'Income Statement'!M34*Tax!M8</f>
        <v>-1800000</v>
      </c>
      <c r="N49" s="79">
        <f ca="1">'Income Statement'!N34*Tax!N8</f>
        <v>-1200000</v>
      </c>
      <c r="O49" s="79">
        <f ca="1">'Income Statement'!O34*Tax!O8</f>
        <v>-600000</v>
      </c>
    </row>
  </sheetData>
  <hyperlinks>
    <hyperlink ref="O1" location="'Table of Content'!A1" display="&gt;&gt; Table of Contents" xr:uid="{595653CE-AA5B-4135-B2F7-E371C431C2B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B567-E4C5-4A41-93EA-C1C48FB10ECA}">
  <sheetPr>
    <tabColor theme="4"/>
  </sheetPr>
  <dimension ref="B1:T42"/>
  <sheetViews>
    <sheetView showGridLines="0" workbookViewId="0">
      <selection activeCell="L34" sqref="L34"/>
    </sheetView>
  </sheetViews>
  <sheetFormatPr defaultRowHeight="14.6" x14ac:dyDescent="0.4"/>
  <cols>
    <col min="2" max="2" width="19.84375" bestFit="1" customWidth="1"/>
    <col min="3" max="3" width="16.07421875" bestFit="1" customWidth="1"/>
    <col min="10" max="15" width="14.61328125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43</v>
      </c>
      <c r="C3" s="19"/>
      <c r="D3" s="19"/>
      <c r="E3" s="19"/>
      <c r="F3" s="19"/>
      <c r="G3" s="19"/>
      <c r="H3" s="19"/>
    </row>
    <row r="5" spans="2:20" x14ac:dyDescent="0.4">
      <c r="B5" t="s">
        <v>243</v>
      </c>
      <c r="C5" s="71">
        <f>C24</f>
        <v>0.18849285435975399</v>
      </c>
    </row>
    <row r="6" spans="2:20" x14ac:dyDescent="0.4">
      <c r="B6" t="s">
        <v>244</v>
      </c>
      <c r="C6" s="72">
        <v>0.05</v>
      </c>
    </row>
    <row r="7" spans="2:20" x14ac:dyDescent="0.4">
      <c r="J7">
        <v>1</v>
      </c>
      <c r="K7">
        <v>2</v>
      </c>
      <c r="L7">
        <v>3</v>
      </c>
      <c r="M7">
        <v>4</v>
      </c>
      <c r="N7">
        <v>5</v>
      </c>
      <c r="O7">
        <v>6</v>
      </c>
    </row>
    <row r="8" spans="2:20" x14ac:dyDescent="0.4">
      <c r="B8" s="23"/>
      <c r="C8" s="23"/>
      <c r="D8" s="23"/>
      <c r="E8" s="23"/>
      <c r="F8" s="24"/>
      <c r="G8" s="25">
        <v>2016</v>
      </c>
      <c r="H8" s="25">
        <v>2017</v>
      </c>
      <c r="I8" s="25">
        <v>2018</v>
      </c>
      <c r="J8" s="25">
        <v>2019</v>
      </c>
      <c r="K8" s="25">
        <v>2020</v>
      </c>
      <c r="L8" s="25">
        <v>2021</v>
      </c>
      <c r="M8" s="25">
        <v>2022</v>
      </c>
      <c r="N8" s="25">
        <v>2023</v>
      </c>
      <c r="O8" s="25">
        <v>2024</v>
      </c>
    </row>
    <row r="9" spans="2:20" x14ac:dyDescent="0.4">
      <c r="B9" s="27" t="s">
        <v>245</v>
      </c>
      <c r="C9" s="66"/>
      <c r="D9" s="66"/>
      <c r="E9" s="66"/>
      <c r="F9" s="66"/>
      <c r="G9" s="66"/>
      <c r="H9" s="66"/>
      <c r="I9" s="66"/>
      <c r="J9" s="30">
        <f ca="1">Cashflow!J47</f>
        <v>-67948717.948717952</v>
      </c>
      <c r="K9" s="30">
        <f ca="1">Cashflow!K47</f>
        <v>275486308.91208684</v>
      </c>
      <c r="L9" s="30">
        <f ca="1">Cashflow!L47</f>
        <v>429741703.2342366</v>
      </c>
      <c r="M9" s="30">
        <f ca="1">Cashflow!M47</f>
        <v>453808667.68444693</v>
      </c>
      <c r="N9" s="30">
        <f ca="1">Cashflow!N47</f>
        <v>680699416.1316967</v>
      </c>
      <c r="O9" s="30">
        <f ca="1">Cashflow!O47</f>
        <v>763405628.39293063</v>
      </c>
    </row>
    <row r="10" spans="2:20" x14ac:dyDescent="0.4">
      <c r="C10" s="67"/>
      <c r="D10" s="67"/>
      <c r="E10" s="67"/>
      <c r="F10" s="67"/>
      <c r="G10" s="67"/>
      <c r="H10" s="67"/>
      <c r="I10" s="67"/>
    </row>
    <row r="11" spans="2:20" x14ac:dyDescent="0.4">
      <c r="B11" s="65" t="s">
        <v>246</v>
      </c>
      <c r="C11" s="68"/>
      <c r="D11" s="68"/>
      <c r="E11" s="68"/>
      <c r="F11" s="68"/>
      <c r="G11" s="68"/>
      <c r="H11" s="68"/>
      <c r="I11" s="68"/>
      <c r="J11" s="65">
        <f>1/(1+$C$5)^J7</f>
        <v>0.84140177732806321</v>
      </c>
      <c r="K11" s="65">
        <f t="shared" ref="K11:O11" si="0">1/(1+$C$5)^K7</f>
        <v>0.70795695089082378</v>
      </c>
      <c r="L11" s="65">
        <f t="shared" si="0"/>
        <v>0.59567623675129555</v>
      </c>
      <c r="M11" s="65">
        <f t="shared" si="0"/>
        <v>0.50120304431463225</v>
      </c>
      <c r="N11" s="65">
        <f t="shared" si="0"/>
        <v>0.4217131322885676</v>
      </c>
      <c r="O11" s="65">
        <f t="shared" si="0"/>
        <v>0.35483017903018549</v>
      </c>
    </row>
    <row r="12" spans="2:20" x14ac:dyDescent="0.4">
      <c r="B12" t="s">
        <v>247</v>
      </c>
      <c r="C12" s="67"/>
      <c r="D12" s="67"/>
      <c r="E12" s="67"/>
      <c r="F12" s="67"/>
      <c r="G12" s="67"/>
      <c r="H12" s="67"/>
      <c r="I12" s="67"/>
      <c r="J12" s="79">
        <f ca="1">J9*J11</f>
        <v>-57172172.049214557</v>
      </c>
      <c r="K12" s="79">
        <f t="shared" ref="K12:O12" ca="1" si="1">K9*K11</f>
        <v>195032447.26956856</v>
      </c>
      <c r="L12" s="79">
        <f t="shared" ca="1" si="1"/>
        <v>255986920.5576621</v>
      </c>
      <c r="M12" s="79">
        <f t="shared" ca="1" si="1"/>
        <v>227450285.77981207</v>
      </c>
      <c r="N12" s="79">
        <f t="shared" ca="1" si="1"/>
        <v>287059882.92389697</v>
      </c>
      <c r="O12" s="79">
        <f t="shared" ca="1" si="1"/>
        <v>270879355.79531485</v>
      </c>
    </row>
    <row r="15" spans="2:20" x14ac:dyDescent="0.4">
      <c r="B15" t="s">
        <v>247</v>
      </c>
      <c r="C15" s="79">
        <f ca="1">SUM(J12:O12)</f>
        <v>1179236720.27704</v>
      </c>
      <c r="D15" t="s">
        <v>49</v>
      </c>
    </row>
    <row r="16" spans="2:20" x14ac:dyDescent="0.4">
      <c r="B16" t="s">
        <v>248</v>
      </c>
      <c r="C16" s="79">
        <f ca="1">O9*(1+C6)/(C5-C6)</f>
        <v>5787850308.3659096</v>
      </c>
      <c r="D16" t="s">
        <v>49</v>
      </c>
    </row>
    <row r="17" spans="2:8" x14ac:dyDescent="0.4">
      <c r="B17" s="65" t="s">
        <v>249</v>
      </c>
      <c r="C17" s="90">
        <f ca="1">C16*O11</f>
        <v>2053703961.1173899</v>
      </c>
      <c r="D17" s="65" t="s">
        <v>49</v>
      </c>
    </row>
    <row r="18" spans="2:8" x14ac:dyDescent="0.4">
      <c r="B18" s="52" t="s">
        <v>250</v>
      </c>
      <c r="C18" s="82">
        <f ca="1">C15+C17</f>
        <v>3232940681.3944302</v>
      </c>
      <c r="D18" t="s">
        <v>49</v>
      </c>
    </row>
    <row r="22" spans="2:8" x14ac:dyDescent="0.4">
      <c r="B22" t="s">
        <v>251</v>
      </c>
    </row>
    <row r="23" spans="2:8" x14ac:dyDescent="0.4">
      <c r="B23" t="s">
        <v>252</v>
      </c>
    </row>
    <row r="24" spans="2:8" x14ac:dyDescent="0.4">
      <c r="B24" t="s">
        <v>243</v>
      </c>
      <c r="C24" s="78">
        <f>(C26/C28)*C29+(C27/C28)*C30*(1-C31)</f>
        <v>0.18849285435975399</v>
      </c>
    </row>
    <row r="26" spans="2:8" x14ac:dyDescent="0.4">
      <c r="B26" t="s">
        <v>253</v>
      </c>
      <c r="C26" s="79">
        <f>'Model Inputs'!J94</f>
        <v>100000000</v>
      </c>
    </row>
    <row r="27" spans="2:8" x14ac:dyDescent="0.4">
      <c r="B27" t="s">
        <v>254</v>
      </c>
      <c r="C27" s="79">
        <f>'Model Inputs'!J65</f>
        <v>50000000</v>
      </c>
    </row>
    <row r="28" spans="2:8" x14ac:dyDescent="0.4">
      <c r="B28" t="s">
        <v>293</v>
      </c>
      <c r="C28" s="79">
        <f>C26+C27</f>
        <v>150000000</v>
      </c>
      <c r="D28" t="s">
        <v>258</v>
      </c>
      <c r="E28" t="s">
        <v>259</v>
      </c>
    </row>
    <row r="29" spans="2:8" x14ac:dyDescent="0.4">
      <c r="B29" t="s">
        <v>255</v>
      </c>
      <c r="C29" s="70">
        <f>F30+F31*(F32-F30)</f>
        <v>0.21273928153963101</v>
      </c>
    </row>
    <row r="30" spans="2:8" x14ac:dyDescent="0.4">
      <c r="B30" t="s">
        <v>256</v>
      </c>
      <c r="C30" s="57">
        <f>'Model Inputs'!J68</f>
        <v>0.2</v>
      </c>
      <c r="E30" t="s">
        <v>260</v>
      </c>
      <c r="F30" s="57">
        <v>0.1</v>
      </c>
    </row>
    <row r="31" spans="2:8" x14ac:dyDescent="0.4">
      <c r="B31" t="s">
        <v>257</v>
      </c>
      <c r="C31" s="57">
        <f>'Model Inputs'!J61</f>
        <v>0.3</v>
      </c>
      <c r="E31" t="s">
        <v>261</v>
      </c>
      <c r="F31">
        <v>1.825</v>
      </c>
      <c r="H31" t="s">
        <v>262</v>
      </c>
    </row>
    <row r="32" spans="2:8" x14ac:dyDescent="0.4">
      <c r="E32" t="s">
        <v>265</v>
      </c>
      <c r="F32" s="57">
        <v>0.16177494878883891</v>
      </c>
      <c r="H32" t="s">
        <v>265</v>
      </c>
    </row>
    <row r="35" spans="5:10" x14ac:dyDescent="0.4">
      <c r="J35" t="s">
        <v>264</v>
      </c>
    </row>
    <row r="36" spans="5:10" x14ac:dyDescent="0.4">
      <c r="I36" t="s">
        <v>263</v>
      </c>
      <c r="J36" s="62">
        <f>_xlfn.RRI(F39-F38,G38,G39)</f>
        <v>0.16177494878883891</v>
      </c>
    </row>
    <row r="37" spans="5:10" x14ac:dyDescent="0.4">
      <c r="F37" t="s">
        <v>266</v>
      </c>
    </row>
    <row r="38" spans="5:10" x14ac:dyDescent="0.4">
      <c r="F38">
        <v>1984</v>
      </c>
      <c r="G38">
        <v>100</v>
      </c>
    </row>
    <row r="39" spans="5:10" x14ac:dyDescent="0.4">
      <c r="F39">
        <v>2020</v>
      </c>
      <c r="G39" s="69">
        <v>22100</v>
      </c>
    </row>
    <row r="41" spans="5:10" x14ac:dyDescent="0.4">
      <c r="E41" t="s">
        <v>267</v>
      </c>
    </row>
    <row r="42" spans="5:10" x14ac:dyDescent="0.4">
      <c r="E42" t="s">
        <v>268</v>
      </c>
    </row>
  </sheetData>
  <hyperlinks>
    <hyperlink ref="O1" location="'Table of Content'!A1" display="&gt;&gt; Table of Contents" xr:uid="{A3D36753-53EF-4C00-89A9-082B8361957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260B-F41B-4C5A-AE1D-09703B7BA031}">
  <sheetPr>
    <tabColor theme="4"/>
  </sheetPr>
  <dimension ref="B1:T33"/>
  <sheetViews>
    <sheetView showGridLines="0" workbookViewId="0">
      <selection activeCell="N36" sqref="N36"/>
    </sheetView>
  </sheetViews>
  <sheetFormatPr defaultRowHeight="14.6" x14ac:dyDescent="0.4"/>
  <cols>
    <col min="2" max="2" width="3.15234375" style="52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B1" s="55"/>
      <c r="C1" s="17" t="str">
        <f>Summary!D3</f>
        <v>CK Healthcare Limited</v>
      </c>
      <c r="K1" s="17" t="str">
        <f>Scenarios!K1</f>
        <v>Currently running scenario: Conservative</v>
      </c>
      <c r="O1" s="64" t="s">
        <v>240</v>
      </c>
      <c r="T1" s="17" t="str">
        <f>Summary!K2</f>
        <v>Last Updated: 24-July-2020</v>
      </c>
    </row>
    <row r="3" spans="2:20" ht="20.6" x14ac:dyDescent="0.55000000000000004">
      <c r="B3" s="19" t="s">
        <v>22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269</v>
      </c>
    </row>
    <row r="8" spans="2:20" x14ac:dyDescent="0.4">
      <c r="C8" t="s">
        <v>27</v>
      </c>
      <c r="G8" s="53">
        <f ca="1">IFERROR('Balance Sheet'!G13/'Balance Sheet'!G28,0)</f>
        <v>0</v>
      </c>
      <c r="H8" s="53">
        <f ca="1">IFERROR('Balance Sheet'!H13/'Balance Sheet'!H28,0)</f>
        <v>0</v>
      </c>
      <c r="I8" s="53">
        <f ca="1">IFERROR('Balance Sheet'!I13/'Balance Sheet'!I28,0)</f>
        <v>0</v>
      </c>
      <c r="J8" s="53">
        <f ca="1">IFERROR('Balance Sheet'!J13/'Balance Sheet'!J28,0)</f>
        <v>0</v>
      </c>
      <c r="K8" s="53">
        <f ca="1">IFERROR('Balance Sheet'!K13/'Balance Sheet'!K28,0)</f>
        <v>33.265328866117969</v>
      </c>
      <c r="L8" s="53">
        <f ca="1">IFERROR('Balance Sheet'!L13/'Balance Sheet'!L28,0)</f>
        <v>33.457918288873557</v>
      </c>
      <c r="M8" s="53">
        <f ca="1">IFERROR('Balance Sheet'!M13/'Balance Sheet'!M28,0)</f>
        <v>38.012438337169868</v>
      </c>
      <c r="N8" s="53">
        <f ca="1">IFERROR('Balance Sheet'!N13/'Balance Sheet'!N28,0)</f>
        <v>48.469181679832303</v>
      </c>
      <c r="O8" s="53">
        <f ca="1">IFERROR('Balance Sheet'!O13/'Balance Sheet'!O28,0)</f>
        <v>54.402904486714711</v>
      </c>
    </row>
    <row r="9" spans="2:20" x14ac:dyDescent="0.4">
      <c r="C9" t="s">
        <v>270</v>
      </c>
      <c r="G9" s="53">
        <f ca="1">IFERROR(('Balance Sheet'!G13-'Balance Sheet'!G14)/'Balance Sheet'!G28,0)</f>
        <v>0</v>
      </c>
      <c r="H9" s="53">
        <f ca="1">IFERROR(('Balance Sheet'!H13-'Balance Sheet'!H14)/'Balance Sheet'!H28,0)</f>
        <v>0</v>
      </c>
      <c r="I9" s="53">
        <f ca="1">IFERROR(('Balance Sheet'!I13-'Balance Sheet'!I14)/'Balance Sheet'!I28,0)</f>
        <v>0</v>
      </c>
      <c r="J9" s="53">
        <f ca="1">IFERROR(('Balance Sheet'!J13-'Balance Sheet'!J14)/'Balance Sheet'!J28,0)</f>
        <v>0</v>
      </c>
      <c r="K9" s="53">
        <f ca="1">IFERROR(('Balance Sheet'!K13-'Balance Sheet'!K14)/'Balance Sheet'!K28,0)</f>
        <v>32.431995532784633</v>
      </c>
      <c r="L9" s="53">
        <f ca="1">IFERROR(('Balance Sheet'!L13-'Balance Sheet'!L14)/'Balance Sheet'!L28,0)</f>
        <v>33.003372834328104</v>
      </c>
      <c r="M9" s="53">
        <f ca="1">IFERROR(('Balance Sheet'!M13-'Balance Sheet'!M14)/'Balance Sheet'!M28,0)</f>
        <v>37.557892882624415</v>
      </c>
      <c r="N9" s="53">
        <f ca="1">IFERROR(('Balance Sheet'!N13-'Balance Sheet'!N14)/'Balance Sheet'!N28,0)</f>
        <v>48.014636225286843</v>
      </c>
      <c r="O9" s="53">
        <f ca="1">IFERROR(('Balance Sheet'!O13-'Balance Sheet'!O14)/'Balance Sheet'!O28,0)</f>
        <v>53.94835903216925</v>
      </c>
    </row>
    <row r="10" spans="2:20" x14ac:dyDescent="0.4">
      <c r="C10" t="s">
        <v>271</v>
      </c>
      <c r="G10" s="53">
        <f ca="1">IFERROR('Balance Sheet'!G18/'Balance Sheet'!G28,0)</f>
        <v>0</v>
      </c>
      <c r="H10" s="53">
        <f ca="1">IFERROR('Balance Sheet'!H18/'Balance Sheet'!H28,0)</f>
        <v>0</v>
      </c>
      <c r="I10" s="53">
        <f ca="1">IFERROR('Balance Sheet'!I18/'Balance Sheet'!I28,0)</f>
        <v>0</v>
      </c>
      <c r="J10" s="53">
        <f ca="1">IFERROR('Balance Sheet'!J18/'Balance Sheet'!J28,0)</f>
        <v>0</v>
      </c>
      <c r="K10" s="53">
        <f ca="1">IFERROR('Balance Sheet'!K18/'Balance Sheet'!K28,0)</f>
        <v>28.772273310562419</v>
      </c>
      <c r="L10" s="53">
        <f ca="1">IFERROR('Balance Sheet'!L18/'Balance Sheet'!L28,0)</f>
        <v>31.020595419896011</v>
      </c>
      <c r="M10" s="53">
        <f ca="1">IFERROR('Balance Sheet'!M18/'Balance Sheet'!M28,0)</f>
        <v>35.728319800012251</v>
      </c>
      <c r="N10" s="53">
        <f ca="1">IFERROR('Balance Sheet'!N18/'Balance Sheet'!N28,0)</f>
        <v>45.974526689204367</v>
      </c>
      <c r="O10" s="53">
        <f ca="1">IFERROR('Balance Sheet'!O18/'Balance Sheet'!O28,0)</f>
        <v>52.055023284251831</v>
      </c>
    </row>
    <row r="13" spans="2:20" x14ac:dyDescent="0.4">
      <c r="B13" s="52" t="s">
        <v>272</v>
      </c>
    </row>
    <row r="14" spans="2:20" x14ac:dyDescent="0.4">
      <c r="C14" t="s">
        <v>273</v>
      </c>
      <c r="G14" s="53">
        <f>'Working Capital'!G20</f>
        <v>0</v>
      </c>
      <c r="H14" s="53">
        <f>'Working Capital'!H20</f>
        <v>0</v>
      </c>
      <c r="I14" s="53">
        <f>'Working Capital'!I20</f>
        <v>0</v>
      </c>
      <c r="J14" s="53">
        <f>'Working Capital'!J20</f>
        <v>15</v>
      </c>
      <c r="K14" s="53">
        <f>'Working Capital'!K20</f>
        <v>15</v>
      </c>
      <c r="L14" s="53">
        <f>'Working Capital'!L20</f>
        <v>15</v>
      </c>
      <c r="M14" s="53">
        <f>'Working Capital'!M20</f>
        <v>15</v>
      </c>
      <c r="N14" s="53">
        <f>'Working Capital'!N20</f>
        <v>15</v>
      </c>
      <c r="O14" s="53">
        <f>'Working Capital'!O20</f>
        <v>15</v>
      </c>
    </row>
    <row r="15" spans="2:20" x14ac:dyDescent="0.4">
      <c r="C15" t="s">
        <v>102</v>
      </c>
      <c r="G15" s="53">
        <f>'Working Capital'!G21</f>
        <v>0</v>
      </c>
      <c r="H15" s="53">
        <f>'Working Capital'!H21</f>
        <v>0</v>
      </c>
      <c r="I15" s="53">
        <f>'Working Capital'!I21</f>
        <v>0</v>
      </c>
      <c r="J15" s="53">
        <f>'Working Capital'!J21</f>
        <v>5</v>
      </c>
      <c r="K15" s="53">
        <f>'Working Capital'!K21</f>
        <v>10</v>
      </c>
      <c r="L15" s="53">
        <f>'Working Capital'!L21</f>
        <v>20</v>
      </c>
      <c r="M15" s="53">
        <f>'Working Capital'!M21</f>
        <v>20</v>
      </c>
      <c r="N15" s="53">
        <f>'Working Capital'!N21</f>
        <v>20</v>
      </c>
      <c r="O15" s="53">
        <f>'Working Capital'!O21</f>
        <v>20</v>
      </c>
    </row>
    <row r="16" spans="2:20" x14ac:dyDescent="0.4">
      <c r="C16" t="s">
        <v>274</v>
      </c>
      <c r="G16" s="53">
        <f>'Working Capital'!G22</f>
        <v>0</v>
      </c>
      <c r="H16" s="53">
        <f>'Working Capital'!H22</f>
        <v>0</v>
      </c>
      <c r="I16" s="53">
        <f>'Working Capital'!I22</f>
        <v>0</v>
      </c>
      <c r="J16" s="53">
        <f>'Working Capital'!J22</f>
        <v>10</v>
      </c>
      <c r="K16" s="53">
        <f>'Working Capital'!K22</f>
        <v>10</v>
      </c>
      <c r="L16" s="53">
        <f>'Working Capital'!L22</f>
        <v>10</v>
      </c>
      <c r="M16" s="53">
        <f>'Working Capital'!M22</f>
        <v>10</v>
      </c>
      <c r="N16" s="53">
        <f>'Working Capital'!N22</f>
        <v>10</v>
      </c>
      <c r="O16" s="53">
        <f>'Working Capital'!O22</f>
        <v>10</v>
      </c>
    </row>
    <row r="17" spans="2:15" x14ac:dyDescent="0.4">
      <c r="C17" t="s">
        <v>275</v>
      </c>
      <c r="G17" s="53">
        <f>IFERROR('Income Statement'!G11/AVERAGE('Balance Sheet'!F14:G14),0)</f>
        <v>0</v>
      </c>
      <c r="H17" s="53">
        <f>IFERROR('Income Statement'!H11/AVERAGE('Balance Sheet'!G14:H14),0)</f>
        <v>0</v>
      </c>
      <c r="I17" s="53">
        <f>IFERROR('Income Statement'!I11/AVERAGE('Balance Sheet'!H14:I14),0)</f>
        <v>0</v>
      </c>
      <c r="J17" s="53">
        <f>IFERROR('Income Statement'!J11/AVERAGE('Balance Sheet'!I14:J14),0)</f>
        <v>0</v>
      </c>
      <c r="K17" s="53">
        <f>IFERROR('Income Statement'!K11/AVERAGE('Balance Sheet'!J14:K14),0)</f>
        <v>188.58333333333331</v>
      </c>
      <c r="L17" s="53">
        <f>IFERROR('Income Statement'!L11/AVERAGE('Balance Sheet'!K14:L14),0)</f>
        <v>100.52767052767054</v>
      </c>
      <c r="M17" s="53">
        <f>IFERROR('Income Statement'!M11/AVERAGE('Balance Sheet'!L14:M14),0)</f>
        <v>97.108332457707263</v>
      </c>
      <c r="N17" s="53">
        <f>IFERROR('Income Statement'!N11/AVERAGE('Balance Sheet'!M14:N14),0)</f>
        <v>103.54565123323238</v>
      </c>
      <c r="O17" s="53">
        <f>IFERROR('Income Statement'!O11/AVERAGE('Balance Sheet'!N14:O14),0)</f>
        <v>98.038287960401803</v>
      </c>
    </row>
    <row r="18" spans="2:15" x14ac:dyDescent="0.4">
      <c r="C18" t="s">
        <v>276</v>
      </c>
      <c r="G18" s="53">
        <f>IFERROR('Income Statement'!G11/AVERAGE('Balance Sheet'!F8:G8),0)</f>
        <v>0</v>
      </c>
      <c r="H18" s="53">
        <f>IFERROR('Income Statement'!H11/AVERAGE('Balance Sheet'!G8:H8),0)</f>
        <v>0</v>
      </c>
      <c r="I18" s="53">
        <f>IFERROR('Income Statement'!I11/AVERAGE('Balance Sheet'!H8:I8),0)</f>
        <v>0</v>
      </c>
      <c r="J18" s="53">
        <f>IFERROR('Income Statement'!J11/AVERAGE('Balance Sheet'!I8:J8),0)</f>
        <v>0</v>
      </c>
      <c r="K18" s="53">
        <f>IFERROR('Income Statement'!K11/AVERAGE('Balance Sheet'!J8:K8),0)</f>
        <v>11.550745209368346</v>
      </c>
      <c r="L18" s="53">
        <f>IFERROR('Income Statement'!L11/AVERAGE('Balance Sheet'!K8:L8),0)</f>
        <v>12.027137332566136</v>
      </c>
      <c r="M18" s="53">
        <f>IFERROR('Income Statement'!M11/AVERAGE('Balance Sheet'!L8:M8),0)</f>
        <v>14.097995545657016</v>
      </c>
      <c r="N18" s="53">
        <f>IFERROR('Income Statement'!N11/AVERAGE('Balance Sheet'!M8:N8),0)</f>
        <v>17.874892887746359</v>
      </c>
      <c r="O18" s="53">
        <f>IFERROR('Income Statement'!O11/AVERAGE('Balance Sheet'!N8:O8),0)</f>
        <v>22.552058322783434</v>
      </c>
    </row>
    <row r="19" spans="2:15" x14ac:dyDescent="0.4">
      <c r="C19" t="s">
        <v>277</v>
      </c>
      <c r="G19" s="53">
        <f ca="1">IFERROR('Income Statement'!G11/AVERAGE('Balance Sheet'!F20:G20),0)</f>
        <v>0</v>
      </c>
      <c r="H19" s="53">
        <f ca="1">IFERROR('Income Statement'!H11/AVERAGE('Balance Sheet'!G20:H20),0)</f>
        <v>0</v>
      </c>
      <c r="I19" s="53">
        <f ca="1">IFERROR('Income Statement'!I11/AVERAGE('Balance Sheet'!H20:I20),0)</f>
        <v>0</v>
      </c>
      <c r="J19" s="53">
        <f ca="1">IFERROR('Income Statement'!J11/AVERAGE('Balance Sheet'!I20:J20),0)</f>
        <v>0</v>
      </c>
      <c r="K19" s="53">
        <f ca="1">IFERROR('Income Statement'!K11/AVERAGE('Balance Sheet'!J20:K20),0)</f>
        <v>2.9208747897912133</v>
      </c>
      <c r="L19" s="53">
        <f ca="1">IFERROR('Income Statement'!L11/AVERAGE('Balance Sheet'!K20:L20),0)</f>
        <v>1.5149518022578987</v>
      </c>
      <c r="M19" s="53">
        <f ca="1">IFERROR('Income Statement'!M11/AVERAGE('Balance Sheet'!L20:M20),0)</f>
        <v>1.1275266599504015</v>
      </c>
      <c r="N19" s="53">
        <f ca="1">IFERROR('Income Statement'!N11/AVERAGE('Balance Sheet'!M20:N20),0)</f>
        <v>1.0173510977844356</v>
      </c>
      <c r="O19" s="53">
        <f ca="1">IFERROR('Income Statement'!O11/AVERAGE('Balance Sheet'!N20:O20),0)</f>
        <v>0.82988636790612047</v>
      </c>
    </row>
    <row r="22" spans="2:15" x14ac:dyDescent="0.4">
      <c r="B22" s="52" t="s">
        <v>278</v>
      </c>
    </row>
    <row r="23" spans="2:15" x14ac:dyDescent="0.4">
      <c r="C23" t="s">
        <v>279</v>
      </c>
      <c r="G23" s="53">
        <f ca="1">IFERROR(('Balance Sheet'!G23+'Balance Sheet'!G28)/'Balance Sheet'!G38,0)</f>
        <v>0</v>
      </c>
      <c r="H23" s="53">
        <f ca="1">IFERROR(('Balance Sheet'!H23+'Balance Sheet'!H28)/'Balance Sheet'!H38,0)</f>
        <v>0</v>
      </c>
      <c r="I23" s="53">
        <f ca="1">IFERROR(('Balance Sheet'!I23+'Balance Sheet'!I28)/'Balance Sheet'!I38,0)</f>
        <v>0</v>
      </c>
      <c r="J23" s="53">
        <f ca="1">IFERROR(('Balance Sheet'!J23+'Balance Sheet'!J28)/'Balance Sheet'!J38,0)</f>
        <v>0.33663805859721813</v>
      </c>
      <c r="K23" s="53">
        <f ca="1">IFERROR(('Balance Sheet'!K23+'Balance Sheet'!K28)/'Balance Sheet'!K38,0)</f>
        <v>0.10616221151945458</v>
      </c>
      <c r="L23" s="53">
        <f ca="1">IFERROR(('Balance Sheet'!L23+'Balance Sheet'!L28)/'Balance Sheet'!L38,0)</f>
        <v>5.9648560612772017E-2</v>
      </c>
      <c r="M23" s="53">
        <f ca="1">IFERROR(('Balance Sheet'!M23+'Balance Sheet'!M28)/'Balance Sheet'!M38,0)</f>
        <v>3.9527960373840342E-2</v>
      </c>
      <c r="N23" s="53">
        <f ca="1">IFERROR(('Balance Sheet'!N23+'Balance Sheet'!N28)/'Balance Sheet'!N38,0)</f>
        <v>2.4946537677097053E-2</v>
      </c>
      <c r="O23" s="53">
        <f ca="1">IFERROR(('Balance Sheet'!O23+'Balance Sheet'!O28)/'Balance Sheet'!O38,0)</f>
        <v>1.7829287519168281E-2</v>
      </c>
    </row>
    <row r="24" spans="2:15" x14ac:dyDescent="0.4">
      <c r="C24" t="s">
        <v>280</v>
      </c>
      <c r="G24" s="53">
        <f ca="1">IFERROR(('Balance Sheet'!G23+'Balance Sheet'!G28)/'Balance Sheet'!G33,0)</f>
        <v>0</v>
      </c>
      <c r="H24" s="53">
        <f ca="1">IFERROR(('Balance Sheet'!H23+'Balance Sheet'!H28)/'Balance Sheet'!H33,0)</f>
        <v>0</v>
      </c>
      <c r="I24" s="53">
        <f ca="1">IFERROR(('Balance Sheet'!I23+'Balance Sheet'!I28)/'Balance Sheet'!I33,0)</f>
        <v>0</v>
      </c>
      <c r="J24" s="53">
        <f ca="1">IFERROR(('Balance Sheet'!J23+'Balance Sheet'!J28)/'Balance Sheet'!J33,0)</f>
        <v>0.50747267454829359</v>
      </c>
      <c r="K24" s="53">
        <f ca="1">IFERROR(('Balance Sheet'!K23+'Balance Sheet'!K28)/'Balance Sheet'!K33,0)</f>
        <v>0.11877122771898251</v>
      </c>
      <c r="L24" s="53">
        <f ca="1">IFERROR(('Balance Sheet'!L23+'Balance Sheet'!L28)/'Balance Sheet'!L33,0)</f>
        <v>6.3432200041764697E-2</v>
      </c>
      <c r="M24" s="53">
        <f ca="1">IFERROR(('Balance Sheet'!M23+'Balance Sheet'!M28)/'Balance Sheet'!M33,0)</f>
        <v>4.1154722618709061E-2</v>
      </c>
      <c r="N24" s="53">
        <f ca="1">IFERROR(('Balance Sheet'!N23+'Balance Sheet'!N28)/'Balance Sheet'!N33,0)</f>
        <v>2.558478959468137E-2</v>
      </c>
      <c r="O24" s="53">
        <f ca="1">IFERROR(('Balance Sheet'!O23+'Balance Sheet'!O28)/'Balance Sheet'!O33,0)</f>
        <v>1.8152941533080221E-2</v>
      </c>
    </row>
    <row r="25" spans="2:15" x14ac:dyDescent="0.4">
      <c r="C25" t="s">
        <v>285</v>
      </c>
      <c r="G25" s="53">
        <f ca="1">IFERROR(-'Income Statement'!G29/'Income Statement'!G34,0)</f>
        <v>0</v>
      </c>
      <c r="H25" s="53">
        <f ca="1">IFERROR(-'Income Statement'!H29/'Income Statement'!H34,0)</f>
        <v>0</v>
      </c>
      <c r="I25" s="53">
        <f ca="1">IFERROR(-'Income Statement'!I29/'Income Statement'!I34,0)</f>
        <v>0</v>
      </c>
      <c r="J25" s="53">
        <f ca="1">IFERROR(-'Income Statement'!J29/'Income Statement'!J34,0)</f>
        <v>0</v>
      </c>
      <c r="K25" s="53">
        <f ca="1">IFERROR(-'Income Statement'!K29/'Income Statement'!K34,0)</f>
        <v>48.215665694849363</v>
      </c>
      <c r="L25" s="53">
        <f ca="1">IFERROR(-'Income Statement'!L29/'Income Statement'!L34,0)</f>
        <v>70.312082118561705</v>
      </c>
      <c r="M25" s="53">
        <f ca="1">IFERROR(-'Income Statement'!M29/'Income Statement'!M34,0)</f>
        <v>104.31323615160352</v>
      </c>
      <c r="N25" s="53">
        <f ca="1">IFERROR(-'Income Statement'!N29/'Income Statement'!N34,0)</f>
        <v>227.11735422740529</v>
      </c>
      <c r="O25" s="53">
        <f ca="1">IFERROR(-'Income Statement'!O29/'Income Statement'!O34,0)</f>
        <v>490.35470845481058</v>
      </c>
    </row>
    <row r="28" spans="2:15" x14ac:dyDescent="0.4">
      <c r="B28" s="52" t="s">
        <v>281</v>
      </c>
    </row>
    <row r="29" spans="2:15" x14ac:dyDescent="0.4">
      <c r="C29" t="s">
        <v>23</v>
      </c>
      <c r="G29" s="57">
        <f>'Income Statement'!G16</f>
        <v>0</v>
      </c>
      <c r="H29" s="57">
        <f>'Income Statement'!H16</f>
        <v>0</v>
      </c>
      <c r="I29" s="57">
        <f>'Income Statement'!I16</f>
        <v>0</v>
      </c>
      <c r="J29" s="57">
        <f>'Income Statement'!J16</f>
        <v>0</v>
      </c>
      <c r="K29" s="57">
        <f>'Income Statement'!K16</f>
        <v>0.61290322580645162</v>
      </c>
      <c r="L29" s="57">
        <f>'Income Statement'!L16</f>
        <v>0.61028037383177569</v>
      </c>
      <c r="M29" s="57">
        <f>'Income Statement'!M16</f>
        <v>0.57764612954186412</v>
      </c>
      <c r="N29" s="57">
        <f>'Income Statement'!N16</f>
        <v>0.62123245881635147</v>
      </c>
      <c r="O29" s="57">
        <f>'Income Statement'!O16</f>
        <v>0.59186991869918704</v>
      </c>
    </row>
    <row r="30" spans="2:15" x14ac:dyDescent="0.4">
      <c r="C30" t="s">
        <v>24</v>
      </c>
      <c r="G30" s="57">
        <f>'Income Statement'!G31</f>
        <v>0</v>
      </c>
      <c r="H30" s="57">
        <f>'Income Statement'!H31</f>
        <v>0</v>
      </c>
      <c r="I30" s="57">
        <f>'Income Statement'!I31</f>
        <v>0</v>
      </c>
      <c r="J30" s="57">
        <f>'Income Statement'!J31</f>
        <v>0</v>
      </c>
      <c r="K30" s="57">
        <f>'Income Statement'!K31</f>
        <v>0.51844801822418674</v>
      </c>
      <c r="L30" s="57">
        <f>'Income Statement'!L31</f>
        <v>0.52569781023223705</v>
      </c>
      <c r="M30" s="57">
        <f>'Income Statement'!M31</f>
        <v>0.49437552678485081</v>
      </c>
      <c r="N30" s="57">
        <f>'Income Statement'!N31</f>
        <v>0.55428274369104402</v>
      </c>
      <c r="O30" s="57">
        <f>'Income Statement'!O31</f>
        <v>0.53154981946320923</v>
      </c>
    </row>
    <row r="31" spans="2:15" x14ac:dyDescent="0.4">
      <c r="C31" t="s">
        <v>282</v>
      </c>
      <c r="G31" s="57">
        <f ca="1">'Income Statement'!G41</f>
        <v>0</v>
      </c>
      <c r="H31" s="57">
        <f ca="1">'Income Statement'!H41</f>
        <v>0</v>
      </c>
      <c r="I31" s="57">
        <f ca="1">'Income Statement'!I41</f>
        <v>0</v>
      </c>
      <c r="J31" s="57">
        <f ca="1">'Income Statement'!J41</f>
        <v>0</v>
      </c>
      <c r="K31" s="57">
        <f ca="1">'Income Statement'!K41</f>
        <v>0.36333867219537841</v>
      </c>
      <c r="L31" s="57">
        <f ca="1">'Income Statement'!L41</f>
        <v>0.38107612649931083</v>
      </c>
      <c r="M31" s="57">
        <f ca="1">'Income Statement'!M41</f>
        <v>0.36943973373577876</v>
      </c>
      <c r="N31" s="57">
        <f ca="1">'Income Statement'!N41</f>
        <v>0.41695191646294882</v>
      </c>
      <c r="O31" s="57">
        <f ca="1">'Income Statement'!O41</f>
        <v>0.41005241447906238</v>
      </c>
    </row>
    <row r="32" spans="2:15" x14ac:dyDescent="0.4">
      <c r="C32" t="s">
        <v>283</v>
      </c>
      <c r="G32" s="62">
        <f ca="1">IFERROR('Income Statement'!G39/AVERAGE('Balance Sheet'!F20:G20),0)</f>
        <v>0</v>
      </c>
      <c r="H32" s="62">
        <f ca="1">IFERROR('Income Statement'!H39/AVERAGE('Balance Sheet'!G20:H20),0)</f>
        <v>0</v>
      </c>
      <c r="I32" s="62">
        <f ca="1">IFERROR('Income Statement'!I39/AVERAGE('Balance Sheet'!H20:I20),0)</f>
        <v>0</v>
      </c>
      <c r="J32" s="62">
        <f ca="1">IFERROR('Income Statement'!J39/AVERAGE('Balance Sheet'!I20:J20),0)</f>
        <v>-1.9828351583308673E-2</v>
      </c>
      <c r="K32" s="62">
        <f ca="1">IFERROR('Income Statement'!K39/AVERAGE('Balance Sheet'!J20:K20),0)</f>
        <v>1.0612667677716945</v>
      </c>
      <c r="L32" s="62">
        <f ca="1">IFERROR('Income Statement'!L39/AVERAGE('Balance Sheet'!K20:L20),0)</f>
        <v>0.57731196463758994</v>
      </c>
      <c r="M32" s="62">
        <f ca="1">IFERROR('Income Statement'!M39/AVERAGE('Balance Sheet'!L20:M20),0)</f>
        <v>0.4165531490320683</v>
      </c>
      <c r="N32" s="62">
        <f ca="1">IFERROR('Income Statement'!N39/AVERAGE('Balance Sheet'!M20:N20),0)</f>
        <v>0.42418648993690522</v>
      </c>
      <c r="O32" s="62">
        <f ca="1">IFERROR('Income Statement'!O39/AVERAGE('Balance Sheet'!N20:O20),0)</f>
        <v>0.34029690890316416</v>
      </c>
    </row>
    <row r="33" spans="3:15" x14ac:dyDescent="0.4">
      <c r="C33" t="s">
        <v>284</v>
      </c>
      <c r="G33" s="62">
        <f ca="1">IFERROR('Income Statement'!G39/'Balance Sheet'!G33,0)</f>
        <v>0</v>
      </c>
      <c r="H33" s="62">
        <f ca="1">IFERROR('Income Statement'!H39/'Balance Sheet'!H33,0)</f>
        <v>0</v>
      </c>
      <c r="I33" s="62">
        <f ca="1">IFERROR('Income Statement'!I39/'Balance Sheet'!I33,0)</f>
        <v>0</v>
      </c>
      <c r="J33" s="62">
        <f ca="1">IFERROR('Income Statement'!J39/'Balance Sheet'!J33,0)</f>
        <v>-1.4945349096587107E-2</v>
      </c>
      <c r="K33" s="62">
        <f ca="1">IFERROR('Income Statement'!K39/'Balance Sheet'!K33,0)</f>
        <v>0.77424347041280517</v>
      </c>
      <c r="L33" s="62">
        <f ca="1">IFERROR('Income Statement'!L39/'Balance Sheet'!L33,0)</f>
        <v>0.46911989353128503</v>
      </c>
      <c r="M33" s="62">
        <f ca="1">IFERROR('Income Statement'!M39/'Balance Sheet'!M33,0)</f>
        <v>0.36854412376990664</v>
      </c>
      <c r="N33" s="62">
        <f ca="1">IFERROR('Income Statement'!N39/'Balance Sheet'!N33,0)</f>
        <v>0.36872517683169603</v>
      </c>
      <c r="O33" s="62">
        <f ca="1">IFERROR('Income Statement'!O39/'Balance Sheet'!O33,0)</f>
        <v>0.30259236120162486</v>
      </c>
    </row>
  </sheetData>
  <hyperlinks>
    <hyperlink ref="O1" location="'Table of Content'!A1" display="&gt;&gt; Table of Contents" xr:uid="{79A97D46-4568-415F-895E-78A87C1113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Table of Content</vt:lpstr>
      <vt:lpstr>Model Inputs</vt:lpstr>
      <vt:lpstr>Directors and Staff Costs</vt:lpstr>
      <vt:lpstr>Scenarios</vt:lpstr>
      <vt:lpstr>Revenue</vt:lpstr>
      <vt:lpstr>Cost of Sales</vt:lpstr>
      <vt:lpstr>Working Capital</vt:lpstr>
      <vt:lpstr>Depreciation</vt:lpstr>
      <vt:lpstr>Debt</vt:lpstr>
      <vt:lpstr>Equity</vt:lpstr>
      <vt:lpstr>Tax</vt:lpstr>
      <vt:lpstr>Income Statement</vt:lpstr>
      <vt:lpstr>Balance Sheet</vt:lpstr>
      <vt:lpstr>Cashflow</vt:lpstr>
      <vt:lpstr>DCF Valuation</vt:lpstr>
      <vt:lpstr>Financial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Olafusi</dc:creator>
  <cp:lastModifiedBy>Michael Olafusi</cp:lastModifiedBy>
  <dcterms:created xsi:type="dcterms:W3CDTF">2020-03-30T14:28:56Z</dcterms:created>
  <dcterms:modified xsi:type="dcterms:W3CDTF">2020-07-27T10:47:26Z</dcterms:modified>
</cp:coreProperties>
</file>