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quare column" sheetId="1" r:id="rId1"/>
    <sheet name="Sheet3" sheetId="2" r:id="rId2"/>
    <sheet name="Sheet2" sheetId="3" r:id="rId3"/>
  </sheets>
  <definedNames>
    <definedName name="case">'square column'!#REF!</definedName>
    <definedName name="_xlnm.Print_Area" localSheetId="0">'square column'!$B$2:$V$169</definedName>
  </definedNames>
  <calcPr fullCalcOnLoad="1"/>
</workbook>
</file>

<file path=xl/sharedStrings.xml><?xml version="1.0" encoding="utf-8"?>
<sst xmlns="http://schemas.openxmlformats.org/spreadsheetml/2006/main" count="452" uniqueCount="232">
  <si>
    <t>n</t>
  </si>
  <si>
    <t>k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</si>
  <si>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</si>
  <si>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</si>
  <si>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</si>
  <si>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</si>
  <si>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</si>
  <si>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</si>
  <si>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d'</t>
  </si>
  <si>
    <t>A:</t>
  </si>
  <si>
    <t>B:</t>
  </si>
  <si>
    <t>C:</t>
  </si>
  <si>
    <t>D:</t>
  </si>
  <si>
    <t>P</t>
  </si>
  <si>
    <t>Mx</t>
  </si>
  <si>
    <t>My</t>
  </si>
  <si>
    <t>Ix</t>
  </si>
  <si>
    <t>Iy</t>
  </si>
  <si>
    <t>cm^4</t>
  </si>
  <si>
    <t>b</t>
  </si>
  <si>
    <t>gh</t>
  </si>
  <si>
    <t>gb</t>
  </si>
  <si>
    <t>cx</t>
  </si>
  <si>
    <t>cy</t>
  </si>
  <si>
    <t>Msx*(1/Pa-1/Po)</t>
  </si>
  <si>
    <t>Msy*(1/Pa-1/Po)</t>
  </si>
  <si>
    <t>Sx</t>
  </si>
  <si>
    <t>Sy</t>
  </si>
  <si>
    <t>Msx, Fbx*Sx</t>
  </si>
  <si>
    <t>Msy, Fby*Sy</t>
  </si>
  <si>
    <t>ebx</t>
  </si>
  <si>
    <t>eax</t>
  </si>
  <si>
    <t>eay</t>
  </si>
  <si>
    <t>eby</t>
  </si>
  <si>
    <r>
      <t>r</t>
    </r>
    <r>
      <rPr>
        <sz val="8.8"/>
        <color indexed="8"/>
        <rFont val="Times New Roman"/>
        <family val="1"/>
      </rPr>
      <t>g, Ast/Ag</t>
    </r>
  </si>
  <si>
    <t>(0.67*rg</t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</si>
  <si>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g*m+0.17)*(h-d')</t>
    </r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</si>
  <si>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g*m+0.17)*(b-d')</t>
    </r>
  </si>
  <si>
    <t>Msx</t>
  </si>
  <si>
    <t>Msy</t>
  </si>
  <si>
    <t>Fbx*Sx</t>
  </si>
  <si>
    <t>Fby*Sy</t>
  </si>
  <si>
    <t>0.45*f'c</t>
  </si>
  <si>
    <t>Fbx</t>
  </si>
  <si>
    <t>Fby</t>
  </si>
  <si>
    <t>Fa*Ag</t>
  </si>
  <si>
    <t>Po</t>
  </si>
  <si>
    <t>Fa</t>
  </si>
  <si>
    <t>Pa</t>
  </si>
  <si>
    <t>Mx/P</t>
  </si>
  <si>
    <t>My/P</t>
  </si>
  <si>
    <t>ex</t>
  </si>
  <si>
    <t>ey</t>
  </si>
  <si>
    <t>m</t>
  </si>
  <si>
    <t>fa</t>
  </si>
  <si>
    <t>P/Ag</t>
  </si>
  <si>
    <t>h/2</t>
  </si>
  <si>
    <t>b/2</t>
  </si>
  <si>
    <t>Ix/cx</t>
  </si>
  <si>
    <t>Iy/cy</t>
  </si>
  <si>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</t>
    </r>
  </si>
  <si>
    <t>Mbx</t>
  </si>
  <si>
    <t>Mby</t>
  </si>
  <si>
    <t>Mox</t>
  </si>
  <si>
    <t>Moy</t>
  </si>
  <si>
    <t>Px</t>
  </si>
  <si>
    <t>Py</t>
  </si>
  <si>
    <t>Max Px,Py</t>
  </si>
  <si>
    <t>Max</t>
  </si>
  <si>
    <t>May</t>
  </si>
  <si>
    <t>Pa*eax</t>
  </si>
  <si>
    <t>Pa*eay</t>
  </si>
  <si>
    <t>Pbx</t>
  </si>
  <si>
    <t>Pby</t>
  </si>
  <si>
    <t>Msx*100/(ebx+Msx*100/Po)</t>
  </si>
  <si>
    <t>Msy*100/(eby+Msy*100/Po)</t>
  </si>
  <si>
    <t>E:</t>
  </si>
  <si>
    <t>Pbx*ebx</t>
  </si>
  <si>
    <t>Pby*eby</t>
  </si>
  <si>
    <t>F:</t>
  </si>
  <si>
    <t>Pbx*(Mx-Mox)/(Mbx-Mox)</t>
  </si>
  <si>
    <t>Pby*(My-Moy)/(Mby-Moy)</t>
  </si>
  <si>
    <t>h-2d'</t>
  </si>
  <si>
    <t>b-2d'</t>
  </si>
  <si>
    <t>x</t>
  </si>
  <si>
    <t>y</t>
  </si>
  <si>
    <t>X-X</t>
  </si>
  <si>
    <t>Y-Y</t>
  </si>
  <si>
    <t>Pa,Ma v</t>
  </si>
  <si>
    <t>Pb,Mb v</t>
  </si>
  <si>
    <t>Pa,Ma h</t>
  </si>
  <si>
    <t>Pb,Mb h</t>
  </si>
  <si>
    <t>P0,Ma</t>
  </si>
  <si>
    <t>Pa,Mb</t>
  </si>
  <si>
    <t>Pb,Ms</t>
  </si>
  <si>
    <t>P,Mx</t>
  </si>
  <si>
    <t>Pb,Mo</t>
  </si>
  <si>
    <t>P,My</t>
  </si>
  <si>
    <t>&lt;=== Control</t>
  </si>
  <si>
    <t>Mx,P</t>
  </si>
  <si>
    <t>My,P</t>
  </si>
  <si>
    <t>Ast' x-x</t>
  </si>
  <si>
    <t>Ast' all</t>
  </si>
  <si>
    <t>0.40*Ast' x-x*fy*(h-2d')</t>
  </si>
  <si>
    <t>0.40*Ast' y-y*fy*(b-2d')</t>
  </si>
  <si>
    <t>Ix = Iy</t>
  </si>
  <si>
    <t xml:space="preserve">Ix </t>
  </si>
  <si>
    <t>1. หน้าตัดสี่เหลี่ยมจตุรัส เรียงเหล็กยืนเหมือนกันสองด้าน</t>
  </si>
  <si>
    <t>2. หน้าตัดสี่เหลี่ยมผืนผ้า เรียงเหล็กเท่ากันทุกด้าน</t>
  </si>
  <si>
    <t>3. หน้าตัดสี่เหลี่ยมผืนผ้า เรียงเหล็กต่างกันสองด้าน</t>
  </si>
  <si>
    <t>2x</t>
  </si>
  <si>
    <t>2y</t>
  </si>
  <si>
    <t>3x</t>
  </si>
  <si>
    <t>3y</t>
  </si>
  <si>
    <t>h^4/12+(2*n-1)*Ast*(gh^2)/2</t>
  </si>
  <si>
    <t>b*h^3/12+(2*n-1)*Ast*(gh^2)/4</t>
  </si>
  <si>
    <t>h*b^3/12+(2*n-1)*Ast*(gb^2)/4</t>
  </si>
  <si>
    <t>status</t>
  </si>
  <si>
    <t>Ast'y-y</t>
  </si>
  <si>
    <t>Case 2 Compression failure eax&lt;= ex&lt;= ebx , eay&lt;= ey&lt;= eby</t>
  </si>
  <si>
    <t>Case 1 Axial failure ex&lt;eax , ey&lt;eay</t>
  </si>
  <si>
    <t>Case 3 Tension failure  ex&gt;ebx , ey&gt;eby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</si>
  <si>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</si>
  <si>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</si>
  <si>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</si>
  <si>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</si>
  <si>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</si>
  <si>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</si>
  <si>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</si>
  <si>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</si>
  <si>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</si>
  <si>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</si>
  <si>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</si>
  <si>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G:</t>
  </si>
  <si>
    <t>fa/Fa+fbx/Fbx+fby/Fby &lt;= 1</t>
  </si>
  <si>
    <t>f'c</t>
  </si>
  <si>
    <t>fc</t>
  </si>
  <si>
    <t>Ec</t>
  </si>
  <si>
    <t>fy</t>
  </si>
  <si>
    <t>j</t>
  </si>
  <si>
    <t>h</t>
  </si>
  <si>
    <t>L</t>
  </si>
  <si>
    <t>Column Behaviour</t>
  </si>
  <si>
    <r>
      <t xml:space="preserve">Mx/Mox+My/Moy </t>
    </r>
    <r>
      <rPr>
        <sz val="8"/>
        <color indexed="8"/>
        <rFont val="Symbol"/>
        <family val="1"/>
      </rPr>
      <t>&lt;=</t>
    </r>
    <r>
      <rPr>
        <sz val="9.6"/>
        <color indexed="8"/>
        <rFont val="Times New Roman"/>
        <family val="1"/>
      </rPr>
      <t xml:space="preserve"> 1</t>
    </r>
  </si>
  <si>
    <t>b*h^3/12+(2*n-1)*Asx*(gh^2)</t>
  </si>
  <si>
    <t>h*b^3/12+(2*n-1)*Asy*(gb^2)</t>
  </si>
  <si>
    <t>no.</t>
  </si>
  <si>
    <t>x-x</t>
  </si>
  <si>
    <t>y-y</t>
  </si>
  <si>
    <t>y1</t>
  </si>
  <si>
    <t>y2</t>
  </si>
  <si>
    <t>x1</t>
  </si>
  <si>
    <t>x2</t>
  </si>
  <si>
    <t>fy/(0.85*f'c)</t>
  </si>
  <si>
    <r>
      <t>0.34*(1+</t>
    </r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g*m)*f'c</t>
    </r>
  </si>
  <si>
    <r>
      <t>(b*h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/12+(2*n-1)*Asx*2*(gh/2)</t>
    </r>
    <r>
      <rPr>
        <vertAlign val="superscript"/>
        <sz val="6"/>
        <color indexed="8"/>
        <rFont val="Times New Roman"/>
        <family val="1"/>
      </rPr>
      <t>2</t>
    </r>
  </si>
  <si>
    <r>
      <t>(h*b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/12+(2*n-1)*Asy*2*(gb/2)</t>
    </r>
    <r>
      <rPr>
        <vertAlign val="superscript"/>
        <sz val="6"/>
        <color indexed="8"/>
        <rFont val="Times New Roman"/>
        <family val="1"/>
      </rPr>
      <t>2</t>
    </r>
  </si>
  <si>
    <t>Es</t>
  </si>
  <si>
    <t>fbx</t>
  </si>
  <si>
    <t>fby</t>
  </si>
  <si>
    <t xml:space="preserve">Mx/Sx </t>
  </si>
  <si>
    <t>My/Sy</t>
  </si>
  <si>
    <t>โครงการ :</t>
  </si>
  <si>
    <t>รายการ :</t>
  </si>
  <si>
    <t>หน้า</t>
  </si>
  <si>
    <t>เจ้าของ :</t>
  </si>
  <si>
    <t>วิศวกรโครงสร้าง :</t>
  </si>
  <si>
    <t>ของ</t>
  </si>
  <si>
    <t>ที่ตั้ง :</t>
  </si>
  <si>
    <t>วันที่:</t>
  </si>
  <si>
    <t>คุณสมบัติของวัสดุ</t>
  </si>
  <si>
    <t>คอนกรีต</t>
  </si>
  <si>
    <t>หน่วยแรงอัดที่ยอมให้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</si>
  <si>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</si>
  <si>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</si>
  <si>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</si>
  <si>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</si>
  <si>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</si>
  <si>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หน่วยแรงดึงที่ยอมให้ (fs) Min(0.40fy,2100)</t>
  </si>
  <si>
    <t>โมดูลัสยืดหยุ่น</t>
  </si>
  <si>
    <t>แรงที่ใช้ออกแบบ</t>
  </si>
  <si>
    <t>แรงตามแนวแกน</t>
  </si>
  <si>
    <t>โมเมนต์ดัดรอบแกน x-x</t>
  </si>
  <si>
    <t>โมเมนต์ดัดรอบแกน y-y</t>
  </si>
  <si>
    <t>พารามิเตอร์</t>
  </si>
  <si>
    <t>ออกแบบหน้าตัดเสา</t>
  </si>
  <si>
    <t>กว้าง</t>
  </si>
  <si>
    <t>ลึก</t>
  </si>
  <si>
    <t>ความยาว</t>
  </si>
  <si>
    <t>พื้นที่หน้าตัดของเสา, Ag</t>
  </si>
  <si>
    <t>เหล็กเสริมทั้งหมด, As all</t>
  </si>
  <si>
    <t>เหล็กเสริมแกน x-x</t>
  </si>
  <si>
    <t>เหล็กเสริมแกน y-y</t>
  </si>
  <si>
    <t>พฤติกรรมของเสาที่ออกแบบ</t>
  </si>
  <si>
    <t>กรณี 1 รับแรงตามแนวแกนอย่างเดียว ex&lt;eax , ey&lt;eay</t>
  </si>
  <si>
    <t>กรณี 2 รับแรงอัดเป็นหลัก eax&lt;= ex&lt;= ebx , eay&lt;= ey&lt;= eby</t>
  </si>
  <si>
    <t>กรณี 3 รับแรงดึงเป็นหลัก  ex&gt;ebx , ey&gt;eby</t>
  </si>
  <si>
    <t>ออกแบบเหล็กปลอก</t>
  </si>
  <si>
    <t>จำนวน</t>
  </si>
  <si>
    <t>16 ของเส้นผ่านศูนย์กลางเหล็กยืน</t>
  </si>
  <si>
    <t>48 ของเส้นผ่านศูนย์กลางเหล็กปลอก</t>
  </si>
  <si>
    <t>ด้านที่แคบที่สุดของ b,h</t>
  </si>
  <si>
    <t>ระยะเรียงที่ยอมให้</t>
  </si>
  <si>
    <t>ระยะเรียงที่ใช้</t>
  </si>
  <si>
    <t>ขนาดหน้าตัด และรายละเอียดการเสริมเหล็ก</t>
  </si>
  <si>
    <t>กำลังอัดประลัย</t>
  </si>
  <si>
    <t>ปลอก</t>
  </si>
  <si>
    <t>กก./ตร.ซม.</t>
  </si>
  <si>
    <t>ตัน</t>
  </si>
  <si>
    <t>ตัน-ม.</t>
  </si>
  <si>
    <t>ซม.</t>
  </si>
  <si>
    <t>ม.</t>
  </si>
  <si>
    <t>ตร.ซม.</t>
  </si>
  <si>
    <r>
      <t>ซม</t>
    </r>
    <r>
      <rPr>
        <vertAlign val="superscript"/>
        <sz val="8"/>
        <color indexed="8"/>
        <rFont val="Times New Roman"/>
        <family val="1"/>
      </rPr>
      <t>4</t>
    </r>
  </si>
  <si>
    <r>
      <t>ซม</t>
    </r>
    <r>
      <rPr>
        <vertAlign val="superscript"/>
        <sz val="8"/>
        <color indexed="8"/>
        <rFont val="Times New Roman"/>
        <family val="1"/>
      </rPr>
      <t>3</t>
    </r>
  </si>
  <si>
    <t>มม.</t>
  </si>
  <si>
    <t>กก.</t>
  </si>
  <si>
    <t>กก.-ม.</t>
  </si>
  <si>
    <t>กราฟแสดงความสัมพันธ์แรงตามแนวแกน และโมเมนต์ x-x (P กก. , M กก.-ม.)</t>
  </si>
  <si>
    <t>กราฟแสดงความสัมพันธ์แรงตามแนวแกน และโมเมนต์ y-y (P กก. , M กก.-ม.)</t>
  </si>
  <si>
    <t>ออกแบบเสาสี่เหลี่ยมจตุรัสคอนกรีตเสริมเหล็ก - วิธีหน่วยแรงใช้งาน</t>
  </si>
  <si>
    <t>นาย สุธีร์     แก้วคำ  สย.9698</t>
  </si>
  <si>
    <t>รายการคำนวณออกแบบ</t>
  </si>
  <si>
    <t>คอนกรีตเสริมเหล็ก</t>
  </si>
  <si>
    <t>บ้านพักอาศัยสองชั้น</t>
  </si>
  <si>
    <t>พ.ต.ท. ธงชัย ภัยพิทักษ์</t>
  </si>
  <si>
    <t>นนทบุรี</t>
  </si>
  <si>
    <t>SD-30</t>
  </si>
  <si>
    <t>RB</t>
  </si>
  <si>
    <t>CX</t>
  </si>
  <si>
    <t>0.01 &lt; Ast/Ag &lt; 0.08</t>
  </si>
  <si>
    <t>P/Pa &lt;= 1.00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</si>
</sst>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"/>
    <numFmt numFmtId="188" formatCode="[$-1010409]d\ mmmm\ yyyy;@"/>
    <numFmt numFmtId="189" formatCode="0.000"/>
    <numFmt numFmtId="190" formatCode="0.0"/>
    <numFmt numFmtId="191" formatCode="0.00_ ;\-0.00\ "/>
    <numFmt numFmtId="192" formatCode="[$-1070000]d/mm/yyyy;@"/>
    <numFmt numFmtId="193" formatCode="[$-101041E]d\ mmmm\ yyyy;@"/>
  </numFmts>
  <fonts count="79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8.8"/>
      <color indexed="8"/>
      <name val="Times New Roman"/>
      <family val="1"/>
    </font>
    <font>
      <sz val="9.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ahoma"/>
      <family val="0"/>
    </font>
    <font>
      <sz val="7"/>
      <color indexed="8"/>
      <name val="Tahoma"/>
      <family val="0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AngsanaUPC"/>
      <family val="0"/>
    </font>
    <font>
      <b/>
      <sz val="10"/>
      <color indexed="8"/>
      <name val="Calibri"/>
      <family val="0"/>
    </font>
    <font>
      <b/>
      <sz val="10"/>
      <color indexed="8"/>
      <name val="AngsanaUPC"/>
      <family val="0"/>
    </font>
    <font>
      <sz val="9"/>
      <color indexed="8"/>
      <name val="Calibri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8"/>
      <color theme="1"/>
      <name val="Times New Roman"/>
      <family val="1"/>
    </font>
    <font>
      <sz val="8"/>
      <color rgb="FF2504EC"/>
      <name val="Times New Roman"/>
      <family val="1"/>
    </font>
    <font>
      <b/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FF33CC"/>
      <name val="Times New Roman"/>
      <family val="1"/>
    </font>
    <font>
      <sz val="8"/>
      <color rgb="FFFF33CC"/>
      <name val="Times New Roman"/>
      <family val="1"/>
    </font>
    <font>
      <sz val="7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0000FF"/>
      <name val="Times New Roman"/>
      <family val="1"/>
    </font>
    <font>
      <sz val="7.5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Symbol"/>
      <family val="1"/>
    </font>
    <font>
      <sz val="6"/>
      <color theme="1"/>
      <name val="Times New Roman"/>
      <family val="1"/>
    </font>
    <font>
      <b/>
      <sz val="8"/>
      <color rgb="FF2504EC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Dashed">
        <color rgb="FFFF0000"/>
      </left>
      <right/>
      <top style="mediumDashed">
        <color rgb="FFFF0000"/>
      </top>
      <bottom/>
    </border>
    <border>
      <left/>
      <right/>
      <top style="mediumDashed">
        <color rgb="FFFF0000"/>
      </top>
      <bottom/>
    </border>
    <border>
      <left/>
      <right style="mediumDashed">
        <color rgb="FFFF0000"/>
      </right>
      <top style="mediumDashed">
        <color rgb="FFFF0000"/>
      </top>
      <bottom/>
    </border>
    <border>
      <left style="mediumDashed">
        <color rgb="FFFF0000"/>
      </left>
      <right/>
      <top/>
      <bottom/>
    </border>
    <border>
      <left/>
      <right style="mediumDashed">
        <color rgb="FFFF0000"/>
      </right>
      <top/>
      <bottom/>
    </border>
    <border>
      <left style="mediumDashed">
        <color rgb="FFFF0000"/>
      </left>
      <right/>
      <top/>
      <bottom style="mediumDashed">
        <color rgb="FFFF0000"/>
      </bottom>
    </border>
    <border>
      <left/>
      <right/>
      <top/>
      <bottom style="mediumDashed">
        <color rgb="FFFF0000"/>
      </bottom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268">
    <xf numFmtId="0" fontId="0" fillId="0" borderId="0" xfId="0" applyAlignment="1">
      <alignment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4" fillId="0" borderId="10" xfId="61" applyFont="1" applyFill="1" applyBorder="1" applyAlignment="1" applyProtection="1">
      <alignment/>
      <protection/>
    </xf>
    <xf numFmtId="187" fontId="5" fillId="0" borderId="10" xfId="61" applyNumberFormat="1" applyFont="1" applyFill="1" applyBorder="1" applyAlignment="1" applyProtection="1">
      <alignment/>
      <protection/>
    </xf>
    <xf numFmtId="0" fontId="5" fillId="0" borderId="10" xfId="61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187" fontId="5" fillId="0" borderId="0" xfId="61" applyNumberFormat="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1" fontId="66" fillId="0" borderId="0" xfId="0" applyNumberFormat="1" applyFont="1" applyFill="1" applyBorder="1" applyAlignment="1" applyProtection="1">
      <alignment/>
      <protection/>
    </xf>
    <xf numFmtId="1" fontId="66" fillId="0" borderId="12" xfId="0" applyNumberFormat="1" applyFont="1" applyFill="1" applyBorder="1" applyAlignment="1" applyProtection="1">
      <alignment/>
      <protection/>
    </xf>
    <xf numFmtId="43" fontId="63" fillId="0" borderId="0" xfId="42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 shrinkToFit="1"/>
      <protection/>
    </xf>
    <xf numFmtId="0" fontId="63" fillId="0" borderId="0" xfId="0" applyFont="1" applyFill="1" applyBorder="1" applyAlignment="1" applyProtection="1">
      <alignment shrinkToFit="1"/>
      <protection/>
    </xf>
    <xf numFmtId="0" fontId="63" fillId="0" borderId="13" xfId="0" applyFont="1" applyFill="1" applyBorder="1" applyAlignment="1" applyProtection="1">
      <alignment/>
      <protection/>
    </xf>
    <xf numFmtId="0" fontId="63" fillId="0" borderId="14" xfId="0" applyFont="1" applyFill="1" applyBorder="1" applyAlignment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3" fillId="0" borderId="16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/>
      <protection/>
    </xf>
    <xf numFmtId="189" fontId="63" fillId="0" borderId="0" xfId="0" applyNumberFormat="1" applyFont="1" applyFill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71" fillId="9" borderId="0" xfId="0" applyFont="1" applyFill="1" applyBorder="1" applyAlignment="1" applyProtection="1">
      <alignment/>
      <protection/>
    </xf>
    <xf numFmtId="0" fontId="65" fillId="9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 applyProtection="1">
      <alignment/>
      <protection/>
    </xf>
    <xf numFmtId="0" fontId="63" fillId="0" borderId="18" xfId="0" applyFont="1" applyFill="1" applyBorder="1" applyAlignment="1" applyProtection="1">
      <alignment/>
      <protection/>
    </xf>
    <xf numFmtId="2" fontId="63" fillId="0" borderId="17" xfId="0" applyNumberFormat="1" applyFont="1" applyFill="1" applyBorder="1" applyAlignment="1" applyProtection="1">
      <alignment/>
      <protection/>
    </xf>
    <xf numFmtId="191" fontId="63" fillId="0" borderId="17" xfId="42" applyNumberFormat="1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 shrinkToFit="1"/>
      <protection/>
    </xf>
    <xf numFmtId="0" fontId="63" fillId="0" borderId="2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top"/>
      <protection/>
    </xf>
    <xf numFmtId="0" fontId="65" fillId="33" borderId="11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71" fillId="13" borderId="0" xfId="0" applyFont="1" applyFill="1" applyBorder="1" applyAlignment="1" applyProtection="1">
      <alignment/>
      <protection/>
    </xf>
    <xf numFmtId="0" fontId="65" fillId="13" borderId="0" xfId="0" applyFont="1" applyFill="1" applyAlignment="1" applyProtection="1">
      <alignment/>
      <protection/>
    </xf>
    <xf numFmtId="0" fontId="65" fillId="13" borderId="0" xfId="0" applyFont="1" applyFill="1" applyAlignment="1" applyProtection="1">
      <alignment horizontal="center" vertical="center"/>
      <protection/>
    </xf>
    <xf numFmtId="0" fontId="65" fillId="13" borderId="0" xfId="0" applyFont="1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2" fontId="65" fillId="9" borderId="0" xfId="0" applyNumberFormat="1" applyFont="1" applyFill="1" applyBorder="1" applyAlignment="1" applyProtection="1">
      <alignment/>
      <protection/>
    </xf>
    <xf numFmtId="0" fontId="65" fillId="9" borderId="0" xfId="0" applyFont="1" applyFill="1" applyBorder="1" applyAlignment="1" applyProtection="1">
      <alignment horizontal="center" vertical="center"/>
      <protection/>
    </xf>
    <xf numFmtId="0" fontId="72" fillId="9" borderId="0" xfId="0" applyFont="1" applyFill="1" applyBorder="1" applyAlignment="1" applyProtection="1">
      <alignment/>
      <protection/>
    </xf>
    <xf numFmtId="0" fontId="66" fillId="0" borderId="18" xfId="0" applyFont="1" applyFill="1" applyBorder="1" applyAlignment="1" applyProtection="1">
      <alignment/>
      <protection/>
    </xf>
    <xf numFmtId="1" fontId="66" fillId="0" borderId="18" xfId="0" applyNumberFormat="1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 shrinkToFit="1"/>
      <protection/>
    </xf>
    <xf numFmtId="0" fontId="63" fillId="0" borderId="21" xfId="0" applyFont="1" applyFill="1" applyBorder="1" applyAlignment="1" applyProtection="1">
      <alignment/>
      <protection/>
    </xf>
    <xf numFmtId="0" fontId="63" fillId="0" borderId="22" xfId="0" applyFont="1" applyFill="1" applyBorder="1" applyAlignment="1" applyProtection="1">
      <alignment/>
      <protection/>
    </xf>
    <xf numFmtId="0" fontId="63" fillId="0" borderId="17" xfId="0" applyFont="1" applyFill="1" applyBorder="1" applyAlignment="1" applyProtection="1">
      <alignment shrinkToFit="1"/>
      <protection/>
    </xf>
    <xf numFmtId="0" fontId="63" fillId="0" borderId="23" xfId="0" applyFont="1" applyFill="1" applyBorder="1" applyAlignment="1" applyProtection="1">
      <alignment/>
      <protection/>
    </xf>
    <xf numFmtId="0" fontId="63" fillId="0" borderId="24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3" fillId="0" borderId="25" xfId="0" applyFont="1" applyFill="1" applyBorder="1" applyAlignment="1" applyProtection="1">
      <alignment/>
      <protection/>
    </xf>
    <xf numFmtId="0" fontId="65" fillId="0" borderId="26" xfId="0" applyFont="1" applyFill="1" applyBorder="1" applyAlignment="1" applyProtection="1">
      <alignment/>
      <protection/>
    </xf>
    <xf numFmtId="1" fontId="65" fillId="0" borderId="0" xfId="0" applyNumberFormat="1" applyFont="1" applyFill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" fontId="63" fillId="0" borderId="0" xfId="0" applyNumberFormat="1" applyFont="1" applyFill="1" applyAlignment="1" applyProtection="1">
      <alignment horizontal="center" shrinkToFit="1"/>
      <protection/>
    </xf>
    <xf numFmtId="0" fontId="65" fillId="13" borderId="0" xfId="0" applyFont="1" applyFill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Fill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5" fillId="32" borderId="27" xfId="0" applyFont="1" applyFill="1" applyBorder="1" applyAlignment="1" applyProtection="1">
      <alignment horizontal="center"/>
      <protection/>
    </xf>
    <xf numFmtId="0" fontId="63" fillId="32" borderId="27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3" fillId="19" borderId="0" xfId="0" applyFont="1" applyFill="1" applyBorder="1" applyAlignment="1" applyProtection="1">
      <alignment horizontal="center"/>
      <protection/>
    </xf>
    <xf numFmtId="0" fontId="63" fillId="19" borderId="0" xfId="0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/>
      <protection/>
    </xf>
    <xf numFmtId="0" fontId="63" fillId="19" borderId="0" xfId="0" applyFont="1" applyFill="1" applyAlignment="1" applyProtection="1">
      <alignment horizont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1" fontId="63" fillId="0" borderId="27" xfId="0" applyNumberFormat="1" applyFont="1" applyFill="1" applyBorder="1" applyAlignment="1" applyProtection="1">
      <alignment horizontal="center" vertical="center"/>
      <protection/>
    </xf>
    <xf numFmtId="1" fontId="63" fillId="0" borderId="27" xfId="0" applyNumberFormat="1" applyFont="1" applyFill="1" applyBorder="1" applyAlignment="1" applyProtection="1">
      <alignment horizontal="center"/>
      <protection/>
    </xf>
    <xf numFmtId="192" fontId="63" fillId="0" borderId="0" xfId="0" applyNumberFormat="1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/>
      <protection/>
    </xf>
    <xf numFmtId="0" fontId="63" fillId="0" borderId="30" xfId="0" applyFont="1" applyFill="1" applyBorder="1" applyAlignment="1" applyProtection="1">
      <alignment/>
      <protection/>
    </xf>
    <xf numFmtId="0" fontId="63" fillId="0" borderId="31" xfId="0" applyFont="1" applyFill="1" applyBorder="1" applyAlignment="1" applyProtection="1">
      <alignment/>
      <protection/>
    </xf>
    <xf numFmtId="0" fontId="63" fillId="0" borderId="32" xfId="0" applyFont="1" applyFill="1" applyBorder="1" applyAlignment="1" applyProtection="1">
      <alignment/>
      <protection/>
    </xf>
    <xf numFmtId="0" fontId="63" fillId="0" borderId="33" xfId="0" applyFont="1" applyFill="1" applyBorder="1" applyAlignment="1" applyProtection="1">
      <alignment/>
      <protection/>
    </xf>
    <xf numFmtId="0" fontId="63" fillId="0" borderId="34" xfId="0" applyFont="1" applyFill="1" applyBorder="1" applyAlignment="1" applyProtection="1">
      <alignment/>
      <protection/>
    </xf>
    <xf numFmtId="0" fontId="63" fillId="0" borderId="35" xfId="0" applyFont="1" applyFill="1" applyBorder="1" applyAlignment="1" applyProtection="1">
      <alignment/>
      <protection/>
    </xf>
    <xf numFmtId="0" fontId="63" fillId="0" borderId="36" xfId="0" applyFont="1" applyFill="1" applyBorder="1" applyAlignment="1" applyProtection="1">
      <alignment/>
      <protection/>
    </xf>
    <xf numFmtId="0" fontId="67" fillId="0" borderId="36" xfId="0" applyFont="1" applyFill="1" applyBorder="1" applyAlignment="1" applyProtection="1">
      <alignment/>
      <protection/>
    </xf>
    <xf numFmtId="0" fontId="63" fillId="0" borderId="37" xfId="0" applyFont="1" applyFill="1" applyBorder="1" applyAlignment="1" applyProtection="1">
      <alignment/>
      <protection/>
    </xf>
    <xf numFmtId="0" fontId="65" fillId="0" borderId="33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3" fillId="0" borderId="14" xfId="61" applyFont="1" applyFill="1" applyBorder="1" applyAlignment="1" applyProtection="1">
      <alignment/>
      <protection/>
    </xf>
    <xf numFmtId="188" fontId="3" fillId="0" borderId="14" xfId="0" applyNumberFormat="1" applyFont="1" applyFill="1" applyBorder="1" applyAlignment="1" applyProtection="1">
      <alignment horizontal="left"/>
      <protection/>
    </xf>
    <xf numFmtId="0" fontId="4" fillId="0" borderId="14" xfId="61" applyFont="1" applyFill="1" applyBorder="1" applyAlignment="1" applyProtection="1">
      <alignment/>
      <protection/>
    </xf>
    <xf numFmtId="14" fontId="5" fillId="0" borderId="14" xfId="61" applyNumberFormat="1" applyFont="1" applyFill="1" applyBorder="1" applyAlignment="1" applyProtection="1">
      <alignment/>
      <protection/>
    </xf>
    <xf numFmtId="0" fontId="5" fillId="0" borderId="14" xfId="61" applyNumberFormat="1" applyFont="1" applyFill="1" applyBorder="1" applyAlignment="1" applyProtection="1">
      <alignment/>
      <protection/>
    </xf>
    <xf numFmtId="0" fontId="65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63" fillId="0" borderId="38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63" fillId="0" borderId="3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90" fontId="4" fillId="36" borderId="27" xfId="0" applyNumberFormat="1" applyFont="1" applyFill="1" applyBorder="1" applyAlignment="1" applyProtection="1">
      <alignment horizontal="center"/>
      <protection/>
    </xf>
    <xf numFmtId="0" fontId="65" fillId="37" borderId="0" xfId="0" applyFont="1" applyFill="1" applyBorder="1" applyAlignment="1" applyProtection="1">
      <alignment/>
      <protection/>
    </xf>
    <xf numFmtId="0" fontId="65" fillId="37" borderId="0" xfId="0" applyFont="1" applyFill="1" applyAlignment="1" applyProtection="1">
      <alignment/>
      <protection/>
    </xf>
    <xf numFmtId="0" fontId="65" fillId="37" borderId="0" xfId="0" applyFont="1" applyFill="1" applyAlignment="1" applyProtection="1">
      <alignment horizontal="left"/>
      <protection/>
    </xf>
    <xf numFmtId="0" fontId="65" fillId="37" borderId="0" xfId="0" applyFont="1" applyFill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/>
      <protection/>
    </xf>
    <xf numFmtId="0" fontId="63" fillId="37" borderId="0" xfId="0" applyFont="1" applyFill="1" applyAlignment="1" applyProtection="1">
      <alignment/>
      <protection/>
    </xf>
    <xf numFmtId="0" fontId="63" fillId="37" borderId="0" xfId="0" applyFont="1" applyFill="1" applyBorder="1" applyAlignment="1" applyProtection="1">
      <alignment/>
      <protection/>
    </xf>
    <xf numFmtId="2" fontId="65" fillId="37" borderId="0" xfId="0" applyNumberFormat="1" applyFont="1" applyFill="1" applyBorder="1" applyAlignment="1" applyProtection="1">
      <alignment/>
      <protection/>
    </xf>
    <xf numFmtId="0" fontId="65" fillId="37" borderId="0" xfId="0" applyFont="1" applyFill="1" applyBorder="1" applyAlignment="1" applyProtection="1">
      <alignment horizontal="center" vertical="center"/>
      <protection/>
    </xf>
    <xf numFmtId="0" fontId="72" fillId="37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horizontal="center" vertical="center"/>
      <protection/>
    </xf>
    <xf numFmtId="0" fontId="65" fillId="19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38" borderId="27" xfId="0" applyFont="1" applyFill="1" applyBorder="1" applyAlignment="1" applyProtection="1">
      <alignment horizontal="center" vertical="center"/>
      <protection/>
    </xf>
    <xf numFmtId="0" fontId="63" fillId="9" borderId="27" xfId="0" applyFont="1" applyFill="1" applyBorder="1" applyAlignment="1" applyProtection="1">
      <alignment horizontal="center" vertical="center"/>
      <protection/>
    </xf>
    <xf numFmtId="0" fontId="63" fillId="39" borderId="27" xfId="0" applyFont="1" applyFill="1" applyBorder="1" applyAlignment="1" applyProtection="1">
      <alignment horizontal="center" vertical="center"/>
      <protection/>
    </xf>
    <xf numFmtId="1" fontId="63" fillId="19" borderId="27" xfId="0" applyNumberFormat="1" applyFont="1" applyFill="1" applyBorder="1" applyAlignment="1" applyProtection="1">
      <alignment horizontal="center" vertical="center"/>
      <protection/>
    </xf>
    <xf numFmtId="0" fontId="63" fillId="18" borderId="40" xfId="0" applyFont="1" applyFill="1" applyBorder="1" applyAlignment="1" applyProtection="1">
      <alignment horizontal="center" vertical="center"/>
      <protection/>
    </xf>
    <xf numFmtId="0" fontId="63" fillId="18" borderId="41" xfId="0" applyFont="1" applyFill="1" applyBorder="1" applyAlignment="1" applyProtection="1">
      <alignment horizontal="center" vertical="center"/>
      <protection/>
    </xf>
    <xf numFmtId="0" fontId="63" fillId="38" borderId="0" xfId="0" applyFont="1" applyFill="1" applyBorder="1" applyAlignment="1" applyProtection="1">
      <alignment horizontal="center" vertical="center"/>
      <protection/>
    </xf>
    <xf numFmtId="0" fontId="63" fillId="9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/>
      <protection/>
    </xf>
    <xf numFmtId="0" fontId="63" fillId="0" borderId="14" xfId="0" applyFont="1" applyFill="1" applyBorder="1" applyAlignment="1" applyProtection="1">
      <alignment horizontal="center"/>
      <protection/>
    </xf>
    <xf numFmtId="1" fontId="63" fillId="0" borderId="14" xfId="0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 applyProtection="1">
      <alignment shrinkToFit="1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77" fillId="0" borderId="10" xfId="61" applyFont="1" applyFill="1" applyBorder="1" applyAlignment="1" applyProtection="1">
      <alignment/>
      <protection/>
    </xf>
    <xf numFmtId="0" fontId="63" fillId="0" borderId="38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horizontal="left"/>
      <protection/>
    </xf>
    <xf numFmtId="0" fontId="77" fillId="0" borderId="0" xfId="61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/>
      <protection/>
    </xf>
    <xf numFmtId="0" fontId="77" fillId="36" borderId="13" xfId="61" applyFont="1" applyFill="1" applyBorder="1" applyAlignment="1" applyProtection="1">
      <alignment horizontal="left"/>
      <protection/>
    </xf>
    <xf numFmtId="0" fontId="77" fillId="36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/>
      <protection/>
    </xf>
    <xf numFmtId="188" fontId="77" fillId="0" borderId="0" xfId="0" applyNumberFormat="1" applyFont="1" applyFill="1" applyBorder="1" applyAlignment="1" applyProtection="1">
      <alignment horizontal="left"/>
      <protection/>
    </xf>
    <xf numFmtId="0" fontId="77" fillId="0" borderId="43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/>
    </xf>
    <xf numFmtId="0" fontId="77" fillId="0" borderId="42" xfId="0" applyNumberFormat="1" applyFont="1" applyFill="1" applyBorder="1" applyAlignment="1" applyProtection="1">
      <alignment horizontal="center"/>
      <protection locked="0"/>
    </xf>
    <xf numFmtId="0" fontId="77" fillId="40" borderId="44" xfId="0" applyFont="1" applyFill="1" applyBorder="1" applyAlignment="1" applyProtection="1">
      <alignment horizontal="center"/>
      <protection locked="0"/>
    </xf>
    <xf numFmtId="2" fontId="77" fillId="40" borderId="27" xfId="0" applyNumberFormat="1" applyFont="1" applyFill="1" applyBorder="1" applyAlignment="1" applyProtection="1">
      <alignment horizontal="center" vertical="center"/>
      <protection locked="0"/>
    </xf>
    <xf numFmtId="190" fontId="72" fillId="40" borderId="27" xfId="0" applyNumberFormat="1" applyFont="1" applyFill="1" applyBorder="1" applyAlignment="1" applyProtection="1">
      <alignment horizontal="center"/>
      <protection locked="0"/>
    </xf>
    <xf numFmtId="2" fontId="72" fillId="40" borderId="27" xfId="0" applyNumberFormat="1" applyFont="1" applyFill="1" applyBorder="1" applyAlignment="1" applyProtection="1">
      <alignment horizontal="center"/>
      <protection locked="0"/>
    </xf>
    <xf numFmtId="1" fontId="72" fillId="40" borderId="27" xfId="0" applyNumberFormat="1" applyFont="1" applyFill="1" applyBorder="1" applyAlignment="1" applyProtection="1">
      <alignment horizontal="center"/>
      <protection locked="0"/>
    </xf>
    <xf numFmtId="0" fontId="72" fillId="40" borderId="27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/>
    </xf>
    <xf numFmtId="0" fontId="63" fillId="41" borderId="27" xfId="0" applyFont="1" applyFill="1" applyBorder="1" applyAlignment="1" applyProtection="1">
      <alignment horizontal="center"/>
      <protection/>
    </xf>
    <xf numFmtId="0" fontId="65" fillId="41" borderId="25" xfId="0" applyFont="1" applyFill="1" applyBorder="1" applyAlignment="1" applyProtection="1">
      <alignment horizontal="center"/>
      <protection/>
    </xf>
    <xf numFmtId="0" fontId="65" fillId="41" borderId="45" xfId="0" applyFont="1" applyFill="1" applyBorder="1" applyAlignment="1" applyProtection="1">
      <alignment horizontal="center"/>
      <protection/>
    </xf>
    <xf numFmtId="0" fontId="65" fillId="41" borderId="26" xfId="0" applyFont="1" applyFill="1" applyBorder="1" applyAlignment="1" applyProtection="1">
      <alignment horizontal="center"/>
      <protection/>
    </xf>
    <xf numFmtId="0" fontId="63" fillId="35" borderId="27" xfId="0" applyFont="1" applyFill="1" applyBorder="1" applyAlignment="1" applyProtection="1">
      <alignment horizontal="center"/>
      <protection/>
    </xf>
    <xf numFmtId="0" fontId="78" fillId="42" borderId="25" xfId="0" applyFont="1" applyFill="1" applyBorder="1" applyAlignment="1" applyProtection="1">
      <alignment horizontal="center" vertical="center"/>
      <protection/>
    </xf>
    <xf numFmtId="0" fontId="78" fillId="42" borderId="45" xfId="0" applyFont="1" applyFill="1" applyBorder="1" applyAlignment="1" applyProtection="1">
      <alignment horizontal="center" vertical="center"/>
      <protection/>
    </xf>
    <xf numFmtId="0" fontId="78" fillId="42" borderId="26" xfId="0" applyFont="1" applyFill="1" applyBorder="1" applyAlignment="1" applyProtection="1">
      <alignment horizontal="center" vertical="center"/>
      <protection/>
    </xf>
    <xf numFmtId="193" fontId="3" fillId="0" borderId="0" xfId="0" applyNumberFormat="1" applyFont="1" applyFill="1" applyBorder="1" applyAlignment="1" applyProtection="1">
      <alignment horizontal="left"/>
      <protection/>
    </xf>
    <xf numFmtId="0" fontId="13" fillId="37" borderId="46" xfId="61" applyFont="1" applyFill="1" applyBorder="1" applyAlignment="1" applyProtection="1">
      <alignment horizontal="center" vertical="center"/>
      <protection/>
    </xf>
    <xf numFmtId="0" fontId="13" fillId="37" borderId="47" xfId="61" applyFont="1" applyFill="1" applyBorder="1" applyAlignment="1" applyProtection="1">
      <alignment horizontal="center" vertical="center"/>
      <protection/>
    </xf>
    <xf numFmtId="0" fontId="13" fillId="37" borderId="48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7" fillId="40" borderId="10" xfId="61" applyFont="1" applyFill="1" applyBorder="1" applyAlignment="1" applyProtection="1">
      <alignment horizontal="left" vertical="center"/>
      <protection locked="0"/>
    </xf>
    <xf numFmtId="0" fontId="77" fillId="40" borderId="0" xfId="6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11" xfId="0" applyFont="1" applyFill="1" applyBorder="1" applyAlignment="1" applyProtection="1">
      <alignment shrinkToFit="1"/>
      <protection/>
    </xf>
    <xf numFmtId="0" fontId="65" fillId="0" borderId="0" xfId="0" applyFont="1" applyFill="1" applyBorder="1" applyAlignment="1" applyProtection="1">
      <alignment shrinkToFit="1"/>
      <protection/>
    </xf>
    <xf numFmtId="0" fontId="77" fillId="4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65" fillId="35" borderId="25" xfId="0" applyFont="1" applyFill="1" applyBorder="1" applyAlignment="1" applyProtection="1">
      <alignment horizontal="center" vertical="center"/>
      <protection/>
    </xf>
    <xf numFmtId="0" fontId="65" fillId="35" borderId="45" xfId="0" applyFont="1" applyFill="1" applyBorder="1" applyAlignment="1" applyProtection="1">
      <alignment horizontal="center" vertical="center"/>
      <protection/>
    </xf>
    <xf numFmtId="0" fontId="65" fillId="35" borderId="26" xfId="0" applyFont="1" applyFill="1" applyBorder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77" fillId="40" borderId="25" xfId="0" applyFont="1" applyFill="1" applyBorder="1" applyAlignment="1" applyProtection="1">
      <alignment horizontal="center"/>
      <protection locked="0"/>
    </xf>
    <xf numFmtId="0" fontId="77" fillId="40" borderId="26" xfId="0" applyFont="1" applyFill="1" applyBorder="1" applyAlignment="1" applyProtection="1">
      <alignment horizontal="center"/>
      <protection locked="0"/>
    </xf>
    <xf numFmtId="2" fontId="63" fillId="0" borderId="0" xfId="0" applyNumberFormat="1" applyFont="1" applyFill="1" applyBorder="1" applyAlignment="1" applyProtection="1">
      <alignment horizontal="center"/>
      <protection/>
    </xf>
    <xf numFmtId="193" fontId="77" fillId="40" borderId="0" xfId="0" applyNumberFormat="1" applyFont="1" applyFill="1" applyBorder="1" applyAlignment="1" applyProtection="1">
      <alignment horizontal="left"/>
      <protection locked="0"/>
    </xf>
    <xf numFmtId="0" fontId="63" fillId="41" borderId="27" xfId="0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Border="1" applyAlignment="1" applyProtection="1">
      <alignment horizontal="center"/>
      <protection/>
    </xf>
    <xf numFmtId="0" fontId="14" fillId="0" borderId="10" xfId="61" applyFont="1" applyFill="1" applyBorder="1" applyAlignment="1" applyProtection="1">
      <alignment horizontal="center" vertical="center"/>
      <protection/>
    </xf>
    <xf numFmtId="0" fontId="14" fillId="0" borderId="38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14" xfId="61" applyFont="1" applyFill="1" applyBorder="1" applyAlignment="1" applyProtection="1">
      <alignment horizontal="center" vertical="center"/>
      <protection/>
    </xf>
    <xf numFmtId="0" fontId="14" fillId="0" borderId="15" xfId="61" applyFont="1" applyFill="1" applyBorder="1" applyAlignment="1" applyProtection="1">
      <alignment horizontal="center" vertical="center"/>
      <protection/>
    </xf>
    <xf numFmtId="0" fontId="77" fillId="40" borderId="10" xfId="0" applyFont="1" applyFill="1" applyBorder="1" applyAlignment="1" applyProtection="1">
      <alignment horizontal="left"/>
      <protection locked="0"/>
    </xf>
    <xf numFmtId="0" fontId="68" fillId="40" borderId="0" xfId="0" applyFont="1" applyFill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9">
    <dxf>
      <font>
        <b/>
        <i val="0"/>
        <color rgb="FFFF33CC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rgb="FFFF33CC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rgb="FFFF33CC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435"/>
          <c:w val="0.86475"/>
          <c:h val="0.78425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column'!$Z$41:$AA$41</c:f>
              <c:numCache/>
            </c:numRef>
          </c:xVal>
          <c:yVal>
            <c:numRef>
              <c:f>'square column'!$Z$35:$AA$35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column'!$Z$44:$AA$44</c:f>
              <c:numCache/>
            </c:numRef>
          </c:xVal>
          <c:yVal>
            <c:numRef>
              <c:f>'square column'!$Z$38:$AA$38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column'!$Z$52:$Z$53</c:f>
              <c:numCache/>
            </c:numRef>
          </c:xVal>
          <c:yVal>
            <c:numRef>
              <c:f>'square column'!$AA$52:$AA$53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column'!$Z$55:$Z$56</c:f>
              <c:numCache/>
            </c:numRef>
          </c:xVal>
          <c:yVal>
            <c:numRef>
              <c:f>'square column'!$AA$55:$AA$56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254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column'!$Z$58:$Z$59</c:f>
              <c:numCache/>
            </c:numRef>
          </c:xVal>
          <c:yVal>
            <c:numRef>
              <c:f>'square column'!$AA$58:$AA$59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column'!$Z$61:$Z$62</c:f>
              <c:numCache/>
            </c:numRef>
          </c:xVal>
          <c:yVal>
            <c:numRef>
              <c:f>'square column'!$AA$61:$AA$62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column'!$Z$64:$Z$65</c:f>
              <c:numCache/>
            </c:numRef>
          </c:xVal>
          <c:yVal>
            <c:numRef>
              <c:f>'square column'!$AA$64:$AA$65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column'!$Z$67:$Z$68</c:f>
              <c:numCache/>
            </c:numRef>
          </c:xVal>
          <c:yVal>
            <c:numRef>
              <c:f>'square column'!$AA$67:$AA$68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column'!$Z$70:$Z$71</c:f>
              <c:numCache/>
            </c:numRef>
          </c:xVal>
          <c:yVal>
            <c:numRef>
              <c:f>'square column'!$AA$70:$AA$71</c:f>
              <c:numCache/>
            </c:numRef>
          </c:yVal>
          <c:smooth val="1"/>
        </c:ser>
        <c:ser>
          <c:idx val="9"/>
          <c:order val="9"/>
          <c:tx>
            <c:v>P,Mx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'square column'!$AA$76</c:f>
              <c:numCache/>
            </c:numRef>
          </c:xVal>
          <c:yVal>
            <c:numRef>
              <c:f>'square column'!$Z$76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column'!$Z$73:$Z$74</c:f>
              <c:numCache/>
            </c:numRef>
          </c:xVal>
          <c:yVal>
            <c:numRef>
              <c:f>'square column'!$AA$73:$AA$74</c:f>
              <c:numCache/>
            </c:numRef>
          </c:yVal>
          <c:smooth val="1"/>
        </c:ser>
        <c:axId val="6132338"/>
        <c:axId val="55191043"/>
      </c:scatterChart>
      <c:val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Ma,Mo,Mb,Ms(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โมเมนต์ดัด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กก.-ม.)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 val="autoZero"/>
        <c:crossBetween val="midCat"/>
        <c:dispUnits/>
      </c:val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Pb,Pa,Po (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แรงตามแกน ,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กก.)</a:t>
                </a:r>
              </a:p>
            </c:rich>
          </c:tx>
          <c:layout>
            <c:manualLayout>
              <c:xMode val="factor"/>
              <c:yMode val="factor"/>
              <c:x val="-0.03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5"/>
          <c:y val="-0.0185"/>
          <c:w val="0.5937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column'!$AB$41:$AC$41</c:f>
              <c:numCache/>
            </c:numRef>
          </c:xVal>
          <c:yVal>
            <c:numRef>
              <c:f>'square column'!$AB$35:$AC$35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column'!$AB$44:$AC$44</c:f>
              <c:numCache/>
            </c:numRef>
          </c:xVal>
          <c:yVal>
            <c:numRef>
              <c:f>'square column'!$AB$38:$AC$38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column'!$AB$52:$AB$53</c:f>
              <c:numCache/>
            </c:numRef>
          </c:xVal>
          <c:yVal>
            <c:numRef>
              <c:f>'square column'!$AC$52:$AC$53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column'!$AB$55:$AB$56</c:f>
              <c:numCache/>
            </c:numRef>
          </c:xVal>
          <c:yVal>
            <c:numRef>
              <c:f>'square column'!$AC$55:$AC$56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column'!$AB$58:$AB$59</c:f>
              <c:numCache/>
            </c:numRef>
          </c:xVal>
          <c:yVal>
            <c:numRef>
              <c:f>'square column'!$AC$58:$AC$59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column'!$AB$61:$AB$62</c:f>
              <c:numCache/>
            </c:numRef>
          </c:xVal>
          <c:yVal>
            <c:numRef>
              <c:f>'square column'!$AC$61:$AC$62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column'!$AB$64:$AB$65</c:f>
              <c:numCache/>
            </c:numRef>
          </c:xVal>
          <c:yVal>
            <c:numRef>
              <c:f>'square column'!$AC$64:$AC$65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column'!$AB$67:$AB$68</c:f>
              <c:numCache/>
            </c:numRef>
          </c:xVal>
          <c:yVal>
            <c:numRef>
              <c:f>'square column'!$AC$67:$AC$68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column'!$AB$70:$AB$71</c:f>
              <c:numCache/>
            </c:numRef>
          </c:xVal>
          <c:yVal>
            <c:numRef>
              <c:f>'square column'!$AC$70:$AC$71</c:f>
              <c:numCache/>
            </c:numRef>
          </c:yVal>
          <c:smooth val="1"/>
        </c:ser>
        <c:ser>
          <c:idx val="9"/>
          <c:order val="9"/>
          <c:tx>
            <c:v>P,MY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'square column'!$AC$76</c:f>
              <c:numCache/>
            </c:numRef>
          </c:xVal>
          <c:yVal>
            <c:numRef>
              <c:f>'square column'!$AB$76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solidFill>
                <a:srgbClr val="00CC00"/>
              </a:solidFill>
              <a:ln w="25400">
                <a:solidFill>
                  <a:srgbClr val="00FF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column'!$AB$73:$AB$74</c:f>
              <c:numCache/>
            </c:numRef>
          </c:xVal>
          <c:yVal>
            <c:numRef>
              <c:f>'square column'!$AC$73:$AC$74</c:f>
              <c:numCache/>
            </c:numRef>
          </c:yVal>
          <c:smooth val="1"/>
        </c:ser>
        <c:axId val="26957340"/>
        <c:axId val="41289469"/>
      </c:scatterChart>
      <c:val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Ma,Mo,Mb,Ms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โมเมนต์ดัด ,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กก.-ม.)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5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89469"/>
        <c:crosses val="autoZero"/>
        <c:crossBetween val="midCat"/>
        <c:dispUnits/>
      </c:val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Pb,Pa,Po,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แรงตามแกน ,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กก.)</a:t>
                </a:r>
              </a:p>
            </c:rich>
          </c:tx>
          <c:layout>
            <c:manualLayout>
              <c:xMode val="factor"/>
              <c:yMode val="factor"/>
              <c:x val="-0.073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573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175"/>
          <c:w val="0.952"/>
          <c:h val="0.938"/>
        </c:manualLayout>
      </c:layout>
      <c:scatterChart>
        <c:scatterStyle val="lineMarker"/>
        <c:varyColors val="0"/>
        <c:ser>
          <c:idx val="0"/>
          <c:order val="0"/>
          <c:tx>
            <c:v>x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4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'square column'!$Y$103:$Y$127</c:f>
              <c:numCache/>
            </c:numRef>
          </c:xVal>
          <c:yVal>
            <c:numRef>
              <c:f>'square column'!$Z$103:$Z$127</c:f>
              <c:numCache/>
            </c:numRef>
          </c:yVal>
          <c:smooth val="0"/>
        </c:ser>
        <c:ser>
          <c:idx val="1"/>
          <c:order val="1"/>
          <c:tx>
            <c:v>x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column'!$Y$103:$Y$127</c:f>
              <c:numCache/>
            </c:numRef>
          </c:xVal>
          <c:yVal>
            <c:numRef>
              <c:f>'square column'!$AA$103:$AA$127</c:f>
              <c:numCache/>
            </c:numRef>
          </c:yVal>
          <c:smooth val="0"/>
        </c:ser>
        <c:ser>
          <c:idx val="2"/>
          <c:order val="2"/>
          <c:tx>
            <c:v>Y1-1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column'!$BB$104:$BB$128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ser>
          <c:idx val="3"/>
          <c:order val="3"/>
          <c:tx>
            <c:v>Y2-2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column'!$BC$104:$BC$128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axId val="36060902"/>
        <c:axId val="56112663"/>
      </c:scatterChart>
      <c:valAx>
        <c:axId val="36060902"/>
        <c:scaling>
          <c:orientation val="minMax"/>
        </c:scaling>
        <c:axPos val="b"/>
        <c:delete val="1"/>
        <c:majorTickMark val="out"/>
        <c:minorTickMark val="none"/>
        <c:tickLblPos val="nextTo"/>
        <c:crossAx val="56112663"/>
        <c:crosses val="autoZero"/>
        <c:crossBetween val="midCat"/>
        <c:dispUnits/>
      </c:valAx>
      <c:valAx>
        <c:axId val="56112663"/>
        <c:scaling>
          <c:orientation val="minMax"/>
        </c:scaling>
        <c:axPos val="l"/>
        <c:delete val="1"/>
        <c:majorTickMark val="out"/>
        <c:minorTickMark val="none"/>
        <c:tickLblPos val="nextTo"/>
        <c:crossAx val="36060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wmf" /><Relationship Id="rId5" Type="http://schemas.openxmlformats.org/officeDocument/2006/relationships/image" Target="../media/image2.pn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48</xdr:row>
      <xdr:rowOff>66675</xdr:rowOff>
    </xdr:from>
    <xdr:to>
      <xdr:col>14</xdr:col>
      <xdr:colOff>0</xdr:colOff>
      <xdr:row>49</xdr:row>
      <xdr:rowOff>85725</xdr:rowOff>
    </xdr:to>
    <xdr:sp>
      <xdr:nvSpPr>
        <xdr:cNvPr id="1" name="Straight Connector 68"/>
        <xdr:cNvSpPr>
          <a:spLocks/>
        </xdr:cNvSpPr>
      </xdr:nvSpPr>
      <xdr:spPr>
        <a:xfrm rot="5400000">
          <a:off x="5648325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48</xdr:row>
      <xdr:rowOff>66675</xdr:rowOff>
    </xdr:from>
    <xdr:to>
      <xdr:col>17</xdr:col>
      <xdr:colOff>0</xdr:colOff>
      <xdr:row>49</xdr:row>
      <xdr:rowOff>85725</xdr:rowOff>
    </xdr:to>
    <xdr:sp>
      <xdr:nvSpPr>
        <xdr:cNvPr id="2" name="Straight Connector 72"/>
        <xdr:cNvSpPr>
          <a:spLocks/>
        </xdr:cNvSpPr>
      </xdr:nvSpPr>
      <xdr:spPr>
        <a:xfrm rot="5400000">
          <a:off x="6762750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209550</xdr:colOff>
      <xdr:row>31</xdr:row>
      <xdr:rowOff>85725</xdr:rowOff>
    </xdr:from>
    <xdr:to>
      <xdr:col>19</xdr:col>
      <xdr:colOff>180975</xdr:colOff>
      <xdr:row>49</xdr:row>
      <xdr:rowOff>9525</xdr:rowOff>
    </xdr:to>
    <xdr:grpSp>
      <xdr:nvGrpSpPr>
        <xdr:cNvPr id="3" name="Group 101"/>
        <xdr:cNvGrpSpPr>
          <a:grpSpLocks/>
        </xdr:cNvGrpSpPr>
      </xdr:nvGrpSpPr>
      <xdr:grpSpPr>
        <a:xfrm>
          <a:off x="5114925" y="4514850"/>
          <a:ext cx="2571750" cy="2495550"/>
          <a:chOff x="5116802" y="4520768"/>
          <a:chExt cx="2586462" cy="2587624"/>
        </a:xfrm>
        <a:solidFill>
          <a:srgbClr val="FFFFFF"/>
        </a:solidFill>
      </xdr:grpSpPr>
      <xdr:sp>
        <xdr:nvSpPr>
          <xdr:cNvPr id="4" name="Curved Down Arrow 58"/>
          <xdr:cNvSpPr>
            <a:spLocks/>
          </xdr:cNvSpPr>
        </xdr:nvSpPr>
        <xdr:spPr>
          <a:xfrm rot="10800000">
            <a:off x="5336651" y="5439375"/>
            <a:ext cx="296150" cy="345448"/>
          </a:xfrm>
          <a:prstGeom prst="curvedDownArrow">
            <a:avLst>
              <a:gd name="adj1" fmla="val 0"/>
              <a:gd name="adj2" fmla="val 37500"/>
              <a:gd name="adj3" fmla="val 24555"/>
            </a:avLst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" name="Cube 42"/>
          <xdr:cNvSpPr>
            <a:spLocks/>
          </xdr:cNvSpPr>
        </xdr:nvSpPr>
        <xdr:spPr>
          <a:xfrm>
            <a:off x="5642500" y="5201960"/>
            <a:ext cx="1491095" cy="1619853"/>
          </a:xfrm>
          <a:prstGeom prst="cube">
            <a:avLst/>
          </a:prstGeom>
          <a:blipFill>
            <a:blip r:embed="rId6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" name="Straight Connector 45"/>
          <xdr:cNvSpPr>
            <a:spLocks/>
          </xdr:cNvSpPr>
        </xdr:nvSpPr>
        <xdr:spPr>
          <a:xfrm>
            <a:off x="5451102" y="5390210"/>
            <a:ext cx="20452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" name="Straight Connector 50"/>
          <xdr:cNvSpPr>
            <a:spLocks/>
          </xdr:cNvSpPr>
        </xdr:nvSpPr>
        <xdr:spPr>
          <a:xfrm rot="5400000" flipH="1" flipV="1">
            <a:off x="5478907" y="4767886"/>
            <a:ext cx="1530539" cy="149111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" name="Straight Arrow Connector 64"/>
          <xdr:cNvSpPr>
            <a:spLocks/>
          </xdr:cNvSpPr>
        </xdr:nvSpPr>
        <xdr:spPr>
          <a:xfrm rot="5400000" flipH="1" flipV="1">
            <a:off x="7328227" y="4905677"/>
            <a:ext cx="375037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" name="Straight Connector 71"/>
          <xdr:cNvSpPr>
            <a:spLocks/>
          </xdr:cNvSpPr>
        </xdr:nvSpPr>
        <xdr:spPr>
          <a:xfrm rot="10800000">
            <a:off x="6674499" y="5083576"/>
            <a:ext cx="8412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" name="Straight Connector 73"/>
          <xdr:cNvSpPr>
            <a:spLocks/>
          </xdr:cNvSpPr>
        </xdr:nvSpPr>
        <xdr:spPr>
          <a:xfrm rot="5400000">
            <a:off x="7224122" y="5088751"/>
            <a:ext cx="286451" cy="296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" name="TextBox 77"/>
          <xdr:cNvSpPr txBox="1">
            <a:spLocks noChangeArrowheads="1"/>
          </xdr:cNvSpPr>
        </xdr:nvSpPr>
        <xdr:spPr>
          <a:xfrm>
            <a:off x="6922799" y="4905677"/>
            <a:ext cx="315548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ey</a:t>
            </a:r>
          </a:p>
        </xdr:txBody>
      </xdr:sp>
      <xdr:sp>
        <xdr:nvSpPr>
          <xdr:cNvPr id="12" name="TextBox 78"/>
          <xdr:cNvSpPr txBox="1">
            <a:spLocks noChangeArrowheads="1"/>
          </xdr:cNvSpPr>
        </xdr:nvSpPr>
        <xdr:spPr>
          <a:xfrm>
            <a:off x="7314648" y="5143092"/>
            <a:ext cx="343999" cy="217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ex</a:t>
            </a:r>
          </a:p>
        </xdr:txBody>
      </xdr:sp>
      <xdr:sp>
        <xdr:nvSpPr>
          <xdr:cNvPr id="13" name="TextBox 79"/>
          <xdr:cNvSpPr txBox="1">
            <a:spLocks noChangeArrowheads="1"/>
          </xdr:cNvSpPr>
        </xdr:nvSpPr>
        <xdr:spPr>
          <a:xfrm>
            <a:off x="5442050" y="5172849"/>
            <a:ext cx="248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4" name="TextBox 80"/>
          <xdr:cNvSpPr txBox="1">
            <a:spLocks noChangeArrowheads="1"/>
          </xdr:cNvSpPr>
        </xdr:nvSpPr>
        <xdr:spPr>
          <a:xfrm>
            <a:off x="5317253" y="6209840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15" name="TextBox 81"/>
          <xdr:cNvSpPr txBox="1">
            <a:spLocks noChangeArrowheads="1"/>
          </xdr:cNvSpPr>
        </xdr:nvSpPr>
        <xdr:spPr>
          <a:xfrm>
            <a:off x="7400648" y="4520768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6" name="Straight Arrow Connector 82"/>
          <xdr:cNvSpPr>
            <a:spLocks/>
          </xdr:cNvSpPr>
        </xdr:nvSpPr>
        <xdr:spPr>
          <a:xfrm>
            <a:off x="5833899" y="4639152"/>
            <a:ext cx="735848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" name="Curved Down Arrow 60"/>
          <xdr:cNvSpPr>
            <a:spLocks/>
          </xdr:cNvSpPr>
        </xdr:nvSpPr>
        <xdr:spPr>
          <a:xfrm>
            <a:off x="6616950" y="4718074"/>
            <a:ext cx="401548" cy="316337"/>
          </a:xfrm>
          <a:prstGeom prst="curvedDownArrow">
            <a:avLst>
              <a:gd name="adj1" fmla="val 10629"/>
              <a:gd name="adj2" fmla="val 40157"/>
              <a:gd name="adj3" fmla="val 25000"/>
            </a:avLst>
          </a:prstGeom>
          <a:solidFill>
            <a:srgbClr val="00206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TextBox 63"/>
          <xdr:cNvSpPr txBox="1">
            <a:spLocks noChangeArrowheads="1"/>
          </xdr:cNvSpPr>
        </xdr:nvSpPr>
        <xdr:spPr>
          <a:xfrm>
            <a:off x="5116802" y="5617274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Mx</a:t>
            </a:r>
          </a:p>
        </xdr:txBody>
      </xdr:sp>
      <xdr:sp>
        <xdr:nvSpPr>
          <xdr:cNvPr id="19" name="TextBox 65"/>
          <xdr:cNvSpPr txBox="1">
            <a:spLocks noChangeArrowheads="1"/>
          </xdr:cNvSpPr>
        </xdr:nvSpPr>
        <xdr:spPr>
          <a:xfrm>
            <a:off x="6292349" y="4846809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My</a:t>
            </a:r>
          </a:p>
        </xdr:txBody>
      </xdr:sp>
      <xdr:sp>
        <xdr:nvSpPr>
          <xdr:cNvPr id="20" name="Straight Connector 70"/>
          <xdr:cNvSpPr>
            <a:spLocks/>
          </xdr:cNvSpPr>
        </xdr:nvSpPr>
        <xdr:spPr>
          <a:xfrm>
            <a:off x="5652200" y="7098688"/>
            <a:ext cx="11179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Straight Connector 76"/>
          <xdr:cNvSpPr>
            <a:spLocks/>
          </xdr:cNvSpPr>
        </xdr:nvSpPr>
        <xdr:spPr>
          <a:xfrm rot="5400000" flipH="1" flipV="1">
            <a:off x="6758559" y="6705370"/>
            <a:ext cx="415127" cy="392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Straight Connector 84"/>
          <xdr:cNvSpPr>
            <a:spLocks/>
          </xdr:cNvSpPr>
        </xdr:nvSpPr>
        <xdr:spPr>
          <a:xfrm rot="5400000">
            <a:off x="7019145" y="6728011"/>
            <a:ext cx="26640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TextBox 86"/>
          <xdr:cNvSpPr txBox="1">
            <a:spLocks noChangeArrowheads="1"/>
          </xdr:cNvSpPr>
        </xdr:nvSpPr>
        <xdr:spPr>
          <a:xfrm>
            <a:off x="6913746" y="6832163"/>
            <a:ext cx="219849" cy="207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</xdr:grpSp>
    <xdr:clientData/>
  </xdr:twoCellAnchor>
  <xdr:twoCellAnchor>
    <xdr:from>
      <xdr:col>11</xdr:col>
      <xdr:colOff>266700</xdr:colOff>
      <xdr:row>50</xdr:row>
      <xdr:rowOff>95250</xdr:rowOff>
    </xdr:from>
    <xdr:to>
      <xdr:col>20</xdr:col>
      <xdr:colOff>361950</xdr:colOff>
      <xdr:row>65</xdr:row>
      <xdr:rowOff>142875</xdr:rowOff>
    </xdr:to>
    <xdr:graphicFrame>
      <xdr:nvGraphicFramePr>
        <xdr:cNvPr id="24" name="Chart 74"/>
        <xdr:cNvGraphicFramePr/>
      </xdr:nvGraphicFramePr>
      <xdr:xfrm>
        <a:off x="4800600" y="7239000"/>
        <a:ext cx="34385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66</xdr:row>
      <xdr:rowOff>9525</xdr:rowOff>
    </xdr:from>
    <xdr:to>
      <xdr:col>22</xdr:col>
      <xdr:colOff>133350</xdr:colOff>
      <xdr:row>81</xdr:row>
      <xdr:rowOff>0</xdr:rowOff>
    </xdr:to>
    <xdr:graphicFrame>
      <xdr:nvGraphicFramePr>
        <xdr:cNvPr id="25" name="Chart 88"/>
        <xdr:cNvGraphicFramePr/>
      </xdr:nvGraphicFramePr>
      <xdr:xfrm>
        <a:off x="4305300" y="9439275"/>
        <a:ext cx="4448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52</xdr:row>
      <xdr:rowOff>28575</xdr:rowOff>
    </xdr:from>
    <xdr:to>
      <xdr:col>18</xdr:col>
      <xdr:colOff>200025</xdr:colOff>
      <xdr:row>52</xdr:row>
      <xdr:rowOff>104775</xdr:rowOff>
    </xdr:to>
    <xdr:sp>
      <xdr:nvSpPr>
        <xdr:cNvPr id="26" name="Oval 89"/>
        <xdr:cNvSpPr>
          <a:spLocks/>
        </xdr:cNvSpPr>
      </xdr:nvSpPr>
      <xdr:spPr>
        <a:xfrm>
          <a:off x="7258050" y="7458075"/>
          <a:ext cx="76200" cy="76200"/>
        </a:xfrm>
        <a:prstGeom prst="ellipse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133350</xdr:colOff>
      <xdr:row>67</xdr:row>
      <xdr:rowOff>38100</xdr:rowOff>
    </xdr:from>
    <xdr:to>
      <xdr:col>18</xdr:col>
      <xdr:colOff>209550</xdr:colOff>
      <xdr:row>67</xdr:row>
      <xdr:rowOff>114300</xdr:rowOff>
    </xdr:to>
    <xdr:sp>
      <xdr:nvSpPr>
        <xdr:cNvPr id="27" name="Oval 90"/>
        <xdr:cNvSpPr>
          <a:spLocks/>
        </xdr:cNvSpPr>
      </xdr:nvSpPr>
      <xdr:spPr>
        <a:xfrm>
          <a:off x="7267575" y="9610725"/>
          <a:ext cx="76200" cy="76200"/>
        </a:xfrm>
        <a:prstGeom prst="ellipse">
          <a:avLst/>
        </a:prstGeom>
        <a:solidFill>
          <a:srgbClr val="0000FF"/>
        </a:solidFill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85725</xdr:colOff>
      <xdr:row>21</xdr:row>
      <xdr:rowOff>19050</xdr:rowOff>
    </xdr:from>
    <xdr:to>
      <xdr:col>21</xdr:col>
      <xdr:colOff>95250</xdr:colOff>
      <xdr:row>33</xdr:row>
      <xdr:rowOff>9525</xdr:rowOff>
    </xdr:to>
    <xdr:grpSp>
      <xdr:nvGrpSpPr>
        <xdr:cNvPr id="28" name="Group 96"/>
        <xdr:cNvGrpSpPr>
          <a:grpSpLocks/>
        </xdr:cNvGrpSpPr>
      </xdr:nvGrpSpPr>
      <xdr:grpSpPr>
        <a:xfrm>
          <a:off x="4991100" y="3019425"/>
          <a:ext cx="3352800" cy="1704975"/>
          <a:chOff x="5009417" y="3096358"/>
          <a:chExt cx="3372583" cy="1746214"/>
        </a:xfrm>
        <a:solidFill>
          <a:srgbClr val="FFFFFF"/>
        </a:solidFill>
      </xdr:grpSpPr>
      <xdr:sp>
        <xdr:nvSpPr>
          <xdr:cNvPr id="29" name="Straight Connector 61"/>
          <xdr:cNvSpPr>
            <a:spLocks/>
          </xdr:cNvSpPr>
        </xdr:nvSpPr>
        <xdr:spPr>
          <a:xfrm rot="5400000">
            <a:off x="5642619" y="4633026"/>
            <a:ext cx="4198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0" name="Straight Connector 62"/>
          <xdr:cNvSpPr>
            <a:spLocks/>
          </xdr:cNvSpPr>
        </xdr:nvSpPr>
        <xdr:spPr>
          <a:xfrm rot="5400000">
            <a:off x="6385431" y="4627788"/>
            <a:ext cx="429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" name="Rectangle 4"/>
          <xdr:cNvSpPr>
            <a:spLocks/>
          </xdr:cNvSpPr>
        </xdr:nvSpPr>
        <xdr:spPr>
          <a:xfrm>
            <a:off x="5670443" y="3525490"/>
            <a:ext cx="1130658" cy="1004946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" name="Rounded Rectangle 5"/>
          <xdr:cNvSpPr>
            <a:spLocks/>
          </xdr:cNvSpPr>
        </xdr:nvSpPr>
        <xdr:spPr>
          <a:xfrm>
            <a:off x="5785111" y="3671736"/>
            <a:ext cx="891205" cy="712019"/>
          </a:xfrm>
          <a:prstGeom prst="roundRect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Oval 6"/>
          <xdr:cNvSpPr>
            <a:spLocks/>
          </xdr:cNvSpPr>
        </xdr:nvSpPr>
        <xdr:spPr>
          <a:xfrm>
            <a:off x="6542256" y="3652527"/>
            <a:ext cx="96119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Oval 7"/>
          <xdr:cNvSpPr>
            <a:spLocks/>
          </xdr:cNvSpPr>
        </xdr:nvSpPr>
        <xdr:spPr>
          <a:xfrm>
            <a:off x="6542256" y="4247550"/>
            <a:ext cx="105393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Oval 8"/>
          <xdr:cNvSpPr>
            <a:spLocks/>
          </xdr:cNvSpPr>
        </xdr:nvSpPr>
        <xdr:spPr>
          <a:xfrm>
            <a:off x="5795229" y="3662131"/>
            <a:ext cx="105393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Oval 9"/>
          <xdr:cNvSpPr>
            <a:spLocks/>
          </xdr:cNvSpPr>
        </xdr:nvSpPr>
        <xdr:spPr>
          <a:xfrm>
            <a:off x="6149350" y="3662131"/>
            <a:ext cx="105393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Oval 10"/>
          <xdr:cNvSpPr>
            <a:spLocks/>
          </xdr:cNvSpPr>
        </xdr:nvSpPr>
        <xdr:spPr>
          <a:xfrm>
            <a:off x="6168742" y="4257154"/>
            <a:ext cx="96119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Oval 12"/>
          <xdr:cNvSpPr>
            <a:spLocks/>
          </xdr:cNvSpPr>
        </xdr:nvSpPr>
        <xdr:spPr>
          <a:xfrm>
            <a:off x="5795229" y="4257154"/>
            <a:ext cx="105393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Straight Connector 14"/>
          <xdr:cNvSpPr>
            <a:spLocks/>
          </xdr:cNvSpPr>
        </xdr:nvSpPr>
        <xdr:spPr>
          <a:xfrm rot="5400000">
            <a:off x="5611423" y="4052410"/>
            <a:ext cx="1238581" cy="960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Straight Connector 16"/>
          <xdr:cNvSpPr>
            <a:spLocks/>
          </xdr:cNvSpPr>
        </xdr:nvSpPr>
        <xdr:spPr>
          <a:xfrm rot="10800000">
            <a:off x="5584442" y="4032765"/>
            <a:ext cx="12739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Straight Connector 21"/>
          <xdr:cNvSpPr>
            <a:spLocks/>
          </xdr:cNvSpPr>
        </xdr:nvSpPr>
        <xdr:spPr>
          <a:xfrm rot="5400000">
            <a:off x="5587815" y="3374443"/>
            <a:ext cx="166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Straight Connector 23"/>
          <xdr:cNvSpPr>
            <a:spLocks/>
          </xdr:cNvSpPr>
        </xdr:nvSpPr>
        <xdr:spPr>
          <a:xfrm>
            <a:off x="5670443" y="3369640"/>
            <a:ext cx="1121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3" name="Straight Connector 25"/>
          <xdr:cNvSpPr>
            <a:spLocks/>
          </xdr:cNvSpPr>
        </xdr:nvSpPr>
        <xdr:spPr>
          <a:xfrm rot="5400000">
            <a:off x="6708356" y="3374443"/>
            <a:ext cx="166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Straight Connector 27"/>
          <xdr:cNvSpPr>
            <a:spLocks/>
          </xdr:cNvSpPr>
        </xdr:nvSpPr>
        <xdr:spPr>
          <a:xfrm rot="10800000">
            <a:off x="5066751" y="3525490"/>
            <a:ext cx="5649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Straight Connector 28"/>
          <xdr:cNvSpPr>
            <a:spLocks/>
          </xdr:cNvSpPr>
        </xdr:nvSpPr>
        <xdr:spPr>
          <a:xfrm rot="10800000">
            <a:off x="5066751" y="4530436"/>
            <a:ext cx="5649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Straight Connector 29"/>
          <xdr:cNvSpPr>
            <a:spLocks/>
          </xdr:cNvSpPr>
        </xdr:nvSpPr>
        <xdr:spPr>
          <a:xfrm rot="10800000">
            <a:off x="5268263" y="4315652"/>
            <a:ext cx="5649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Straight Connector 35"/>
          <xdr:cNvSpPr>
            <a:spLocks/>
          </xdr:cNvSpPr>
        </xdr:nvSpPr>
        <xdr:spPr>
          <a:xfrm rot="5400000">
            <a:off x="4684807" y="4042806"/>
            <a:ext cx="10143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Connector 37"/>
          <xdr:cNvSpPr>
            <a:spLocks/>
          </xdr:cNvSpPr>
        </xdr:nvSpPr>
        <xdr:spPr>
          <a:xfrm rot="5400000">
            <a:off x="5026280" y="3920571"/>
            <a:ext cx="7900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Connector 39"/>
          <xdr:cNvSpPr>
            <a:spLocks/>
          </xdr:cNvSpPr>
        </xdr:nvSpPr>
        <xdr:spPr>
          <a:xfrm>
            <a:off x="6801102" y="3525490"/>
            <a:ext cx="3541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Connector 40"/>
          <xdr:cNvSpPr>
            <a:spLocks/>
          </xdr:cNvSpPr>
        </xdr:nvSpPr>
        <xdr:spPr>
          <a:xfrm>
            <a:off x="6810376" y="3730670"/>
            <a:ext cx="354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Connector 41"/>
          <xdr:cNvSpPr>
            <a:spLocks/>
          </xdr:cNvSpPr>
        </xdr:nvSpPr>
        <xdr:spPr>
          <a:xfrm>
            <a:off x="6801102" y="4530436"/>
            <a:ext cx="354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Connector 46"/>
          <xdr:cNvSpPr>
            <a:spLocks/>
          </xdr:cNvSpPr>
        </xdr:nvSpPr>
        <xdr:spPr>
          <a:xfrm rot="5400000">
            <a:off x="6671257" y="4042806"/>
            <a:ext cx="6239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Straight Connector 49"/>
          <xdr:cNvSpPr>
            <a:spLocks/>
          </xdr:cNvSpPr>
        </xdr:nvSpPr>
        <xdr:spPr>
          <a:xfrm rot="5400000" flipH="1" flipV="1">
            <a:off x="6890475" y="3628080"/>
            <a:ext cx="18549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Straight Connector 51"/>
          <xdr:cNvSpPr>
            <a:spLocks/>
          </xdr:cNvSpPr>
        </xdr:nvSpPr>
        <xdr:spPr>
          <a:xfrm rot="5400000">
            <a:off x="6895534" y="4442689"/>
            <a:ext cx="17537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TextBox 52"/>
          <xdr:cNvSpPr txBox="1">
            <a:spLocks noChangeArrowheads="1"/>
          </xdr:cNvSpPr>
        </xdr:nvSpPr>
        <xdr:spPr>
          <a:xfrm>
            <a:off x="5009417" y="3915769"/>
            <a:ext cx="153453" cy="24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56" name="TextBox 53"/>
          <xdr:cNvSpPr txBox="1">
            <a:spLocks noChangeArrowheads="1"/>
          </xdr:cNvSpPr>
        </xdr:nvSpPr>
        <xdr:spPr>
          <a:xfrm>
            <a:off x="5239596" y="3866875"/>
            <a:ext cx="143335" cy="1658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7" name="TextBox 54"/>
          <xdr:cNvSpPr txBox="1">
            <a:spLocks noChangeArrowheads="1"/>
          </xdr:cNvSpPr>
        </xdr:nvSpPr>
        <xdr:spPr>
          <a:xfrm>
            <a:off x="7011888" y="3515886"/>
            <a:ext cx="258846" cy="2339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8" name="TextBox 55"/>
          <xdr:cNvSpPr txBox="1">
            <a:spLocks noChangeArrowheads="1"/>
          </xdr:cNvSpPr>
        </xdr:nvSpPr>
        <xdr:spPr>
          <a:xfrm>
            <a:off x="7011888" y="4315652"/>
            <a:ext cx="258846" cy="24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9" name="TextBox 56"/>
          <xdr:cNvSpPr txBox="1">
            <a:spLocks noChangeArrowheads="1"/>
          </xdr:cNvSpPr>
        </xdr:nvSpPr>
        <xdr:spPr>
          <a:xfrm>
            <a:off x="6954554" y="3935414"/>
            <a:ext cx="316180" cy="224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gh</a:t>
            </a:r>
          </a:p>
        </xdr:txBody>
      </xdr:sp>
      <xdr:sp>
        <xdr:nvSpPr>
          <xdr:cNvPr id="60" name="TextBox 57"/>
          <xdr:cNvSpPr txBox="1">
            <a:spLocks noChangeArrowheads="1"/>
          </xdr:cNvSpPr>
        </xdr:nvSpPr>
        <xdr:spPr>
          <a:xfrm>
            <a:off x="6006015" y="3749879"/>
            <a:ext cx="489025" cy="2339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1" name="TextBox 59"/>
          <xdr:cNvSpPr txBox="1">
            <a:spLocks noChangeArrowheads="1"/>
          </xdr:cNvSpPr>
        </xdr:nvSpPr>
        <xdr:spPr>
          <a:xfrm>
            <a:off x="6025408" y="4023161"/>
            <a:ext cx="478907" cy="224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2" name="TextBox 66"/>
          <xdr:cNvSpPr txBox="1">
            <a:spLocks noChangeArrowheads="1"/>
          </xdr:cNvSpPr>
        </xdr:nvSpPr>
        <xdr:spPr>
          <a:xfrm>
            <a:off x="6101291" y="4559685"/>
            <a:ext cx="306905" cy="2047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gb</a:t>
            </a:r>
          </a:p>
        </xdr:txBody>
      </xdr:sp>
      <xdr:sp>
        <xdr:nvSpPr>
          <xdr:cNvPr id="63" name="TextBox 67"/>
          <xdr:cNvSpPr txBox="1">
            <a:spLocks noChangeArrowheads="1"/>
          </xdr:cNvSpPr>
        </xdr:nvSpPr>
        <xdr:spPr>
          <a:xfrm>
            <a:off x="5430990" y="3925373"/>
            <a:ext cx="248728" cy="224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64" name="TextBox 69"/>
          <xdr:cNvSpPr txBox="1">
            <a:spLocks noChangeArrowheads="1"/>
          </xdr:cNvSpPr>
        </xdr:nvSpPr>
        <xdr:spPr>
          <a:xfrm>
            <a:off x="6197409" y="3330351"/>
            <a:ext cx="191394" cy="224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65" name="Oval 74"/>
          <xdr:cNvSpPr>
            <a:spLocks/>
          </xdr:cNvSpPr>
        </xdr:nvSpPr>
        <xdr:spPr>
          <a:xfrm>
            <a:off x="5795229" y="3984308"/>
            <a:ext cx="105393" cy="107392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6542256" y="3974267"/>
            <a:ext cx="105393" cy="116996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Oval 83"/>
          <xdr:cNvSpPr>
            <a:spLocks/>
          </xdr:cNvSpPr>
        </xdr:nvSpPr>
        <xdr:spPr>
          <a:xfrm>
            <a:off x="5670443" y="3574384"/>
            <a:ext cx="1101991" cy="263242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Line Callout 1 85"/>
          <xdr:cNvSpPr>
            <a:spLocks/>
          </xdr:cNvSpPr>
        </xdr:nvSpPr>
        <xdr:spPr>
          <a:xfrm>
            <a:off x="7126556" y="3096358"/>
            <a:ext cx="862538" cy="244033"/>
          </a:xfrm>
          <a:prstGeom prst="borderCallout1">
            <a:avLst>
              <a:gd name="adj1" fmla="val -125041"/>
              <a:gd name="adj2" fmla="val 158930"/>
            </a:avLst>
          </a:prstGeom>
          <a:noFill/>
          <a:ln w="19050" cmpd="sng">
            <a:solidFill>
              <a:srgbClr val="FF000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x-x</a:t>
            </a:r>
          </a:p>
        </xdr:txBody>
      </xdr:sp>
      <xdr:sp>
        <xdr:nvSpPr>
          <xdr:cNvPr id="69" name="Oval 87"/>
          <xdr:cNvSpPr>
            <a:spLocks/>
          </xdr:cNvSpPr>
        </xdr:nvSpPr>
        <xdr:spPr>
          <a:xfrm rot="16200000">
            <a:off x="6446981" y="3603633"/>
            <a:ext cx="296787" cy="936407"/>
          </a:xfrm>
          <a:prstGeom prst="ellipse">
            <a:avLst/>
          </a:prstGeom>
          <a:noFill/>
          <a:ln w="19050" cmpd="sng">
            <a:solidFill>
              <a:srgbClr val="0070C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0" name="Line Callout 1 88"/>
          <xdr:cNvSpPr>
            <a:spLocks/>
          </xdr:cNvSpPr>
        </xdr:nvSpPr>
        <xdr:spPr>
          <a:xfrm>
            <a:off x="7519462" y="4140157"/>
            <a:ext cx="862538" cy="244033"/>
          </a:xfrm>
          <a:prstGeom prst="borderCallout1">
            <a:avLst>
              <a:gd name="adj1" fmla="val -142212"/>
              <a:gd name="adj2" fmla="val -33925"/>
            </a:avLst>
          </a:prstGeom>
          <a:noFill/>
          <a:ln w="19050" cmpd="sng">
            <a:solidFill>
              <a:srgbClr val="0070C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y-y</a:t>
            </a:r>
          </a:p>
        </xdr:txBody>
      </xdr:sp>
      <xdr:sp>
        <xdr:nvSpPr>
          <xdr:cNvPr id="71" name="Straight Connector 92"/>
          <xdr:cNvSpPr>
            <a:spLocks/>
          </xdr:cNvSpPr>
        </xdr:nvSpPr>
        <xdr:spPr>
          <a:xfrm>
            <a:off x="6810376" y="4344901"/>
            <a:ext cx="354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108</xdr:row>
      <xdr:rowOff>142875</xdr:rowOff>
    </xdr:from>
    <xdr:to>
      <xdr:col>12</xdr:col>
      <xdr:colOff>361950</xdr:colOff>
      <xdr:row>117</xdr:row>
      <xdr:rowOff>142875</xdr:rowOff>
    </xdr:to>
    <xdr:graphicFrame>
      <xdr:nvGraphicFramePr>
        <xdr:cNvPr id="72" name="Chart 96"/>
        <xdr:cNvGraphicFramePr/>
      </xdr:nvGraphicFramePr>
      <xdr:xfrm>
        <a:off x="3800475" y="15573375"/>
        <a:ext cx="1466850" cy="128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107</xdr:row>
      <xdr:rowOff>76200</xdr:rowOff>
    </xdr:from>
    <xdr:to>
      <xdr:col>13</xdr:col>
      <xdr:colOff>9525</xdr:colOff>
      <xdr:row>107</xdr:row>
      <xdr:rowOff>76200</xdr:rowOff>
    </xdr:to>
    <xdr:sp>
      <xdr:nvSpPr>
        <xdr:cNvPr id="73" name="Straight Arrow Connector 97"/>
        <xdr:cNvSpPr>
          <a:spLocks/>
        </xdr:cNvSpPr>
      </xdr:nvSpPr>
      <xdr:spPr>
        <a:xfrm>
          <a:off x="3800475" y="15363825"/>
          <a:ext cx="1485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114300</xdr:colOff>
      <xdr:row>109</xdr:row>
      <xdr:rowOff>0</xdr:rowOff>
    </xdr:from>
    <xdr:to>
      <xdr:col>8</xdr:col>
      <xdr:colOff>333375</xdr:colOff>
      <xdr:row>109</xdr:row>
      <xdr:rowOff>0</xdr:rowOff>
    </xdr:to>
    <xdr:sp>
      <xdr:nvSpPr>
        <xdr:cNvPr id="74" name="Straight Connector 99"/>
        <xdr:cNvSpPr>
          <a:spLocks/>
        </xdr:cNvSpPr>
      </xdr:nvSpPr>
      <xdr:spPr>
        <a:xfrm>
          <a:off x="3533775" y="15573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104775</xdr:colOff>
      <xdr:row>117</xdr:row>
      <xdr:rowOff>142875</xdr:rowOff>
    </xdr:from>
    <xdr:to>
      <xdr:col>8</xdr:col>
      <xdr:colOff>323850</xdr:colOff>
      <xdr:row>117</xdr:row>
      <xdr:rowOff>142875</xdr:rowOff>
    </xdr:to>
    <xdr:sp>
      <xdr:nvSpPr>
        <xdr:cNvPr id="75" name="Straight Connector 100"/>
        <xdr:cNvSpPr>
          <a:spLocks/>
        </xdr:cNvSpPr>
      </xdr:nvSpPr>
      <xdr:spPr>
        <a:xfrm>
          <a:off x="3524250" y="16859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209550</xdr:colOff>
      <xdr:row>108</xdr:row>
      <xdr:rowOff>142875</xdr:rowOff>
    </xdr:from>
    <xdr:to>
      <xdr:col>8</xdr:col>
      <xdr:colOff>209550</xdr:colOff>
      <xdr:row>118</xdr:row>
      <xdr:rowOff>0</xdr:rowOff>
    </xdr:to>
    <xdr:sp>
      <xdr:nvSpPr>
        <xdr:cNvPr id="76" name="Straight Arrow Connector 102"/>
        <xdr:cNvSpPr>
          <a:spLocks/>
        </xdr:cNvSpPr>
      </xdr:nvSpPr>
      <xdr:spPr>
        <a:xfrm rot="5400000">
          <a:off x="3629025" y="15573375"/>
          <a:ext cx="0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77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78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33</xdr:col>
      <xdr:colOff>219075</xdr:colOff>
      <xdr:row>44</xdr:row>
      <xdr:rowOff>47625</xdr:rowOff>
    </xdr:to>
    <xdr:pic>
      <xdr:nvPicPr>
        <xdr:cNvPr id="79" name="Picture 405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34450" y="1143000"/>
          <a:ext cx="4048125" cy="519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38100</xdr:colOff>
      <xdr:row>109</xdr:row>
      <xdr:rowOff>85725</xdr:rowOff>
    </xdr:from>
    <xdr:to>
      <xdr:col>11</xdr:col>
      <xdr:colOff>38100</xdr:colOff>
      <xdr:row>117</xdr:row>
      <xdr:rowOff>57150</xdr:rowOff>
    </xdr:to>
    <xdr:sp>
      <xdr:nvSpPr>
        <xdr:cNvPr id="80" name="Straight Connector 93"/>
        <xdr:cNvSpPr>
          <a:spLocks/>
        </xdr:cNvSpPr>
      </xdr:nvSpPr>
      <xdr:spPr>
        <a:xfrm rot="5400000">
          <a:off x="4572000" y="156591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E28:AO38" totalsRowShown="0">
  <tableColumns count="11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CC474"/>
  <sheetViews>
    <sheetView showGridLines="0" tabSelected="1" zoomScale="110" zoomScaleNormal="110" zoomScaleSheetLayoutView="106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9" sqref="H69"/>
    </sheetView>
  </sheetViews>
  <sheetFormatPr defaultColWidth="9.140625" defaultRowHeight="11.25" customHeight="1"/>
  <cols>
    <col min="1" max="1" width="9.140625" style="5" customWidth="1"/>
    <col min="2" max="2" width="5.57421875" style="12" customWidth="1"/>
    <col min="3" max="3" width="8.7109375" style="12" customWidth="1"/>
    <col min="4" max="22" width="5.57421875" style="12" customWidth="1"/>
    <col min="23" max="25" width="4.7109375" style="16" customWidth="1"/>
    <col min="26" max="34" width="6.00390625" style="16" customWidth="1"/>
    <col min="35" max="38" width="5.421875" style="16" customWidth="1"/>
    <col min="39" max="39" width="7.00390625" style="16" bestFit="1" customWidth="1"/>
    <col min="40" max="40" width="5.421875" style="16" customWidth="1"/>
    <col min="41" max="43" width="5.8515625" style="16" customWidth="1"/>
    <col min="44" max="44" width="7.00390625" style="16" customWidth="1"/>
    <col min="45" max="78" width="5.8515625" style="16" customWidth="1"/>
    <col min="79" max="82" width="5.8515625" style="12" customWidth="1"/>
    <col min="83" max="16384" width="9.140625" style="12" customWidth="1"/>
  </cols>
  <sheetData>
    <row r="1" spans="2:22" ht="11.25" customHeight="1" thickBo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11.25" customHeight="1">
      <c r="B2" s="34"/>
      <c r="C2" s="258" t="s">
        <v>222</v>
      </c>
      <c r="D2" s="258"/>
      <c r="E2" s="258"/>
      <c r="F2" s="258"/>
      <c r="G2" s="259"/>
      <c r="H2" s="193" t="s">
        <v>162</v>
      </c>
      <c r="I2" s="194"/>
      <c r="J2" s="235" t="s">
        <v>224</v>
      </c>
      <c r="K2" s="235"/>
      <c r="L2" s="235"/>
      <c r="M2" s="235"/>
      <c r="N2" s="195"/>
      <c r="O2" s="196" t="s">
        <v>163</v>
      </c>
      <c r="P2" s="196"/>
      <c r="Q2" s="264" t="s">
        <v>229</v>
      </c>
      <c r="R2" s="264"/>
      <c r="S2" s="264"/>
      <c r="T2" s="264"/>
      <c r="U2" s="250" t="s">
        <v>164</v>
      </c>
      <c r="V2" s="214">
        <v>1</v>
      </c>
    </row>
    <row r="3" spans="2:22" ht="11.25" customHeight="1">
      <c r="B3" s="20"/>
      <c r="C3" s="260"/>
      <c r="D3" s="260"/>
      <c r="E3" s="260"/>
      <c r="F3" s="260"/>
      <c r="G3" s="261"/>
      <c r="H3" s="161" t="s">
        <v>165</v>
      </c>
      <c r="I3" s="197"/>
      <c r="J3" s="236" t="s">
        <v>225</v>
      </c>
      <c r="K3" s="236"/>
      <c r="L3" s="236"/>
      <c r="M3" s="236"/>
      <c r="N3" s="198"/>
      <c r="O3" s="239" t="s">
        <v>166</v>
      </c>
      <c r="P3" s="240"/>
      <c r="Q3" s="241" t="s">
        <v>221</v>
      </c>
      <c r="R3" s="241"/>
      <c r="S3" s="241"/>
      <c r="T3" s="241"/>
      <c r="U3" s="251"/>
      <c r="V3" s="199" t="s">
        <v>167</v>
      </c>
    </row>
    <row r="4" spans="2:22" ht="11.25" customHeight="1">
      <c r="B4" s="20"/>
      <c r="C4" s="260" t="s">
        <v>223</v>
      </c>
      <c r="D4" s="260"/>
      <c r="E4" s="260"/>
      <c r="F4" s="260"/>
      <c r="G4" s="261"/>
      <c r="H4" s="161" t="s">
        <v>168</v>
      </c>
      <c r="I4" s="197"/>
      <c r="J4" s="236" t="s">
        <v>226</v>
      </c>
      <c r="K4" s="236"/>
      <c r="L4" s="236"/>
      <c r="M4" s="236"/>
      <c r="N4" s="198"/>
      <c r="O4" s="238" t="s">
        <v>169</v>
      </c>
      <c r="P4" s="238"/>
      <c r="Q4" s="255">
        <f ca="1">NOW()</f>
        <v>41235.877872916666</v>
      </c>
      <c r="R4" s="255"/>
      <c r="S4" s="255"/>
      <c r="T4" s="255"/>
      <c r="U4" s="251"/>
      <c r="V4" s="213">
        <f>V88</f>
        <v>2</v>
      </c>
    </row>
    <row r="5" spans="2:22" ht="11.25" customHeight="1" thickBot="1">
      <c r="B5" s="200"/>
      <c r="C5" s="262"/>
      <c r="D5" s="262"/>
      <c r="E5" s="262"/>
      <c r="F5" s="262"/>
      <c r="G5" s="263"/>
      <c r="H5" s="201"/>
      <c r="I5" s="202"/>
      <c r="J5" s="202"/>
      <c r="K5" s="203"/>
      <c r="L5" s="152"/>
      <c r="M5" s="153"/>
      <c r="N5" s="204"/>
      <c r="O5" s="205"/>
      <c r="P5" s="205"/>
      <c r="Q5" s="206"/>
      <c r="R5" s="206"/>
      <c r="S5" s="206"/>
      <c r="T5" s="206"/>
      <c r="U5" s="251"/>
      <c r="V5" s="207"/>
    </row>
    <row r="6" spans="2:22" ht="11.25" customHeight="1" thickBot="1">
      <c r="B6" s="230" t="s">
        <v>220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2"/>
    </row>
    <row r="7" spans="2:22" ht="11.25" customHeight="1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1"/>
    </row>
    <row r="8" spans="2:22" ht="11.25" customHeight="1">
      <c r="B8" s="61" t="s">
        <v>9</v>
      </c>
      <c r="C8" s="208" t="s">
        <v>170</v>
      </c>
      <c r="D8" s="63"/>
      <c r="E8" s="63"/>
      <c r="F8" s="63"/>
      <c r="G8" s="6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1"/>
    </row>
    <row r="9" spans="2:22" ht="11.25" customHeight="1">
      <c r="B9" s="20"/>
      <c r="C9" s="209" t="s">
        <v>171</v>
      </c>
      <c r="D9" s="4"/>
      <c r="E9" s="4"/>
      <c r="F9" s="4"/>
      <c r="G9" s="4"/>
      <c r="H9" s="4"/>
      <c r="I9" s="4"/>
      <c r="J9" s="4"/>
      <c r="K9" s="4"/>
      <c r="L9" s="4"/>
      <c r="M9" s="209" t="s">
        <v>175</v>
      </c>
      <c r="N9" s="4"/>
      <c r="O9" s="4"/>
      <c r="P9" s="4"/>
      <c r="Q9" s="4"/>
      <c r="R9" s="4"/>
      <c r="S9" s="4"/>
      <c r="T9" s="4"/>
      <c r="U9" s="4"/>
      <c r="V9" s="21"/>
    </row>
    <row r="10" spans="2:22" ht="11.25" customHeight="1">
      <c r="B10" s="20"/>
      <c r="C10" s="210" t="s">
        <v>205</v>
      </c>
      <c r="D10" s="4"/>
      <c r="E10" s="4"/>
      <c r="F10" s="12" t="s">
        <v>135</v>
      </c>
      <c r="G10" s="107" t="s">
        <v>4</v>
      </c>
      <c r="H10" s="252">
        <v>173</v>
      </c>
      <c r="I10" s="253"/>
      <c r="J10" s="211" t="s">
        <v>207</v>
      </c>
      <c r="K10" s="4"/>
      <c r="L10" s="4"/>
      <c r="M10" s="210" t="s">
        <v>176</v>
      </c>
      <c r="N10" s="4"/>
      <c r="O10" s="4"/>
      <c r="P10" s="4"/>
      <c r="Q10" s="4"/>
      <c r="R10" s="107" t="s">
        <v>4</v>
      </c>
      <c r="S10" s="252" t="s">
        <v>227</v>
      </c>
      <c r="T10" s="253"/>
      <c r="U10" s="4"/>
      <c r="V10" s="21"/>
    </row>
    <row r="11" spans="2:22" ht="11.25" customHeight="1">
      <c r="B11" s="20"/>
      <c r="C11" s="210" t="s">
        <v>172</v>
      </c>
      <c r="D11" s="4"/>
      <c r="E11" s="4" t="str">
        <f>H12&amp;"f'c"</f>
        <v>0.375f'c</v>
      </c>
      <c r="F11" s="12" t="s">
        <v>136</v>
      </c>
      <c r="G11" s="107" t="s">
        <v>4</v>
      </c>
      <c r="H11" s="254">
        <f>H10*H12</f>
        <v>64.875</v>
      </c>
      <c r="I11" s="254"/>
      <c r="J11" s="211" t="s">
        <v>207</v>
      </c>
      <c r="K11" s="4"/>
      <c r="L11" s="4"/>
      <c r="M11" s="210" t="s">
        <v>177</v>
      </c>
      <c r="N11" s="4"/>
      <c r="O11" s="4"/>
      <c r="P11" s="4"/>
      <c r="Q11" s="4" t="s">
        <v>138</v>
      </c>
      <c r="R11" s="107" t="s">
        <v>4</v>
      </c>
      <c r="S11" s="237">
        <f>IF(S10="SR-24",2400,IF(S10="SD-30",3000,IF(S10="SD-40",4000)))</f>
        <v>3000</v>
      </c>
      <c r="T11" s="237"/>
      <c r="U11" s="211" t="s">
        <v>207</v>
      </c>
      <c r="V11" s="21"/>
    </row>
    <row r="12" spans="2:22" ht="11.25" customHeight="1">
      <c r="B12" s="20"/>
      <c r="C12" s="210" t="s">
        <v>173</v>
      </c>
      <c r="D12" s="4"/>
      <c r="E12" s="4"/>
      <c r="G12" s="107" t="s">
        <v>4</v>
      </c>
      <c r="H12" s="252">
        <v>0.375</v>
      </c>
      <c r="I12" s="253"/>
      <c r="J12" s="4"/>
      <c r="K12" s="4"/>
      <c r="L12" s="4"/>
      <c r="M12" s="4" t="s">
        <v>178</v>
      </c>
      <c r="N12" s="4"/>
      <c r="O12" s="4"/>
      <c r="P12" s="4"/>
      <c r="Q12" s="4"/>
      <c r="R12" s="107" t="s">
        <v>4</v>
      </c>
      <c r="S12" s="237">
        <f>MIN(S11*0.4,2100)</f>
        <v>1200</v>
      </c>
      <c r="T12" s="237"/>
      <c r="U12" s="211" t="s">
        <v>207</v>
      </c>
      <c r="V12" s="21"/>
    </row>
    <row r="13" spans="2:22" ht="11.25" customHeight="1">
      <c r="B13" s="20"/>
      <c r="C13" s="210" t="s">
        <v>174</v>
      </c>
      <c r="D13" s="4"/>
      <c r="E13" s="4"/>
      <c r="F13" s="12" t="s">
        <v>137</v>
      </c>
      <c r="G13" s="107" t="s">
        <v>4</v>
      </c>
      <c r="H13" s="266">
        <f>INT(15210*SQRT(H10))</f>
        <v>200056</v>
      </c>
      <c r="I13" s="266"/>
      <c r="J13" s="211" t="s">
        <v>207</v>
      </c>
      <c r="K13" s="4"/>
      <c r="L13" s="4"/>
      <c r="M13" s="210" t="s">
        <v>179</v>
      </c>
      <c r="N13" s="4"/>
      <c r="O13" s="4"/>
      <c r="P13" s="4"/>
      <c r="Q13" s="4" t="s">
        <v>157</v>
      </c>
      <c r="R13" s="107" t="s">
        <v>4</v>
      </c>
      <c r="S13" s="252">
        <v>2040000</v>
      </c>
      <c r="T13" s="253"/>
      <c r="U13" s="211" t="s">
        <v>207</v>
      </c>
      <c r="V13" s="21"/>
    </row>
    <row r="14" spans="2:22" ht="11.25" customHeight="1">
      <c r="B14" s="20"/>
      <c r="C14" s="4"/>
      <c r="D14" s="4"/>
      <c r="E14" s="4"/>
      <c r="G14" s="4"/>
      <c r="H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1"/>
    </row>
    <row r="15" spans="2:22" ht="11.25" customHeight="1">
      <c r="B15" s="61" t="s">
        <v>10</v>
      </c>
      <c r="C15" s="208" t="s">
        <v>184</v>
      </c>
      <c r="D15" s="63"/>
      <c r="E15" s="63"/>
      <c r="F15" s="64"/>
      <c r="G15" s="64"/>
      <c r="H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1"/>
    </row>
    <row r="16" spans="2:22" ht="11.25" customHeight="1">
      <c r="B16" s="20"/>
      <c r="C16" s="4" t="s">
        <v>0</v>
      </c>
      <c r="E16" s="4" t="s">
        <v>3</v>
      </c>
      <c r="G16" s="107" t="s">
        <v>4</v>
      </c>
      <c r="H16" s="267">
        <f>ROUND((S13/H13),0)</f>
        <v>10</v>
      </c>
      <c r="I16" s="267"/>
      <c r="K16" s="4"/>
      <c r="L16" s="4"/>
      <c r="M16" s="4" t="s">
        <v>139</v>
      </c>
      <c r="N16" s="4"/>
      <c r="O16" s="4" t="s">
        <v>6</v>
      </c>
      <c r="P16" s="4"/>
      <c r="Q16" s="4"/>
      <c r="R16" s="107" t="s">
        <v>4</v>
      </c>
      <c r="S16" s="257">
        <f>1-(H17/3)</f>
        <v>0.8830290736984449</v>
      </c>
      <c r="T16" s="257"/>
      <c r="U16" s="4"/>
      <c r="V16" s="21"/>
    </row>
    <row r="17" spans="2:22" ht="11.25" customHeight="1">
      <c r="B17" s="20"/>
      <c r="C17" s="4" t="s">
        <v>1</v>
      </c>
      <c r="E17" s="4" t="s">
        <v>5</v>
      </c>
      <c r="G17" s="107" t="s">
        <v>4</v>
      </c>
      <c r="H17" s="257">
        <f>1/(1+S12/(H16*H11))</f>
        <v>0.3509127789046653</v>
      </c>
      <c r="I17" s="257"/>
      <c r="K17" s="4"/>
      <c r="L17" s="4"/>
      <c r="M17" s="4" t="s">
        <v>2</v>
      </c>
      <c r="N17" s="4"/>
      <c r="O17" s="4" t="s">
        <v>7</v>
      </c>
      <c r="P17" s="4"/>
      <c r="Q17" s="4"/>
      <c r="R17" s="107" t="s">
        <v>4</v>
      </c>
      <c r="S17" s="257">
        <f>(H11*S16*H17)/2</f>
        <v>10.051284411785279</v>
      </c>
      <c r="T17" s="257"/>
      <c r="U17" s="211" t="s">
        <v>207</v>
      </c>
      <c r="V17" s="21"/>
    </row>
    <row r="18" spans="2:22" ht="11.25" customHeight="1"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1"/>
    </row>
    <row r="19" spans="2:22" ht="11.25" customHeight="1">
      <c r="B19" s="61" t="s">
        <v>11</v>
      </c>
      <c r="C19" s="62" t="s">
        <v>180</v>
      </c>
      <c r="D19" s="63"/>
      <c r="E19" s="63"/>
      <c r="F19" s="63"/>
      <c r="G19" s="64"/>
      <c r="H19" s="4"/>
      <c r="I19" s="4"/>
      <c r="J19" s="4"/>
      <c r="K19" s="4"/>
      <c r="L19" s="4"/>
      <c r="M19" s="4"/>
      <c r="N19" s="4"/>
      <c r="R19" s="4"/>
      <c r="S19" s="4"/>
      <c r="T19" s="4"/>
      <c r="U19" s="4"/>
      <c r="V19" s="21"/>
    </row>
    <row r="20" spans="2:22" ht="11.25" customHeight="1">
      <c r="B20" s="22"/>
      <c r="C20" s="4" t="s">
        <v>181</v>
      </c>
      <c r="D20" s="4" t="s">
        <v>13</v>
      </c>
      <c r="G20" s="107" t="s">
        <v>4</v>
      </c>
      <c r="H20" s="215">
        <v>16.516</v>
      </c>
      <c r="I20" s="4" t="s">
        <v>208</v>
      </c>
      <c r="J20" s="4"/>
      <c r="K20" s="4"/>
      <c r="L20" s="4"/>
      <c r="M20" s="4"/>
      <c r="N20" s="4"/>
      <c r="R20" s="4"/>
      <c r="S20" s="4"/>
      <c r="T20" s="4"/>
      <c r="U20" s="4"/>
      <c r="V20" s="21"/>
    </row>
    <row r="21" spans="2:22" ht="11.25" customHeight="1">
      <c r="B21" s="22"/>
      <c r="C21" s="4" t="s">
        <v>182</v>
      </c>
      <c r="D21" s="4" t="s">
        <v>14</v>
      </c>
      <c r="G21" s="107" t="s">
        <v>4</v>
      </c>
      <c r="H21" s="215">
        <v>0.091</v>
      </c>
      <c r="I21" s="4" t="s">
        <v>209</v>
      </c>
      <c r="J21" s="4"/>
      <c r="K21" s="4"/>
      <c r="L21" s="4"/>
      <c r="Q21" s="4"/>
      <c r="R21" s="4"/>
      <c r="S21" s="4"/>
      <c r="V21" s="21"/>
    </row>
    <row r="22" spans="2:22" ht="11.25" customHeight="1">
      <c r="B22" s="22"/>
      <c r="C22" s="4" t="s">
        <v>183</v>
      </c>
      <c r="D22" s="4" t="s">
        <v>15</v>
      </c>
      <c r="G22" s="107" t="s">
        <v>4</v>
      </c>
      <c r="H22" s="215">
        <v>0.091</v>
      </c>
      <c r="I22" s="4" t="s">
        <v>209</v>
      </c>
      <c r="J22" s="4"/>
      <c r="K22" s="4"/>
      <c r="M22" s="4"/>
      <c r="N22" s="4"/>
      <c r="R22" s="4"/>
      <c r="S22" s="4"/>
      <c r="T22" s="4"/>
      <c r="V22" s="21"/>
    </row>
    <row r="23" spans="2:22" ht="11.25" customHeight="1">
      <c r="B23" s="22"/>
      <c r="C23" s="4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P23" s="60" t="s">
        <v>19</v>
      </c>
      <c r="Q23" s="4"/>
      <c r="R23" s="4"/>
      <c r="S23" s="4"/>
      <c r="T23" s="4"/>
      <c r="V23" s="21"/>
    </row>
    <row r="24" spans="2:22" ht="11.25" customHeight="1">
      <c r="B24" s="61" t="s">
        <v>12</v>
      </c>
      <c r="C24" s="62" t="s">
        <v>185</v>
      </c>
      <c r="D24" s="63"/>
      <c r="E24" s="144"/>
      <c r="F24" s="63"/>
      <c r="G24" s="64"/>
      <c r="H24" s="4"/>
      <c r="I24" s="4"/>
      <c r="J24" s="4"/>
      <c r="K24" s="4"/>
      <c r="M24" s="4"/>
      <c r="N24" s="4"/>
      <c r="O24" s="4"/>
      <c r="P24" s="107"/>
      <c r="Q24" s="4"/>
      <c r="R24" s="4"/>
      <c r="S24" s="4"/>
      <c r="T24" s="4"/>
      <c r="V24" s="21"/>
    </row>
    <row r="25" spans="2:22" ht="11.25" customHeight="1">
      <c r="B25" s="22"/>
      <c r="C25" s="4" t="s">
        <v>186</v>
      </c>
      <c r="D25" s="12" t="s">
        <v>19</v>
      </c>
      <c r="F25" s="4"/>
      <c r="G25" s="107" t="s">
        <v>4</v>
      </c>
      <c r="H25" s="216">
        <v>20</v>
      </c>
      <c r="I25" s="6" t="s">
        <v>210</v>
      </c>
      <c r="O25" s="4"/>
      <c r="P25" s="4"/>
      <c r="Q25" s="4"/>
      <c r="R25" s="4"/>
      <c r="S25" s="4"/>
      <c r="T25" s="4"/>
      <c r="V25" s="21"/>
    </row>
    <row r="26" spans="2:22" ht="11.25" customHeight="1">
      <c r="B26" s="22"/>
      <c r="C26" s="4" t="s">
        <v>187</v>
      </c>
      <c r="D26" s="12" t="s">
        <v>140</v>
      </c>
      <c r="F26" s="4"/>
      <c r="G26" s="107" t="s">
        <v>4</v>
      </c>
      <c r="H26" s="164">
        <f>H25</f>
        <v>20</v>
      </c>
      <c r="I26" s="6" t="s">
        <v>210</v>
      </c>
      <c r="Q26" s="4"/>
      <c r="R26" s="4"/>
      <c r="S26" s="4"/>
      <c r="T26" s="4"/>
      <c r="V26" s="21"/>
    </row>
    <row r="27" spans="2:22" ht="11.25" customHeight="1">
      <c r="B27" s="22"/>
      <c r="C27" s="4" t="s">
        <v>188</v>
      </c>
      <c r="D27" s="12" t="s">
        <v>141</v>
      </c>
      <c r="F27" s="4"/>
      <c r="G27" s="107" t="s">
        <v>4</v>
      </c>
      <c r="H27" s="217">
        <v>3</v>
      </c>
      <c r="I27" s="95" t="s">
        <v>211</v>
      </c>
      <c r="J27" s="265" t="str">
        <f>IF((H27*100)/(MIN(H25:H26))&lt;15,"Short Column","Long Column")</f>
        <v>Long Column</v>
      </c>
      <c r="K27" s="265"/>
      <c r="O27" s="4"/>
      <c r="P27" s="4"/>
      <c r="Q27" s="4"/>
      <c r="R27" s="4"/>
      <c r="S27" s="4"/>
      <c r="T27" s="4"/>
      <c r="V27" s="21"/>
    </row>
    <row r="28" spans="2:41" ht="11.25" customHeight="1">
      <c r="B28" s="22"/>
      <c r="C28" s="4" t="s">
        <v>8</v>
      </c>
      <c r="D28" s="4"/>
      <c r="F28" s="4"/>
      <c r="G28" s="107" t="s">
        <v>4</v>
      </c>
      <c r="H28" s="217">
        <v>6.5</v>
      </c>
      <c r="I28" s="6" t="s">
        <v>210</v>
      </c>
      <c r="J28" s="12" t="str">
        <f>IF(J27="Long Column","R   = ","")</f>
        <v>R   = </v>
      </c>
      <c r="K28" s="94">
        <f>IF(J27="Long Column",1.07-(0.008*((H27*100)/(0.3*H26))),"")</f>
        <v>0.67</v>
      </c>
      <c r="O28" s="4"/>
      <c r="P28" s="4"/>
      <c r="Q28" s="4"/>
      <c r="R28" s="4"/>
      <c r="S28" s="4"/>
      <c r="T28" s="4"/>
      <c r="V28" s="21"/>
      <c r="AE28" s="111" t="s">
        <v>122</v>
      </c>
      <c r="AF28" s="112" t="s">
        <v>123</v>
      </c>
      <c r="AG28" s="112" t="s">
        <v>124</v>
      </c>
      <c r="AH28" s="112" t="s">
        <v>125</v>
      </c>
      <c r="AI28" s="112" t="s">
        <v>126</v>
      </c>
      <c r="AJ28" s="112" t="s">
        <v>127</v>
      </c>
      <c r="AK28" s="112" t="s">
        <v>128</v>
      </c>
      <c r="AL28" s="112" t="s">
        <v>129</v>
      </c>
      <c r="AM28" s="112" t="s">
        <v>130</v>
      </c>
      <c r="AN28" s="112" t="s">
        <v>131</v>
      </c>
      <c r="AO28" s="113" t="s">
        <v>132</v>
      </c>
    </row>
    <row r="29" spans="2:41" ht="11.25" customHeight="1">
      <c r="B29" s="22"/>
      <c r="C29" s="12" t="s">
        <v>20</v>
      </c>
      <c r="D29" s="4" t="s">
        <v>82</v>
      </c>
      <c r="G29" s="107" t="s">
        <v>4</v>
      </c>
      <c r="H29" s="45">
        <f>(H26)-(H28*2)</f>
        <v>7</v>
      </c>
      <c r="I29" s="212" t="s">
        <v>210</v>
      </c>
      <c r="O29" s="4"/>
      <c r="P29" s="4"/>
      <c r="Q29" s="4"/>
      <c r="R29" s="4"/>
      <c r="S29" s="4"/>
      <c r="T29" s="4"/>
      <c r="V29" s="21"/>
      <c r="Z29" s="225" t="s">
        <v>86</v>
      </c>
      <c r="AA29" s="225"/>
      <c r="AB29" s="221" t="s">
        <v>87</v>
      </c>
      <c r="AC29" s="221"/>
      <c r="AD29" s="100"/>
      <c r="AE29" s="114"/>
      <c r="AF29" s="115" t="s">
        <v>107</v>
      </c>
      <c r="AG29" s="115"/>
      <c r="AH29" s="115"/>
      <c r="AI29" s="115"/>
      <c r="AJ29" s="115"/>
      <c r="AK29" s="115"/>
      <c r="AL29" s="115"/>
      <c r="AM29" s="115"/>
      <c r="AN29" s="115"/>
      <c r="AO29" s="116"/>
    </row>
    <row r="30" spans="2:47" ht="11.25" customHeight="1">
      <c r="B30" s="22"/>
      <c r="C30" s="12" t="s">
        <v>21</v>
      </c>
      <c r="D30" s="4" t="s">
        <v>83</v>
      </c>
      <c r="G30" s="107" t="s">
        <v>4</v>
      </c>
      <c r="H30" s="45">
        <f>H25-(H28*2)</f>
        <v>7</v>
      </c>
      <c r="I30" s="212" t="s">
        <v>210</v>
      </c>
      <c r="O30" s="4"/>
      <c r="P30" s="4"/>
      <c r="Q30" s="4"/>
      <c r="R30" s="4"/>
      <c r="S30" s="4"/>
      <c r="T30" s="4"/>
      <c r="V30" s="21"/>
      <c r="Z30" s="247" t="s">
        <v>46</v>
      </c>
      <c r="AA30" s="247"/>
      <c r="AB30" s="256" t="s">
        <v>46</v>
      </c>
      <c r="AC30" s="256"/>
      <c r="AD30" s="101"/>
      <c r="AE30" s="114">
        <v>1</v>
      </c>
      <c r="AF30" s="115" t="s">
        <v>105</v>
      </c>
      <c r="AG30" s="117" t="s">
        <v>4</v>
      </c>
      <c r="AH30" s="115" t="s">
        <v>114</v>
      </c>
      <c r="AI30" s="115"/>
      <c r="AJ30" s="115"/>
      <c r="AK30" s="115"/>
      <c r="AL30" s="117" t="s">
        <v>4</v>
      </c>
      <c r="AM30" s="118">
        <f>(H26^4)/12+(2*H16-1)*(H41)*(H29^2/6)</f>
        <v>15205.219900048276</v>
      </c>
      <c r="AN30" s="118"/>
      <c r="AO30" s="119" t="s">
        <v>18</v>
      </c>
      <c r="AU30" s="104"/>
    </row>
    <row r="31" spans="2:47" ht="11.25" customHeight="1">
      <c r="B31" s="22"/>
      <c r="C31" s="4" t="s">
        <v>189</v>
      </c>
      <c r="D31" s="4"/>
      <c r="F31" s="4"/>
      <c r="G31" s="107" t="s">
        <v>4</v>
      </c>
      <c r="H31" s="107">
        <f>H25*H26</f>
        <v>400</v>
      </c>
      <c r="I31" s="210" t="s">
        <v>212</v>
      </c>
      <c r="M31" s="4"/>
      <c r="N31" s="4"/>
      <c r="O31" s="4"/>
      <c r="P31" s="4"/>
      <c r="Q31" s="4"/>
      <c r="R31" s="4"/>
      <c r="S31" s="4"/>
      <c r="T31" s="4"/>
      <c r="V31" s="21"/>
      <c r="Z31" s="90" t="s">
        <v>84</v>
      </c>
      <c r="AA31" s="90" t="s">
        <v>85</v>
      </c>
      <c r="AB31" s="90" t="s">
        <v>84</v>
      </c>
      <c r="AC31" s="90" t="s">
        <v>85</v>
      </c>
      <c r="AD31" s="101"/>
      <c r="AE31" s="120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U31" s="104"/>
    </row>
    <row r="32" spans="2:47" ht="11.25" customHeight="1">
      <c r="B32" s="22"/>
      <c r="C32" s="12" t="s">
        <v>16</v>
      </c>
      <c r="D32" s="187" t="s">
        <v>155</v>
      </c>
      <c r="G32" s="107" t="s">
        <v>4</v>
      </c>
      <c r="H32" s="87">
        <f>Ix1(H25,H26,H29,H16,H42)</f>
        <v>16141.163183405748</v>
      </c>
      <c r="I32" s="12" t="s">
        <v>213</v>
      </c>
      <c r="M32" s="4"/>
      <c r="N32" s="4"/>
      <c r="O32" s="4"/>
      <c r="P32" s="4"/>
      <c r="Q32" s="4"/>
      <c r="R32" s="4"/>
      <c r="S32" s="4"/>
      <c r="T32" s="4"/>
      <c r="V32" s="21"/>
      <c r="Z32" s="90">
        <v>0</v>
      </c>
      <c r="AA32" s="108">
        <f>H49</f>
        <v>38004.45894774177</v>
      </c>
      <c r="AB32" s="90">
        <v>0</v>
      </c>
      <c r="AC32" s="108">
        <f>AA32</f>
        <v>38004.45894774177</v>
      </c>
      <c r="AD32" s="102"/>
      <c r="AE32" s="114"/>
      <c r="AF32" s="115" t="s">
        <v>108</v>
      </c>
      <c r="AG32" s="115"/>
      <c r="AH32" s="115"/>
      <c r="AI32" s="115"/>
      <c r="AJ32" s="115"/>
      <c r="AK32" s="115"/>
      <c r="AL32" s="115"/>
      <c r="AM32" s="115"/>
      <c r="AN32" s="115"/>
      <c r="AO32" s="116"/>
      <c r="AU32" s="104"/>
    </row>
    <row r="33" spans="2:47" ht="11.25" customHeight="1">
      <c r="B33" s="22"/>
      <c r="C33" s="12" t="s">
        <v>17</v>
      </c>
      <c r="D33" s="187" t="s">
        <v>156</v>
      </c>
      <c r="G33" s="107" t="s">
        <v>4</v>
      </c>
      <c r="H33" s="87">
        <f>Iy1(H25,H26,H30,H16,H43)</f>
        <v>15205.219900048276</v>
      </c>
      <c r="I33" s="12" t="s">
        <v>213</v>
      </c>
      <c r="M33" s="4"/>
      <c r="N33" s="4"/>
      <c r="O33" s="4"/>
      <c r="P33" s="4"/>
      <c r="Q33" s="4"/>
      <c r="R33" s="4"/>
      <c r="S33" s="4"/>
      <c r="T33" s="4"/>
      <c r="V33" s="21"/>
      <c r="Z33" s="247" t="s">
        <v>48</v>
      </c>
      <c r="AA33" s="247"/>
      <c r="AB33" s="256" t="s">
        <v>48</v>
      </c>
      <c r="AC33" s="256"/>
      <c r="AD33" s="101"/>
      <c r="AE33" s="114" t="s">
        <v>110</v>
      </c>
      <c r="AF33" s="115" t="s">
        <v>106</v>
      </c>
      <c r="AG33" s="117" t="s">
        <v>4</v>
      </c>
      <c r="AH33" s="115" t="s">
        <v>144</v>
      </c>
      <c r="AI33" s="115"/>
      <c r="AJ33" s="115"/>
      <c r="AK33" s="115"/>
      <c r="AL33" s="117" t="s">
        <v>4</v>
      </c>
      <c r="AM33" s="118">
        <f>Ix1(H25,H26,H29,H16,H42)</f>
        <v>16141.163183405748</v>
      </c>
      <c r="AN33" s="118"/>
      <c r="AO33" s="119" t="s">
        <v>18</v>
      </c>
      <c r="AP33" s="104"/>
      <c r="AQ33" s="104"/>
      <c r="AR33" s="104"/>
      <c r="AS33" s="104"/>
      <c r="AT33" s="104"/>
      <c r="AU33" s="104"/>
    </row>
    <row r="34" spans="2:47" ht="11.25" customHeight="1">
      <c r="B34" s="22"/>
      <c r="C34" s="12" t="s">
        <v>22</v>
      </c>
      <c r="D34" s="12" t="s">
        <v>56</v>
      </c>
      <c r="G34" s="107" t="s">
        <v>4</v>
      </c>
      <c r="H34" s="10">
        <f>H26/2</f>
        <v>10</v>
      </c>
      <c r="I34" s="212" t="s">
        <v>210</v>
      </c>
      <c r="Q34" s="4"/>
      <c r="R34" s="4"/>
      <c r="S34" s="4"/>
      <c r="T34" s="4"/>
      <c r="U34" s="4"/>
      <c r="V34" s="21"/>
      <c r="Z34" s="105" t="s">
        <v>84</v>
      </c>
      <c r="AA34" s="105" t="s">
        <v>85</v>
      </c>
      <c r="AB34" s="90" t="s">
        <v>84</v>
      </c>
      <c r="AC34" s="90" t="s">
        <v>85</v>
      </c>
      <c r="AD34" s="101"/>
      <c r="AE34" s="114" t="s">
        <v>111</v>
      </c>
      <c r="AF34" s="115" t="s">
        <v>17</v>
      </c>
      <c r="AG34" s="117" t="s">
        <v>4</v>
      </c>
      <c r="AH34" s="115" t="s">
        <v>145</v>
      </c>
      <c r="AI34" s="115"/>
      <c r="AJ34" s="115"/>
      <c r="AK34" s="115"/>
      <c r="AL34" s="117" t="s">
        <v>4</v>
      </c>
      <c r="AM34" s="118">
        <f>Iy1(H25,H26,H30,H16,H43)</f>
        <v>15205.219900048276</v>
      </c>
      <c r="AN34" s="118"/>
      <c r="AO34" s="119" t="s">
        <v>18</v>
      </c>
      <c r="AP34" s="104"/>
      <c r="AQ34" s="104"/>
      <c r="AR34" s="104"/>
      <c r="AS34" s="104"/>
      <c r="AT34" s="104"/>
      <c r="AU34" s="104"/>
    </row>
    <row r="35" spans="2:47" ht="11.25" customHeight="1">
      <c r="B35" s="22"/>
      <c r="C35" s="12" t="s">
        <v>23</v>
      </c>
      <c r="D35" s="12" t="s">
        <v>57</v>
      </c>
      <c r="G35" s="107" t="s">
        <v>4</v>
      </c>
      <c r="H35" s="10">
        <f>H25/2</f>
        <v>10</v>
      </c>
      <c r="I35" s="212" t="s">
        <v>210</v>
      </c>
      <c r="Q35" s="4"/>
      <c r="R35" s="4"/>
      <c r="S35" s="4"/>
      <c r="T35" s="4"/>
      <c r="U35" s="4"/>
      <c r="V35" s="21"/>
      <c r="Z35" s="90">
        <v>0</v>
      </c>
      <c r="AA35" s="108">
        <f>H48</f>
        <v>18096.693370738936</v>
      </c>
      <c r="AB35" s="90">
        <v>0</v>
      </c>
      <c r="AC35" s="108">
        <f>AA35</f>
        <v>18096.693370738936</v>
      </c>
      <c r="AD35" s="102"/>
      <c r="AE35" s="12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3"/>
      <c r="AP35" s="104"/>
      <c r="AQ35" s="104"/>
      <c r="AR35" s="104"/>
      <c r="AS35" s="104"/>
      <c r="AT35" s="104"/>
      <c r="AU35" s="104"/>
    </row>
    <row r="36" spans="2:47" ht="11.25" customHeight="1">
      <c r="B36" s="22"/>
      <c r="C36" s="12" t="s">
        <v>26</v>
      </c>
      <c r="D36" s="12" t="s">
        <v>58</v>
      </c>
      <c r="G36" s="107" t="s">
        <v>4</v>
      </c>
      <c r="H36" s="38">
        <f>H32/H34</f>
        <v>1614.1163183405747</v>
      </c>
      <c r="I36" s="12" t="s">
        <v>214</v>
      </c>
      <c r="Q36" s="8"/>
      <c r="V36" s="21"/>
      <c r="Z36" s="247" t="s">
        <v>72</v>
      </c>
      <c r="AA36" s="247"/>
      <c r="AB36" s="221" t="s">
        <v>73</v>
      </c>
      <c r="AC36" s="221"/>
      <c r="AD36" s="100"/>
      <c r="AE36" s="121"/>
      <c r="AF36" s="124" t="s">
        <v>109</v>
      </c>
      <c r="AG36" s="122"/>
      <c r="AH36" s="122"/>
      <c r="AI36" s="122"/>
      <c r="AJ36" s="122"/>
      <c r="AK36" s="122"/>
      <c r="AL36" s="122"/>
      <c r="AM36" s="122"/>
      <c r="AN36" s="122"/>
      <c r="AO36" s="123"/>
      <c r="AP36" s="104"/>
      <c r="AQ36" s="104"/>
      <c r="AR36" s="104"/>
      <c r="AS36" s="104"/>
      <c r="AT36" s="104"/>
      <c r="AU36" s="104"/>
    </row>
    <row r="37" spans="2:47" ht="11.25" customHeight="1">
      <c r="B37" s="22"/>
      <c r="C37" s="12" t="s">
        <v>27</v>
      </c>
      <c r="D37" s="12" t="s">
        <v>59</v>
      </c>
      <c r="G37" s="107" t="s">
        <v>4</v>
      </c>
      <c r="H37" s="38">
        <f>H33/H35</f>
        <v>1520.5219900048276</v>
      </c>
      <c r="I37" s="12" t="s">
        <v>214</v>
      </c>
      <c r="Q37" s="8"/>
      <c r="R37" s="4"/>
      <c r="V37" s="21"/>
      <c r="Z37" s="90" t="s">
        <v>84</v>
      </c>
      <c r="AA37" s="90" t="s">
        <v>85</v>
      </c>
      <c r="AB37" s="91" t="s">
        <v>84</v>
      </c>
      <c r="AC37" s="91" t="s">
        <v>85</v>
      </c>
      <c r="AD37" s="100"/>
      <c r="AE37" s="114" t="s">
        <v>112</v>
      </c>
      <c r="AF37" s="115" t="s">
        <v>106</v>
      </c>
      <c r="AG37" s="117" t="s">
        <v>4</v>
      </c>
      <c r="AH37" s="115" t="s">
        <v>115</v>
      </c>
      <c r="AI37" s="115"/>
      <c r="AJ37" s="115"/>
      <c r="AK37" s="115"/>
      <c r="AL37" s="117" t="s">
        <v>4</v>
      </c>
      <c r="AM37" s="125"/>
      <c r="AN37" s="125"/>
      <c r="AO37" s="119" t="s">
        <v>18</v>
      </c>
      <c r="AP37" s="104"/>
      <c r="AQ37" s="104"/>
      <c r="AR37" s="104"/>
      <c r="AS37" s="104"/>
      <c r="AT37" s="104"/>
      <c r="AU37" s="104"/>
    </row>
    <row r="38" spans="2:47" ht="11.25" customHeight="1">
      <c r="B38" s="22"/>
      <c r="C38" s="12" t="s">
        <v>190</v>
      </c>
      <c r="F38" s="92">
        <f>(F39*2-2)+(F40*2-2)</f>
        <v>6</v>
      </c>
      <c r="G38" s="10" t="str">
        <f>IF(S10="sr-24","RB","DB")</f>
        <v>DB</v>
      </c>
      <c r="H38" s="92">
        <f>H39</f>
        <v>16</v>
      </c>
      <c r="I38" s="12" t="s">
        <v>215</v>
      </c>
      <c r="Q38" s="4"/>
      <c r="R38" s="4"/>
      <c r="S38" s="9"/>
      <c r="T38" s="9"/>
      <c r="U38" s="4"/>
      <c r="V38" s="21"/>
      <c r="Z38" s="90">
        <v>0</v>
      </c>
      <c r="AA38" s="108">
        <f>H75</f>
        <v>11253.014920774142</v>
      </c>
      <c r="AB38" s="91">
        <v>0</v>
      </c>
      <c r="AC38" s="109">
        <f>H76</f>
        <v>10785.691551957609</v>
      </c>
      <c r="AD38" s="103"/>
      <c r="AE38" s="126" t="s">
        <v>113</v>
      </c>
      <c r="AF38" s="127" t="s">
        <v>17</v>
      </c>
      <c r="AG38" s="128" t="s">
        <v>4</v>
      </c>
      <c r="AH38" s="127" t="s">
        <v>116</v>
      </c>
      <c r="AI38" s="127"/>
      <c r="AJ38" s="127"/>
      <c r="AK38" s="127"/>
      <c r="AL38" s="128" t="s">
        <v>4</v>
      </c>
      <c r="AM38" s="129"/>
      <c r="AN38" s="129"/>
      <c r="AO38" s="130" t="s">
        <v>18</v>
      </c>
      <c r="AP38" s="104"/>
      <c r="AQ38" s="104"/>
      <c r="AR38" s="104"/>
      <c r="AS38" s="104"/>
      <c r="AT38" s="104"/>
      <c r="AU38" s="104"/>
    </row>
    <row r="39" spans="2:47" ht="11.25" customHeight="1">
      <c r="B39" s="22"/>
      <c r="C39" s="12" t="s">
        <v>191</v>
      </c>
      <c r="F39" s="218">
        <v>3</v>
      </c>
      <c r="G39" s="10" t="str">
        <f>IF(S11="sr-24","RB","DB")</f>
        <v>DB</v>
      </c>
      <c r="H39" s="218">
        <v>16</v>
      </c>
      <c r="I39" s="12" t="s">
        <v>215</v>
      </c>
      <c r="O39" s="4"/>
      <c r="P39" s="4"/>
      <c r="Q39" s="4"/>
      <c r="R39" s="4"/>
      <c r="T39" s="9"/>
      <c r="U39" s="4"/>
      <c r="V39" s="21"/>
      <c r="Z39" s="247" t="s">
        <v>68</v>
      </c>
      <c r="AA39" s="247"/>
      <c r="AB39" s="221" t="s">
        <v>69</v>
      </c>
      <c r="AC39" s="221"/>
      <c r="AD39" s="10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4"/>
      <c r="AQ39" s="104"/>
      <c r="AR39" s="104"/>
      <c r="AS39" s="104"/>
      <c r="AT39" s="104"/>
      <c r="AU39" s="104"/>
    </row>
    <row r="40" spans="2:47" ht="11.25" customHeight="1">
      <c r="B40" s="22"/>
      <c r="C40" s="12" t="s">
        <v>192</v>
      </c>
      <c r="F40" s="218">
        <v>2</v>
      </c>
      <c r="G40" s="10" t="str">
        <f>IF(S12="sr-24","RB","DB")</f>
        <v>DB</v>
      </c>
      <c r="H40" s="218">
        <v>16</v>
      </c>
      <c r="I40" s="12" t="s">
        <v>215</v>
      </c>
      <c r="K40" s="7"/>
      <c r="M40" s="7"/>
      <c r="N40" s="4"/>
      <c r="O40" s="4"/>
      <c r="P40" s="4"/>
      <c r="Q40" s="4"/>
      <c r="R40" s="4"/>
      <c r="T40" s="6"/>
      <c r="U40" s="6"/>
      <c r="V40" s="21"/>
      <c r="Z40" s="105" t="s">
        <v>84</v>
      </c>
      <c r="AA40" s="105" t="s">
        <v>85</v>
      </c>
      <c r="AB40" s="91" t="s">
        <v>84</v>
      </c>
      <c r="AC40" s="91" t="s">
        <v>85</v>
      </c>
      <c r="AD40" s="100"/>
      <c r="AE40" s="12"/>
      <c r="AF40" s="12"/>
      <c r="AG40" s="12"/>
      <c r="AH40" s="12"/>
      <c r="AI40" s="12"/>
      <c r="AJ40" s="12"/>
      <c r="AK40" s="12"/>
      <c r="AL40" s="10"/>
      <c r="AM40" s="10"/>
      <c r="AN40" s="10"/>
      <c r="AO40" s="10"/>
      <c r="AP40" s="104"/>
      <c r="AQ40" s="104"/>
      <c r="AR40" s="104"/>
      <c r="AS40" s="104"/>
      <c r="AT40" s="104"/>
      <c r="AU40" s="104"/>
    </row>
    <row r="41" spans="2:47" ht="11.25" customHeight="1">
      <c r="B41" s="22"/>
      <c r="C41" s="4" t="s">
        <v>102</v>
      </c>
      <c r="G41" s="107" t="s">
        <v>4</v>
      </c>
      <c r="H41" s="93">
        <f>F38*(PI()/4*(H38/10)^2)</f>
        <v>12.063715789784807</v>
      </c>
      <c r="I41" s="210" t="s">
        <v>212</v>
      </c>
      <c r="Q41" s="4"/>
      <c r="R41" s="4"/>
      <c r="T41" s="6"/>
      <c r="U41" s="6"/>
      <c r="V41" s="21"/>
      <c r="Z41" s="90">
        <v>0</v>
      </c>
      <c r="AA41" s="108">
        <f>H56</f>
        <v>658.2356638340614</v>
      </c>
      <c r="AB41" s="91">
        <v>0</v>
      </c>
      <c r="AC41" s="109">
        <f>H57</f>
        <v>620.0679530296009</v>
      </c>
      <c r="AD41" s="103"/>
      <c r="AE41" s="96" t="s">
        <v>142</v>
      </c>
      <c r="AF41" s="96"/>
      <c r="AG41" s="12"/>
      <c r="AH41" s="12"/>
      <c r="AI41" s="12"/>
      <c r="AJ41" s="12"/>
      <c r="AK41" s="12"/>
      <c r="AL41" s="97" t="s">
        <v>84</v>
      </c>
      <c r="AM41" s="97" t="s">
        <v>85</v>
      </c>
      <c r="AN41" s="98" t="s">
        <v>117</v>
      </c>
      <c r="AO41" s="10"/>
      <c r="AP41" s="104"/>
      <c r="AQ41" s="104"/>
      <c r="AR41" s="104"/>
      <c r="AS41" s="104"/>
      <c r="AT41" s="104"/>
      <c r="AU41" s="104"/>
    </row>
    <row r="42" spans="2:47" ht="11.25" customHeight="1">
      <c r="B42" s="22"/>
      <c r="C42" s="4" t="s">
        <v>101</v>
      </c>
      <c r="G42" s="107" t="s">
        <v>4</v>
      </c>
      <c r="H42" s="36">
        <f>F39*(PI()/4*(H39/10)^2)</f>
        <v>6.031857894892403</v>
      </c>
      <c r="I42" s="210" t="s">
        <v>212</v>
      </c>
      <c r="Q42" s="4"/>
      <c r="R42" s="4"/>
      <c r="T42" s="8"/>
      <c r="U42" s="6"/>
      <c r="V42" s="21"/>
      <c r="Z42" s="247" t="s">
        <v>61</v>
      </c>
      <c r="AA42" s="247"/>
      <c r="AB42" s="221" t="s">
        <v>62</v>
      </c>
      <c r="AC42" s="221"/>
      <c r="AD42" s="100"/>
      <c r="AE42" s="65" t="s">
        <v>120</v>
      </c>
      <c r="AF42" s="66"/>
      <c r="AG42" s="66"/>
      <c r="AH42" s="88"/>
      <c r="AI42" s="67"/>
      <c r="AJ42" s="66"/>
      <c r="AK42" s="68"/>
      <c r="AL42" s="98">
        <f>IF(H58&lt;H60,1,0)</f>
        <v>1</v>
      </c>
      <c r="AM42" s="98">
        <f>IF(H59&lt;H61,1,0)</f>
        <v>1</v>
      </c>
      <c r="AN42" s="98" t="str">
        <f>IF(OR(AN43="yes",AN44="yes"),"no.",IF(SUM(AL42:AM42)&gt;0,"yes","no."))</f>
        <v>yes</v>
      </c>
      <c r="AO42" s="10"/>
      <c r="AP42" s="104"/>
      <c r="AQ42" s="104"/>
      <c r="AR42" s="104"/>
      <c r="AS42" s="104"/>
      <c r="AT42" s="104"/>
      <c r="AU42" s="104"/>
    </row>
    <row r="43" spans="2:47" ht="11.25" customHeight="1">
      <c r="B43" s="22"/>
      <c r="C43" s="4" t="s">
        <v>118</v>
      </c>
      <c r="G43" s="107" t="s">
        <v>4</v>
      </c>
      <c r="H43" s="36">
        <f>F40*(PI()/4*(H40/10)^2)</f>
        <v>4.0212385965949355</v>
      </c>
      <c r="I43" s="210" t="s">
        <v>212</v>
      </c>
      <c r="Q43" s="4"/>
      <c r="R43" s="4"/>
      <c r="T43" s="4"/>
      <c r="U43" s="4"/>
      <c r="V43" s="21"/>
      <c r="Z43" s="90" t="s">
        <v>84</v>
      </c>
      <c r="AA43" s="90" t="s">
        <v>85</v>
      </c>
      <c r="AB43" s="91" t="s">
        <v>84</v>
      </c>
      <c r="AC43" s="91" t="s">
        <v>85</v>
      </c>
      <c r="AD43" s="100"/>
      <c r="AE43" s="69" t="s">
        <v>119</v>
      </c>
      <c r="AF43" s="70"/>
      <c r="AG43" s="70"/>
      <c r="AH43" s="70"/>
      <c r="AI43" s="70"/>
      <c r="AJ43" s="70"/>
      <c r="AK43" s="70"/>
      <c r="AL43" s="98">
        <f>IF(H58=0,0,IF(AND(H58&gt;=H60,H58&lt;=H62),1,0))</f>
        <v>0</v>
      </c>
      <c r="AM43" s="98">
        <f>IF(H59=0,0,IF(AND(H59&gt;=H61,H59&lt;=H63),1,0))</f>
        <v>0</v>
      </c>
      <c r="AN43" s="98" t="str">
        <f>IF(AN44="yes","no.",IF(SUM(AL43:AM43)&gt;0,"yes","no."))</f>
        <v>no.</v>
      </c>
      <c r="AO43" s="10"/>
      <c r="AP43" s="104"/>
      <c r="AQ43" s="104"/>
      <c r="AR43" s="104"/>
      <c r="AS43" s="104"/>
      <c r="AT43" s="104"/>
      <c r="AU43" s="104"/>
    </row>
    <row r="44" spans="2:47" ht="11.25" customHeight="1">
      <c r="B44" s="22"/>
      <c r="C44" s="41" t="s">
        <v>60</v>
      </c>
      <c r="D44" s="12" t="s">
        <v>230</v>
      </c>
      <c r="G44" s="220" t="s">
        <v>4</v>
      </c>
      <c r="H44" s="39">
        <f>H41/H31</f>
        <v>0.030159289474462017</v>
      </c>
      <c r="J44" s="99" t="str">
        <f>IF(AND(H44&gt;0.01,H44&lt;0.08),"OK.","NG.")</f>
        <v>OK.</v>
      </c>
      <c r="K44" s="4"/>
      <c r="Q44" s="4"/>
      <c r="R44" s="4"/>
      <c r="S44" s="4"/>
      <c r="T44" s="4"/>
      <c r="U44" s="4"/>
      <c r="V44" s="21"/>
      <c r="Z44" s="90">
        <v>0</v>
      </c>
      <c r="AA44" s="108">
        <f>H77</f>
        <v>884.5168710421302</v>
      </c>
      <c r="AB44" s="91">
        <v>0</v>
      </c>
      <c r="AC44" s="109">
        <f>H78</f>
        <v>884.5168710421302</v>
      </c>
      <c r="AD44" s="103"/>
      <c r="AE44" s="51" t="s">
        <v>121</v>
      </c>
      <c r="AF44" s="52"/>
      <c r="AG44" s="71"/>
      <c r="AH44" s="52"/>
      <c r="AI44" s="72"/>
      <c r="AJ44" s="52"/>
      <c r="AK44" s="73"/>
      <c r="AL44" s="98">
        <f>IF(H58=0,0,IF(H58&gt;H62,1,0))</f>
        <v>0</v>
      </c>
      <c r="AM44" s="98">
        <f>IF(H59=0,0,IF(H59&gt;H63,1,0))</f>
        <v>0</v>
      </c>
      <c r="AN44" s="98" t="str">
        <f>IF(SUM(AL44:AM44)&gt;0,"yes","no.")</f>
        <v>no.</v>
      </c>
      <c r="AO44" s="10"/>
      <c r="AP44" s="104"/>
      <c r="AQ44" s="104"/>
      <c r="AR44" s="104"/>
      <c r="AS44" s="104"/>
      <c r="AT44" s="104"/>
      <c r="AU44" s="104"/>
    </row>
    <row r="45" spans="2:47" ht="11.25" customHeight="1">
      <c r="B45" s="22"/>
      <c r="C45" s="12" t="s">
        <v>53</v>
      </c>
      <c r="D45" s="12" t="s">
        <v>153</v>
      </c>
      <c r="G45" s="107" t="s">
        <v>4</v>
      </c>
      <c r="H45" s="45">
        <f>S11/(0.85*H10)</f>
        <v>20.40122407344441</v>
      </c>
      <c r="K45" s="4"/>
      <c r="M45" s="4"/>
      <c r="N45" s="4"/>
      <c r="O45" s="4"/>
      <c r="P45" s="4"/>
      <c r="Q45" s="4"/>
      <c r="R45" s="4"/>
      <c r="S45" s="4"/>
      <c r="T45" s="11"/>
      <c r="U45" s="4"/>
      <c r="V45" s="21"/>
      <c r="Z45" s="247" t="s">
        <v>63</v>
      </c>
      <c r="AA45" s="247"/>
      <c r="AB45" s="221" t="s">
        <v>64</v>
      </c>
      <c r="AC45" s="221"/>
      <c r="AD45" s="100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</row>
    <row r="46" spans="2:47" ht="11.25" customHeight="1">
      <c r="B46" s="22"/>
      <c r="C46" s="12" t="s">
        <v>54</v>
      </c>
      <c r="D46" s="12" t="s">
        <v>55</v>
      </c>
      <c r="G46" s="107" t="s">
        <v>4</v>
      </c>
      <c r="H46" s="37">
        <f>(H20*1000)/(H31)</f>
        <v>41.29</v>
      </c>
      <c r="I46" s="211" t="s">
        <v>207</v>
      </c>
      <c r="K46" s="4"/>
      <c r="M46" s="23"/>
      <c r="N46" s="4"/>
      <c r="O46" s="4"/>
      <c r="P46" s="4"/>
      <c r="Q46" s="4"/>
      <c r="R46" s="4"/>
      <c r="S46" s="4"/>
      <c r="T46" s="106"/>
      <c r="U46" s="4"/>
      <c r="V46" s="21"/>
      <c r="Z46" s="90" t="s">
        <v>84</v>
      </c>
      <c r="AA46" s="90" t="s">
        <v>85</v>
      </c>
      <c r="AB46" s="91" t="s">
        <v>84</v>
      </c>
      <c r="AC46" s="91" t="s">
        <v>85</v>
      </c>
      <c r="AD46" s="100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</row>
    <row r="47" spans="2:47" ht="11.25" customHeight="1">
      <c r="B47" s="22"/>
      <c r="C47" s="12" t="s">
        <v>47</v>
      </c>
      <c r="D47" s="12" t="s">
        <v>154</v>
      </c>
      <c r="G47" s="107" t="s">
        <v>4</v>
      </c>
      <c r="H47" s="38">
        <f>0.34*(1+H44*H45)*H10</f>
        <v>95.01114736935442</v>
      </c>
      <c r="I47" s="211" t="s">
        <v>207</v>
      </c>
      <c r="K47" s="4"/>
      <c r="M47" s="23"/>
      <c r="N47" s="4"/>
      <c r="O47" s="40"/>
      <c r="P47" s="4"/>
      <c r="Q47" s="4"/>
      <c r="R47" s="4"/>
      <c r="S47" s="4"/>
      <c r="T47" s="11"/>
      <c r="U47" s="4"/>
      <c r="V47" s="21"/>
      <c r="Z47" s="90">
        <v>0</v>
      </c>
      <c r="AA47" s="108">
        <f>H79</f>
        <v>506.67606317096187</v>
      </c>
      <c r="AB47" s="91">
        <v>0</v>
      </c>
      <c r="AC47" s="109">
        <f>H80</f>
        <v>337.7840421139746</v>
      </c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</row>
    <row r="48" spans="2:47" ht="11.25" customHeight="1">
      <c r="B48" s="22"/>
      <c r="C48" s="4" t="s">
        <v>48</v>
      </c>
      <c r="D48" s="89" t="str">
        <f>IF(J27="Short Column","0.85*Ag*(0.25*f'c+fs*pg)","0.85*Ag*(0.25*f'c+fs*pg)*R")</f>
        <v>0.85*Ag*(0.25*f'c+fs*pg)*R</v>
      </c>
      <c r="E48" s="107"/>
      <c r="F48" s="107"/>
      <c r="G48" s="107" t="s">
        <v>4</v>
      </c>
      <c r="H48" s="3">
        <f>IF(J27="Short Column",0.85*H31*(0.25*H10+S12*H44),((0.85*H31*(0.25*H10+S12*H44))*K28))</f>
        <v>18096.693370738936</v>
      </c>
      <c r="I48" s="211" t="s">
        <v>216</v>
      </c>
      <c r="J48" s="131"/>
      <c r="K48" s="11"/>
      <c r="M48" s="23"/>
      <c r="N48" s="4"/>
      <c r="O48" s="4"/>
      <c r="P48" s="4"/>
      <c r="Q48" s="4"/>
      <c r="R48" s="4"/>
      <c r="S48" s="4"/>
      <c r="T48" s="11"/>
      <c r="U48" s="4"/>
      <c r="V48" s="21"/>
      <c r="Z48" s="247" t="s">
        <v>38</v>
      </c>
      <c r="AA48" s="247"/>
      <c r="AB48" s="221" t="s">
        <v>39</v>
      </c>
      <c r="AC48" s="221"/>
      <c r="AD48" s="100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</row>
    <row r="49" spans="2:47" ht="11.25" customHeight="1">
      <c r="B49" s="22"/>
      <c r="C49" s="4" t="s">
        <v>46</v>
      </c>
      <c r="D49" s="4" t="s">
        <v>45</v>
      </c>
      <c r="G49" s="107" t="s">
        <v>4</v>
      </c>
      <c r="H49" s="3">
        <f>H47*H31</f>
        <v>38004.45894774177</v>
      </c>
      <c r="I49" s="211" t="s">
        <v>216</v>
      </c>
      <c r="J49" s="4"/>
      <c r="K49" s="4"/>
      <c r="M49" s="23"/>
      <c r="N49" s="4"/>
      <c r="O49" s="4"/>
      <c r="P49" s="60" t="s">
        <v>19</v>
      </c>
      <c r="Q49" s="4"/>
      <c r="S49" s="4"/>
      <c r="T49" s="11"/>
      <c r="U49" s="4"/>
      <c r="V49" s="21"/>
      <c r="Z49" s="90" t="s">
        <v>84</v>
      </c>
      <c r="AA49" s="90" t="s">
        <v>85</v>
      </c>
      <c r="AB49" s="91" t="s">
        <v>84</v>
      </c>
      <c r="AC49" s="91" t="s">
        <v>85</v>
      </c>
      <c r="AD49" s="100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</row>
    <row r="50" spans="2:47" ht="11.25" customHeight="1">
      <c r="B50" s="22"/>
      <c r="C50" s="4" t="s">
        <v>43</v>
      </c>
      <c r="D50" s="4" t="s">
        <v>42</v>
      </c>
      <c r="E50" s="4"/>
      <c r="G50" s="107" t="s">
        <v>4</v>
      </c>
      <c r="H50" s="10">
        <f>0.45*H10</f>
        <v>77.85000000000001</v>
      </c>
      <c r="I50" s="211" t="s">
        <v>207</v>
      </c>
      <c r="J50" s="4"/>
      <c r="K50" s="4"/>
      <c r="L50" s="4"/>
      <c r="M50" s="4"/>
      <c r="N50" s="4"/>
      <c r="O50" s="4"/>
      <c r="P50" s="107"/>
      <c r="Q50" s="4"/>
      <c r="S50" s="4"/>
      <c r="T50" s="4"/>
      <c r="U50" s="4"/>
      <c r="V50" s="21"/>
      <c r="Z50" s="90">
        <v>0</v>
      </c>
      <c r="AA50" s="108">
        <f>H52</f>
        <v>1256.5895538281375</v>
      </c>
      <c r="AB50" s="91">
        <v>0</v>
      </c>
      <c r="AC50" s="109">
        <f>H53</f>
        <v>1183.7263692187582</v>
      </c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</row>
    <row r="51" spans="2:47" ht="11.25" customHeight="1">
      <c r="B51" s="22"/>
      <c r="C51" s="4" t="s">
        <v>44</v>
      </c>
      <c r="D51" s="4" t="s">
        <v>42</v>
      </c>
      <c r="G51" s="107" t="s">
        <v>4</v>
      </c>
      <c r="H51" s="10">
        <f>0.45*H10</f>
        <v>77.85000000000001</v>
      </c>
      <c r="I51" s="211" t="s">
        <v>207</v>
      </c>
      <c r="J51" s="4"/>
      <c r="L51" s="11"/>
      <c r="M51" s="244" t="s">
        <v>218</v>
      </c>
      <c r="N51" s="245"/>
      <c r="O51" s="245"/>
      <c r="P51" s="245"/>
      <c r="Q51" s="245"/>
      <c r="R51" s="245"/>
      <c r="S51" s="245"/>
      <c r="T51" s="245"/>
      <c r="U51" s="246"/>
      <c r="V51" s="21"/>
      <c r="Z51" s="225" t="s">
        <v>88</v>
      </c>
      <c r="AA51" s="225"/>
      <c r="AB51" s="221" t="s">
        <v>88</v>
      </c>
      <c r="AC51" s="221"/>
      <c r="AD51" s="100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</row>
    <row r="52" spans="2:47" ht="11.25" customHeight="1">
      <c r="B52" s="22"/>
      <c r="C52" s="12" t="s">
        <v>38</v>
      </c>
      <c r="D52" s="12" t="s">
        <v>40</v>
      </c>
      <c r="G52" s="107" t="s">
        <v>4</v>
      </c>
      <c r="H52" s="37">
        <f>(H50*H36)/100</f>
        <v>1256.5895538281375</v>
      </c>
      <c r="I52" s="211" t="s">
        <v>217</v>
      </c>
      <c r="J52" s="4"/>
      <c r="M52" s="54"/>
      <c r="O52" s="4"/>
      <c r="P52" s="4"/>
      <c r="Q52" s="4"/>
      <c r="R52" s="4"/>
      <c r="S52" s="4"/>
      <c r="T52" s="4"/>
      <c r="U52" s="55"/>
      <c r="V52" s="21"/>
      <c r="Z52" s="109">
        <f>AA41</f>
        <v>658.2356638340614</v>
      </c>
      <c r="AA52" s="109">
        <v>0</v>
      </c>
      <c r="AB52" s="109">
        <f>AC41</f>
        <v>620.0679530296009</v>
      </c>
      <c r="AC52" s="109">
        <v>0</v>
      </c>
      <c r="AD52" s="103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</row>
    <row r="53" spans="2:47" ht="11.25" customHeight="1">
      <c r="B53" s="22"/>
      <c r="C53" s="12" t="s">
        <v>39</v>
      </c>
      <c r="D53" s="12" t="s">
        <v>41</v>
      </c>
      <c r="G53" s="107" t="s">
        <v>4</v>
      </c>
      <c r="H53" s="37">
        <f>(H51*H37)/100</f>
        <v>1183.7263692187582</v>
      </c>
      <c r="I53" s="211" t="s">
        <v>217</v>
      </c>
      <c r="J53" s="4"/>
      <c r="K53" s="4"/>
      <c r="M53" s="54"/>
      <c r="O53" s="4"/>
      <c r="P53" s="4"/>
      <c r="Q53" s="4"/>
      <c r="R53" s="4"/>
      <c r="S53" s="83"/>
      <c r="T53" s="84" t="s">
        <v>99</v>
      </c>
      <c r="U53" s="55"/>
      <c r="V53" s="21"/>
      <c r="Z53" s="109">
        <f>Z52</f>
        <v>658.2356638340614</v>
      </c>
      <c r="AA53" s="109">
        <f>AA35</f>
        <v>18096.693370738936</v>
      </c>
      <c r="AB53" s="109">
        <f>AB52</f>
        <v>620.0679530296009</v>
      </c>
      <c r="AC53" s="109">
        <f>AC35</f>
        <v>18096.693370738936</v>
      </c>
      <c r="AD53" s="103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</row>
    <row r="54" spans="2:47" ht="11.25" customHeight="1">
      <c r="B54" s="22"/>
      <c r="C54" s="12" t="s">
        <v>158</v>
      </c>
      <c r="D54" s="12" t="s">
        <v>160</v>
      </c>
      <c r="G54" s="107" t="s">
        <v>4</v>
      </c>
      <c r="H54" s="37">
        <f>(H21*1000*100)/H36</f>
        <v>5.637759742962912</v>
      </c>
      <c r="I54" s="211" t="s">
        <v>207</v>
      </c>
      <c r="J54" s="4"/>
      <c r="K54" s="4"/>
      <c r="L54" s="11"/>
      <c r="M54" s="54"/>
      <c r="O54" s="4"/>
      <c r="P54" s="4"/>
      <c r="Q54" s="6"/>
      <c r="R54" s="4"/>
      <c r="S54" s="4"/>
      <c r="T54" s="4"/>
      <c r="U54" s="55"/>
      <c r="V54" s="21"/>
      <c r="Z54" s="225" t="s">
        <v>89</v>
      </c>
      <c r="AA54" s="225"/>
      <c r="AB54" s="221" t="s">
        <v>89</v>
      </c>
      <c r="AC54" s="221"/>
      <c r="AD54" s="100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</row>
    <row r="55" spans="2:47" ht="11.25" customHeight="1">
      <c r="B55" s="20"/>
      <c r="C55" s="12" t="s">
        <v>159</v>
      </c>
      <c r="D55" s="12" t="s">
        <v>161</v>
      </c>
      <c r="G55" s="107" t="s">
        <v>4</v>
      </c>
      <c r="H55" s="37">
        <f>(H22*1000*100)/H37</f>
        <v>5.9847868428204105</v>
      </c>
      <c r="I55" s="211" t="s">
        <v>207</v>
      </c>
      <c r="J55" s="4"/>
      <c r="K55" s="4"/>
      <c r="L55" s="11"/>
      <c r="M55" s="54"/>
      <c r="O55" s="4"/>
      <c r="P55" s="4"/>
      <c r="Q55" s="4"/>
      <c r="R55" s="4"/>
      <c r="S55" s="4"/>
      <c r="T55" s="4"/>
      <c r="U55" s="55"/>
      <c r="V55" s="21"/>
      <c r="Z55" s="109">
        <f>AA44</f>
        <v>884.5168710421302</v>
      </c>
      <c r="AA55" s="109">
        <v>0</v>
      </c>
      <c r="AB55" s="109">
        <f>AC44</f>
        <v>884.5168710421302</v>
      </c>
      <c r="AC55" s="109">
        <v>0</v>
      </c>
      <c r="AD55" s="103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</row>
    <row r="56" spans="2:47" ht="11.25" customHeight="1">
      <c r="B56" s="20"/>
      <c r="C56" s="12" t="s">
        <v>68</v>
      </c>
      <c r="D56" s="12" t="s">
        <v>70</v>
      </c>
      <c r="G56" s="107" t="s">
        <v>4</v>
      </c>
      <c r="H56" s="38">
        <f>H48*H60/100</f>
        <v>658.2356638340614</v>
      </c>
      <c r="I56" s="211" t="s">
        <v>217</v>
      </c>
      <c r="K56" s="4"/>
      <c r="L56" s="11"/>
      <c r="M56" s="54"/>
      <c r="O56" s="24"/>
      <c r="P56" s="4"/>
      <c r="Q56" s="4"/>
      <c r="R56" s="4"/>
      <c r="S56" s="4"/>
      <c r="T56" s="4"/>
      <c r="U56" s="55"/>
      <c r="V56" s="21"/>
      <c r="Z56" s="109">
        <f>Z55</f>
        <v>884.5168710421302</v>
      </c>
      <c r="AA56" s="109">
        <f>AA38</f>
        <v>11253.014920774142</v>
      </c>
      <c r="AB56" s="109">
        <f>AB55</f>
        <v>884.5168710421302</v>
      </c>
      <c r="AC56" s="109">
        <f>AC38</f>
        <v>10785.691551957609</v>
      </c>
      <c r="AD56" s="103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</row>
    <row r="57" spans="2:47" ht="11.25" customHeight="1">
      <c r="B57" s="20"/>
      <c r="C57" s="12" t="s">
        <v>69</v>
      </c>
      <c r="D57" s="12" t="s">
        <v>71</v>
      </c>
      <c r="G57" s="107" t="s">
        <v>4</v>
      </c>
      <c r="H57" s="38">
        <f>H48*H61/100</f>
        <v>620.0679530296009</v>
      </c>
      <c r="I57" s="211" t="s">
        <v>217</v>
      </c>
      <c r="L57" s="4"/>
      <c r="M57" s="54"/>
      <c r="O57" s="24"/>
      <c r="P57" s="4"/>
      <c r="Q57" s="4"/>
      <c r="R57" s="4"/>
      <c r="S57" s="4"/>
      <c r="T57" s="4"/>
      <c r="U57" s="55"/>
      <c r="V57" s="21"/>
      <c r="Z57" s="225" t="s">
        <v>90</v>
      </c>
      <c r="AA57" s="225"/>
      <c r="AB57" s="221" t="s">
        <v>90</v>
      </c>
      <c r="AC57" s="221"/>
      <c r="AD57" s="100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</row>
    <row r="58" spans="2:47" ht="11.25" customHeight="1">
      <c r="B58" s="20"/>
      <c r="C58" s="4" t="s">
        <v>51</v>
      </c>
      <c r="D58" s="4" t="s">
        <v>49</v>
      </c>
      <c r="G58" s="107" t="s">
        <v>4</v>
      </c>
      <c r="H58" s="107">
        <f>(H21/H20)*100</f>
        <v>0.5509808670380238</v>
      </c>
      <c r="I58" s="6" t="s">
        <v>210</v>
      </c>
      <c r="J58" s="4"/>
      <c r="M58" s="56"/>
      <c r="O58" s="24"/>
      <c r="P58" s="4"/>
      <c r="Q58" s="4"/>
      <c r="R58" s="4"/>
      <c r="S58" s="29"/>
      <c r="T58" s="11"/>
      <c r="U58" s="74"/>
      <c r="V58" s="21"/>
      <c r="Z58" s="109">
        <v>0</v>
      </c>
      <c r="AA58" s="109">
        <f>AA35</f>
        <v>18096.693370738936</v>
      </c>
      <c r="AB58" s="109">
        <v>0</v>
      </c>
      <c r="AC58" s="109">
        <f>AC35</f>
        <v>18096.693370738936</v>
      </c>
      <c r="AD58" s="103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</row>
    <row r="59" spans="2:47" ht="11.25" customHeight="1">
      <c r="B59" s="20"/>
      <c r="C59" s="4" t="s">
        <v>52</v>
      </c>
      <c r="D59" s="4" t="s">
        <v>50</v>
      </c>
      <c r="G59" s="107" t="s">
        <v>4</v>
      </c>
      <c r="H59" s="107">
        <f>(H22/H20)*100</f>
        <v>0.5509808670380238</v>
      </c>
      <c r="I59" s="6" t="s">
        <v>210</v>
      </c>
      <c r="J59" s="4"/>
      <c r="M59" s="54"/>
      <c r="O59" s="24"/>
      <c r="P59" s="4"/>
      <c r="Q59" s="4"/>
      <c r="R59" s="4"/>
      <c r="S59" s="4"/>
      <c r="T59" s="4"/>
      <c r="U59" s="75"/>
      <c r="V59" s="21"/>
      <c r="Z59" s="109">
        <f>Z53</f>
        <v>658.2356638340614</v>
      </c>
      <c r="AA59" s="109">
        <f>AA58</f>
        <v>18096.693370738936</v>
      </c>
      <c r="AB59" s="109">
        <f>AB53</f>
        <v>620.0679530296009</v>
      </c>
      <c r="AC59" s="109">
        <f>AC58</f>
        <v>18096.693370738936</v>
      </c>
      <c r="AD59" s="103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</row>
    <row r="60" spans="2:47" ht="11.25" customHeight="1">
      <c r="B60" s="20"/>
      <c r="C60" s="12" t="s">
        <v>31</v>
      </c>
      <c r="D60" s="12" t="s">
        <v>24</v>
      </c>
      <c r="G60" s="107" t="s">
        <v>4</v>
      </c>
      <c r="H60" s="36">
        <f>H52*((1/H48)-(1/H49))*100</f>
        <v>3.6373256171670656</v>
      </c>
      <c r="I60" s="6" t="s">
        <v>210</v>
      </c>
      <c r="J60" s="4"/>
      <c r="M60" s="57"/>
      <c r="O60" s="4"/>
      <c r="P60" s="11"/>
      <c r="Q60" s="4"/>
      <c r="R60" s="4"/>
      <c r="S60" s="4"/>
      <c r="T60" s="11"/>
      <c r="U60" s="55"/>
      <c r="V60" s="21"/>
      <c r="Z60" s="225" t="s">
        <v>91</v>
      </c>
      <c r="AA60" s="225"/>
      <c r="AB60" s="221" t="s">
        <v>91</v>
      </c>
      <c r="AC60" s="221"/>
      <c r="AD60" s="100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</row>
    <row r="61" spans="2:47" ht="11.25" customHeight="1">
      <c r="B61" s="20"/>
      <c r="C61" s="12" t="s">
        <v>32</v>
      </c>
      <c r="D61" s="12" t="s">
        <v>25</v>
      </c>
      <c r="G61" s="107" t="s">
        <v>4</v>
      </c>
      <c r="H61" s="36">
        <f>H53*((1/H48)-(1/H49))*100</f>
        <v>3.4264157563293116</v>
      </c>
      <c r="I61" s="8" t="s">
        <v>210</v>
      </c>
      <c r="J61" s="4"/>
      <c r="K61" s="4"/>
      <c r="M61" s="79"/>
      <c r="O61" s="4"/>
      <c r="P61" s="4"/>
      <c r="Q61" s="4"/>
      <c r="R61" s="4"/>
      <c r="S61" s="4"/>
      <c r="T61" s="30"/>
      <c r="U61" s="75"/>
      <c r="V61" s="21"/>
      <c r="Z61" s="109">
        <v>0</v>
      </c>
      <c r="AA61" s="109">
        <f>AA38</f>
        <v>11253.014920774142</v>
      </c>
      <c r="AB61" s="109">
        <v>0</v>
      </c>
      <c r="AC61" s="109">
        <f>AC38</f>
        <v>10785.691551957609</v>
      </c>
      <c r="AD61" s="103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</row>
    <row r="62" spans="2:47" ht="11.25" customHeight="1">
      <c r="B62" s="20"/>
      <c r="C62" s="12" t="s">
        <v>30</v>
      </c>
      <c r="D62" s="12" t="s">
        <v>36</v>
      </c>
      <c r="G62" s="107" t="s">
        <v>4</v>
      </c>
      <c r="H62" s="36">
        <f>(0.67*H44*H45+0.17)*(H26-H28)</f>
        <v>7.860265691190256</v>
      </c>
      <c r="I62" s="8" t="s">
        <v>210</v>
      </c>
      <c r="M62" s="54"/>
      <c r="O62" s="4"/>
      <c r="P62" s="4"/>
      <c r="Q62" s="4"/>
      <c r="R62" s="4"/>
      <c r="S62" s="4"/>
      <c r="T62" s="4"/>
      <c r="U62" s="55"/>
      <c r="V62" s="21"/>
      <c r="Z62" s="109">
        <f>AA44</f>
        <v>884.5168710421302</v>
      </c>
      <c r="AA62" s="109">
        <f>AA61</f>
        <v>11253.014920774142</v>
      </c>
      <c r="AB62" s="109">
        <f>AC44</f>
        <v>884.5168710421302</v>
      </c>
      <c r="AC62" s="109">
        <f>AC61</f>
        <v>10785.691551957609</v>
      </c>
      <c r="AD62" s="103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</row>
    <row r="63" spans="2:47" ht="11.25" customHeight="1">
      <c r="B63" s="20"/>
      <c r="C63" s="12" t="s">
        <v>33</v>
      </c>
      <c r="D63" s="12" t="s">
        <v>37</v>
      </c>
      <c r="G63" s="107" t="s">
        <v>4</v>
      </c>
      <c r="H63" s="36">
        <f>(0.67*H44*H45+0.17)*(H25-H28)</f>
        <v>7.860265691190256</v>
      </c>
      <c r="I63" s="8" t="s">
        <v>210</v>
      </c>
      <c r="K63" s="49"/>
      <c r="M63" s="54"/>
      <c r="O63" s="4"/>
      <c r="P63" s="4"/>
      <c r="Q63" s="4"/>
      <c r="R63" s="4"/>
      <c r="S63" s="4"/>
      <c r="T63" s="4"/>
      <c r="U63" s="55"/>
      <c r="V63" s="21"/>
      <c r="Z63" s="225" t="s">
        <v>92</v>
      </c>
      <c r="AA63" s="225"/>
      <c r="AB63" s="221" t="s">
        <v>92</v>
      </c>
      <c r="AC63" s="221"/>
      <c r="AD63" s="100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</row>
    <row r="64" spans="2:47" ht="11.25" customHeight="1">
      <c r="B64" s="20"/>
      <c r="K64" s="4"/>
      <c r="L64" s="49"/>
      <c r="M64" s="54"/>
      <c r="O64" s="4"/>
      <c r="P64" s="4"/>
      <c r="Q64" s="4"/>
      <c r="R64" s="4"/>
      <c r="S64" s="4"/>
      <c r="T64" s="4"/>
      <c r="U64" s="55"/>
      <c r="V64" s="21"/>
      <c r="Z64" s="109">
        <v>0</v>
      </c>
      <c r="AA64" s="109">
        <f>AA32</f>
        <v>38004.45894774177</v>
      </c>
      <c r="AB64" s="109">
        <v>0</v>
      </c>
      <c r="AC64" s="109">
        <f>AC32</f>
        <v>38004.45894774177</v>
      </c>
      <c r="AD64" s="103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</row>
    <row r="65" spans="2:47" ht="11.25" customHeight="1">
      <c r="B65" s="61" t="s">
        <v>76</v>
      </c>
      <c r="C65" s="62" t="s">
        <v>193</v>
      </c>
      <c r="D65" s="64"/>
      <c r="E65" s="64"/>
      <c r="F65" s="64"/>
      <c r="G65" s="64"/>
      <c r="K65" s="106"/>
      <c r="L65" s="4"/>
      <c r="M65" s="54"/>
      <c r="O65" s="4"/>
      <c r="P65" s="4"/>
      <c r="Q65" s="4"/>
      <c r="R65" s="4"/>
      <c r="S65" s="4"/>
      <c r="T65" s="4"/>
      <c r="U65" s="55"/>
      <c r="V65" s="21"/>
      <c r="Z65" s="109">
        <f>AA41</f>
        <v>658.2356638340614</v>
      </c>
      <c r="AA65" s="109">
        <f>AA35</f>
        <v>18096.693370738936</v>
      </c>
      <c r="AB65" s="109">
        <f>AC41</f>
        <v>620.0679530296009</v>
      </c>
      <c r="AC65" s="109">
        <f>AC35</f>
        <v>18096.693370738936</v>
      </c>
      <c r="AD65" s="103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</row>
    <row r="66" spans="2:47" ht="11.25" customHeight="1">
      <c r="B66" s="142"/>
      <c r="L66" s="106"/>
      <c r="M66" s="222" t="s">
        <v>219</v>
      </c>
      <c r="N66" s="223"/>
      <c r="O66" s="223"/>
      <c r="P66" s="223"/>
      <c r="Q66" s="223"/>
      <c r="R66" s="223"/>
      <c r="S66" s="223"/>
      <c r="T66" s="223"/>
      <c r="U66" s="224"/>
      <c r="V66" s="21"/>
      <c r="Z66" s="225" t="s">
        <v>93</v>
      </c>
      <c r="AA66" s="225"/>
      <c r="AB66" s="221" t="s">
        <v>93</v>
      </c>
      <c r="AC66" s="221"/>
      <c r="AD66" s="100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</row>
    <row r="67" spans="2:47" ht="11.25" customHeight="1">
      <c r="B67" s="20"/>
      <c r="C67" s="165" t="s">
        <v>194</v>
      </c>
      <c r="D67" s="166"/>
      <c r="E67" s="166"/>
      <c r="F67" s="167"/>
      <c r="G67" s="168"/>
      <c r="H67" s="166"/>
      <c r="I67" s="165"/>
      <c r="J67" s="169" t="str">
        <f>IF(AN42="yes","&lt;=== Case control","")</f>
        <v>&lt;=== Case control</v>
      </c>
      <c r="K67" s="170"/>
      <c r="L67" s="170"/>
      <c r="M67" s="80"/>
      <c r="N67" s="81"/>
      <c r="O67" s="81"/>
      <c r="P67" s="81"/>
      <c r="Q67" s="81"/>
      <c r="R67" s="81"/>
      <c r="S67" s="81"/>
      <c r="T67" s="81"/>
      <c r="U67" s="77"/>
      <c r="V67" s="25"/>
      <c r="Z67" s="109">
        <f>AA41</f>
        <v>658.2356638340614</v>
      </c>
      <c r="AA67" s="109">
        <f>AA35</f>
        <v>18096.693370738936</v>
      </c>
      <c r="AB67" s="109">
        <f>AC41</f>
        <v>620.0679530296009</v>
      </c>
      <c r="AC67" s="109">
        <f>AC35</f>
        <v>18096.693370738936</v>
      </c>
      <c r="AD67" s="103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</row>
    <row r="68" spans="2:47" ht="11.25" customHeight="1">
      <c r="B68" s="142"/>
      <c r="C68" s="4" t="str">
        <f>"Pa = "&amp;" "&amp;D48</f>
        <v>Pa =  0.85*Ag*(0.25*f'c+fs*pg)*R</v>
      </c>
      <c r="G68" s="146" t="s">
        <v>4</v>
      </c>
      <c r="H68" s="3">
        <f>H48</f>
        <v>18096.693370738936</v>
      </c>
      <c r="I68" s="211" t="s">
        <v>216</v>
      </c>
      <c r="K68" s="28"/>
      <c r="L68" s="28"/>
      <c r="M68" s="54"/>
      <c r="O68" s="4"/>
      <c r="P68" s="4"/>
      <c r="Q68" s="4"/>
      <c r="R68" s="4"/>
      <c r="S68" s="83"/>
      <c r="T68" s="84" t="s">
        <v>100</v>
      </c>
      <c r="U68" s="55"/>
      <c r="V68" s="27"/>
      <c r="Z68" s="109">
        <f>AA44</f>
        <v>884.5168710421302</v>
      </c>
      <c r="AA68" s="109">
        <f>AA38</f>
        <v>11253.014920774142</v>
      </c>
      <c r="AB68" s="109">
        <f>AC44</f>
        <v>884.5168710421302</v>
      </c>
      <c r="AC68" s="109">
        <f>AC38</f>
        <v>10785.691551957609</v>
      </c>
      <c r="AD68" s="103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</row>
    <row r="69" spans="2:47" ht="11.25" customHeight="1">
      <c r="B69" s="20"/>
      <c r="C69" s="12" t="s">
        <v>231</v>
      </c>
      <c r="G69" s="146" t="s">
        <v>4</v>
      </c>
      <c r="H69" s="36">
        <f>(H20*1000)/H68</f>
        <v>0.9126529173945774</v>
      </c>
      <c r="J69" s="43" t="str">
        <f>IF(J67="&lt;=== Case control",IF(H68="","",IF(OR(H68&gt;H20*1000),"OK.","NG.")),"")</f>
        <v>OK.</v>
      </c>
      <c r="M69" s="54"/>
      <c r="O69" s="4"/>
      <c r="P69" s="4"/>
      <c r="Q69" s="4"/>
      <c r="R69" s="4"/>
      <c r="S69" s="4"/>
      <c r="T69" s="4"/>
      <c r="U69" s="55"/>
      <c r="V69" s="27"/>
      <c r="Z69" s="225" t="s">
        <v>94</v>
      </c>
      <c r="AA69" s="225"/>
      <c r="AB69" s="221" t="s">
        <v>94</v>
      </c>
      <c r="AC69" s="221"/>
      <c r="AD69" s="100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</row>
    <row r="70" spans="2:47" ht="11.25" customHeight="1">
      <c r="B70" s="142"/>
      <c r="M70" s="54"/>
      <c r="O70" s="4"/>
      <c r="P70" s="4"/>
      <c r="Q70" s="4"/>
      <c r="R70" s="4"/>
      <c r="S70" s="4"/>
      <c r="T70" s="4"/>
      <c r="U70" s="55"/>
      <c r="V70" s="27"/>
      <c r="Z70" s="109">
        <f>AA44</f>
        <v>884.5168710421302</v>
      </c>
      <c r="AA70" s="109">
        <f>AA38</f>
        <v>11253.014920774142</v>
      </c>
      <c r="AB70" s="109">
        <f>AC44</f>
        <v>884.5168710421302</v>
      </c>
      <c r="AC70" s="109">
        <f>AC38</f>
        <v>10785.691551957609</v>
      </c>
      <c r="AD70" s="103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</row>
    <row r="71" spans="2:47" ht="11.25" customHeight="1">
      <c r="B71" s="20"/>
      <c r="C71" s="165" t="s">
        <v>195</v>
      </c>
      <c r="D71" s="166"/>
      <c r="E71" s="166"/>
      <c r="F71" s="166"/>
      <c r="G71" s="166"/>
      <c r="H71" s="166"/>
      <c r="I71" s="166"/>
      <c r="J71" s="169">
        <f>IF(AN43="yes","&lt;=== Case control","")</f>
      </c>
      <c r="K71" s="170"/>
      <c r="L71" s="171"/>
      <c r="M71" s="54"/>
      <c r="O71" s="4"/>
      <c r="P71" s="4"/>
      <c r="Q71" s="4"/>
      <c r="R71" s="4"/>
      <c r="S71" s="4"/>
      <c r="T71" s="4"/>
      <c r="U71" s="55"/>
      <c r="V71" s="21"/>
      <c r="Z71" s="109">
        <f>AA50</f>
        <v>1256.5895538281375</v>
      </c>
      <c r="AA71" s="109">
        <v>0</v>
      </c>
      <c r="AB71" s="109">
        <f>AC50</f>
        <v>1183.7263692187582</v>
      </c>
      <c r="AC71" s="109">
        <v>0</v>
      </c>
      <c r="AD71" s="103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</row>
    <row r="72" spans="2:47" ht="11.25" customHeight="1">
      <c r="B72" s="20"/>
      <c r="C72" s="4" t="s">
        <v>134</v>
      </c>
      <c r="D72" s="4"/>
      <c r="E72" s="4"/>
      <c r="F72" s="4"/>
      <c r="G72" s="146" t="s">
        <v>4</v>
      </c>
      <c r="H72" s="145">
        <f>(H46/H47)+(H54/H50)+(H55/H51)</f>
        <v>0.5838746965150226</v>
      </c>
      <c r="I72" s="4"/>
      <c r="J72" s="44">
        <f>IF(J71="&lt;=== Case control",IF(H72="","",IF(OR(H72&lt;1,H72=1),"OK.","NG.")),"")</f>
      </c>
      <c r="L72" s="4"/>
      <c r="M72" s="54"/>
      <c r="O72" s="4"/>
      <c r="P72" s="4"/>
      <c r="Q72" s="4"/>
      <c r="R72" s="4"/>
      <c r="S72" s="4"/>
      <c r="T72" s="4"/>
      <c r="U72" s="55"/>
      <c r="V72" s="21"/>
      <c r="Z72" s="225" t="s">
        <v>96</v>
      </c>
      <c r="AA72" s="225"/>
      <c r="AB72" s="221" t="s">
        <v>96</v>
      </c>
      <c r="AC72" s="221"/>
      <c r="AD72" s="100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</row>
    <row r="73" spans="2:47" ht="11.25" customHeight="1">
      <c r="B73" s="20"/>
      <c r="L73" s="4"/>
      <c r="M73" s="54"/>
      <c r="O73" s="4"/>
      <c r="P73" s="4"/>
      <c r="Q73" s="6"/>
      <c r="R73" s="4"/>
      <c r="S73" s="4"/>
      <c r="T73" s="4"/>
      <c r="U73" s="55"/>
      <c r="V73" s="21"/>
      <c r="Z73" s="109">
        <f>AA47</f>
        <v>506.67606317096187</v>
      </c>
      <c r="AA73" s="109">
        <v>0</v>
      </c>
      <c r="AB73" s="109">
        <f>AC47</f>
        <v>337.7840421139746</v>
      </c>
      <c r="AC73" s="109">
        <v>0</v>
      </c>
      <c r="AD73" s="103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</row>
    <row r="74" spans="2:47" ht="11.25" customHeight="1">
      <c r="B74" s="20"/>
      <c r="C74" s="165" t="s">
        <v>196</v>
      </c>
      <c r="D74" s="166"/>
      <c r="E74" s="172"/>
      <c r="F74" s="166"/>
      <c r="G74" s="173"/>
      <c r="H74" s="166"/>
      <c r="I74" s="174"/>
      <c r="J74" s="169">
        <f>IF(AN44="yes","&lt;=== Case control","")</f>
      </c>
      <c r="K74" s="171"/>
      <c r="L74" s="171"/>
      <c r="M74" s="54"/>
      <c r="O74" s="4"/>
      <c r="P74" s="4"/>
      <c r="Q74" s="4"/>
      <c r="R74" s="4"/>
      <c r="S74" s="4"/>
      <c r="T74" s="4"/>
      <c r="U74" s="55"/>
      <c r="V74" s="21"/>
      <c r="Z74" s="109">
        <f>AA44</f>
        <v>884.5168710421302</v>
      </c>
      <c r="AA74" s="109">
        <f>AA38</f>
        <v>11253.014920774142</v>
      </c>
      <c r="AB74" s="109">
        <f>AC44</f>
        <v>884.5168710421302</v>
      </c>
      <c r="AC74" s="109">
        <f>AC38</f>
        <v>10785.691551957609</v>
      </c>
      <c r="AD74" s="103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</row>
    <row r="75" spans="2:30" ht="11.25" customHeight="1">
      <c r="B75" s="20"/>
      <c r="C75" s="12" t="s">
        <v>72</v>
      </c>
      <c r="D75" s="47" t="s">
        <v>74</v>
      </c>
      <c r="G75" s="146" t="s">
        <v>4</v>
      </c>
      <c r="H75" s="38">
        <f>(H52*100)/((H62)+(H52*100)/H49)</f>
        <v>11253.014920774142</v>
      </c>
      <c r="I75" s="211" t="s">
        <v>216</v>
      </c>
      <c r="K75" s="4"/>
      <c r="L75" s="4"/>
      <c r="M75" s="54"/>
      <c r="O75" s="24"/>
      <c r="P75" s="4"/>
      <c r="Q75" s="4"/>
      <c r="R75" s="4"/>
      <c r="S75" s="4"/>
      <c r="T75" s="4"/>
      <c r="U75" s="55"/>
      <c r="V75" s="21"/>
      <c r="Z75" s="225" t="s">
        <v>95</v>
      </c>
      <c r="AA75" s="225"/>
      <c r="AB75" s="225" t="s">
        <v>97</v>
      </c>
      <c r="AC75" s="225"/>
      <c r="AD75" s="100"/>
    </row>
    <row r="76" spans="2:30" ht="11.25" customHeight="1">
      <c r="B76" s="20"/>
      <c r="C76" s="12" t="s">
        <v>73</v>
      </c>
      <c r="D76" s="47" t="s">
        <v>75</v>
      </c>
      <c r="G76" s="146" t="s">
        <v>4</v>
      </c>
      <c r="H76" s="38">
        <f>((H53*100)/(((H63)+(H53*100)/H49)))</f>
        <v>10785.691551957609</v>
      </c>
      <c r="I76" s="211" t="s">
        <v>216</v>
      </c>
      <c r="K76" s="4"/>
      <c r="L76" s="4"/>
      <c r="M76" s="54"/>
      <c r="O76" s="4"/>
      <c r="P76" s="24"/>
      <c r="Q76" s="4"/>
      <c r="R76" s="4"/>
      <c r="S76" s="4"/>
      <c r="T76" s="4"/>
      <c r="U76" s="55"/>
      <c r="V76" s="21"/>
      <c r="Z76" s="109">
        <f>H20*1000</f>
        <v>16516</v>
      </c>
      <c r="AA76" s="109">
        <f>H21*1000</f>
        <v>91</v>
      </c>
      <c r="AB76" s="109">
        <f>Z76</f>
        <v>16516</v>
      </c>
      <c r="AC76" s="109">
        <f>H22*1000</f>
        <v>91</v>
      </c>
      <c r="AD76" s="103"/>
    </row>
    <row r="77" spans="2:30" ht="11.25" customHeight="1">
      <c r="B77" s="20"/>
      <c r="C77" s="12" t="s">
        <v>61</v>
      </c>
      <c r="D77" s="12" t="s">
        <v>77</v>
      </c>
      <c r="G77" s="146" t="s">
        <v>4</v>
      </c>
      <c r="H77" s="38">
        <f>H75*H62/100</f>
        <v>884.5168710421302</v>
      </c>
      <c r="I77" s="211" t="s">
        <v>217</v>
      </c>
      <c r="K77" s="4"/>
      <c r="M77" s="56"/>
      <c r="O77" s="26"/>
      <c r="P77" s="26"/>
      <c r="Q77" s="28"/>
      <c r="R77" s="28"/>
      <c r="S77" s="29"/>
      <c r="T77" s="4"/>
      <c r="U77" s="55"/>
      <c r="V77" s="21"/>
      <c r="Z77" s="109"/>
      <c r="AA77" s="109"/>
      <c r="AB77" s="109"/>
      <c r="AC77" s="109"/>
      <c r="AD77" s="103"/>
    </row>
    <row r="78" spans="2:22" ht="11.25" customHeight="1">
      <c r="B78" s="20"/>
      <c r="C78" s="30" t="s">
        <v>62</v>
      </c>
      <c r="D78" s="12" t="s">
        <v>78</v>
      </c>
      <c r="E78" s="28"/>
      <c r="F78" s="28"/>
      <c r="G78" s="146" t="s">
        <v>4</v>
      </c>
      <c r="H78" s="3">
        <f>H75*H63/100</f>
        <v>884.5168710421302</v>
      </c>
      <c r="I78" s="211" t="s">
        <v>217</v>
      </c>
      <c r="K78" s="4"/>
      <c r="M78" s="56"/>
      <c r="O78" s="4"/>
      <c r="P78" s="4"/>
      <c r="Q78" s="4"/>
      <c r="R78" s="4"/>
      <c r="S78" s="4"/>
      <c r="T78" s="4"/>
      <c r="U78" s="55"/>
      <c r="V78" s="21"/>
    </row>
    <row r="79" spans="2:22" ht="11.25" customHeight="1">
      <c r="B79" s="20"/>
      <c r="C79" s="12" t="s">
        <v>63</v>
      </c>
      <c r="D79" s="12" t="s">
        <v>103</v>
      </c>
      <c r="F79" s="4"/>
      <c r="G79" s="146" t="s">
        <v>4</v>
      </c>
      <c r="H79" s="38">
        <f>0.4*(H42*S11*H29)/100</f>
        <v>506.67606317096187</v>
      </c>
      <c r="I79" s="211" t="s">
        <v>217</v>
      </c>
      <c r="K79" s="4"/>
      <c r="M79" s="56"/>
      <c r="O79" s="4"/>
      <c r="P79" s="11"/>
      <c r="Q79" s="4"/>
      <c r="R79" s="4"/>
      <c r="S79" s="4"/>
      <c r="T79" s="4"/>
      <c r="U79" s="55"/>
      <c r="V79" s="21"/>
    </row>
    <row r="80" spans="2:22" ht="11.25" customHeight="1">
      <c r="B80" s="20"/>
      <c r="C80" s="12" t="s">
        <v>64</v>
      </c>
      <c r="D80" s="12" t="s">
        <v>104</v>
      </c>
      <c r="G80" s="146" t="s">
        <v>4</v>
      </c>
      <c r="H80" s="38">
        <f>0.4*(H43*S11*H30)/100</f>
        <v>337.7840421139746</v>
      </c>
      <c r="I80" s="211" t="s">
        <v>217</v>
      </c>
      <c r="M80" s="58"/>
      <c r="N80" s="59"/>
      <c r="O80" s="59"/>
      <c r="P80" s="59"/>
      <c r="Q80" s="59"/>
      <c r="R80" s="59"/>
      <c r="S80" s="59"/>
      <c r="T80" s="76"/>
      <c r="U80" s="78"/>
      <c r="V80" s="21"/>
    </row>
    <row r="81" spans="2:22" ht="11.25" customHeight="1">
      <c r="B81" s="20"/>
      <c r="C81" s="4" t="s">
        <v>143</v>
      </c>
      <c r="D81" s="4"/>
      <c r="E81" s="4"/>
      <c r="F81" s="4"/>
      <c r="G81" s="146" t="s">
        <v>4</v>
      </c>
      <c r="H81" s="145">
        <f>(H21*1000/H79)+(H22*1000/H80)</f>
        <v>0.44900483077140607</v>
      </c>
      <c r="I81" s="4"/>
      <c r="J81" s="99">
        <f>IF(J74="&lt;=== Case control",IF(H81="","",IF(OR(H81&lt;1,H81=1),"OK.","NG.")),"")</f>
      </c>
      <c r="V81" s="21"/>
    </row>
    <row r="82" spans="2:22" ht="11.25" customHeight="1">
      <c r="B82" s="20"/>
      <c r="C82" s="4" t="s">
        <v>65</v>
      </c>
      <c r="D82" s="46" t="s">
        <v>80</v>
      </c>
      <c r="E82" s="4"/>
      <c r="F82" s="4"/>
      <c r="G82" s="143" t="s">
        <v>4</v>
      </c>
      <c r="H82" s="48">
        <f>H75*ABS(((H21-H79)/(H77-H79)))</f>
        <v>15087.330843437829</v>
      </c>
      <c r="I82" s="211" t="s">
        <v>216</v>
      </c>
      <c r="J82" s="110"/>
      <c r="L82" s="4"/>
      <c r="M82" s="4"/>
      <c r="N82" s="30"/>
      <c r="T82" s="30"/>
      <c r="U82" s="4"/>
      <c r="V82" s="21"/>
    </row>
    <row r="83" spans="2:22" ht="11.25" customHeight="1">
      <c r="B83" s="20"/>
      <c r="C83" s="4" t="s">
        <v>66</v>
      </c>
      <c r="D83" s="46" t="s">
        <v>81</v>
      </c>
      <c r="E83" s="4"/>
      <c r="F83" s="4"/>
      <c r="G83" s="143" t="s">
        <v>4</v>
      </c>
      <c r="H83" s="48">
        <f>H76*ABS(((H22-H80)/(H78-H80)))</f>
        <v>6661.8516371589185</v>
      </c>
      <c r="I83" s="211" t="s">
        <v>216</v>
      </c>
      <c r="L83" s="4"/>
      <c r="M83" s="4"/>
      <c r="N83" s="30"/>
      <c r="O83" s="162"/>
      <c r="P83" s="162"/>
      <c r="Q83" s="162"/>
      <c r="R83" s="162"/>
      <c r="S83" s="162"/>
      <c r="T83" s="30"/>
      <c r="U83" s="4"/>
      <c r="V83" s="21"/>
    </row>
    <row r="84" spans="2:22" ht="11.25" customHeight="1">
      <c r="B84" s="20"/>
      <c r="C84" s="4" t="s">
        <v>13</v>
      </c>
      <c r="D84" s="4" t="s">
        <v>67</v>
      </c>
      <c r="E84" s="4"/>
      <c r="F84" s="4"/>
      <c r="G84" s="143" t="s">
        <v>4</v>
      </c>
      <c r="H84" s="48">
        <f>MAX(H80:H83)</f>
        <v>15087.330843437829</v>
      </c>
      <c r="I84" s="211" t="s">
        <v>216</v>
      </c>
      <c r="J84" s="4"/>
      <c r="K84" s="4"/>
      <c r="L84" s="4"/>
      <c r="M84" s="4"/>
      <c r="N84" s="30"/>
      <c r="O84" s="106" t="str">
        <f>O3&amp;"  "&amp;Q3</f>
        <v>วิศวกรโครงสร้าง :  นาย สุธีร์     แก้วคำ  สย.9698</v>
      </c>
      <c r="P84" s="4"/>
      <c r="Q84" s="4"/>
      <c r="R84" s="4"/>
      <c r="S84" s="4"/>
      <c r="T84" s="30"/>
      <c r="U84" s="4"/>
      <c r="V84" s="21"/>
    </row>
    <row r="85" spans="2:22" ht="11.25" customHeight="1" thickBot="1">
      <c r="B85" s="31"/>
      <c r="C85" s="32"/>
      <c r="D85" s="32"/>
      <c r="E85" s="32"/>
      <c r="F85" s="32"/>
      <c r="G85" s="188"/>
      <c r="H85" s="189"/>
      <c r="I85" s="32"/>
      <c r="J85" s="32"/>
      <c r="K85" s="32"/>
      <c r="L85" s="32"/>
      <c r="M85" s="32"/>
      <c r="N85" s="190"/>
      <c r="O85" s="32"/>
      <c r="P85" s="32"/>
      <c r="Q85" s="32"/>
      <c r="R85" s="32"/>
      <c r="S85" s="32"/>
      <c r="T85" s="190"/>
      <c r="U85" s="32"/>
      <c r="V85" s="33"/>
    </row>
    <row r="86" spans="2:22" ht="11.25" customHeight="1">
      <c r="B86" s="34"/>
      <c r="C86" s="258" t="s">
        <v>222</v>
      </c>
      <c r="D86" s="258"/>
      <c r="E86" s="258"/>
      <c r="F86" s="258"/>
      <c r="G86" s="259"/>
      <c r="H86" s="193" t="s">
        <v>162</v>
      </c>
      <c r="I86" s="147"/>
      <c r="J86" s="147" t="str">
        <f>J2</f>
        <v>บ้านพักอาศัยสองชั้น</v>
      </c>
      <c r="K86" s="13"/>
      <c r="L86" s="14"/>
      <c r="M86" s="15"/>
      <c r="N86" s="160"/>
      <c r="O86" s="196" t="s">
        <v>163</v>
      </c>
      <c r="P86" s="196"/>
      <c r="Q86" s="243" t="str">
        <f>Q2</f>
        <v>CX</v>
      </c>
      <c r="R86" s="243"/>
      <c r="S86" s="243"/>
      <c r="T86" s="243"/>
      <c r="U86" s="233" t="s">
        <v>164</v>
      </c>
      <c r="V86" s="157">
        <f>V2+1</f>
        <v>2</v>
      </c>
    </row>
    <row r="87" spans="2:22" ht="11.25" customHeight="1">
      <c r="B87" s="20"/>
      <c r="C87" s="260"/>
      <c r="D87" s="260"/>
      <c r="E87" s="260"/>
      <c r="F87" s="260"/>
      <c r="G87" s="261"/>
      <c r="H87" s="161" t="s">
        <v>165</v>
      </c>
      <c r="I87" s="148"/>
      <c r="J87" s="148" t="str">
        <f>J3</f>
        <v>พ.ต.ท. ธงชัย ภัยพิทักษ์</v>
      </c>
      <c r="K87" s="17"/>
      <c r="L87" s="18"/>
      <c r="M87" s="19"/>
      <c r="N87" s="21"/>
      <c r="O87" s="239" t="s">
        <v>166</v>
      </c>
      <c r="P87" s="240"/>
      <c r="Q87" s="242" t="str">
        <f>Q3</f>
        <v>นาย สุธีร์     แก้วคำ  สย.9698</v>
      </c>
      <c r="R87" s="242"/>
      <c r="S87" s="242"/>
      <c r="T87" s="242"/>
      <c r="U87" s="234"/>
      <c r="V87" s="158" t="s">
        <v>167</v>
      </c>
    </row>
    <row r="88" spans="2:22" ht="11.25" customHeight="1">
      <c r="B88" s="20"/>
      <c r="C88" s="260" t="s">
        <v>223</v>
      </c>
      <c r="D88" s="260"/>
      <c r="E88" s="260"/>
      <c r="F88" s="260"/>
      <c r="G88" s="261"/>
      <c r="H88" s="161" t="s">
        <v>168</v>
      </c>
      <c r="I88" s="148"/>
      <c r="J88" s="148" t="str">
        <f>J4</f>
        <v>นนทบุรี</v>
      </c>
      <c r="K88" s="17"/>
      <c r="L88" s="1"/>
      <c r="M88" s="2"/>
      <c r="N88" s="21"/>
      <c r="O88" s="238" t="s">
        <v>169</v>
      </c>
      <c r="P88" s="238"/>
      <c r="Q88" s="229">
        <f>Q4</f>
        <v>41235.877872916666</v>
      </c>
      <c r="R88" s="229"/>
      <c r="S88" s="229"/>
      <c r="T88" s="229"/>
      <c r="U88" s="234"/>
      <c r="V88" s="159">
        <f>V86</f>
        <v>2</v>
      </c>
    </row>
    <row r="89" spans="2:22" ht="11.25" customHeight="1" thickBot="1">
      <c r="B89" s="200"/>
      <c r="C89" s="262"/>
      <c r="D89" s="262"/>
      <c r="E89" s="262"/>
      <c r="F89" s="262"/>
      <c r="G89" s="263"/>
      <c r="H89" s="201"/>
      <c r="I89" s="149"/>
      <c r="J89" s="149"/>
      <c r="K89" s="151"/>
      <c r="L89" s="152"/>
      <c r="M89" s="153"/>
      <c r="N89" s="33"/>
      <c r="O89" s="154"/>
      <c r="P89" s="154"/>
      <c r="Q89" s="150"/>
      <c r="R89" s="150"/>
      <c r="S89" s="150"/>
      <c r="T89" s="150"/>
      <c r="U89" s="155"/>
      <c r="V89" s="156"/>
    </row>
    <row r="90" spans="2:22" ht="11.25" customHeight="1" thickBot="1">
      <c r="B90" s="230" t="str">
        <f>B6</f>
        <v>ออกแบบเสาสี่เหลี่ยมจตุรัสคอนกรีตเสริมเหล็ก - วิธีหน่วยแรงใช้งาน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2"/>
    </row>
    <row r="91" spans="2:22" ht="11.25" customHeight="1">
      <c r="B91" s="3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1"/>
    </row>
    <row r="92" spans="2:22" ht="11.25" customHeight="1">
      <c r="B92" s="61" t="s">
        <v>79</v>
      </c>
      <c r="C92" s="62" t="s">
        <v>197</v>
      </c>
      <c r="D92" s="64"/>
      <c r="E92" s="64"/>
      <c r="F92" s="64"/>
      <c r="G92" s="64"/>
      <c r="V92" s="21"/>
    </row>
    <row r="93" spans="2:22" ht="11.25" customHeight="1">
      <c r="B93" s="22"/>
      <c r="C93" s="12" t="s">
        <v>198</v>
      </c>
      <c r="D93" s="218">
        <v>2</v>
      </c>
      <c r="E93" s="191" t="s">
        <v>206</v>
      </c>
      <c r="G93" s="219" t="s">
        <v>228</v>
      </c>
      <c r="H93" s="218">
        <v>9</v>
      </c>
      <c r="I93" s="12" t="s">
        <v>215</v>
      </c>
      <c r="V93" s="21"/>
    </row>
    <row r="94" spans="2:22" ht="11.25" customHeight="1">
      <c r="B94" s="22"/>
      <c r="C94" s="4" t="s">
        <v>199</v>
      </c>
      <c r="D94" s="4"/>
      <c r="E94" s="4"/>
      <c r="F94" s="4"/>
      <c r="G94" s="107" t="s">
        <v>4</v>
      </c>
      <c r="H94" s="50">
        <f>16*H38/10</f>
        <v>25.6</v>
      </c>
      <c r="I94" s="53" t="s">
        <v>210</v>
      </c>
      <c r="V94" s="21"/>
    </row>
    <row r="95" spans="2:22" ht="11.25" customHeight="1">
      <c r="B95" s="22"/>
      <c r="C95" s="4" t="s">
        <v>200</v>
      </c>
      <c r="D95" s="4"/>
      <c r="E95" s="4"/>
      <c r="F95" s="4"/>
      <c r="G95" s="107" t="s">
        <v>4</v>
      </c>
      <c r="H95" s="50">
        <f>48*H93/10</f>
        <v>43.2</v>
      </c>
      <c r="I95" s="53" t="s">
        <v>210</v>
      </c>
      <c r="V95" s="21"/>
    </row>
    <row r="96" spans="2:22" ht="11.25" customHeight="1">
      <c r="B96" s="20"/>
      <c r="C96" s="4" t="s">
        <v>201</v>
      </c>
      <c r="D96" s="4"/>
      <c r="E96" s="4"/>
      <c r="F96" s="4"/>
      <c r="G96" s="107" t="s">
        <v>4</v>
      </c>
      <c r="H96" s="50">
        <f>MIN(H25:H26)</f>
        <v>20</v>
      </c>
      <c r="I96" s="53" t="s">
        <v>210</v>
      </c>
      <c r="J96" s="4"/>
      <c r="K96" s="4"/>
      <c r="V96" s="21"/>
    </row>
    <row r="97" spans="2:22" ht="11.25" customHeight="1">
      <c r="B97" s="20"/>
      <c r="C97" s="49" t="s">
        <v>202</v>
      </c>
      <c r="D97" s="49"/>
      <c r="E97" s="49"/>
      <c r="F97" s="49"/>
      <c r="G97" s="82" t="s">
        <v>4</v>
      </c>
      <c r="H97" s="85">
        <f>MIN(H94:H96)</f>
        <v>20</v>
      </c>
      <c r="I97" s="86" t="s">
        <v>210</v>
      </c>
      <c r="J97" s="163" t="s">
        <v>98</v>
      </c>
      <c r="K97" s="24"/>
      <c r="V97" s="21"/>
    </row>
    <row r="98" spans="2:22" ht="11.25" customHeight="1">
      <c r="B98" s="20"/>
      <c r="C98" s="49" t="s">
        <v>203</v>
      </c>
      <c r="G98" s="82" t="s">
        <v>4</v>
      </c>
      <c r="H98" s="218">
        <v>20</v>
      </c>
      <c r="I98" s="53" t="s">
        <v>210</v>
      </c>
      <c r="J98" s="99" t="str">
        <f>IF(H98&lt;=H97,"OK.","NG.")</f>
        <v>OK.</v>
      </c>
      <c r="V98" s="21"/>
    </row>
    <row r="99" spans="2:22" ht="11.25" customHeight="1">
      <c r="B99" s="20"/>
      <c r="V99" s="21"/>
    </row>
    <row r="100" spans="2:22" ht="11.25" customHeight="1">
      <c r="B100" s="61" t="s">
        <v>133</v>
      </c>
      <c r="C100" s="208" t="s">
        <v>204</v>
      </c>
      <c r="D100" s="64"/>
      <c r="E100" s="63"/>
      <c r="F100" s="63"/>
      <c r="G100" s="6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21"/>
    </row>
    <row r="101" spans="2:81" ht="11.25" customHeight="1" thickBot="1">
      <c r="B101" s="2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1"/>
      <c r="Y101" s="181">
        <f>F39</f>
        <v>3</v>
      </c>
      <c r="Z101" s="181">
        <f>Y101</f>
        <v>3</v>
      </c>
      <c r="AA101" s="181">
        <f>Z101</f>
        <v>3</v>
      </c>
      <c r="AB101" s="176" t="s">
        <v>147</v>
      </c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E101" s="176" t="s">
        <v>148</v>
      </c>
      <c r="BF101" s="175">
        <v>1</v>
      </c>
      <c r="BG101" s="175">
        <v>2</v>
      </c>
      <c r="BH101" s="175">
        <v>3</v>
      </c>
      <c r="BI101" s="175">
        <v>4</v>
      </c>
      <c r="BJ101" s="175">
        <v>5</v>
      </c>
      <c r="BK101" s="175">
        <v>6</v>
      </c>
      <c r="BL101" s="175">
        <v>7</v>
      </c>
      <c r="BM101" s="175">
        <v>8</v>
      </c>
      <c r="BN101" s="175">
        <v>9</v>
      </c>
      <c r="BO101" s="175">
        <v>10</v>
      </c>
      <c r="BP101" s="175">
        <v>11</v>
      </c>
      <c r="BQ101" s="175">
        <v>12</v>
      </c>
      <c r="BR101" s="175">
        <v>13</v>
      </c>
      <c r="BS101" s="175">
        <v>14</v>
      </c>
      <c r="BT101" s="175">
        <v>15</v>
      </c>
      <c r="BU101" s="175">
        <v>16</v>
      </c>
      <c r="BV101" s="175">
        <v>17</v>
      </c>
      <c r="BW101" s="175">
        <v>18</v>
      </c>
      <c r="BX101" s="175">
        <v>19</v>
      </c>
      <c r="BY101" s="175">
        <v>20</v>
      </c>
      <c r="BZ101" s="175">
        <v>21</v>
      </c>
      <c r="CA101" s="175">
        <v>22</v>
      </c>
      <c r="CB101" s="175">
        <v>23</v>
      </c>
      <c r="CC101" s="175">
        <v>24</v>
      </c>
    </row>
    <row r="102" spans="2:81" ht="11.25" customHeight="1">
      <c r="B102" s="20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4"/>
      <c r="V102" s="21"/>
      <c r="Y102" s="175" t="s">
        <v>84</v>
      </c>
      <c r="Z102" s="175" t="s">
        <v>149</v>
      </c>
      <c r="AA102" s="175" t="s">
        <v>150</v>
      </c>
      <c r="AB102" s="178" t="s">
        <v>146</v>
      </c>
      <c r="AC102" s="178">
        <v>2</v>
      </c>
      <c r="AD102" s="178">
        <v>3</v>
      </c>
      <c r="AE102" s="178">
        <v>4</v>
      </c>
      <c r="AF102" s="178">
        <v>5</v>
      </c>
      <c r="AG102" s="178">
        <v>6</v>
      </c>
      <c r="AH102" s="178">
        <v>7</v>
      </c>
      <c r="AI102" s="178">
        <v>8</v>
      </c>
      <c r="AJ102" s="178">
        <v>9</v>
      </c>
      <c r="AK102" s="178">
        <v>10</v>
      </c>
      <c r="AL102" s="178">
        <v>11</v>
      </c>
      <c r="AM102" s="178">
        <v>12</v>
      </c>
      <c r="AN102" s="178">
        <v>13</v>
      </c>
      <c r="AO102" s="178">
        <v>14</v>
      </c>
      <c r="AP102" s="178">
        <v>15</v>
      </c>
      <c r="AQ102" s="178">
        <v>16</v>
      </c>
      <c r="AR102" s="178">
        <v>17</v>
      </c>
      <c r="AS102" s="178">
        <v>18</v>
      </c>
      <c r="AT102" s="178">
        <v>19</v>
      </c>
      <c r="AU102" s="178">
        <v>20</v>
      </c>
      <c r="AV102" s="178">
        <v>21</v>
      </c>
      <c r="AW102" s="178">
        <v>22</v>
      </c>
      <c r="AX102" s="178">
        <v>23</v>
      </c>
      <c r="AY102" s="178">
        <v>24</v>
      </c>
      <c r="AZ102" s="178">
        <v>25</v>
      </c>
      <c r="BA102" s="184"/>
      <c r="BB102" s="181">
        <f>F40</f>
        <v>2</v>
      </c>
      <c r="BC102" s="181">
        <f>BB102</f>
        <v>2</v>
      </c>
      <c r="BD102" s="181">
        <f>BC102</f>
        <v>2</v>
      </c>
      <c r="BE102" s="180" t="s">
        <v>146</v>
      </c>
      <c r="BF102" s="180">
        <v>2</v>
      </c>
      <c r="BG102" s="180">
        <v>3</v>
      </c>
      <c r="BH102" s="180">
        <v>4</v>
      </c>
      <c r="BI102" s="180">
        <v>5</v>
      </c>
      <c r="BJ102" s="180">
        <v>6</v>
      </c>
      <c r="BK102" s="180">
        <v>7</v>
      </c>
      <c r="BL102" s="180">
        <v>8</v>
      </c>
      <c r="BM102" s="180">
        <v>9</v>
      </c>
      <c r="BN102" s="180">
        <v>10</v>
      </c>
      <c r="BO102" s="180">
        <v>11</v>
      </c>
      <c r="BP102" s="180">
        <v>12</v>
      </c>
      <c r="BQ102" s="180">
        <v>13</v>
      </c>
      <c r="BR102" s="180">
        <v>14</v>
      </c>
      <c r="BS102" s="180">
        <v>15</v>
      </c>
      <c r="BT102" s="180">
        <v>16</v>
      </c>
      <c r="BU102" s="180">
        <v>17</v>
      </c>
      <c r="BV102" s="180">
        <v>18</v>
      </c>
      <c r="BW102" s="180">
        <v>19</v>
      </c>
      <c r="BX102" s="180">
        <v>20</v>
      </c>
      <c r="BY102" s="180">
        <v>21</v>
      </c>
      <c r="BZ102" s="180">
        <v>22</v>
      </c>
      <c r="CA102" s="180">
        <v>23</v>
      </c>
      <c r="CB102" s="180">
        <v>24</v>
      </c>
      <c r="CC102" s="180">
        <v>25</v>
      </c>
    </row>
    <row r="103" spans="2:81" ht="11.25" customHeight="1">
      <c r="B103" s="20"/>
      <c r="C103" s="14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36"/>
      <c r="V103" s="21"/>
      <c r="Y103" s="182">
        <f aca="true" t="shared" si="0" ref="Y103:Y127">HLOOKUP($Y$101,$AC$102:$AZ$127,AB103,FALSE)</f>
        <v>3</v>
      </c>
      <c r="Z103" s="183">
        <v>75</v>
      </c>
      <c r="AA103" s="183">
        <v>5</v>
      </c>
      <c r="AB103" s="90">
        <v>2</v>
      </c>
      <c r="AC103" s="179">
        <v>3</v>
      </c>
      <c r="AD103" s="179">
        <f>AC103</f>
        <v>3</v>
      </c>
      <c r="AE103" s="179">
        <f aca="true" t="shared" si="1" ref="AE103:AZ103">AD103</f>
        <v>3</v>
      </c>
      <c r="AF103" s="179">
        <f t="shared" si="1"/>
        <v>3</v>
      </c>
      <c r="AG103" s="179">
        <f t="shared" si="1"/>
        <v>3</v>
      </c>
      <c r="AH103" s="179">
        <f t="shared" si="1"/>
        <v>3</v>
      </c>
      <c r="AI103" s="179">
        <f t="shared" si="1"/>
        <v>3</v>
      </c>
      <c r="AJ103" s="179">
        <f t="shared" si="1"/>
        <v>3</v>
      </c>
      <c r="AK103" s="179">
        <f t="shared" si="1"/>
        <v>3</v>
      </c>
      <c r="AL103" s="179">
        <f t="shared" si="1"/>
        <v>3</v>
      </c>
      <c r="AM103" s="179">
        <f t="shared" si="1"/>
        <v>3</v>
      </c>
      <c r="AN103" s="179">
        <f t="shared" si="1"/>
        <v>3</v>
      </c>
      <c r="AO103" s="179">
        <f t="shared" si="1"/>
        <v>3</v>
      </c>
      <c r="AP103" s="179">
        <f t="shared" si="1"/>
        <v>3</v>
      </c>
      <c r="AQ103" s="179">
        <f t="shared" si="1"/>
        <v>3</v>
      </c>
      <c r="AR103" s="179">
        <f t="shared" si="1"/>
        <v>3</v>
      </c>
      <c r="AS103" s="179">
        <f t="shared" si="1"/>
        <v>3</v>
      </c>
      <c r="AT103" s="179">
        <f t="shared" si="1"/>
        <v>3</v>
      </c>
      <c r="AU103" s="179">
        <f t="shared" si="1"/>
        <v>3</v>
      </c>
      <c r="AV103" s="179">
        <f t="shared" si="1"/>
        <v>3</v>
      </c>
      <c r="AW103" s="179">
        <f t="shared" si="1"/>
        <v>3</v>
      </c>
      <c r="AX103" s="179">
        <f t="shared" si="1"/>
        <v>3</v>
      </c>
      <c r="AY103" s="179">
        <f t="shared" si="1"/>
        <v>3</v>
      </c>
      <c r="AZ103" s="179">
        <f t="shared" si="1"/>
        <v>3</v>
      </c>
      <c r="BA103" s="185"/>
      <c r="BB103" s="175" t="s">
        <v>151</v>
      </c>
      <c r="BC103" s="175" t="s">
        <v>152</v>
      </c>
      <c r="BD103" s="175" t="s">
        <v>85</v>
      </c>
      <c r="BE103" s="90">
        <v>2</v>
      </c>
      <c r="BF103" s="179">
        <v>5</v>
      </c>
      <c r="BG103" s="179">
        <v>5</v>
      </c>
      <c r="BH103" s="179">
        <v>5</v>
      </c>
      <c r="BI103" s="179">
        <v>5</v>
      </c>
      <c r="BJ103" s="179">
        <v>5</v>
      </c>
      <c r="BK103" s="179">
        <v>5</v>
      </c>
      <c r="BL103" s="179">
        <v>5</v>
      </c>
      <c r="BM103" s="179">
        <v>5</v>
      </c>
      <c r="BN103" s="179">
        <v>5</v>
      </c>
      <c r="BO103" s="179">
        <v>5</v>
      </c>
      <c r="BP103" s="179">
        <v>5</v>
      </c>
      <c r="BQ103" s="179">
        <v>5</v>
      </c>
      <c r="BR103" s="179">
        <v>5</v>
      </c>
      <c r="BS103" s="179">
        <v>5</v>
      </c>
      <c r="BT103" s="179">
        <v>5</v>
      </c>
      <c r="BU103" s="179">
        <v>5</v>
      </c>
      <c r="BV103" s="179">
        <v>5</v>
      </c>
      <c r="BW103" s="179">
        <v>5</v>
      </c>
      <c r="BX103" s="179">
        <v>5</v>
      </c>
      <c r="BY103" s="179">
        <v>5</v>
      </c>
      <c r="BZ103" s="179">
        <v>5</v>
      </c>
      <c r="CA103" s="179">
        <v>5</v>
      </c>
      <c r="CB103" s="179">
        <v>5</v>
      </c>
      <c r="CC103" s="179">
        <v>5</v>
      </c>
    </row>
    <row r="104" spans="2:81" ht="11.25" customHeight="1">
      <c r="B104" s="20"/>
      <c r="C104" s="13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36"/>
      <c r="V104" s="21"/>
      <c r="Y104" s="182">
        <f t="shared" si="0"/>
        <v>25</v>
      </c>
      <c r="Z104" s="183">
        <v>75</v>
      </c>
      <c r="AA104" s="183">
        <v>5</v>
      </c>
      <c r="AB104" s="90">
        <v>3</v>
      </c>
      <c r="AC104" s="179">
        <v>47</v>
      </c>
      <c r="AD104" s="179">
        <v>25</v>
      </c>
      <c r="AE104" s="179">
        <v>16</v>
      </c>
      <c r="AF104" s="179">
        <v>12</v>
      </c>
      <c r="AG104" s="179">
        <v>11.8</v>
      </c>
      <c r="AH104" s="179">
        <v>10.33</v>
      </c>
      <c r="AI104" s="179">
        <f>44/(AI102-1)+AI103</f>
        <v>9.285714285714285</v>
      </c>
      <c r="AJ104" s="179">
        <f>44/(AJ102-1)+AJ103</f>
        <v>8.5</v>
      </c>
      <c r="AK104" s="179">
        <f aca="true" t="shared" si="2" ref="AK104:AZ104">44/(AK102-1)+AK103</f>
        <v>7.888888888888889</v>
      </c>
      <c r="AL104" s="179">
        <f t="shared" si="2"/>
        <v>7.4</v>
      </c>
      <c r="AM104" s="179">
        <f t="shared" si="2"/>
        <v>7</v>
      </c>
      <c r="AN104" s="179">
        <f t="shared" si="2"/>
        <v>6.666666666666666</v>
      </c>
      <c r="AO104" s="179">
        <f t="shared" si="2"/>
        <v>6.384615384615385</v>
      </c>
      <c r="AP104" s="179">
        <f t="shared" si="2"/>
        <v>6.142857142857142</v>
      </c>
      <c r="AQ104" s="179">
        <f t="shared" si="2"/>
        <v>5.933333333333334</v>
      </c>
      <c r="AR104" s="179">
        <f t="shared" si="2"/>
        <v>5.75</v>
      </c>
      <c r="AS104" s="179">
        <f t="shared" si="2"/>
        <v>5.588235294117647</v>
      </c>
      <c r="AT104" s="179">
        <f t="shared" si="2"/>
        <v>5.444444444444445</v>
      </c>
      <c r="AU104" s="179">
        <f t="shared" si="2"/>
        <v>5.315789473684211</v>
      </c>
      <c r="AV104" s="179">
        <f>44/(AV102-1)+AV103</f>
        <v>5.2</v>
      </c>
      <c r="AW104" s="179">
        <f t="shared" si="2"/>
        <v>5.095238095238095</v>
      </c>
      <c r="AX104" s="179">
        <f t="shared" si="2"/>
        <v>5</v>
      </c>
      <c r="AY104" s="179">
        <f t="shared" si="2"/>
        <v>4.913043478260869</v>
      </c>
      <c r="AZ104" s="179">
        <f t="shared" si="2"/>
        <v>4.833333333333333</v>
      </c>
      <c r="BA104" s="185"/>
      <c r="BB104" s="182">
        <v>3</v>
      </c>
      <c r="BC104" s="183">
        <v>47</v>
      </c>
      <c r="BD104" s="182">
        <f>HLOOKUP($BB$102,$BF$102:$CC$127,BE103,FALSE)</f>
        <v>5</v>
      </c>
      <c r="BE104" s="90">
        <v>3</v>
      </c>
      <c r="BF104" s="179">
        <v>75</v>
      </c>
      <c r="BG104" s="179">
        <f>70/(BG$102-1)+BG103</f>
        <v>40</v>
      </c>
      <c r="BH104" s="179">
        <f aca="true" t="shared" si="3" ref="BH104:CC104">70/(BH$102-1)+BH103</f>
        <v>28.333333333333332</v>
      </c>
      <c r="BI104" s="179">
        <f t="shared" si="3"/>
        <v>22.5</v>
      </c>
      <c r="BJ104" s="179">
        <f t="shared" si="3"/>
        <v>19</v>
      </c>
      <c r="BK104" s="179">
        <f t="shared" si="3"/>
        <v>16.666666666666664</v>
      </c>
      <c r="BL104" s="179">
        <f t="shared" si="3"/>
        <v>15</v>
      </c>
      <c r="BM104" s="179">
        <f t="shared" si="3"/>
        <v>13.75</v>
      </c>
      <c r="BN104" s="179">
        <f t="shared" si="3"/>
        <v>12.777777777777779</v>
      </c>
      <c r="BO104" s="179">
        <f t="shared" si="3"/>
        <v>12</v>
      </c>
      <c r="BP104" s="179">
        <f t="shared" si="3"/>
        <v>11.363636363636363</v>
      </c>
      <c r="BQ104" s="179">
        <f t="shared" si="3"/>
        <v>10.833333333333332</v>
      </c>
      <c r="BR104" s="179">
        <f t="shared" si="3"/>
        <v>10.384615384615385</v>
      </c>
      <c r="BS104" s="179">
        <f t="shared" si="3"/>
        <v>10</v>
      </c>
      <c r="BT104" s="179">
        <f t="shared" si="3"/>
        <v>9.666666666666668</v>
      </c>
      <c r="BU104" s="179">
        <f t="shared" si="3"/>
        <v>9.375</v>
      </c>
      <c r="BV104" s="179">
        <f t="shared" si="3"/>
        <v>9.117647058823529</v>
      </c>
      <c r="BW104" s="179">
        <f t="shared" si="3"/>
        <v>8.88888888888889</v>
      </c>
      <c r="BX104" s="179">
        <f t="shared" si="3"/>
        <v>8.68421052631579</v>
      </c>
      <c r="BY104" s="179">
        <f t="shared" si="3"/>
        <v>8.5</v>
      </c>
      <c r="BZ104" s="179">
        <f t="shared" si="3"/>
        <v>8.333333333333334</v>
      </c>
      <c r="CA104" s="179">
        <f t="shared" si="3"/>
        <v>8.181818181818182</v>
      </c>
      <c r="CB104" s="179">
        <f t="shared" si="3"/>
        <v>8.043478260869566</v>
      </c>
      <c r="CC104" s="179">
        <f t="shared" si="3"/>
        <v>7.916666666666666</v>
      </c>
    </row>
    <row r="105" spans="2:81" ht="11.25" customHeight="1">
      <c r="B105" s="20"/>
      <c r="C105" s="13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36"/>
      <c r="V105" s="21"/>
      <c r="Y105" s="182">
        <f t="shared" si="0"/>
        <v>47</v>
      </c>
      <c r="Z105" s="183">
        <v>75</v>
      </c>
      <c r="AA105" s="183">
        <v>5</v>
      </c>
      <c r="AB105" s="90">
        <v>4</v>
      </c>
      <c r="AC105" s="90">
        <f>AC104</f>
        <v>47</v>
      </c>
      <c r="AD105" s="179">
        <v>47</v>
      </c>
      <c r="AE105" s="179">
        <v>31</v>
      </c>
      <c r="AF105" s="179">
        <v>24</v>
      </c>
      <c r="AG105" s="179">
        <f>AG104+8.8</f>
        <v>20.6</v>
      </c>
      <c r="AH105" s="179">
        <f>AH104+7.3</f>
        <v>17.63</v>
      </c>
      <c r="AI105" s="179">
        <f aca="true" t="shared" si="4" ref="AI105:AJ109">(44/(AI$102-1))+AI104</f>
        <v>15.57142857142857</v>
      </c>
      <c r="AJ105" s="179">
        <f t="shared" si="4"/>
        <v>14</v>
      </c>
      <c r="AK105" s="179">
        <f aca="true" t="shared" si="5" ref="AK105:AZ113">(44/(AK$102-1))+AK104</f>
        <v>12.777777777777779</v>
      </c>
      <c r="AL105" s="179">
        <f t="shared" si="5"/>
        <v>11.8</v>
      </c>
      <c r="AM105" s="179">
        <f t="shared" si="5"/>
        <v>11</v>
      </c>
      <c r="AN105" s="179">
        <f t="shared" si="5"/>
        <v>10.333333333333332</v>
      </c>
      <c r="AO105" s="179">
        <f t="shared" si="5"/>
        <v>9.76923076923077</v>
      </c>
      <c r="AP105" s="179">
        <f t="shared" si="5"/>
        <v>9.285714285714285</v>
      </c>
      <c r="AQ105" s="179">
        <f t="shared" si="5"/>
        <v>8.866666666666667</v>
      </c>
      <c r="AR105" s="179">
        <f t="shared" si="5"/>
        <v>8.5</v>
      </c>
      <c r="AS105" s="179">
        <f t="shared" si="5"/>
        <v>8.176470588235293</v>
      </c>
      <c r="AT105" s="179">
        <f t="shared" si="5"/>
        <v>7.888888888888889</v>
      </c>
      <c r="AU105" s="179">
        <f t="shared" si="5"/>
        <v>7.631578947368421</v>
      </c>
      <c r="AV105" s="179">
        <f t="shared" si="5"/>
        <v>7.4</v>
      </c>
      <c r="AW105" s="179">
        <f t="shared" si="5"/>
        <v>7.19047619047619</v>
      </c>
      <c r="AX105" s="179">
        <f t="shared" si="5"/>
        <v>7</v>
      </c>
      <c r="AY105" s="179">
        <f t="shared" si="5"/>
        <v>6.826086956521738</v>
      </c>
      <c r="AZ105" s="179">
        <f t="shared" si="5"/>
        <v>6.666666666666666</v>
      </c>
      <c r="BA105" s="185"/>
      <c r="BB105" s="182">
        <v>3</v>
      </c>
      <c r="BC105" s="183">
        <v>47</v>
      </c>
      <c r="BD105" s="182">
        <f aca="true" t="shared" si="6" ref="BD105:BD128">HLOOKUP($BB$102,$BF$102:$CC$127,BE104,FALSE)</f>
        <v>75</v>
      </c>
      <c r="BE105" s="90">
        <v>4</v>
      </c>
      <c r="BF105" s="90">
        <f>BF104</f>
        <v>75</v>
      </c>
      <c r="BG105" s="179">
        <v>75</v>
      </c>
      <c r="BH105" s="179">
        <f aca="true" t="shared" si="7" ref="BH105:CC105">70/(BH$102-1)+BH104</f>
        <v>51.666666666666664</v>
      </c>
      <c r="BI105" s="179">
        <f t="shared" si="7"/>
        <v>40</v>
      </c>
      <c r="BJ105" s="179">
        <f t="shared" si="7"/>
        <v>33</v>
      </c>
      <c r="BK105" s="179">
        <f t="shared" si="7"/>
        <v>28.33333333333333</v>
      </c>
      <c r="BL105" s="179">
        <f t="shared" si="7"/>
        <v>25</v>
      </c>
      <c r="BM105" s="179">
        <f t="shared" si="7"/>
        <v>22.5</v>
      </c>
      <c r="BN105" s="179">
        <f t="shared" si="7"/>
        <v>20.555555555555557</v>
      </c>
      <c r="BO105" s="179">
        <f t="shared" si="7"/>
        <v>19</v>
      </c>
      <c r="BP105" s="179">
        <f t="shared" si="7"/>
        <v>17.727272727272727</v>
      </c>
      <c r="BQ105" s="179">
        <f t="shared" si="7"/>
        <v>16.666666666666664</v>
      </c>
      <c r="BR105" s="179">
        <f t="shared" si="7"/>
        <v>15.76923076923077</v>
      </c>
      <c r="BS105" s="179">
        <f t="shared" si="7"/>
        <v>15</v>
      </c>
      <c r="BT105" s="179">
        <f t="shared" si="7"/>
        <v>14.333333333333336</v>
      </c>
      <c r="BU105" s="179">
        <f t="shared" si="7"/>
        <v>13.75</v>
      </c>
      <c r="BV105" s="179">
        <f t="shared" si="7"/>
        <v>13.235294117647058</v>
      </c>
      <c r="BW105" s="179">
        <f t="shared" si="7"/>
        <v>12.777777777777779</v>
      </c>
      <c r="BX105" s="179">
        <f t="shared" si="7"/>
        <v>12.368421052631579</v>
      </c>
      <c r="BY105" s="179">
        <f t="shared" si="7"/>
        <v>12</v>
      </c>
      <c r="BZ105" s="179">
        <f t="shared" si="7"/>
        <v>11.666666666666668</v>
      </c>
      <c r="CA105" s="179">
        <f t="shared" si="7"/>
        <v>11.363636363636363</v>
      </c>
      <c r="CB105" s="179">
        <f t="shared" si="7"/>
        <v>11.086956521739133</v>
      </c>
      <c r="CC105" s="179">
        <f t="shared" si="7"/>
        <v>10.833333333333332</v>
      </c>
    </row>
    <row r="106" spans="2:81" ht="11.25" customHeight="1">
      <c r="B106" s="20"/>
      <c r="C106" s="13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36"/>
      <c r="V106" s="21"/>
      <c r="Y106" s="182">
        <f t="shared" si="0"/>
        <v>47</v>
      </c>
      <c r="Z106" s="183">
        <v>75</v>
      </c>
      <c r="AA106" s="183">
        <v>5</v>
      </c>
      <c r="AB106" s="90">
        <v>5</v>
      </c>
      <c r="AC106" s="90">
        <f aca="true" t="shared" si="8" ref="AC106:AC127">AC105</f>
        <v>47</v>
      </c>
      <c r="AD106" s="90">
        <f>AD105</f>
        <v>47</v>
      </c>
      <c r="AE106" s="179">
        <v>47</v>
      </c>
      <c r="AF106" s="179">
        <v>35</v>
      </c>
      <c r="AG106" s="179">
        <f>AG105+8.8</f>
        <v>29.400000000000002</v>
      </c>
      <c r="AH106" s="179">
        <f>AH105+7.3</f>
        <v>24.93</v>
      </c>
      <c r="AI106" s="179">
        <f t="shared" si="4"/>
        <v>21.857142857142854</v>
      </c>
      <c r="AJ106" s="179">
        <f t="shared" si="4"/>
        <v>19.5</v>
      </c>
      <c r="AK106" s="179">
        <f t="shared" si="5"/>
        <v>17.666666666666668</v>
      </c>
      <c r="AL106" s="179">
        <f t="shared" si="5"/>
        <v>16.200000000000003</v>
      </c>
      <c r="AM106" s="179">
        <f t="shared" si="5"/>
        <v>15</v>
      </c>
      <c r="AN106" s="179">
        <f t="shared" si="5"/>
        <v>13.999999999999998</v>
      </c>
      <c r="AO106" s="179">
        <f t="shared" si="5"/>
        <v>13.153846153846155</v>
      </c>
      <c r="AP106" s="179">
        <f t="shared" si="5"/>
        <v>12.428571428571427</v>
      </c>
      <c r="AQ106" s="179">
        <f t="shared" si="5"/>
        <v>11.8</v>
      </c>
      <c r="AR106" s="179">
        <f t="shared" si="5"/>
        <v>11.25</v>
      </c>
      <c r="AS106" s="179">
        <f t="shared" si="5"/>
        <v>10.76470588235294</v>
      </c>
      <c r="AT106" s="179">
        <f t="shared" si="5"/>
        <v>10.333333333333334</v>
      </c>
      <c r="AU106" s="179">
        <f t="shared" si="5"/>
        <v>9.947368421052632</v>
      </c>
      <c r="AV106" s="179">
        <f t="shared" si="5"/>
        <v>9.600000000000001</v>
      </c>
      <c r="AW106" s="179">
        <f t="shared" si="5"/>
        <v>9.285714285714285</v>
      </c>
      <c r="AX106" s="179">
        <f t="shared" si="5"/>
        <v>9</v>
      </c>
      <c r="AY106" s="179">
        <f t="shared" si="5"/>
        <v>8.739130434782608</v>
      </c>
      <c r="AZ106" s="179">
        <f t="shared" si="5"/>
        <v>8.5</v>
      </c>
      <c r="BA106" s="185"/>
      <c r="BB106" s="182">
        <v>3</v>
      </c>
      <c r="BC106" s="183">
        <v>47</v>
      </c>
      <c r="BD106" s="182">
        <f t="shared" si="6"/>
        <v>75</v>
      </c>
      <c r="BE106" s="90">
        <v>5</v>
      </c>
      <c r="BF106" s="90">
        <f aca="true" t="shared" si="9" ref="BF106:BF127">BF105</f>
        <v>75</v>
      </c>
      <c r="BG106" s="90">
        <f>BG105</f>
        <v>75</v>
      </c>
      <c r="BH106" s="179">
        <v>75</v>
      </c>
      <c r="BI106" s="179">
        <f aca="true" t="shared" si="10" ref="BI106:CC106">70/(BI$102-1)+BI105</f>
        <v>57.5</v>
      </c>
      <c r="BJ106" s="179">
        <f t="shared" si="10"/>
        <v>47</v>
      </c>
      <c r="BK106" s="179">
        <f t="shared" si="10"/>
        <v>39.99999999999999</v>
      </c>
      <c r="BL106" s="179">
        <f t="shared" si="10"/>
        <v>35</v>
      </c>
      <c r="BM106" s="179">
        <f t="shared" si="10"/>
        <v>31.25</v>
      </c>
      <c r="BN106" s="179">
        <f t="shared" si="10"/>
        <v>28.333333333333336</v>
      </c>
      <c r="BO106" s="179">
        <f t="shared" si="10"/>
        <v>26</v>
      </c>
      <c r="BP106" s="179">
        <f t="shared" si="10"/>
        <v>24.09090909090909</v>
      </c>
      <c r="BQ106" s="179">
        <f t="shared" si="10"/>
        <v>22.499999999999996</v>
      </c>
      <c r="BR106" s="179">
        <f t="shared" si="10"/>
        <v>21.153846153846153</v>
      </c>
      <c r="BS106" s="179">
        <f t="shared" si="10"/>
        <v>20</v>
      </c>
      <c r="BT106" s="179">
        <f t="shared" si="10"/>
        <v>19.000000000000004</v>
      </c>
      <c r="BU106" s="179">
        <f t="shared" si="10"/>
        <v>18.125</v>
      </c>
      <c r="BV106" s="179">
        <f t="shared" si="10"/>
        <v>17.352941176470587</v>
      </c>
      <c r="BW106" s="179">
        <f t="shared" si="10"/>
        <v>16.666666666666668</v>
      </c>
      <c r="BX106" s="179">
        <f t="shared" si="10"/>
        <v>16.05263157894737</v>
      </c>
      <c r="BY106" s="179">
        <f t="shared" si="10"/>
        <v>15.5</v>
      </c>
      <c r="BZ106" s="179">
        <f t="shared" si="10"/>
        <v>15.000000000000002</v>
      </c>
      <c r="CA106" s="179">
        <f t="shared" si="10"/>
        <v>14.545454545454545</v>
      </c>
      <c r="CB106" s="179">
        <f t="shared" si="10"/>
        <v>14.130434782608699</v>
      </c>
      <c r="CC106" s="179">
        <f t="shared" si="10"/>
        <v>13.749999999999998</v>
      </c>
    </row>
    <row r="107" spans="2:81" ht="11.25" customHeight="1">
      <c r="B107" s="20"/>
      <c r="C107" s="135"/>
      <c r="D107" s="4"/>
      <c r="E107" s="4"/>
      <c r="F107" s="4"/>
      <c r="G107" s="4"/>
      <c r="H107" s="4"/>
      <c r="I107" s="4"/>
      <c r="J107" s="4"/>
      <c r="K107" s="248" t="str">
        <f>H25&amp;" ซม."</f>
        <v>20 ซม.</v>
      </c>
      <c r="L107" s="248"/>
      <c r="M107" s="4"/>
      <c r="N107" s="4"/>
      <c r="O107" s="4"/>
      <c r="P107" s="4"/>
      <c r="Q107" s="4"/>
      <c r="R107" s="4"/>
      <c r="S107" s="4"/>
      <c r="T107" s="4"/>
      <c r="U107" s="136"/>
      <c r="V107" s="21"/>
      <c r="Y107" s="182">
        <f t="shared" si="0"/>
        <v>47</v>
      </c>
      <c r="Z107" s="183">
        <v>75</v>
      </c>
      <c r="AA107" s="183">
        <v>5</v>
      </c>
      <c r="AB107" s="90">
        <v>6</v>
      </c>
      <c r="AC107" s="90">
        <f t="shared" si="8"/>
        <v>47</v>
      </c>
      <c r="AD107" s="90">
        <f aca="true" t="shared" si="11" ref="AD107:AD127">AD106</f>
        <v>47</v>
      </c>
      <c r="AE107" s="90">
        <f>AE106</f>
        <v>47</v>
      </c>
      <c r="AF107" s="179">
        <v>47</v>
      </c>
      <c r="AG107" s="179">
        <f>AG106+8.8</f>
        <v>38.2</v>
      </c>
      <c r="AH107" s="179">
        <f>AH106+7.3</f>
        <v>32.23</v>
      </c>
      <c r="AI107" s="179">
        <f t="shared" si="4"/>
        <v>28.14285714285714</v>
      </c>
      <c r="AJ107" s="179">
        <f t="shared" si="4"/>
        <v>25</v>
      </c>
      <c r="AK107" s="179">
        <f t="shared" si="5"/>
        <v>22.555555555555557</v>
      </c>
      <c r="AL107" s="179">
        <f t="shared" si="5"/>
        <v>20.6</v>
      </c>
      <c r="AM107" s="179">
        <f t="shared" si="5"/>
        <v>19</v>
      </c>
      <c r="AN107" s="179">
        <f t="shared" si="5"/>
        <v>17.666666666666664</v>
      </c>
      <c r="AO107" s="179">
        <f t="shared" si="5"/>
        <v>16.53846153846154</v>
      </c>
      <c r="AP107" s="179">
        <f t="shared" si="5"/>
        <v>15.57142857142857</v>
      </c>
      <c r="AQ107" s="179">
        <f t="shared" si="5"/>
        <v>14.733333333333334</v>
      </c>
      <c r="AR107" s="179">
        <f t="shared" si="5"/>
        <v>14</v>
      </c>
      <c r="AS107" s="179">
        <f t="shared" si="5"/>
        <v>13.352941176470587</v>
      </c>
      <c r="AT107" s="179">
        <f t="shared" si="5"/>
        <v>12.777777777777779</v>
      </c>
      <c r="AU107" s="179">
        <f t="shared" si="5"/>
        <v>12.263157894736842</v>
      </c>
      <c r="AV107" s="179">
        <f aca="true" t="shared" si="12" ref="AV107:AV122">(44/(AV$102-1))+AV106</f>
        <v>11.8</v>
      </c>
      <c r="AW107" s="179">
        <f t="shared" si="5"/>
        <v>11.38095238095238</v>
      </c>
      <c r="AX107" s="179">
        <f t="shared" si="5"/>
        <v>11</v>
      </c>
      <c r="AY107" s="179">
        <f t="shared" si="5"/>
        <v>10.652173913043477</v>
      </c>
      <c r="AZ107" s="179">
        <f t="shared" si="5"/>
        <v>10.333333333333334</v>
      </c>
      <c r="BA107" s="185"/>
      <c r="BB107" s="182">
        <v>3</v>
      </c>
      <c r="BC107" s="183">
        <v>47</v>
      </c>
      <c r="BD107" s="182">
        <f t="shared" si="6"/>
        <v>75</v>
      </c>
      <c r="BE107" s="90">
        <v>6</v>
      </c>
      <c r="BF107" s="90">
        <f t="shared" si="9"/>
        <v>75</v>
      </c>
      <c r="BG107" s="90">
        <f aca="true" t="shared" si="13" ref="BG107:BG127">BG106</f>
        <v>75</v>
      </c>
      <c r="BH107" s="90">
        <f>BH106</f>
        <v>75</v>
      </c>
      <c r="BI107" s="179">
        <v>75</v>
      </c>
      <c r="BJ107" s="179">
        <f aca="true" t="shared" si="14" ref="BJ107:CC107">70/(BJ$102-1)+BJ106</f>
        <v>61</v>
      </c>
      <c r="BK107" s="179">
        <f t="shared" si="14"/>
        <v>51.66666666666666</v>
      </c>
      <c r="BL107" s="179">
        <f t="shared" si="14"/>
        <v>45</v>
      </c>
      <c r="BM107" s="179">
        <f t="shared" si="14"/>
        <v>40</v>
      </c>
      <c r="BN107" s="179">
        <f t="shared" si="14"/>
        <v>36.111111111111114</v>
      </c>
      <c r="BO107" s="179">
        <f t="shared" si="14"/>
        <v>33</v>
      </c>
      <c r="BP107" s="179">
        <f t="shared" si="14"/>
        <v>30.454545454545453</v>
      </c>
      <c r="BQ107" s="179">
        <f t="shared" si="14"/>
        <v>28.33333333333333</v>
      </c>
      <c r="BR107" s="179">
        <f t="shared" si="14"/>
        <v>26.53846153846154</v>
      </c>
      <c r="BS107" s="179">
        <f t="shared" si="14"/>
        <v>25</v>
      </c>
      <c r="BT107" s="179">
        <f t="shared" si="14"/>
        <v>23.66666666666667</v>
      </c>
      <c r="BU107" s="179">
        <f t="shared" si="14"/>
        <v>22.5</v>
      </c>
      <c r="BV107" s="179">
        <f t="shared" si="14"/>
        <v>21.470588235294116</v>
      </c>
      <c r="BW107" s="179">
        <f t="shared" si="14"/>
        <v>20.555555555555557</v>
      </c>
      <c r="BX107" s="179">
        <f t="shared" si="14"/>
        <v>19.736842105263158</v>
      </c>
      <c r="BY107" s="179">
        <f t="shared" si="14"/>
        <v>19</v>
      </c>
      <c r="BZ107" s="179">
        <f t="shared" si="14"/>
        <v>18.333333333333336</v>
      </c>
      <c r="CA107" s="179">
        <f t="shared" si="14"/>
        <v>17.727272727272727</v>
      </c>
      <c r="CB107" s="179">
        <f t="shared" si="14"/>
        <v>17.173913043478265</v>
      </c>
      <c r="CC107" s="179">
        <f t="shared" si="14"/>
        <v>16.666666666666664</v>
      </c>
    </row>
    <row r="108" spans="2:81" ht="11.25" customHeight="1">
      <c r="B108" s="20"/>
      <c r="C108" s="135"/>
      <c r="D108" s="4"/>
      <c r="E108" s="4"/>
      <c r="F108" s="4"/>
      <c r="G108" s="4"/>
      <c r="H108" s="4"/>
      <c r="I108" s="4"/>
      <c r="J108" s="54"/>
      <c r="K108" s="4"/>
      <c r="L108" s="4"/>
      <c r="M108" s="55"/>
      <c r="N108" s="4"/>
      <c r="O108" s="4"/>
      <c r="P108" s="4"/>
      <c r="Q108" s="4"/>
      <c r="R108" s="4"/>
      <c r="S108" s="4"/>
      <c r="T108" s="4"/>
      <c r="U108" s="136"/>
      <c r="V108" s="21"/>
      <c r="Y108" s="182">
        <f t="shared" si="0"/>
        <v>47</v>
      </c>
      <c r="Z108" s="183">
        <v>75</v>
      </c>
      <c r="AA108" s="183">
        <v>5</v>
      </c>
      <c r="AB108" s="90">
        <v>7</v>
      </c>
      <c r="AC108" s="90">
        <f t="shared" si="8"/>
        <v>47</v>
      </c>
      <c r="AD108" s="90">
        <f t="shared" si="11"/>
        <v>47</v>
      </c>
      <c r="AE108" s="90">
        <f aca="true" t="shared" si="15" ref="AE108:AE127">AE107</f>
        <v>47</v>
      </c>
      <c r="AF108" s="90">
        <f>AF107</f>
        <v>47</v>
      </c>
      <c r="AG108" s="179">
        <v>47</v>
      </c>
      <c r="AH108" s="179">
        <f>AH107+7.3</f>
        <v>39.529999999999994</v>
      </c>
      <c r="AI108" s="179">
        <f t="shared" si="4"/>
        <v>34.42857142857142</v>
      </c>
      <c r="AJ108" s="179">
        <f t="shared" si="4"/>
        <v>30.5</v>
      </c>
      <c r="AK108" s="179">
        <f t="shared" si="5"/>
        <v>27.444444444444446</v>
      </c>
      <c r="AL108" s="179">
        <f t="shared" si="5"/>
        <v>25</v>
      </c>
      <c r="AM108" s="179">
        <f t="shared" si="5"/>
        <v>23</v>
      </c>
      <c r="AN108" s="179">
        <f t="shared" si="5"/>
        <v>21.333333333333332</v>
      </c>
      <c r="AO108" s="179">
        <f t="shared" si="5"/>
        <v>19.923076923076923</v>
      </c>
      <c r="AP108" s="179">
        <f t="shared" si="5"/>
        <v>18.71428571428571</v>
      </c>
      <c r="AQ108" s="179">
        <f t="shared" si="5"/>
        <v>17.666666666666668</v>
      </c>
      <c r="AR108" s="179">
        <f t="shared" si="5"/>
        <v>16.75</v>
      </c>
      <c r="AS108" s="179">
        <f t="shared" si="5"/>
        <v>15.941176470588234</v>
      </c>
      <c r="AT108" s="179">
        <f t="shared" si="5"/>
        <v>15.222222222222223</v>
      </c>
      <c r="AU108" s="179">
        <f t="shared" si="5"/>
        <v>14.578947368421053</v>
      </c>
      <c r="AV108" s="179">
        <f t="shared" si="12"/>
        <v>14</v>
      </c>
      <c r="AW108" s="179">
        <f t="shared" si="5"/>
        <v>13.476190476190474</v>
      </c>
      <c r="AX108" s="179">
        <f t="shared" si="5"/>
        <v>13</v>
      </c>
      <c r="AY108" s="179">
        <f t="shared" si="5"/>
        <v>12.565217391304346</v>
      </c>
      <c r="AZ108" s="179">
        <f t="shared" si="5"/>
        <v>12.166666666666668</v>
      </c>
      <c r="BA108" s="185"/>
      <c r="BB108" s="182">
        <v>3</v>
      </c>
      <c r="BC108" s="183">
        <v>47</v>
      </c>
      <c r="BD108" s="182">
        <f t="shared" si="6"/>
        <v>75</v>
      </c>
      <c r="BE108" s="90">
        <v>7</v>
      </c>
      <c r="BF108" s="90">
        <f t="shared" si="9"/>
        <v>75</v>
      </c>
      <c r="BG108" s="90">
        <f t="shared" si="13"/>
        <v>75</v>
      </c>
      <c r="BH108" s="90">
        <f aca="true" t="shared" si="16" ref="BH108:BH127">BH107</f>
        <v>75</v>
      </c>
      <c r="BI108" s="90">
        <f>BI107</f>
        <v>75</v>
      </c>
      <c r="BJ108" s="179">
        <v>75</v>
      </c>
      <c r="BK108" s="179">
        <f aca="true" t="shared" si="17" ref="BK108:CC108">70/(BK$102-1)+BK107</f>
        <v>63.33333333333332</v>
      </c>
      <c r="BL108" s="179">
        <f t="shared" si="17"/>
        <v>55</v>
      </c>
      <c r="BM108" s="179">
        <f t="shared" si="17"/>
        <v>48.75</v>
      </c>
      <c r="BN108" s="179">
        <f t="shared" si="17"/>
        <v>43.88888888888889</v>
      </c>
      <c r="BO108" s="179">
        <f t="shared" si="17"/>
        <v>40</v>
      </c>
      <c r="BP108" s="179">
        <f t="shared" si="17"/>
        <v>36.81818181818181</v>
      </c>
      <c r="BQ108" s="179">
        <f t="shared" si="17"/>
        <v>34.166666666666664</v>
      </c>
      <c r="BR108" s="179">
        <f t="shared" si="17"/>
        <v>31.923076923076927</v>
      </c>
      <c r="BS108" s="179">
        <f t="shared" si="17"/>
        <v>30</v>
      </c>
      <c r="BT108" s="179">
        <f t="shared" si="17"/>
        <v>28.33333333333334</v>
      </c>
      <c r="BU108" s="179">
        <f t="shared" si="17"/>
        <v>26.875</v>
      </c>
      <c r="BV108" s="179">
        <f t="shared" si="17"/>
        <v>25.588235294117645</v>
      </c>
      <c r="BW108" s="179">
        <f t="shared" si="17"/>
        <v>24.444444444444446</v>
      </c>
      <c r="BX108" s="179">
        <f t="shared" si="17"/>
        <v>23.421052631578945</v>
      </c>
      <c r="BY108" s="179">
        <f t="shared" si="17"/>
        <v>22.5</v>
      </c>
      <c r="BZ108" s="179">
        <f t="shared" si="17"/>
        <v>21.666666666666668</v>
      </c>
      <c r="CA108" s="179">
        <f t="shared" si="17"/>
        <v>20.909090909090907</v>
      </c>
      <c r="CB108" s="179">
        <f t="shared" si="17"/>
        <v>20.21739130434783</v>
      </c>
      <c r="CC108" s="179">
        <f t="shared" si="17"/>
        <v>19.583333333333332</v>
      </c>
    </row>
    <row r="109" spans="2:81" ht="11.25" customHeight="1">
      <c r="B109" s="20"/>
      <c r="C109" s="13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36"/>
      <c r="V109" s="21"/>
      <c r="Y109" s="182">
        <f t="shared" si="0"/>
        <v>47</v>
      </c>
      <c r="Z109" s="183">
        <v>75</v>
      </c>
      <c r="AA109" s="183">
        <v>5</v>
      </c>
      <c r="AB109" s="90">
        <v>8</v>
      </c>
      <c r="AC109" s="90">
        <f t="shared" si="8"/>
        <v>47</v>
      </c>
      <c r="AD109" s="90">
        <f t="shared" si="11"/>
        <v>47</v>
      </c>
      <c r="AE109" s="90">
        <f t="shared" si="15"/>
        <v>47</v>
      </c>
      <c r="AF109" s="90">
        <f aca="true" t="shared" si="18" ref="AF109:AF127">AF108</f>
        <v>47</v>
      </c>
      <c r="AG109" s="90">
        <f>AG108</f>
        <v>47</v>
      </c>
      <c r="AH109" s="179">
        <v>47</v>
      </c>
      <c r="AI109" s="179">
        <f t="shared" si="4"/>
        <v>40.71428571428571</v>
      </c>
      <c r="AJ109" s="179">
        <f t="shared" si="4"/>
        <v>36</v>
      </c>
      <c r="AK109" s="179">
        <f t="shared" si="5"/>
        <v>32.333333333333336</v>
      </c>
      <c r="AL109" s="179">
        <f t="shared" si="5"/>
        <v>29.4</v>
      </c>
      <c r="AM109" s="179">
        <f t="shared" si="5"/>
        <v>27</v>
      </c>
      <c r="AN109" s="179">
        <f t="shared" si="5"/>
        <v>25</v>
      </c>
      <c r="AO109" s="179">
        <f t="shared" si="5"/>
        <v>23.307692307692307</v>
      </c>
      <c r="AP109" s="179">
        <f t="shared" si="5"/>
        <v>21.857142857142854</v>
      </c>
      <c r="AQ109" s="179">
        <f t="shared" si="5"/>
        <v>20.6</v>
      </c>
      <c r="AR109" s="179">
        <f t="shared" si="5"/>
        <v>19.5</v>
      </c>
      <c r="AS109" s="179">
        <f t="shared" si="5"/>
        <v>18.52941176470588</v>
      </c>
      <c r="AT109" s="179">
        <f t="shared" si="5"/>
        <v>17.666666666666668</v>
      </c>
      <c r="AU109" s="179">
        <f t="shared" si="5"/>
        <v>16.894736842105264</v>
      </c>
      <c r="AV109" s="179">
        <f t="shared" si="12"/>
        <v>16.2</v>
      </c>
      <c r="AW109" s="179">
        <f t="shared" si="5"/>
        <v>15.57142857142857</v>
      </c>
      <c r="AX109" s="179">
        <f t="shared" si="5"/>
        <v>15</v>
      </c>
      <c r="AY109" s="179">
        <f t="shared" si="5"/>
        <v>14.478260869565215</v>
      </c>
      <c r="AZ109" s="179">
        <f t="shared" si="5"/>
        <v>14.000000000000002</v>
      </c>
      <c r="BA109" s="185"/>
      <c r="BB109" s="182">
        <v>3</v>
      </c>
      <c r="BC109" s="183">
        <v>47</v>
      </c>
      <c r="BD109" s="182">
        <f t="shared" si="6"/>
        <v>75</v>
      </c>
      <c r="BE109" s="90">
        <v>8</v>
      </c>
      <c r="BF109" s="90">
        <f t="shared" si="9"/>
        <v>75</v>
      </c>
      <c r="BG109" s="90">
        <f t="shared" si="13"/>
        <v>75</v>
      </c>
      <c r="BH109" s="90">
        <f t="shared" si="16"/>
        <v>75</v>
      </c>
      <c r="BI109" s="90">
        <f aca="true" t="shared" si="19" ref="BI109:BI127">BI108</f>
        <v>75</v>
      </c>
      <c r="BJ109" s="90">
        <f>BJ108</f>
        <v>75</v>
      </c>
      <c r="BK109" s="179">
        <v>75</v>
      </c>
      <c r="BL109" s="179">
        <f aca="true" t="shared" si="20" ref="BL109:CC109">70/(BL$102-1)+BL108</f>
        <v>65</v>
      </c>
      <c r="BM109" s="179">
        <f t="shared" si="20"/>
        <v>57.5</v>
      </c>
      <c r="BN109" s="179">
        <f t="shared" si="20"/>
        <v>51.66666666666667</v>
      </c>
      <c r="BO109" s="179">
        <f t="shared" si="20"/>
        <v>47</v>
      </c>
      <c r="BP109" s="179">
        <f t="shared" si="20"/>
        <v>43.18181818181817</v>
      </c>
      <c r="BQ109" s="179">
        <f t="shared" si="20"/>
        <v>40</v>
      </c>
      <c r="BR109" s="179">
        <f t="shared" si="20"/>
        <v>37.307692307692314</v>
      </c>
      <c r="BS109" s="179">
        <f t="shared" si="20"/>
        <v>35</v>
      </c>
      <c r="BT109" s="179">
        <f t="shared" si="20"/>
        <v>33.00000000000001</v>
      </c>
      <c r="BU109" s="179">
        <f t="shared" si="20"/>
        <v>31.25</v>
      </c>
      <c r="BV109" s="179">
        <f t="shared" si="20"/>
        <v>29.705882352941174</v>
      </c>
      <c r="BW109" s="179">
        <f t="shared" si="20"/>
        <v>28.333333333333336</v>
      </c>
      <c r="BX109" s="179">
        <f t="shared" si="20"/>
        <v>27.105263157894733</v>
      </c>
      <c r="BY109" s="179">
        <f t="shared" si="20"/>
        <v>26</v>
      </c>
      <c r="BZ109" s="179">
        <f t="shared" si="20"/>
        <v>25</v>
      </c>
      <c r="CA109" s="179">
        <f t="shared" si="20"/>
        <v>24.090909090909086</v>
      </c>
      <c r="CB109" s="179">
        <f t="shared" si="20"/>
        <v>23.260869565217398</v>
      </c>
      <c r="CC109" s="179">
        <f t="shared" si="20"/>
        <v>22.5</v>
      </c>
    </row>
    <row r="110" spans="2:81" ht="11.25" customHeight="1">
      <c r="B110" s="20"/>
      <c r="C110" s="13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P110" s="4"/>
      <c r="Q110" s="4"/>
      <c r="R110" s="4"/>
      <c r="S110" s="4"/>
      <c r="T110" s="4"/>
      <c r="U110" s="136"/>
      <c r="V110" s="21"/>
      <c r="Y110" s="182">
        <f t="shared" si="0"/>
        <v>47</v>
      </c>
      <c r="Z110" s="183">
        <v>75</v>
      </c>
      <c r="AA110" s="183">
        <v>5</v>
      </c>
      <c r="AB110" s="90">
        <v>9</v>
      </c>
      <c r="AC110" s="90">
        <f t="shared" si="8"/>
        <v>47</v>
      </c>
      <c r="AD110" s="90">
        <f t="shared" si="11"/>
        <v>47</v>
      </c>
      <c r="AE110" s="90">
        <f t="shared" si="15"/>
        <v>47</v>
      </c>
      <c r="AF110" s="90">
        <f t="shared" si="18"/>
        <v>47</v>
      </c>
      <c r="AG110" s="90">
        <f aca="true" t="shared" si="21" ref="AG110:AG127">AG109</f>
        <v>47</v>
      </c>
      <c r="AH110" s="90">
        <f>AH109</f>
        <v>47</v>
      </c>
      <c r="AI110" s="179">
        <v>47</v>
      </c>
      <c r="AJ110" s="179">
        <f>(44/(AJ$102-1))+AJ109</f>
        <v>41.5</v>
      </c>
      <c r="AK110" s="179">
        <f t="shared" si="5"/>
        <v>37.22222222222223</v>
      </c>
      <c r="AL110" s="179">
        <f t="shared" si="5"/>
        <v>33.8</v>
      </c>
      <c r="AM110" s="179">
        <f t="shared" si="5"/>
        <v>31</v>
      </c>
      <c r="AN110" s="179">
        <f t="shared" si="5"/>
        <v>28.666666666666668</v>
      </c>
      <c r="AO110" s="179">
        <f t="shared" si="5"/>
        <v>26.69230769230769</v>
      </c>
      <c r="AP110" s="179">
        <f t="shared" si="5"/>
        <v>24.999999999999996</v>
      </c>
      <c r="AQ110" s="179">
        <f t="shared" si="5"/>
        <v>23.533333333333335</v>
      </c>
      <c r="AR110" s="179">
        <f t="shared" si="5"/>
        <v>22.25</v>
      </c>
      <c r="AS110" s="179">
        <f t="shared" si="5"/>
        <v>21.11764705882353</v>
      </c>
      <c r="AT110" s="179">
        <f t="shared" si="5"/>
        <v>20.111111111111114</v>
      </c>
      <c r="AU110" s="179">
        <f t="shared" si="5"/>
        <v>19.210526315789473</v>
      </c>
      <c r="AV110" s="179">
        <f t="shared" si="12"/>
        <v>18.4</v>
      </c>
      <c r="AW110" s="179">
        <f t="shared" si="5"/>
        <v>17.666666666666664</v>
      </c>
      <c r="AX110" s="179">
        <f t="shared" si="5"/>
        <v>17</v>
      </c>
      <c r="AY110" s="179">
        <f t="shared" si="5"/>
        <v>16.391304347826086</v>
      </c>
      <c r="AZ110" s="179">
        <f t="shared" si="5"/>
        <v>15.833333333333336</v>
      </c>
      <c r="BA110" s="185"/>
      <c r="BB110" s="182">
        <v>3</v>
      </c>
      <c r="BC110" s="183">
        <v>47</v>
      </c>
      <c r="BD110" s="182">
        <f t="shared" si="6"/>
        <v>75</v>
      </c>
      <c r="BE110" s="90">
        <v>9</v>
      </c>
      <c r="BF110" s="90">
        <f t="shared" si="9"/>
        <v>75</v>
      </c>
      <c r="BG110" s="90">
        <f t="shared" si="13"/>
        <v>75</v>
      </c>
      <c r="BH110" s="90">
        <f t="shared" si="16"/>
        <v>75</v>
      </c>
      <c r="BI110" s="90">
        <f t="shared" si="19"/>
        <v>75</v>
      </c>
      <c r="BJ110" s="90">
        <f aca="true" t="shared" si="22" ref="BJ110:BJ127">BJ109</f>
        <v>75</v>
      </c>
      <c r="BK110" s="90">
        <f>BK109</f>
        <v>75</v>
      </c>
      <c r="BL110" s="179">
        <v>75</v>
      </c>
      <c r="BM110" s="179">
        <f aca="true" t="shared" si="23" ref="BM110:CC110">70/(BM$102-1)+BM109</f>
        <v>66.25</v>
      </c>
      <c r="BN110" s="179">
        <f t="shared" si="23"/>
        <v>59.44444444444445</v>
      </c>
      <c r="BO110" s="179">
        <f t="shared" si="23"/>
        <v>54</v>
      </c>
      <c r="BP110" s="179">
        <f t="shared" si="23"/>
        <v>49.54545454545453</v>
      </c>
      <c r="BQ110" s="179">
        <f t="shared" si="23"/>
        <v>45.833333333333336</v>
      </c>
      <c r="BR110" s="179">
        <f t="shared" si="23"/>
        <v>42.6923076923077</v>
      </c>
      <c r="BS110" s="179">
        <f t="shared" si="23"/>
        <v>40</v>
      </c>
      <c r="BT110" s="179">
        <f t="shared" si="23"/>
        <v>37.66666666666667</v>
      </c>
      <c r="BU110" s="179">
        <f t="shared" si="23"/>
        <v>35.625</v>
      </c>
      <c r="BV110" s="179">
        <f t="shared" si="23"/>
        <v>33.8235294117647</v>
      </c>
      <c r="BW110" s="179">
        <f t="shared" si="23"/>
        <v>32.22222222222222</v>
      </c>
      <c r="BX110" s="179">
        <f t="shared" si="23"/>
        <v>30.78947368421052</v>
      </c>
      <c r="BY110" s="179">
        <f t="shared" si="23"/>
        <v>29.5</v>
      </c>
      <c r="BZ110" s="179">
        <f t="shared" si="23"/>
        <v>28.333333333333332</v>
      </c>
      <c r="CA110" s="179">
        <f t="shared" si="23"/>
        <v>27.272727272727266</v>
      </c>
      <c r="CB110" s="179">
        <f t="shared" si="23"/>
        <v>26.304347826086964</v>
      </c>
      <c r="CC110" s="179">
        <f t="shared" si="23"/>
        <v>25.416666666666668</v>
      </c>
    </row>
    <row r="111" spans="2:81" ht="11.25" customHeight="1">
      <c r="B111" s="20"/>
      <c r="C111" s="13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77" t="str">
        <f>CONCATENATE("เหล็กยืน ",F38,"-",G38," ",H39," ",I38,"  ")</f>
        <v>เหล็กยืน 6-DB 16 มม.  </v>
      </c>
      <c r="P111" s="4"/>
      <c r="Q111" s="4"/>
      <c r="R111" s="4"/>
      <c r="S111" s="4"/>
      <c r="T111" s="4"/>
      <c r="U111" s="136"/>
      <c r="V111" s="21"/>
      <c r="Y111" s="182">
        <f t="shared" si="0"/>
        <v>47</v>
      </c>
      <c r="Z111" s="183">
        <v>75</v>
      </c>
      <c r="AA111" s="183">
        <v>5</v>
      </c>
      <c r="AB111" s="90">
        <v>10</v>
      </c>
      <c r="AC111" s="90">
        <f t="shared" si="8"/>
        <v>47</v>
      </c>
      <c r="AD111" s="90">
        <f t="shared" si="11"/>
        <v>47</v>
      </c>
      <c r="AE111" s="90">
        <f t="shared" si="15"/>
        <v>47</v>
      </c>
      <c r="AF111" s="90">
        <f t="shared" si="18"/>
        <v>47</v>
      </c>
      <c r="AG111" s="90">
        <f t="shared" si="21"/>
        <v>47</v>
      </c>
      <c r="AH111" s="90">
        <f aca="true" t="shared" si="24" ref="AH111:AH127">AH110</f>
        <v>47</v>
      </c>
      <c r="AI111" s="90">
        <f>AI110</f>
        <v>47</v>
      </c>
      <c r="AJ111" s="179">
        <v>47</v>
      </c>
      <c r="AK111" s="179">
        <f t="shared" si="5"/>
        <v>42.111111111111114</v>
      </c>
      <c r="AL111" s="179">
        <f t="shared" si="5"/>
        <v>38.199999999999996</v>
      </c>
      <c r="AM111" s="179">
        <f t="shared" si="5"/>
        <v>35</v>
      </c>
      <c r="AN111" s="179">
        <f aca="true" t="shared" si="25" ref="AN111:AU114">(44/(AN$102-1))+AN110</f>
        <v>32.333333333333336</v>
      </c>
      <c r="AO111" s="179">
        <f t="shared" si="25"/>
        <v>30.076923076923073</v>
      </c>
      <c r="AP111" s="179">
        <f t="shared" si="25"/>
        <v>28.14285714285714</v>
      </c>
      <c r="AQ111" s="179">
        <f t="shared" si="25"/>
        <v>26.46666666666667</v>
      </c>
      <c r="AR111" s="179">
        <f t="shared" si="25"/>
        <v>25</v>
      </c>
      <c r="AS111" s="179">
        <f t="shared" si="25"/>
        <v>23.705882352941178</v>
      </c>
      <c r="AT111" s="179">
        <f t="shared" si="25"/>
        <v>22.555555555555557</v>
      </c>
      <c r="AU111" s="179">
        <f t="shared" si="25"/>
        <v>21.526315789473685</v>
      </c>
      <c r="AV111" s="179">
        <f t="shared" si="12"/>
        <v>20.599999999999998</v>
      </c>
      <c r="AW111" s="179">
        <f>(44/(AW$102-1))+AW110</f>
        <v>19.76190476190476</v>
      </c>
      <c r="AX111" s="179">
        <f t="shared" si="5"/>
        <v>19</v>
      </c>
      <c r="AY111" s="179">
        <f t="shared" si="5"/>
        <v>18.304347826086957</v>
      </c>
      <c r="AZ111" s="179">
        <f t="shared" si="5"/>
        <v>17.666666666666668</v>
      </c>
      <c r="BA111" s="185"/>
      <c r="BB111" s="182">
        <v>3</v>
      </c>
      <c r="BC111" s="183">
        <v>47</v>
      </c>
      <c r="BD111" s="182">
        <f t="shared" si="6"/>
        <v>75</v>
      </c>
      <c r="BE111" s="90">
        <v>10</v>
      </c>
      <c r="BF111" s="90">
        <f t="shared" si="9"/>
        <v>75</v>
      </c>
      <c r="BG111" s="90">
        <f t="shared" si="13"/>
        <v>75</v>
      </c>
      <c r="BH111" s="90">
        <f t="shared" si="16"/>
        <v>75</v>
      </c>
      <c r="BI111" s="90">
        <f t="shared" si="19"/>
        <v>75</v>
      </c>
      <c r="BJ111" s="90">
        <f t="shared" si="22"/>
        <v>75</v>
      </c>
      <c r="BK111" s="90">
        <f aca="true" t="shared" si="26" ref="BK111:BK127">BK110</f>
        <v>75</v>
      </c>
      <c r="BL111" s="90">
        <f>BL110</f>
        <v>75</v>
      </c>
      <c r="BM111" s="179">
        <v>75</v>
      </c>
      <c r="BN111" s="179">
        <f aca="true" t="shared" si="27" ref="BN111:CC111">70/(BN$102-1)+BN110</f>
        <v>67.22222222222223</v>
      </c>
      <c r="BO111" s="179">
        <f t="shared" si="27"/>
        <v>61</v>
      </c>
      <c r="BP111" s="179">
        <f t="shared" si="27"/>
        <v>55.90909090909089</v>
      </c>
      <c r="BQ111" s="179">
        <f t="shared" si="27"/>
        <v>51.66666666666667</v>
      </c>
      <c r="BR111" s="179">
        <f t="shared" si="27"/>
        <v>48.07692307692309</v>
      </c>
      <c r="BS111" s="179">
        <f t="shared" si="27"/>
        <v>45</v>
      </c>
      <c r="BT111" s="179">
        <f t="shared" si="27"/>
        <v>42.333333333333336</v>
      </c>
      <c r="BU111" s="179">
        <f t="shared" si="27"/>
        <v>40</v>
      </c>
      <c r="BV111" s="179">
        <f t="shared" si="27"/>
        <v>37.94117647058823</v>
      </c>
      <c r="BW111" s="179">
        <f t="shared" si="27"/>
        <v>36.11111111111111</v>
      </c>
      <c r="BX111" s="179">
        <f t="shared" si="27"/>
        <v>34.47368421052631</v>
      </c>
      <c r="BY111" s="179">
        <f t="shared" si="27"/>
        <v>33</v>
      </c>
      <c r="BZ111" s="179">
        <f t="shared" si="27"/>
        <v>31.666666666666664</v>
      </c>
      <c r="CA111" s="179">
        <f t="shared" si="27"/>
        <v>30.454545454545446</v>
      </c>
      <c r="CB111" s="179">
        <f t="shared" si="27"/>
        <v>29.34782608695653</v>
      </c>
      <c r="CC111" s="179">
        <f t="shared" si="27"/>
        <v>28.333333333333336</v>
      </c>
    </row>
    <row r="112" spans="2:81" ht="11.25" customHeight="1">
      <c r="B112" s="20"/>
      <c r="C112" s="13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36"/>
      <c r="V112" s="21"/>
      <c r="Y112" s="182">
        <f t="shared" si="0"/>
        <v>47</v>
      </c>
      <c r="Z112" s="183">
        <v>75</v>
      </c>
      <c r="AA112" s="183">
        <v>5</v>
      </c>
      <c r="AB112" s="90">
        <v>11</v>
      </c>
      <c r="AC112" s="90">
        <f t="shared" si="8"/>
        <v>47</v>
      </c>
      <c r="AD112" s="90">
        <f t="shared" si="11"/>
        <v>47</v>
      </c>
      <c r="AE112" s="90">
        <f t="shared" si="15"/>
        <v>47</v>
      </c>
      <c r="AF112" s="90">
        <f t="shared" si="18"/>
        <v>47</v>
      </c>
      <c r="AG112" s="90">
        <f t="shared" si="21"/>
        <v>47</v>
      </c>
      <c r="AH112" s="90">
        <f t="shared" si="24"/>
        <v>47</v>
      </c>
      <c r="AI112" s="90">
        <f aca="true" t="shared" si="28" ref="AI112:AI127">AI111</f>
        <v>47</v>
      </c>
      <c r="AJ112" s="90">
        <f>AJ111</f>
        <v>47</v>
      </c>
      <c r="AK112" s="179">
        <v>47</v>
      </c>
      <c r="AL112" s="179">
        <f t="shared" si="5"/>
        <v>42.599999999999994</v>
      </c>
      <c r="AM112" s="179">
        <f t="shared" si="5"/>
        <v>39</v>
      </c>
      <c r="AN112" s="179">
        <f t="shared" si="25"/>
        <v>36</v>
      </c>
      <c r="AO112" s="179">
        <f t="shared" si="25"/>
        <v>33.46153846153846</v>
      </c>
      <c r="AP112" s="179">
        <f t="shared" si="25"/>
        <v>31.28571428571428</v>
      </c>
      <c r="AQ112" s="179">
        <f t="shared" si="25"/>
        <v>29.400000000000002</v>
      </c>
      <c r="AR112" s="179">
        <f t="shared" si="25"/>
        <v>27.75</v>
      </c>
      <c r="AS112" s="179">
        <f t="shared" si="25"/>
        <v>26.294117647058826</v>
      </c>
      <c r="AT112" s="179">
        <f t="shared" si="25"/>
        <v>25</v>
      </c>
      <c r="AU112" s="179">
        <f t="shared" si="25"/>
        <v>23.842105263157897</v>
      </c>
      <c r="AV112" s="179">
        <f t="shared" si="12"/>
        <v>22.799999999999997</v>
      </c>
      <c r="AW112" s="179">
        <f t="shared" si="5"/>
        <v>21.857142857142854</v>
      </c>
      <c r="AX112" s="179">
        <f t="shared" si="5"/>
        <v>21</v>
      </c>
      <c r="AY112" s="179">
        <f t="shared" si="5"/>
        <v>20.217391304347828</v>
      </c>
      <c r="AZ112" s="179">
        <f t="shared" si="5"/>
        <v>19.5</v>
      </c>
      <c r="BA112" s="185"/>
      <c r="BB112" s="182">
        <v>3</v>
      </c>
      <c r="BC112" s="183">
        <v>47</v>
      </c>
      <c r="BD112" s="182">
        <f t="shared" si="6"/>
        <v>75</v>
      </c>
      <c r="BE112" s="90">
        <v>11</v>
      </c>
      <c r="BF112" s="90">
        <f t="shared" si="9"/>
        <v>75</v>
      </c>
      <c r="BG112" s="90">
        <f t="shared" si="13"/>
        <v>75</v>
      </c>
      <c r="BH112" s="90">
        <f t="shared" si="16"/>
        <v>75</v>
      </c>
      <c r="BI112" s="90">
        <f t="shared" si="19"/>
        <v>75</v>
      </c>
      <c r="BJ112" s="90">
        <f t="shared" si="22"/>
        <v>75</v>
      </c>
      <c r="BK112" s="90">
        <f t="shared" si="26"/>
        <v>75</v>
      </c>
      <c r="BL112" s="90">
        <f aca="true" t="shared" si="29" ref="BL112:BL127">BL111</f>
        <v>75</v>
      </c>
      <c r="BM112" s="90">
        <f>BM111</f>
        <v>75</v>
      </c>
      <c r="BN112" s="179">
        <v>75</v>
      </c>
      <c r="BO112" s="179">
        <f aca="true" t="shared" si="30" ref="BO112:CC112">70/(BO$102-1)+BO111</f>
        <v>68</v>
      </c>
      <c r="BP112" s="179">
        <f t="shared" si="30"/>
        <v>62.27272727272725</v>
      </c>
      <c r="BQ112" s="179">
        <f t="shared" si="30"/>
        <v>57.50000000000001</v>
      </c>
      <c r="BR112" s="179">
        <f t="shared" si="30"/>
        <v>53.461538461538474</v>
      </c>
      <c r="BS112" s="179">
        <f t="shared" si="30"/>
        <v>50</v>
      </c>
      <c r="BT112" s="179">
        <f t="shared" si="30"/>
        <v>47</v>
      </c>
      <c r="BU112" s="179">
        <f t="shared" si="30"/>
        <v>44.375</v>
      </c>
      <c r="BV112" s="179">
        <f t="shared" si="30"/>
        <v>42.05882352941176</v>
      </c>
      <c r="BW112" s="179">
        <f t="shared" si="30"/>
        <v>39.99999999999999</v>
      </c>
      <c r="BX112" s="179">
        <f t="shared" si="30"/>
        <v>38.157894736842096</v>
      </c>
      <c r="BY112" s="179">
        <f t="shared" si="30"/>
        <v>36.5</v>
      </c>
      <c r="BZ112" s="179">
        <f t="shared" si="30"/>
        <v>35</v>
      </c>
      <c r="CA112" s="179">
        <f t="shared" si="30"/>
        <v>33.636363636363626</v>
      </c>
      <c r="CB112" s="179">
        <f t="shared" si="30"/>
        <v>32.39130434782609</v>
      </c>
      <c r="CC112" s="179">
        <f t="shared" si="30"/>
        <v>31.250000000000004</v>
      </c>
    </row>
    <row r="113" spans="2:81" ht="11.25" customHeight="1">
      <c r="B113" s="20"/>
      <c r="C113" s="135"/>
      <c r="D113" s="4"/>
      <c r="E113" s="4"/>
      <c r="F113" s="4"/>
      <c r="G113" s="4"/>
      <c r="I113" s="86"/>
      <c r="J113" s="4"/>
      <c r="K113" s="4"/>
      <c r="L113" s="4"/>
      <c r="M113" s="4"/>
      <c r="N113" s="4"/>
      <c r="O113" s="192" t="str">
        <f>CONCATENATE("เหล็กปลอก ",D93,"-",G93," ",H93,"  มม.","@ ",H98*10," มม.")</f>
        <v>เหล็กปลอก 2-RB 9  มม.@ 200 มม.</v>
      </c>
      <c r="P113" s="4"/>
      <c r="Q113" s="4"/>
      <c r="R113" s="4"/>
      <c r="S113" s="4"/>
      <c r="T113" s="4"/>
      <c r="U113" s="136"/>
      <c r="V113" s="21"/>
      <c r="Y113" s="182">
        <f t="shared" si="0"/>
        <v>47</v>
      </c>
      <c r="Z113" s="183">
        <v>75</v>
      </c>
      <c r="AA113" s="183">
        <v>5</v>
      </c>
      <c r="AB113" s="90">
        <v>12</v>
      </c>
      <c r="AC113" s="90">
        <f t="shared" si="8"/>
        <v>47</v>
      </c>
      <c r="AD113" s="90">
        <f t="shared" si="11"/>
        <v>47</v>
      </c>
      <c r="AE113" s="90">
        <f t="shared" si="15"/>
        <v>47</v>
      </c>
      <c r="AF113" s="90">
        <f t="shared" si="18"/>
        <v>47</v>
      </c>
      <c r="AG113" s="90">
        <f t="shared" si="21"/>
        <v>47</v>
      </c>
      <c r="AH113" s="90">
        <f t="shared" si="24"/>
        <v>47</v>
      </c>
      <c r="AI113" s="90">
        <f t="shared" si="28"/>
        <v>47</v>
      </c>
      <c r="AJ113" s="90">
        <f aca="true" t="shared" si="31" ref="AJ113:AJ127">AJ112</f>
        <v>47</v>
      </c>
      <c r="AK113" s="90">
        <f>AK112</f>
        <v>47</v>
      </c>
      <c r="AL113" s="179">
        <v>47</v>
      </c>
      <c r="AM113" s="179">
        <f t="shared" si="5"/>
        <v>43</v>
      </c>
      <c r="AN113" s="179">
        <f t="shared" si="25"/>
        <v>39.666666666666664</v>
      </c>
      <c r="AO113" s="179">
        <f t="shared" si="25"/>
        <v>36.84615384615385</v>
      </c>
      <c r="AP113" s="179">
        <f t="shared" si="25"/>
        <v>34.42857142857142</v>
      </c>
      <c r="AQ113" s="179">
        <f t="shared" si="25"/>
        <v>32.333333333333336</v>
      </c>
      <c r="AR113" s="179">
        <f t="shared" si="25"/>
        <v>30.5</v>
      </c>
      <c r="AS113" s="179">
        <f t="shared" si="25"/>
        <v>28.882352941176475</v>
      </c>
      <c r="AT113" s="179">
        <f t="shared" si="25"/>
        <v>27.444444444444443</v>
      </c>
      <c r="AU113" s="179">
        <f t="shared" si="25"/>
        <v>26.15789473684211</v>
      </c>
      <c r="AV113" s="179">
        <f t="shared" si="12"/>
        <v>24.999999999999996</v>
      </c>
      <c r="AW113" s="179">
        <f t="shared" si="5"/>
        <v>23.95238095238095</v>
      </c>
      <c r="AX113" s="179">
        <f t="shared" si="5"/>
        <v>23</v>
      </c>
      <c r="AY113" s="179">
        <f t="shared" si="5"/>
        <v>22.1304347826087</v>
      </c>
      <c r="AZ113" s="179">
        <f t="shared" si="5"/>
        <v>21.333333333333332</v>
      </c>
      <c r="BA113" s="185"/>
      <c r="BB113" s="182">
        <v>3</v>
      </c>
      <c r="BC113" s="183">
        <v>47</v>
      </c>
      <c r="BD113" s="182">
        <f t="shared" si="6"/>
        <v>75</v>
      </c>
      <c r="BE113" s="90">
        <v>12</v>
      </c>
      <c r="BF113" s="90">
        <f t="shared" si="9"/>
        <v>75</v>
      </c>
      <c r="BG113" s="90">
        <f t="shared" si="13"/>
        <v>75</v>
      </c>
      <c r="BH113" s="90">
        <f t="shared" si="16"/>
        <v>75</v>
      </c>
      <c r="BI113" s="90">
        <f t="shared" si="19"/>
        <v>75</v>
      </c>
      <c r="BJ113" s="90">
        <f t="shared" si="22"/>
        <v>75</v>
      </c>
      <c r="BK113" s="90">
        <f t="shared" si="26"/>
        <v>75</v>
      </c>
      <c r="BL113" s="90">
        <f t="shared" si="29"/>
        <v>75</v>
      </c>
      <c r="BM113" s="90">
        <f aca="true" t="shared" si="32" ref="BM113:BM127">BM112</f>
        <v>75</v>
      </c>
      <c r="BN113" s="90">
        <f>BN112</f>
        <v>75</v>
      </c>
      <c r="BO113" s="179">
        <v>75</v>
      </c>
      <c r="BP113" s="179">
        <f aca="true" t="shared" si="33" ref="BP113:BV113">70/(BP$102-1)+BP112</f>
        <v>68.63636363636361</v>
      </c>
      <c r="BQ113" s="179">
        <f t="shared" si="33"/>
        <v>63.33333333333334</v>
      </c>
      <c r="BR113" s="179">
        <f t="shared" si="33"/>
        <v>58.84615384615386</v>
      </c>
      <c r="BS113" s="179">
        <f t="shared" si="33"/>
        <v>55</v>
      </c>
      <c r="BT113" s="179">
        <f t="shared" si="33"/>
        <v>51.666666666666664</v>
      </c>
      <c r="BU113" s="179">
        <f t="shared" si="33"/>
        <v>48.75</v>
      </c>
      <c r="BV113" s="179">
        <f t="shared" si="33"/>
        <v>46.17647058823529</v>
      </c>
      <c r="BW113" s="179">
        <f aca="true" t="shared" si="34" ref="BW113:BW120">70/(BW$102-1)+BW112</f>
        <v>43.88888888888888</v>
      </c>
      <c r="BX113" s="179">
        <f aca="true" t="shared" si="35" ref="BX113:BX120">70/(BX$102-1)+BX112</f>
        <v>41.84210526315788</v>
      </c>
      <c r="BY113" s="179">
        <f aca="true" t="shared" si="36" ref="BY113:BY120">70/(BY$102-1)+BY112</f>
        <v>40</v>
      </c>
      <c r="BZ113" s="179">
        <f aca="true" t="shared" si="37" ref="BZ113:BZ120">70/(BZ$102-1)+BZ112</f>
        <v>38.333333333333336</v>
      </c>
      <c r="CA113" s="179">
        <f aca="true" t="shared" si="38" ref="CA113:CA120">70/(CA$102-1)+CA112</f>
        <v>36.818181818181806</v>
      </c>
      <c r="CB113" s="179">
        <f aca="true" t="shared" si="39" ref="CB113:CB120">70/(CB$102-1)+CB112</f>
        <v>35.434782608695656</v>
      </c>
      <c r="CC113" s="179">
        <f aca="true" t="shared" si="40" ref="CC113:CC120">70/(CC$102-1)+CC112</f>
        <v>34.16666666666667</v>
      </c>
    </row>
    <row r="114" spans="2:81" ht="11.25" customHeight="1">
      <c r="B114" s="20"/>
      <c r="C114" s="135"/>
      <c r="D114" s="4"/>
      <c r="E114" s="4"/>
      <c r="F114" s="4"/>
      <c r="G114" s="4"/>
      <c r="H114" s="249" t="str">
        <f>K107</f>
        <v>20 ซม.</v>
      </c>
      <c r="I114" s="24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36"/>
      <c r="V114" s="21"/>
      <c r="Y114" s="182">
        <f t="shared" si="0"/>
        <v>47</v>
      </c>
      <c r="Z114" s="183">
        <v>75</v>
      </c>
      <c r="AA114" s="183">
        <v>5</v>
      </c>
      <c r="AB114" s="90">
        <v>13</v>
      </c>
      <c r="AC114" s="90">
        <f t="shared" si="8"/>
        <v>47</v>
      </c>
      <c r="AD114" s="90">
        <f t="shared" si="11"/>
        <v>47</v>
      </c>
      <c r="AE114" s="90">
        <f t="shared" si="15"/>
        <v>47</v>
      </c>
      <c r="AF114" s="90">
        <f t="shared" si="18"/>
        <v>47</v>
      </c>
      <c r="AG114" s="90">
        <f t="shared" si="21"/>
        <v>47</v>
      </c>
      <c r="AH114" s="90">
        <f t="shared" si="24"/>
        <v>47</v>
      </c>
      <c r="AI114" s="90">
        <f t="shared" si="28"/>
        <v>47</v>
      </c>
      <c r="AJ114" s="90">
        <f t="shared" si="31"/>
        <v>47</v>
      </c>
      <c r="AK114" s="90">
        <f aca="true" t="shared" si="41" ref="AK114:AK127">AK113</f>
        <v>47</v>
      </c>
      <c r="AL114" s="90">
        <f>AL113</f>
        <v>47</v>
      </c>
      <c r="AM114" s="179">
        <v>47</v>
      </c>
      <c r="AN114" s="179">
        <f t="shared" si="25"/>
        <v>43.33333333333333</v>
      </c>
      <c r="AO114" s="179">
        <f t="shared" si="25"/>
        <v>40.23076923076923</v>
      </c>
      <c r="AP114" s="179">
        <f t="shared" si="25"/>
        <v>37.57142857142857</v>
      </c>
      <c r="AQ114" s="179">
        <f t="shared" si="25"/>
        <v>35.266666666666666</v>
      </c>
      <c r="AR114" s="179">
        <f t="shared" si="25"/>
        <v>33.25</v>
      </c>
      <c r="AS114" s="179">
        <f t="shared" si="25"/>
        <v>31.470588235294123</v>
      </c>
      <c r="AT114" s="179">
        <f t="shared" si="25"/>
        <v>29.888888888888886</v>
      </c>
      <c r="AU114" s="179">
        <f t="shared" si="25"/>
        <v>28.473684210526322</v>
      </c>
      <c r="AV114" s="179">
        <f t="shared" si="12"/>
        <v>27.199999999999996</v>
      </c>
      <c r="AW114" s="179">
        <f aca="true" t="shared" si="42" ref="AW114:AZ123">(44/(AW$102-1))+AW113</f>
        <v>26.047619047619044</v>
      </c>
      <c r="AX114" s="179">
        <f t="shared" si="42"/>
        <v>25</v>
      </c>
      <c r="AY114" s="179">
        <f t="shared" si="42"/>
        <v>24.04347826086957</v>
      </c>
      <c r="AZ114" s="179">
        <f t="shared" si="42"/>
        <v>23.166666666666664</v>
      </c>
      <c r="BA114" s="185"/>
      <c r="BB114" s="182">
        <v>3</v>
      </c>
      <c r="BC114" s="183">
        <v>47</v>
      </c>
      <c r="BD114" s="182">
        <f t="shared" si="6"/>
        <v>75</v>
      </c>
      <c r="BE114" s="90">
        <v>13</v>
      </c>
      <c r="BF114" s="90">
        <f t="shared" si="9"/>
        <v>75</v>
      </c>
      <c r="BG114" s="90">
        <f t="shared" si="13"/>
        <v>75</v>
      </c>
      <c r="BH114" s="90">
        <f t="shared" si="16"/>
        <v>75</v>
      </c>
      <c r="BI114" s="90">
        <f t="shared" si="19"/>
        <v>75</v>
      </c>
      <c r="BJ114" s="90">
        <f t="shared" si="22"/>
        <v>75</v>
      </c>
      <c r="BK114" s="90">
        <f t="shared" si="26"/>
        <v>75</v>
      </c>
      <c r="BL114" s="90">
        <f t="shared" si="29"/>
        <v>75</v>
      </c>
      <c r="BM114" s="90">
        <f t="shared" si="32"/>
        <v>75</v>
      </c>
      <c r="BN114" s="90">
        <f aca="true" t="shared" si="43" ref="BN114:BN127">BN113</f>
        <v>75</v>
      </c>
      <c r="BO114" s="90">
        <f>BO113</f>
        <v>75</v>
      </c>
      <c r="BP114" s="179">
        <v>75</v>
      </c>
      <c r="BQ114" s="179">
        <f aca="true" t="shared" si="44" ref="BQ114:BV114">70/(BQ$102-1)+BQ113</f>
        <v>69.16666666666667</v>
      </c>
      <c r="BR114" s="179">
        <f t="shared" si="44"/>
        <v>64.23076923076924</v>
      </c>
      <c r="BS114" s="179">
        <f t="shared" si="44"/>
        <v>60</v>
      </c>
      <c r="BT114" s="179">
        <f t="shared" si="44"/>
        <v>56.33333333333333</v>
      </c>
      <c r="BU114" s="179">
        <f t="shared" si="44"/>
        <v>53.125</v>
      </c>
      <c r="BV114" s="179">
        <f t="shared" si="44"/>
        <v>50.29411764705882</v>
      </c>
      <c r="BW114" s="179">
        <f t="shared" si="34"/>
        <v>47.777777777777764</v>
      </c>
      <c r="BX114" s="179">
        <f t="shared" si="35"/>
        <v>45.52631578947367</v>
      </c>
      <c r="BY114" s="179">
        <f t="shared" si="36"/>
        <v>43.5</v>
      </c>
      <c r="BZ114" s="179">
        <f t="shared" si="37"/>
        <v>41.66666666666667</v>
      </c>
      <c r="CA114" s="179">
        <f t="shared" si="38"/>
        <v>39.999999999999986</v>
      </c>
      <c r="CB114" s="179">
        <f t="shared" si="39"/>
        <v>38.47826086956522</v>
      </c>
      <c r="CC114" s="179">
        <f t="shared" si="40"/>
        <v>37.083333333333336</v>
      </c>
    </row>
    <row r="115" spans="2:81" ht="11.25" customHeight="1">
      <c r="B115" s="20"/>
      <c r="C115" s="13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36"/>
      <c r="V115" s="21"/>
      <c r="Y115" s="182">
        <f t="shared" si="0"/>
        <v>47</v>
      </c>
      <c r="Z115" s="183">
        <v>75</v>
      </c>
      <c r="AA115" s="183">
        <v>5</v>
      </c>
      <c r="AB115" s="90">
        <v>14</v>
      </c>
      <c r="AC115" s="90">
        <f t="shared" si="8"/>
        <v>47</v>
      </c>
      <c r="AD115" s="90">
        <f t="shared" si="11"/>
        <v>47</v>
      </c>
      <c r="AE115" s="90">
        <f t="shared" si="15"/>
        <v>47</v>
      </c>
      <c r="AF115" s="90">
        <f t="shared" si="18"/>
        <v>47</v>
      </c>
      <c r="AG115" s="90">
        <f t="shared" si="21"/>
        <v>47</v>
      </c>
      <c r="AH115" s="90">
        <f t="shared" si="24"/>
        <v>47</v>
      </c>
      <c r="AI115" s="90">
        <f t="shared" si="28"/>
        <v>47</v>
      </c>
      <c r="AJ115" s="90">
        <f t="shared" si="31"/>
        <v>47</v>
      </c>
      <c r="AK115" s="90">
        <f t="shared" si="41"/>
        <v>47</v>
      </c>
      <c r="AL115" s="90">
        <f aca="true" t="shared" si="45" ref="AL115:AL127">AL114</f>
        <v>47</v>
      </c>
      <c r="AM115" s="90">
        <f>AM114</f>
        <v>47</v>
      </c>
      <c r="AN115" s="179">
        <v>47</v>
      </c>
      <c r="AO115" s="179">
        <f aca="true" t="shared" si="46" ref="AO115:AU115">(44/(AO$102-1))+AO114</f>
        <v>43.61538461538462</v>
      </c>
      <c r="AP115" s="179">
        <f t="shared" si="46"/>
        <v>40.714285714285715</v>
      </c>
      <c r="AQ115" s="179">
        <f t="shared" si="46"/>
        <v>38.199999999999996</v>
      </c>
      <c r="AR115" s="179">
        <f t="shared" si="46"/>
        <v>36</v>
      </c>
      <c r="AS115" s="179">
        <f t="shared" si="46"/>
        <v>34.05882352941177</v>
      </c>
      <c r="AT115" s="179">
        <f t="shared" si="46"/>
        <v>32.33333333333333</v>
      </c>
      <c r="AU115" s="179">
        <f t="shared" si="46"/>
        <v>30.789473684210535</v>
      </c>
      <c r="AV115" s="179">
        <f t="shared" si="12"/>
        <v>29.399999999999995</v>
      </c>
      <c r="AW115" s="179">
        <f t="shared" si="42"/>
        <v>28.14285714285714</v>
      </c>
      <c r="AX115" s="179">
        <f t="shared" si="42"/>
        <v>27</v>
      </c>
      <c r="AY115" s="179">
        <f t="shared" si="42"/>
        <v>25.95652173913044</v>
      </c>
      <c r="AZ115" s="179">
        <f t="shared" si="42"/>
        <v>24.999999999999996</v>
      </c>
      <c r="BA115" s="185"/>
      <c r="BB115" s="182">
        <v>3</v>
      </c>
      <c r="BC115" s="183">
        <v>47</v>
      </c>
      <c r="BD115" s="182">
        <f t="shared" si="6"/>
        <v>75</v>
      </c>
      <c r="BE115" s="90">
        <v>14</v>
      </c>
      <c r="BF115" s="90">
        <f t="shared" si="9"/>
        <v>75</v>
      </c>
      <c r="BG115" s="90">
        <f t="shared" si="13"/>
        <v>75</v>
      </c>
      <c r="BH115" s="90">
        <f t="shared" si="16"/>
        <v>75</v>
      </c>
      <c r="BI115" s="90">
        <f t="shared" si="19"/>
        <v>75</v>
      </c>
      <c r="BJ115" s="90">
        <f t="shared" si="22"/>
        <v>75</v>
      </c>
      <c r="BK115" s="90">
        <f t="shared" si="26"/>
        <v>75</v>
      </c>
      <c r="BL115" s="90">
        <f t="shared" si="29"/>
        <v>75</v>
      </c>
      <c r="BM115" s="90">
        <f t="shared" si="32"/>
        <v>75</v>
      </c>
      <c r="BN115" s="90">
        <f t="shared" si="43"/>
        <v>75</v>
      </c>
      <c r="BO115" s="90">
        <f aca="true" t="shared" si="47" ref="BO115:BO127">BO114</f>
        <v>75</v>
      </c>
      <c r="BP115" s="90">
        <f>BP114</f>
        <v>75</v>
      </c>
      <c r="BQ115" s="179">
        <v>75</v>
      </c>
      <c r="BR115" s="179">
        <f>70/(BR$102-1)+BR114</f>
        <v>69.61538461538463</v>
      </c>
      <c r="BS115" s="179">
        <f>70/(BS$102-1)+BS114</f>
        <v>65</v>
      </c>
      <c r="BT115" s="179">
        <f>70/(BT$102-1)+BT114</f>
        <v>60.99999999999999</v>
      </c>
      <c r="BU115" s="179">
        <f>70/(BU$102-1)+BU114</f>
        <v>57.5</v>
      </c>
      <c r="BV115" s="179">
        <f>70/(BV$102-1)+BV114</f>
        <v>54.41176470588235</v>
      </c>
      <c r="BW115" s="179">
        <f t="shared" si="34"/>
        <v>51.66666666666665</v>
      </c>
      <c r="BX115" s="179">
        <f t="shared" si="35"/>
        <v>49.21052631578946</v>
      </c>
      <c r="BY115" s="179">
        <f t="shared" si="36"/>
        <v>47</v>
      </c>
      <c r="BZ115" s="179">
        <f t="shared" si="37"/>
        <v>45.00000000000001</v>
      </c>
      <c r="CA115" s="179">
        <f t="shared" si="38"/>
        <v>43.181818181818166</v>
      </c>
      <c r="CB115" s="179">
        <f t="shared" si="39"/>
        <v>41.52173913043478</v>
      </c>
      <c r="CC115" s="179">
        <f t="shared" si="40"/>
        <v>40</v>
      </c>
    </row>
    <row r="116" spans="2:81" ht="11.25" customHeight="1">
      <c r="B116" s="20"/>
      <c r="C116" s="13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36"/>
      <c r="V116" s="21"/>
      <c r="Y116" s="182">
        <f t="shared" si="0"/>
        <v>47</v>
      </c>
      <c r="Z116" s="183">
        <v>75</v>
      </c>
      <c r="AA116" s="183">
        <v>5</v>
      </c>
      <c r="AB116" s="90">
        <v>15</v>
      </c>
      <c r="AC116" s="90">
        <f t="shared" si="8"/>
        <v>47</v>
      </c>
      <c r="AD116" s="90">
        <f t="shared" si="11"/>
        <v>47</v>
      </c>
      <c r="AE116" s="90">
        <f t="shared" si="15"/>
        <v>47</v>
      </c>
      <c r="AF116" s="90">
        <f t="shared" si="18"/>
        <v>47</v>
      </c>
      <c r="AG116" s="90">
        <f t="shared" si="21"/>
        <v>47</v>
      </c>
      <c r="AH116" s="90">
        <f t="shared" si="24"/>
        <v>47</v>
      </c>
      <c r="AI116" s="90">
        <f t="shared" si="28"/>
        <v>47</v>
      </c>
      <c r="AJ116" s="90">
        <f t="shared" si="31"/>
        <v>47</v>
      </c>
      <c r="AK116" s="90">
        <f t="shared" si="41"/>
        <v>47</v>
      </c>
      <c r="AL116" s="90">
        <f t="shared" si="45"/>
        <v>47</v>
      </c>
      <c r="AM116" s="90">
        <f aca="true" t="shared" si="48" ref="AM116:AM127">AM115</f>
        <v>47</v>
      </c>
      <c r="AN116" s="90">
        <f>AN115</f>
        <v>47</v>
      </c>
      <c r="AO116" s="179">
        <v>47</v>
      </c>
      <c r="AP116" s="179">
        <f aca="true" t="shared" si="49" ref="AP116:AU116">(44/(AP$102-1))+AP115</f>
        <v>43.85714285714286</v>
      </c>
      <c r="AQ116" s="179">
        <f t="shared" si="49"/>
        <v>41.133333333333326</v>
      </c>
      <c r="AR116" s="179">
        <f t="shared" si="49"/>
        <v>38.75</v>
      </c>
      <c r="AS116" s="179">
        <f t="shared" si="49"/>
        <v>36.64705882352941</v>
      </c>
      <c r="AT116" s="179">
        <f t="shared" si="49"/>
        <v>34.77777777777777</v>
      </c>
      <c r="AU116" s="179">
        <f t="shared" si="49"/>
        <v>33.10526315789475</v>
      </c>
      <c r="AV116" s="179">
        <f t="shared" si="12"/>
        <v>31.599999999999994</v>
      </c>
      <c r="AW116" s="179">
        <f t="shared" si="42"/>
        <v>30.238095238095234</v>
      </c>
      <c r="AX116" s="179">
        <f t="shared" si="42"/>
        <v>29</v>
      </c>
      <c r="AY116" s="179">
        <f t="shared" si="42"/>
        <v>27.86956521739131</v>
      </c>
      <c r="AZ116" s="179">
        <f t="shared" si="42"/>
        <v>26.83333333333333</v>
      </c>
      <c r="BA116" s="185"/>
      <c r="BB116" s="182">
        <v>3</v>
      </c>
      <c r="BC116" s="183">
        <v>47</v>
      </c>
      <c r="BD116" s="182">
        <f t="shared" si="6"/>
        <v>75</v>
      </c>
      <c r="BE116" s="90">
        <v>15</v>
      </c>
      <c r="BF116" s="90">
        <f t="shared" si="9"/>
        <v>75</v>
      </c>
      <c r="BG116" s="90">
        <f t="shared" si="13"/>
        <v>75</v>
      </c>
      <c r="BH116" s="90">
        <f t="shared" si="16"/>
        <v>75</v>
      </c>
      <c r="BI116" s="90">
        <f t="shared" si="19"/>
        <v>75</v>
      </c>
      <c r="BJ116" s="90">
        <f t="shared" si="22"/>
        <v>75</v>
      </c>
      <c r="BK116" s="90">
        <f t="shared" si="26"/>
        <v>75</v>
      </c>
      <c r="BL116" s="90">
        <f t="shared" si="29"/>
        <v>75</v>
      </c>
      <c r="BM116" s="90">
        <f t="shared" si="32"/>
        <v>75</v>
      </c>
      <c r="BN116" s="90">
        <f t="shared" si="43"/>
        <v>75</v>
      </c>
      <c r="BO116" s="90">
        <f t="shared" si="47"/>
        <v>75</v>
      </c>
      <c r="BP116" s="90">
        <f aca="true" t="shared" si="50" ref="BP116:BV127">BP115</f>
        <v>75</v>
      </c>
      <c r="BQ116" s="90">
        <f>BQ115</f>
        <v>75</v>
      </c>
      <c r="BR116" s="179">
        <v>75</v>
      </c>
      <c r="BS116" s="179">
        <f>70/(BS$102-1)+BS115</f>
        <v>70</v>
      </c>
      <c r="BT116" s="179">
        <f>70/(BT$102-1)+BT115</f>
        <v>65.66666666666666</v>
      </c>
      <c r="BU116" s="179">
        <f>70/(BU$102-1)+BU115</f>
        <v>61.875</v>
      </c>
      <c r="BV116" s="179">
        <f>70/(BV$102-1)+BV115</f>
        <v>58.52941176470588</v>
      </c>
      <c r="BW116" s="179">
        <f t="shared" si="34"/>
        <v>55.555555555555536</v>
      </c>
      <c r="BX116" s="179">
        <f t="shared" si="35"/>
        <v>52.894736842105246</v>
      </c>
      <c r="BY116" s="179">
        <f t="shared" si="36"/>
        <v>50.5</v>
      </c>
      <c r="BZ116" s="179">
        <f t="shared" si="37"/>
        <v>48.33333333333334</v>
      </c>
      <c r="CA116" s="179">
        <f t="shared" si="38"/>
        <v>46.363636363636346</v>
      </c>
      <c r="CB116" s="179">
        <f t="shared" si="39"/>
        <v>44.565217391304344</v>
      </c>
      <c r="CC116" s="179">
        <f t="shared" si="40"/>
        <v>42.916666666666664</v>
      </c>
    </row>
    <row r="117" spans="2:81" ht="11.25" customHeight="1">
      <c r="B117" s="20"/>
      <c r="C117" s="13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36"/>
      <c r="V117" s="21"/>
      <c r="Y117" s="182">
        <f t="shared" si="0"/>
        <v>47</v>
      </c>
      <c r="Z117" s="183">
        <v>75</v>
      </c>
      <c r="AA117" s="183">
        <v>5</v>
      </c>
      <c r="AB117" s="90">
        <v>16</v>
      </c>
      <c r="AC117" s="90">
        <f t="shared" si="8"/>
        <v>47</v>
      </c>
      <c r="AD117" s="90">
        <f t="shared" si="11"/>
        <v>47</v>
      </c>
      <c r="AE117" s="90">
        <f t="shared" si="15"/>
        <v>47</v>
      </c>
      <c r="AF117" s="90">
        <f t="shared" si="18"/>
        <v>47</v>
      </c>
      <c r="AG117" s="90">
        <f t="shared" si="21"/>
        <v>47</v>
      </c>
      <c r="AH117" s="90">
        <f t="shared" si="24"/>
        <v>47</v>
      </c>
      <c r="AI117" s="90">
        <f t="shared" si="28"/>
        <v>47</v>
      </c>
      <c r="AJ117" s="90">
        <f t="shared" si="31"/>
        <v>47</v>
      </c>
      <c r="AK117" s="90">
        <f t="shared" si="41"/>
        <v>47</v>
      </c>
      <c r="AL117" s="90">
        <f t="shared" si="45"/>
        <v>47</v>
      </c>
      <c r="AM117" s="90">
        <f t="shared" si="48"/>
        <v>47</v>
      </c>
      <c r="AN117" s="90">
        <f aca="true" t="shared" si="51" ref="AN117:AN127">AN116</f>
        <v>47</v>
      </c>
      <c r="AO117" s="90">
        <f>AO116</f>
        <v>47</v>
      </c>
      <c r="AP117" s="179">
        <v>47</v>
      </c>
      <c r="AQ117" s="179">
        <f>(44/(AQ$102-1))+AQ116</f>
        <v>44.066666666666656</v>
      </c>
      <c r="AR117" s="179">
        <f>(44/(AR$102-1))+AR116</f>
        <v>41.5</v>
      </c>
      <c r="AS117" s="179">
        <f>(44/(AS$102-1))+AS116</f>
        <v>39.23529411764706</v>
      </c>
      <c r="AT117" s="179">
        <f>(44/(AT$102-1))+AT116</f>
        <v>37.222222222222214</v>
      </c>
      <c r="AU117" s="179">
        <f>(44/(AU$102-1))+AU116</f>
        <v>35.42105263157896</v>
      </c>
      <c r="AV117" s="179">
        <f t="shared" si="12"/>
        <v>33.8</v>
      </c>
      <c r="AW117" s="179">
        <f t="shared" si="42"/>
        <v>32.33333333333333</v>
      </c>
      <c r="AX117" s="179">
        <f t="shared" si="42"/>
        <v>31</v>
      </c>
      <c r="AY117" s="179">
        <f t="shared" si="42"/>
        <v>29.782608695652183</v>
      </c>
      <c r="AZ117" s="179">
        <f t="shared" si="42"/>
        <v>28.66666666666666</v>
      </c>
      <c r="BA117" s="185"/>
      <c r="BB117" s="182">
        <v>3</v>
      </c>
      <c r="BC117" s="183">
        <v>47</v>
      </c>
      <c r="BD117" s="182">
        <f t="shared" si="6"/>
        <v>75</v>
      </c>
      <c r="BE117" s="90">
        <v>16</v>
      </c>
      <c r="BF117" s="90">
        <f t="shared" si="9"/>
        <v>75</v>
      </c>
      <c r="BG117" s="90">
        <f t="shared" si="13"/>
        <v>75</v>
      </c>
      <c r="BH117" s="90">
        <f t="shared" si="16"/>
        <v>75</v>
      </c>
      <c r="BI117" s="90">
        <f t="shared" si="19"/>
        <v>75</v>
      </c>
      <c r="BJ117" s="90">
        <f t="shared" si="22"/>
        <v>75</v>
      </c>
      <c r="BK117" s="90">
        <f t="shared" si="26"/>
        <v>75</v>
      </c>
      <c r="BL117" s="90">
        <f t="shared" si="29"/>
        <v>75</v>
      </c>
      <c r="BM117" s="90">
        <f t="shared" si="32"/>
        <v>75</v>
      </c>
      <c r="BN117" s="90">
        <f t="shared" si="43"/>
        <v>75</v>
      </c>
      <c r="BO117" s="90">
        <f t="shared" si="47"/>
        <v>75</v>
      </c>
      <c r="BP117" s="90">
        <f t="shared" si="50"/>
        <v>75</v>
      </c>
      <c r="BQ117" s="90">
        <f t="shared" si="50"/>
        <v>75</v>
      </c>
      <c r="BR117" s="90">
        <f>BR116</f>
        <v>75</v>
      </c>
      <c r="BS117" s="179">
        <v>75</v>
      </c>
      <c r="BT117" s="179">
        <f>70/(BT$102-1)+BT116</f>
        <v>70.33333333333333</v>
      </c>
      <c r="BU117" s="179">
        <f>70/(BU$102-1)+BU116</f>
        <v>66.25</v>
      </c>
      <c r="BV117" s="179">
        <f>70/(BV$102-1)+BV116</f>
        <v>62.647058823529406</v>
      </c>
      <c r="BW117" s="179">
        <f t="shared" si="34"/>
        <v>59.44444444444442</v>
      </c>
      <c r="BX117" s="179">
        <f t="shared" si="35"/>
        <v>56.578947368421034</v>
      </c>
      <c r="BY117" s="179">
        <f t="shared" si="36"/>
        <v>54</v>
      </c>
      <c r="BZ117" s="179">
        <f t="shared" si="37"/>
        <v>51.66666666666668</v>
      </c>
      <c r="CA117" s="179">
        <f t="shared" si="38"/>
        <v>49.545454545454525</v>
      </c>
      <c r="CB117" s="179">
        <f t="shared" si="39"/>
        <v>47.60869565217391</v>
      </c>
      <c r="CC117" s="179">
        <f t="shared" si="40"/>
        <v>45.83333333333333</v>
      </c>
    </row>
    <row r="118" spans="2:81" ht="11.25" customHeight="1">
      <c r="B118" s="20"/>
      <c r="C118" s="13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36"/>
      <c r="V118" s="21"/>
      <c r="Y118" s="182">
        <f t="shared" si="0"/>
        <v>47</v>
      </c>
      <c r="Z118" s="183">
        <v>75</v>
      </c>
      <c r="AA118" s="183">
        <v>5</v>
      </c>
      <c r="AB118" s="90">
        <v>17</v>
      </c>
      <c r="AC118" s="90">
        <f t="shared" si="8"/>
        <v>47</v>
      </c>
      <c r="AD118" s="90">
        <f t="shared" si="11"/>
        <v>47</v>
      </c>
      <c r="AE118" s="90">
        <f t="shared" si="15"/>
        <v>47</v>
      </c>
      <c r="AF118" s="90">
        <f t="shared" si="18"/>
        <v>47</v>
      </c>
      <c r="AG118" s="90">
        <f t="shared" si="21"/>
        <v>47</v>
      </c>
      <c r="AH118" s="90">
        <f t="shared" si="24"/>
        <v>47</v>
      </c>
      <c r="AI118" s="90">
        <f t="shared" si="28"/>
        <v>47</v>
      </c>
      <c r="AJ118" s="90">
        <f t="shared" si="31"/>
        <v>47</v>
      </c>
      <c r="AK118" s="90">
        <f t="shared" si="41"/>
        <v>47</v>
      </c>
      <c r="AL118" s="90">
        <f t="shared" si="45"/>
        <v>47</v>
      </c>
      <c r="AM118" s="90">
        <f t="shared" si="48"/>
        <v>47</v>
      </c>
      <c r="AN118" s="90">
        <f t="shared" si="51"/>
        <v>47</v>
      </c>
      <c r="AO118" s="90">
        <f aca="true" t="shared" si="52" ref="AO118:AO127">AO117</f>
        <v>47</v>
      </c>
      <c r="AP118" s="90">
        <f>AP117</f>
        <v>47</v>
      </c>
      <c r="AQ118" s="179">
        <v>47</v>
      </c>
      <c r="AR118" s="179">
        <f>(44/(AR$102-1))+AR117</f>
        <v>44.25</v>
      </c>
      <c r="AS118" s="179">
        <f>(44/(AS$102-1))+AS117</f>
        <v>41.8235294117647</v>
      </c>
      <c r="AT118" s="179">
        <f>(44/(AT$102-1))+AT117</f>
        <v>39.66666666666666</v>
      </c>
      <c r="AU118" s="179">
        <f>(44/(AU$102-1))+AU117</f>
        <v>37.73684210526317</v>
      </c>
      <c r="AV118" s="179">
        <f t="shared" si="12"/>
        <v>36</v>
      </c>
      <c r="AW118" s="179">
        <f t="shared" si="42"/>
        <v>34.42857142857142</v>
      </c>
      <c r="AX118" s="179">
        <f t="shared" si="42"/>
        <v>33</v>
      </c>
      <c r="AY118" s="179">
        <f t="shared" si="42"/>
        <v>31.695652173913054</v>
      </c>
      <c r="AZ118" s="179">
        <f t="shared" si="42"/>
        <v>30.499999999999993</v>
      </c>
      <c r="BA118" s="185"/>
      <c r="BB118" s="182">
        <v>3</v>
      </c>
      <c r="BC118" s="183">
        <v>47</v>
      </c>
      <c r="BD118" s="182">
        <f t="shared" si="6"/>
        <v>75</v>
      </c>
      <c r="BE118" s="90">
        <v>17</v>
      </c>
      <c r="BF118" s="90">
        <f t="shared" si="9"/>
        <v>75</v>
      </c>
      <c r="BG118" s="90">
        <f t="shared" si="13"/>
        <v>75</v>
      </c>
      <c r="BH118" s="90">
        <f t="shared" si="16"/>
        <v>75</v>
      </c>
      <c r="BI118" s="90">
        <f t="shared" si="19"/>
        <v>75</v>
      </c>
      <c r="BJ118" s="90">
        <f t="shared" si="22"/>
        <v>75</v>
      </c>
      <c r="BK118" s="90">
        <f t="shared" si="26"/>
        <v>75</v>
      </c>
      <c r="BL118" s="90">
        <f t="shared" si="29"/>
        <v>75</v>
      </c>
      <c r="BM118" s="90">
        <f t="shared" si="32"/>
        <v>75</v>
      </c>
      <c r="BN118" s="90">
        <f t="shared" si="43"/>
        <v>75</v>
      </c>
      <c r="BO118" s="90">
        <f t="shared" si="47"/>
        <v>75</v>
      </c>
      <c r="BP118" s="90">
        <f t="shared" si="50"/>
        <v>75</v>
      </c>
      <c r="BQ118" s="90">
        <f t="shared" si="50"/>
        <v>75</v>
      </c>
      <c r="BR118" s="90">
        <f t="shared" si="50"/>
        <v>75</v>
      </c>
      <c r="BS118" s="90">
        <f>BS117</f>
        <v>75</v>
      </c>
      <c r="BT118" s="179">
        <v>75</v>
      </c>
      <c r="BU118" s="179">
        <f>70/(BU$102-1)+BU117</f>
        <v>70.625</v>
      </c>
      <c r="BV118" s="179">
        <f>70/(BV$102-1)+BV117</f>
        <v>66.76470588235293</v>
      </c>
      <c r="BW118" s="179">
        <f t="shared" si="34"/>
        <v>63.33333333333331</v>
      </c>
      <c r="BX118" s="179">
        <f t="shared" si="35"/>
        <v>60.26315789473682</v>
      </c>
      <c r="BY118" s="179">
        <f t="shared" si="36"/>
        <v>57.5</v>
      </c>
      <c r="BZ118" s="179">
        <f t="shared" si="37"/>
        <v>55.000000000000014</v>
      </c>
      <c r="CA118" s="179">
        <f t="shared" si="38"/>
        <v>52.727272727272705</v>
      </c>
      <c r="CB118" s="179">
        <f t="shared" si="39"/>
        <v>50.65217391304347</v>
      </c>
      <c r="CC118" s="179">
        <f t="shared" si="40"/>
        <v>48.74999999999999</v>
      </c>
    </row>
    <row r="119" spans="2:81" ht="11.25" customHeight="1">
      <c r="B119" s="20"/>
      <c r="C119" s="13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36"/>
      <c r="V119" s="21"/>
      <c r="Y119" s="182">
        <f t="shared" si="0"/>
        <v>47</v>
      </c>
      <c r="Z119" s="183">
        <v>75</v>
      </c>
      <c r="AA119" s="183">
        <v>5</v>
      </c>
      <c r="AB119" s="90">
        <v>18</v>
      </c>
      <c r="AC119" s="90">
        <f t="shared" si="8"/>
        <v>47</v>
      </c>
      <c r="AD119" s="90">
        <f t="shared" si="11"/>
        <v>47</v>
      </c>
      <c r="AE119" s="90">
        <f t="shared" si="15"/>
        <v>47</v>
      </c>
      <c r="AF119" s="90">
        <f t="shared" si="18"/>
        <v>47</v>
      </c>
      <c r="AG119" s="90">
        <f t="shared" si="21"/>
        <v>47</v>
      </c>
      <c r="AH119" s="90">
        <f t="shared" si="24"/>
        <v>47</v>
      </c>
      <c r="AI119" s="90">
        <f t="shared" si="28"/>
        <v>47</v>
      </c>
      <c r="AJ119" s="90">
        <f t="shared" si="31"/>
        <v>47</v>
      </c>
      <c r="AK119" s="90">
        <f t="shared" si="41"/>
        <v>47</v>
      </c>
      <c r="AL119" s="90">
        <f t="shared" si="45"/>
        <v>47</v>
      </c>
      <c r="AM119" s="90">
        <f t="shared" si="48"/>
        <v>47</v>
      </c>
      <c r="AN119" s="90">
        <f t="shared" si="51"/>
        <v>47</v>
      </c>
      <c r="AO119" s="90">
        <f t="shared" si="52"/>
        <v>47</v>
      </c>
      <c r="AP119" s="90">
        <f aca="true" t="shared" si="53" ref="AP119:AP127">AP118</f>
        <v>47</v>
      </c>
      <c r="AQ119" s="90">
        <f>AQ118</f>
        <v>47</v>
      </c>
      <c r="AR119" s="179">
        <v>47</v>
      </c>
      <c r="AS119" s="179">
        <f>(44/(AS$102-1))+AS118</f>
        <v>44.41176470588235</v>
      </c>
      <c r="AT119" s="179">
        <f>(44/(AT$102-1))+AT118</f>
        <v>42.1111111111111</v>
      </c>
      <c r="AU119" s="179">
        <f>(44/(AU$102-1))+AU118</f>
        <v>40.052631578947384</v>
      </c>
      <c r="AV119" s="179">
        <f t="shared" si="12"/>
        <v>38.2</v>
      </c>
      <c r="AW119" s="179">
        <f t="shared" si="42"/>
        <v>36.52380952380952</v>
      </c>
      <c r="AX119" s="179">
        <f t="shared" si="42"/>
        <v>35</v>
      </c>
      <c r="AY119" s="179">
        <f t="shared" si="42"/>
        <v>33.60869565217392</v>
      </c>
      <c r="AZ119" s="179">
        <f t="shared" si="42"/>
        <v>32.33333333333333</v>
      </c>
      <c r="BA119" s="185"/>
      <c r="BB119" s="182">
        <v>3</v>
      </c>
      <c r="BC119" s="183">
        <v>47</v>
      </c>
      <c r="BD119" s="182">
        <f t="shared" si="6"/>
        <v>75</v>
      </c>
      <c r="BE119" s="90">
        <v>18</v>
      </c>
      <c r="BF119" s="90">
        <f t="shared" si="9"/>
        <v>75</v>
      </c>
      <c r="BG119" s="90">
        <f t="shared" si="13"/>
        <v>75</v>
      </c>
      <c r="BH119" s="90">
        <f t="shared" si="16"/>
        <v>75</v>
      </c>
      <c r="BI119" s="90">
        <f t="shared" si="19"/>
        <v>75</v>
      </c>
      <c r="BJ119" s="90">
        <f t="shared" si="22"/>
        <v>75</v>
      </c>
      <c r="BK119" s="90">
        <f t="shared" si="26"/>
        <v>75</v>
      </c>
      <c r="BL119" s="90">
        <f t="shared" si="29"/>
        <v>75</v>
      </c>
      <c r="BM119" s="90">
        <f t="shared" si="32"/>
        <v>75</v>
      </c>
      <c r="BN119" s="90">
        <f t="shared" si="43"/>
        <v>75</v>
      </c>
      <c r="BO119" s="90">
        <f t="shared" si="47"/>
        <v>75</v>
      </c>
      <c r="BP119" s="90">
        <f t="shared" si="50"/>
        <v>75</v>
      </c>
      <c r="BQ119" s="90">
        <f t="shared" si="50"/>
        <v>75</v>
      </c>
      <c r="BR119" s="90">
        <f t="shared" si="50"/>
        <v>75</v>
      </c>
      <c r="BS119" s="90">
        <f t="shared" si="50"/>
        <v>75</v>
      </c>
      <c r="BT119" s="90">
        <f>BT118</f>
        <v>75</v>
      </c>
      <c r="BU119" s="179">
        <v>75</v>
      </c>
      <c r="BV119" s="179">
        <f>70/(BV$102-1)+BV118</f>
        <v>70.88235294117646</v>
      </c>
      <c r="BW119" s="179">
        <f t="shared" si="34"/>
        <v>67.2222222222222</v>
      </c>
      <c r="BX119" s="179">
        <f t="shared" si="35"/>
        <v>63.94736842105261</v>
      </c>
      <c r="BY119" s="179">
        <f t="shared" si="36"/>
        <v>61</v>
      </c>
      <c r="BZ119" s="179">
        <f t="shared" si="37"/>
        <v>58.33333333333335</v>
      </c>
      <c r="CA119" s="179">
        <f t="shared" si="38"/>
        <v>55.909090909090885</v>
      </c>
      <c r="CB119" s="179">
        <f t="shared" si="39"/>
        <v>53.69565217391303</v>
      </c>
      <c r="CC119" s="179">
        <f t="shared" si="40"/>
        <v>51.66666666666666</v>
      </c>
    </row>
    <row r="120" spans="2:81" ht="11.25" customHeight="1">
      <c r="B120" s="20"/>
      <c r="C120" s="13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5"/>
      <c r="P120" s="4"/>
      <c r="Q120" s="4"/>
      <c r="R120" s="4"/>
      <c r="S120" s="4"/>
      <c r="T120" s="4"/>
      <c r="U120" s="136"/>
      <c r="V120" s="21"/>
      <c r="Y120" s="182">
        <f t="shared" si="0"/>
        <v>47</v>
      </c>
      <c r="Z120" s="183">
        <v>75</v>
      </c>
      <c r="AA120" s="183">
        <v>5</v>
      </c>
      <c r="AB120" s="90">
        <v>19</v>
      </c>
      <c r="AC120" s="90">
        <f t="shared" si="8"/>
        <v>47</v>
      </c>
      <c r="AD120" s="90">
        <f t="shared" si="11"/>
        <v>47</v>
      </c>
      <c r="AE120" s="90">
        <f t="shared" si="15"/>
        <v>47</v>
      </c>
      <c r="AF120" s="90">
        <f t="shared" si="18"/>
        <v>47</v>
      </c>
      <c r="AG120" s="90">
        <f t="shared" si="21"/>
        <v>47</v>
      </c>
      <c r="AH120" s="90">
        <f t="shared" si="24"/>
        <v>47</v>
      </c>
      <c r="AI120" s="90">
        <f t="shared" si="28"/>
        <v>47</v>
      </c>
      <c r="AJ120" s="90">
        <f t="shared" si="31"/>
        <v>47</v>
      </c>
      <c r="AK120" s="90">
        <f t="shared" si="41"/>
        <v>47</v>
      </c>
      <c r="AL120" s="90">
        <f t="shared" si="45"/>
        <v>47</v>
      </c>
      <c r="AM120" s="90">
        <f t="shared" si="48"/>
        <v>47</v>
      </c>
      <c r="AN120" s="90">
        <f t="shared" si="51"/>
        <v>47</v>
      </c>
      <c r="AO120" s="90">
        <f t="shared" si="52"/>
        <v>47</v>
      </c>
      <c r="AP120" s="90">
        <f t="shared" si="53"/>
        <v>47</v>
      </c>
      <c r="AQ120" s="90">
        <f aca="true" t="shared" si="54" ref="AQ120:AQ127">AQ119</f>
        <v>47</v>
      </c>
      <c r="AR120" s="90">
        <f>AR119</f>
        <v>47</v>
      </c>
      <c r="AS120" s="179">
        <v>47</v>
      </c>
      <c r="AT120" s="179">
        <f>(44/(AT$102-1))+AT119</f>
        <v>44.55555555555554</v>
      </c>
      <c r="AU120" s="179">
        <f>(44/(AU$102-1))+AU119</f>
        <v>42.3684210526316</v>
      </c>
      <c r="AV120" s="179">
        <f t="shared" si="12"/>
        <v>40.400000000000006</v>
      </c>
      <c r="AW120" s="179">
        <f t="shared" si="42"/>
        <v>38.61904761904761</v>
      </c>
      <c r="AX120" s="179">
        <f t="shared" si="42"/>
        <v>37</v>
      </c>
      <c r="AY120" s="179">
        <f t="shared" si="42"/>
        <v>35.52173913043479</v>
      </c>
      <c r="AZ120" s="179">
        <f t="shared" si="42"/>
        <v>34.166666666666664</v>
      </c>
      <c r="BA120" s="185"/>
      <c r="BB120" s="182">
        <v>3</v>
      </c>
      <c r="BC120" s="183">
        <v>47</v>
      </c>
      <c r="BD120" s="182">
        <f t="shared" si="6"/>
        <v>75</v>
      </c>
      <c r="BE120" s="90">
        <v>19</v>
      </c>
      <c r="BF120" s="90">
        <f t="shared" si="9"/>
        <v>75</v>
      </c>
      <c r="BG120" s="90">
        <f t="shared" si="13"/>
        <v>75</v>
      </c>
      <c r="BH120" s="90">
        <f t="shared" si="16"/>
        <v>75</v>
      </c>
      <c r="BI120" s="90">
        <f t="shared" si="19"/>
        <v>75</v>
      </c>
      <c r="BJ120" s="90">
        <f t="shared" si="22"/>
        <v>75</v>
      </c>
      <c r="BK120" s="90">
        <f t="shared" si="26"/>
        <v>75</v>
      </c>
      <c r="BL120" s="90">
        <f t="shared" si="29"/>
        <v>75</v>
      </c>
      <c r="BM120" s="90">
        <f t="shared" si="32"/>
        <v>75</v>
      </c>
      <c r="BN120" s="90">
        <f t="shared" si="43"/>
        <v>75</v>
      </c>
      <c r="BO120" s="90">
        <f t="shared" si="47"/>
        <v>75</v>
      </c>
      <c r="BP120" s="90">
        <f t="shared" si="50"/>
        <v>75</v>
      </c>
      <c r="BQ120" s="90">
        <f t="shared" si="50"/>
        <v>75</v>
      </c>
      <c r="BR120" s="90">
        <f t="shared" si="50"/>
        <v>75</v>
      </c>
      <c r="BS120" s="90">
        <f t="shared" si="50"/>
        <v>75</v>
      </c>
      <c r="BT120" s="90">
        <f t="shared" si="50"/>
        <v>75</v>
      </c>
      <c r="BU120" s="90">
        <f>BU119</f>
        <v>75</v>
      </c>
      <c r="BV120" s="179">
        <v>75</v>
      </c>
      <c r="BW120" s="179">
        <f t="shared" si="34"/>
        <v>71.11111111111109</v>
      </c>
      <c r="BX120" s="179">
        <f t="shared" si="35"/>
        <v>67.6315789473684</v>
      </c>
      <c r="BY120" s="179">
        <f t="shared" si="36"/>
        <v>64.5</v>
      </c>
      <c r="BZ120" s="179">
        <f t="shared" si="37"/>
        <v>61.666666666666686</v>
      </c>
      <c r="CA120" s="179">
        <f t="shared" si="38"/>
        <v>59.090909090909065</v>
      </c>
      <c r="CB120" s="179">
        <f t="shared" si="39"/>
        <v>56.739130434782595</v>
      </c>
      <c r="CC120" s="179">
        <f t="shared" si="40"/>
        <v>54.58333333333332</v>
      </c>
    </row>
    <row r="121" spans="2:81" ht="11.25" customHeight="1">
      <c r="B121" s="20"/>
      <c r="C121" s="135"/>
      <c r="D121" s="4"/>
      <c r="E121" s="4"/>
      <c r="F121" s="4"/>
      <c r="G121" s="4"/>
      <c r="H121" s="226" t="str">
        <f>"หน้าตัดเสา "&amp;Q2</f>
        <v>หน้าตัดเสา CX</v>
      </c>
      <c r="I121" s="227"/>
      <c r="J121" s="227"/>
      <c r="K121" s="227"/>
      <c r="L121" s="227"/>
      <c r="M121" s="227"/>
      <c r="N121" s="227"/>
      <c r="O121" s="228"/>
      <c r="P121" s="4"/>
      <c r="Q121" s="4"/>
      <c r="R121" s="4"/>
      <c r="S121" s="4"/>
      <c r="T121" s="4"/>
      <c r="U121" s="136"/>
      <c r="V121" s="21"/>
      <c r="Y121" s="182">
        <f t="shared" si="0"/>
        <v>47</v>
      </c>
      <c r="Z121" s="183">
        <v>75</v>
      </c>
      <c r="AA121" s="183">
        <v>5</v>
      </c>
      <c r="AB121" s="90">
        <v>20</v>
      </c>
      <c r="AC121" s="90">
        <f t="shared" si="8"/>
        <v>47</v>
      </c>
      <c r="AD121" s="90">
        <f t="shared" si="11"/>
        <v>47</v>
      </c>
      <c r="AE121" s="90">
        <f t="shared" si="15"/>
        <v>47</v>
      </c>
      <c r="AF121" s="90">
        <f t="shared" si="18"/>
        <v>47</v>
      </c>
      <c r="AG121" s="90">
        <f t="shared" si="21"/>
        <v>47</v>
      </c>
      <c r="AH121" s="90">
        <f t="shared" si="24"/>
        <v>47</v>
      </c>
      <c r="AI121" s="90">
        <f t="shared" si="28"/>
        <v>47</v>
      </c>
      <c r="AJ121" s="90">
        <f t="shared" si="31"/>
        <v>47</v>
      </c>
      <c r="AK121" s="90">
        <f t="shared" si="41"/>
        <v>47</v>
      </c>
      <c r="AL121" s="90">
        <f t="shared" si="45"/>
        <v>47</v>
      </c>
      <c r="AM121" s="90">
        <f t="shared" si="48"/>
        <v>47</v>
      </c>
      <c r="AN121" s="90">
        <f t="shared" si="51"/>
        <v>47</v>
      </c>
      <c r="AO121" s="90">
        <f t="shared" si="52"/>
        <v>47</v>
      </c>
      <c r="AP121" s="90">
        <f t="shared" si="53"/>
        <v>47</v>
      </c>
      <c r="AQ121" s="90">
        <f t="shared" si="54"/>
        <v>47</v>
      </c>
      <c r="AR121" s="90">
        <f aca="true" t="shared" si="55" ref="AR121:AR127">AR120</f>
        <v>47</v>
      </c>
      <c r="AS121" s="90">
        <f aca="true" t="shared" si="56" ref="AS121:AS127">AS120</f>
        <v>47</v>
      </c>
      <c r="AT121" s="179">
        <v>47</v>
      </c>
      <c r="AU121" s="179">
        <f>(44/(AU$102-1))+AU120</f>
        <v>44.68421052631581</v>
      </c>
      <c r="AV121" s="179">
        <f t="shared" si="12"/>
        <v>42.60000000000001</v>
      </c>
      <c r="AW121" s="179">
        <f t="shared" si="42"/>
        <v>40.71428571428571</v>
      </c>
      <c r="AX121" s="179">
        <f t="shared" si="42"/>
        <v>39</v>
      </c>
      <c r="AY121" s="179">
        <f t="shared" si="42"/>
        <v>37.434782608695656</v>
      </c>
      <c r="AZ121" s="179">
        <f t="shared" si="42"/>
        <v>36</v>
      </c>
      <c r="BA121" s="185"/>
      <c r="BB121" s="182">
        <v>3</v>
      </c>
      <c r="BC121" s="183">
        <v>47</v>
      </c>
      <c r="BD121" s="182">
        <f t="shared" si="6"/>
        <v>75</v>
      </c>
      <c r="BE121" s="90">
        <v>20</v>
      </c>
      <c r="BF121" s="90">
        <f t="shared" si="9"/>
        <v>75</v>
      </c>
      <c r="BG121" s="90">
        <f t="shared" si="13"/>
        <v>75</v>
      </c>
      <c r="BH121" s="90">
        <f t="shared" si="16"/>
        <v>75</v>
      </c>
      <c r="BI121" s="90">
        <f t="shared" si="19"/>
        <v>75</v>
      </c>
      <c r="BJ121" s="90">
        <f t="shared" si="22"/>
        <v>75</v>
      </c>
      <c r="BK121" s="90">
        <f t="shared" si="26"/>
        <v>75</v>
      </c>
      <c r="BL121" s="90">
        <f t="shared" si="29"/>
        <v>75</v>
      </c>
      <c r="BM121" s="90">
        <f t="shared" si="32"/>
        <v>75</v>
      </c>
      <c r="BN121" s="90">
        <f t="shared" si="43"/>
        <v>75</v>
      </c>
      <c r="BO121" s="90">
        <f t="shared" si="47"/>
        <v>75</v>
      </c>
      <c r="BP121" s="90">
        <f t="shared" si="50"/>
        <v>75</v>
      </c>
      <c r="BQ121" s="90">
        <f t="shared" si="50"/>
        <v>75</v>
      </c>
      <c r="BR121" s="90">
        <f t="shared" si="50"/>
        <v>75</v>
      </c>
      <c r="BS121" s="90">
        <f t="shared" si="50"/>
        <v>75</v>
      </c>
      <c r="BT121" s="90">
        <f t="shared" si="50"/>
        <v>75</v>
      </c>
      <c r="BU121" s="90">
        <f t="shared" si="50"/>
        <v>75</v>
      </c>
      <c r="BV121" s="90">
        <f>BV120</f>
        <v>75</v>
      </c>
      <c r="BW121" s="179">
        <v>75</v>
      </c>
      <c r="BX121" s="179">
        <f aca="true" t="shared" si="57" ref="BX121:CC121">70/(BX$102-1)+BX120</f>
        <v>71.31578947368419</v>
      </c>
      <c r="BY121" s="179">
        <f t="shared" si="57"/>
        <v>68</v>
      </c>
      <c r="BZ121" s="179">
        <f t="shared" si="57"/>
        <v>65.00000000000001</v>
      </c>
      <c r="CA121" s="179">
        <f t="shared" si="57"/>
        <v>62.272727272727245</v>
      </c>
      <c r="CB121" s="179">
        <f t="shared" si="57"/>
        <v>59.78260869565216</v>
      </c>
      <c r="CC121" s="179">
        <f t="shared" si="57"/>
        <v>57.499999999999986</v>
      </c>
    </row>
    <row r="122" spans="2:81" ht="11.25" customHeight="1">
      <c r="B122" s="20"/>
      <c r="C122" s="13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36"/>
      <c r="V122" s="21"/>
      <c r="Y122" s="182">
        <f t="shared" si="0"/>
        <v>47</v>
      </c>
      <c r="Z122" s="183">
        <v>75</v>
      </c>
      <c r="AA122" s="183">
        <v>5</v>
      </c>
      <c r="AB122" s="90">
        <v>21</v>
      </c>
      <c r="AC122" s="90">
        <f t="shared" si="8"/>
        <v>47</v>
      </c>
      <c r="AD122" s="90">
        <f t="shared" si="11"/>
        <v>47</v>
      </c>
      <c r="AE122" s="90">
        <f t="shared" si="15"/>
        <v>47</v>
      </c>
      <c r="AF122" s="90">
        <f t="shared" si="18"/>
        <v>47</v>
      </c>
      <c r="AG122" s="90">
        <f t="shared" si="21"/>
        <v>47</v>
      </c>
      <c r="AH122" s="90">
        <f t="shared" si="24"/>
        <v>47</v>
      </c>
      <c r="AI122" s="90">
        <f t="shared" si="28"/>
        <v>47</v>
      </c>
      <c r="AJ122" s="90">
        <f t="shared" si="31"/>
        <v>47</v>
      </c>
      <c r="AK122" s="90">
        <f t="shared" si="41"/>
        <v>47</v>
      </c>
      <c r="AL122" s="90">
        <f t="shared" si="45"/>
        <v>47</v>
      </c>
      <c r="AM122" s="90">
        <f t="shared" si="48"/>
        <v>47</v>
      </c>
      <c r="AN122" s="90">
        <f t="shared" si="51"/>
        <v>47</v>
      </c>
      <c r="AO122" s="90">
        <f t="shared" si="52"/>
        <v>47</v>
      </c>
      <c r="AP122" s="90">
        <f t="shared" si="53"/>
        <v>47</v>
      </c>
      <c r="AQ122" s="90">
        <f t="shared" si="54"/>
        <v>47</v>
      </c>
      <c r="AR122" s="90">
        <f t="shared" si="55"/>
        <v>47</v>
      </c>
      <c r="AS122" s="90">
        <f t="shared" si="56"/>
        <v>47</v>
      </c>
      <c r="AT122" s="90">
        <f aca="true" t="shared" si="58" ref="AT122:AT127">AT121</f>
        <v>47</v>
      </c>
      <c r="AU122" s="179">
        <v>47</v>
      </c>
      <c r="AV122" s="179">
        <f t="shared" si="12"/>
        <v>44.80000000000001</v>
      </c>
      <c r="AW122" s="179">
        <f t="shared" si="42"/>
        <v>42.8095238095238</v>
      </c>
      <c r="AX122" s="179">
        <f t="shared" si="42"/>
        <v>41</v>
      </c>
      <c r="AY122" s="179">
        <f t="shared" si="42"/>
        <v>39.34782608695652</v>
      </c>
      <c r="AZ122" s="179">
        <f t="shared" si="42"/>
        <v>37.833333333333336</v>
      </c>
      <c r="BA122" s="185"/>
      <c r="BB122" s="182">
        <v>3</v>
      </c>
      <c r="BC122" s="183">
        <v>47</v>
      </c>
      <c r="BD122" s="182">
        <f t="shared" si="6"/>
        <v>75</v>
      </c>
      <c r="BE122" s="90">
        <v>21</v>
      </c>
      <c r="BF122" s="90">
        <f t="shared" si="9"/>
        <v>75</v>
      </c>
      <c r="BG122" s="90">
        <f t="shared" si="13"/>
        <v>75</v>
      </c>
      <c r="BH122" s="90">
        <f t="shared" si="16"/>
        <v>75</v>
      </c>
      <c r="BI122" s="90">
        <f t="shared" si="19"/>
        <v>75</v>
      </c>
      <c r="BJ122" s="90">
        <f t="shared" si="22"/>
        <v>75</v>
      </c>
      <c r="BK122" s="90">
        <f t="shared" si="26"/>
        <v>75</v>
      </c>
      <c r="BL122" s="90">
        <f t="shared" si="29"/>
        <v>75</v>
      </c>
      <c r="BM122" s="90">
        <f t="shared" si="32"/>
        <v>75</v>
      </c>
      <c r="BN122" s="90">
        <f t="shared" si="43"/>
        <v>75</v>
      </c>
      <c r="BO122" s="90">
        <f t="shared" si="47"/>
        <v>75</v>
      </c>
      <c r="BP122" s="90">
        <f t="shared" si="50"/>
        <v>75</v>
      </c>
      <c r="BQ122" s="90">
        <f t="shared" si="50"/>
        <v>75</v>
      </c>
      <c r="BR122" s="90">
        <f t="shared" si="50"/>
        <v>75</v>
      </c>
      <c r="BS122" s="90">
        <f t="shared" si="50"/>
        <v>75</v>
      </c>
      <c r="BT122" s="90">
        <f t="shared" si="50"/>
        <v>75</v>
      </c>
      <c r="BU122" s="90">
        <f t="shared" si="50"/>
        <v>75</v>
      </c>
      <c r="BV122" s="90">
        <f>BV121</f>
        <v>75</v>
      </c>
      <c r="BW122" s="90">
        <f aca="true" t="shared" si="59" ref="BW122:BW127">BW121</f>
        <v>75</v>
      </c>
      <c r="BX122" s="179">
        <v>75</v>
      </c>
      <c r="BY122" s="179">
        <f>75/(BY$102-1)+BY121</f>
        <v>71.75</v>
      </c>
      <c r="BZ122" s="179">
        <f aca="true" t="shared" si="60" ref="BZ122:CC123">70/(BZ$102-1)+BZ121</f>
        <v>68.33333333333334</v>
      </c>
      <c r="CA122" s="179">
        <f t="shared" si="60"/>
        <v>65.45454545454542</v>
      </c>
      <c r="CB122" s="179">
        <f t="shared" si="60"/>
        <v>62.82608695652172</v>
      </c>
      <c r="CC122" s="179">
        <f t="shared" si="60"/>
        <v>60.41666666666665</v>
      </c>
    </row>
    <row r="123" spans="2:81" ht="11.25" customHeight="1">
      <c r="B123" s="20"/>
      <c r="C123" s="13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35"/>
      <c r="P123" s="4"/>
      <c r="Q123" s="4"/>
      <c r="R123" s="4"/>
      <c r="S123" s="4"/>
      <c r="T123" s="4"/>
      <c r="U123" s="136"/>
      <c r="V123" s="21"/>
      <c r="Y123" s="182">
        <f t="shared" si="0"/>
        <v>47</v>
      </c>
      <c r="Z123" s="183">
        <v>75</v>
      </c>
      <c r="AA123" s="183">
        <v>5</v>
      </c>
      <c r="AB123" s="90">
        <v>22</v>
      </c>
      <c r="AC123" s="90">
        <f t="shared" si="8"/>
        <v>47</v>
      </c>
      <c r="AD123" s="90">
        <f t="shared" si="11"/>
        <v>47</v>
      </c>
      <c r="AE123" s="90">
        <f t="shared" si="15"/>
        <v>47</v>
      </c>
      <c r="AF123" s="90">
        <f t="shared" si="18"/>
        <v>47</v>
      </c>
      <c r="AG123" s="90">
        <f t="shared" si="21"/>
        <v>47</v>
      </c>
      <c r="AH123" s="90">
        <f t="shared" si="24"/>
        <v>47</v>
      </c>
      <c r="AI123" s="90">
        <f t="shared" si="28"/>
        <v>47</v>
      </c>
      <c r="AJ123" s="90">
        <f t="shared" si="31"/>
        <v>47</v>
      </c>
      <c r="AK123" s="90">
        <f t="shared" si="41"/>
        <v>47</v>
      </c>
      <c r="AL123" s="90">
        <f t="shared" si="45"/>
        <v>47</v>
      </c>
      <c r="AM123" s="90">
        <f t="shared" si="48"/>
        <v>47</v>
      </c>
      <c r="AN123" s="90">
        <f t="shared" si="51"/>
        <v>47</v>
      </c>
      <c r="AO123" s="90">
        <f t="shared" si="52"/>
        <v>47</v>
      </c>
      <c r="AP123" s="90">
        <f t="shared" si="53"/>
        <v>47</v>
      </c>
      <c r="AQ123" s="90">
        <f t="shared" si="54"/>
        <v>47</v>
      </c>
      <c r="AR123" s="90">
        <f t="shared" si="55"/>
        <v>47</v>
      </c>
      <c r="AS123" s="90">
        <f t="shared" si="56"/>
        <v>47</v>
      </c>
      <c r="AT123" s="90">
        <f t="shared" si="58"/>
        <v>47</v>
      </c>
      <c r="AU123" s="90">
        <f>AU122</f>
        <v>47</v>
      </c>
      <c r="AV123" s="179">
        <v>47</v>
      </c>
      <c r="AW123" s="179">
        <f t="shared" si="42"/>
        <v>44.9047619047619</v>
      </c>
      <c r="AX123" s="179">
        <f t="shared" si="42"/>
        <v>43</v>
      </c>
      <c r="AY123" s="179">
        <f t="shared" si="42"/>
        <v>41.26086956521739</v>
      </c>
      <c r="AZ123" s="179">
        <f t="shared" si="42"/>
        <v>39.66666666666667</v>
      </c>
      <c r="BA123" s="185"/>
      <c r="BB123" s="182">
        <v>3</v>
      </c>
      <c r="BC123" s="183">
        <v>47</v>
      </c>
      <c r="BD123" s="182">
        <f t="shared" si="6"/>
        <v>75</v>
      </c>
      <c r="BE123" s="90">
        <v>22</v>
      </c>
      <c r="BF123" s="90">
        <f t="shared" si="9"/>
        <v>75</v>
      </c>
      <c r="BG123" s="90">
        <f t="shared" si="13"/>
        <v>75</v>
      </c>
      <c r="BH123" s="90">
        <f t="shared" si="16"/>
        <v>75</v>
      </c>
      <c r="BI123" s="90">
        <f t="shared" si="19"/>
        <v>75</v>
      </c>
      <c r="BJ123" s="90">
        <f t="shared" si="22"/>
        <v>75</v>
      </c>
      <c r="BK123" s="90">
        <f t="shared" si="26"/>
        <v>75</v>
      </c>
      <c r="BL123" s="90">
        <f t="shared" si="29"/>
        <v>75</v>
      </c>
      <c r="BM123" s="90">
        <f t="shared" si="32"/>
        <v>75</v>
      </c>
      <c r="BN123" s="90">
        <f t="shared" si="43"/>
        <v>75</v>
      </c>
      <c r="BO123" s="90">
        <f t="shared" si="47"/>
        <v>75</v>
      </c>
      <c r="BP123" s="90">
        <f t="shared" si="50"/>
        <v>75</v>
      </c>
      <c r="BQ123" s="90">
        <f t="shared" si="50"/>
        <v>75</v>
      </c>
      <c r="BR123" s="90">
        <f t="shared" si="50"/>
        <v>75</v>
      </c>
      <c r="BS123" s="90">
        <f t="shared" si="50"/>
        <v>75</v>
      </c>
      <c r="BT123" s="90">
        <f t="shared" si="50"/>
        <v>75</v>
      </c>
      <c r="BU123" s="90">
        <f t="shared" si="50"/>
        <v>75</v>
      </c>
      <c r="BV123" s="90">
        <f t="shared" si="50"/>
        <v>75</v>
      </c>
      <c r="BW123" s="90">
        <f t="shared" si="59"/>
        <v>75</v>
      </c>
      <c r="BX123" s="90">
        <f>BX122</f>
        <v>75</v>
      </c>
      <c r="BY123" s="179">
        <v>75</v>
      </c>
      <c r="BZ123" s="179">
        <f t="shared" si="60"/>
        <v>71.66666666666667</v>
      </c>
      <c r="CA123" s="179">
        <f t="shared" si="60"/>
        <v>68.63636363636361</v>
      </c>
      <c r="CB123" s="179">
        <f t="shared" si="60"/>
        <v>65.86956521739128</v>
      </c>
      <c r="CC123" s="179">
        <f t="shared" si="60"/>
        <v>63.333333333333314</v>
      </c>
    </row>
    <row r="124" spans="2:81" ht="11.25" customHeight="1">
      <c r="B124" s="20"/>
      <c r="C124" s="13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36"/>
      <c r="V124" s="21"/>
      <c r="Y124" s="182">
        <f t="shared" si="0"/>
        <v>47</v>
      </c>
      <c r="Z124" s="183">
        <v>75</v>
      </c>
      <c r="AA124" s="183">
        <v>5</v>
      </c>
      <c r="AB124" s="90">
        <v>23</v>
      </c>
      <c r="AC124" s="90">
        <f t="shared" si="8"/>
        <v>47</v>
      </c>
      <c r="AD124" s="90">
        <f t="shared" si="11"/>
        <v>47</v>
      </c>
      <c r="AE124" s="90">
        <f t="shared" si="15"/>
        <v>47</v>
      </c>
      <c r="AF124" s="90">
        <f t="shared" si="18"/>
        <v>47</v>
      </c>
      <c r="AG124" s="90">
        <f t="shared" si="21"/>
        <v>47</v>
      </c>
      <c r="AH124" s="90">
        <f t="shared" si="24"/>
        <v>47</v>
      </c>
      <c r="AI124" s="90">
        <f t="shared" si="28"/>
        <v>47</v>
      </c>
      <c r="AJ124" s="90">
        <f t="shared" si="31"/>
        <v>47</v>
      </c>
      <c r="AK124" s="90">
        <f t="shared" si="41"/>
        <v>47</v>
      </c>
      <c r="AL124" s="90">
        <f t="shared" si="45"/>
        <v>47</v>
      </c>
      <c r="AM124" s="90">
        <f t="shared" si="48"/>
        <v>47</v>
      </c>
      <c r="AN124" s="90">
        <f t="shared" si="51"/>
        <v>47</v>
      </c>
      <c r="AO124" s="90">
        <f t="shared" si="52"/>
        <v>47</v>
      </c>
      <c r="AP124" s="90">
        <f t="shared" si="53"/>
        <v>47</v>
      </c>
      <c r="AQ124" s="90">
        <f t="shared" si="54"/>
        <v>47</v>
      </c>
      <c r="AR124" s="90">
        <f t="shared" si="55"/>
        <v>47</v>
      </c>
      <c r="AS124" s="90">
        <f t="shared" si="56"/>
        <v>47</v>
      </c>
      <c r="AT124" s="90">
        <f t="shared" si="58"/>
        <v>47</v>
      </c>
      <c r="AU124" s="90">
        <f>AU123</f>
        <v>47</v>
      </c>
      <c r="AV124" s="90">
        <f>AV123</f>
        <v>47</v>
      </c>
      <c r="AW124" s="179">
        <v>47</v>
      </c>
      <c r="AX124" s="179">
        <f>(44/(AX$102-1))+AX123</f>
        <v>45</v>
      </c>
      <c r="AY124" s="179">
        <f>(44/(AY$102-1))+AY123</f>
        <v>43.17391304347826</v>
      </c>
      <c r="AZ124" s="179">
        <f>(44/(AZ$102-1))+AZ123</f>
        <v>41.50000000000001</v>
      </c>
      <c r="BA124" s="185"/>
      <c r="BB124" s="182">
        <v>3</v>
      </c>
      <c r="BC124" s="183">
        <v>47</v>
      </c>
      <c r="BD124" s="182">
        <f t="shared" si="6"/>
        <v>75</v>
      </c>
      <c r="BE124" s="90">
        <v>23</v>
      </c>
      <c r="BF124" s="90">
        <f t="shared" si="9"/>
        <v>75</v>
      </c>
      <c r="BG124" s="90">
        <f t="shared" si="13"/>
        <v>75</v>
      </c>
      <c r="BH124" s="90">
        <f t="shared" si="16"/>
        <v>75</v>
      </c>
      <c r="BI124" s="90">
        <f t="shared" si="19"/>
        <v>75</v>
      </c>
      <c r="BJ124" s="90">
        <f t="shared" si="22"/>
        <v>75</v>
      </c>
      <c r="BK124" s="90">
        <f t="shared" si="26"/>
        <v>75</v>
      </c>
      <c r="BL124" s="90">
        <f t="shared" si="29"/>
        <v>75</v>
      </c>
      <c r="BM124" s="90">
        <f t="shared" si="32"/>
        <v>75</v>
      </c>
      <c r="BN124" s="90">
        <f t="shared" si="43"/>
        <v>75</v>
      </c>
      <c r="BO124" s="90">
        <f t="shared" si="47"/>
        <v>75</v>
      </c>
      <c r="BP124" s="90">
        <f t="shared" si="50"/>
        <v>75</v>
      </c>
      <c r="BQ124" s="90">
        <f t="shared" si="50"/>
        <v>75</v>
      </c>
      <c r="BR124" s="90">
        <f t="shared" si="50"/>
        <v>75</v>
      </c>
      <c r="BS124" s="90">
        <f t="shared" si="50"/>
        <v>75</v>
      </c>
      <c r="BT124" s="90">
        <f t="shared" si="50"/>
        <v>75</v>
      </c>
      <c r="BU124" s="90">
        <f t="shared" si="50"/>
        <v>75</v>
      </c>
      <c r="BV124" s="90">
        <f t="shared" si="50"/>
        <v>75</v>
      </c>
      <c r="BW124" s="90">
        <f t="shared" si="59"/>
        <v>75</v>
      </c>
      <c r="BX124" s="90">
        <f>BX123</f>
        <v>75</v>
      </c>
      <c r="BY124" s="90">
        <f>BY123</f>
        <v>75</v>
      </c>
      <c r="BZ124" s="179">
        <v>75</v>
      </c>
      <c r="CA124" s="179">
        <f>70/(CA$102-1)+CA123</f>
        <v>71.8181818181818</v>
      </c>
      <c r="CB124" s="179">
        <f>70/(CB$102-1)+CB123</f>
        <v>68.91304347826085</v>
      </c>
      <c r="CC124" s="179">
        <f>70/(CC$102-1)+CC123</f>
        <v>66.24999999999999</v>
      </c>
    </row>
    <row r="125" spans="2:81" ht="11.25" customHeight="1">
      <c r="B125" s="20"/>
      <c r="C125" s="13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36"/>
      <c r="V125" s="21"/>
      <c r="Y125" s="182">
        <f t="shared" si="0"/>
        <v>47</v>
      </c>
      <c r="Z125" s="183">
        <v>75</v>
      </c>
      <c r="AA125" s="183">
        <v>5</v>
      </c>
      <c r="AB125" s="90">
        <v>24</v>
      </c>
      <c r="AC125" s="90">
        <f t="shared" si="8"/>
        <v>47</v>
      </c>
      <c r="AD125" s="90">
        <f t="shared" si="11"/>
        <v>47</v>
      </c>
      <c r="AE125" s="90">
        <f t="shared" si="15"/>
        <v>47</v>
      </c>
      <c r="AF125" s="90">
        <f t="shared" si="18"/>
        <v>47</v>
      </c>
      <c r="AG125" s="90">
        <f t="shared" si="21"/>
        <v>47</v>
      </c>
      <c r="AH125" s="90">
        <f t="shared" si="24"/>
        <v>47</v>
      </c>
      <c r="AI125" s="90">
        <f t="shared" si="28"/>
        <v>47</v>
      </c>
      <c r="AJ125" s="90">
        <f t="shared" si="31"/>
        <v>47</v>
      </c>
      <c r="AK125" s="90">
        <f t="shared" si="41"/>
        <v>47</v>
      </c>
      <c r="AL125" s="90">
        <f t="shared" si="45"/>
        <v>47</v>
      </c>
      <c r="AM125" s="90">
        <f t="shared" si="48"/>
        <v>47</v>
      </c>
      <c r="AN125" s="90">
        <f t="shared" si="51"/>
        <v>47</v>
      </c>
      <c r="AO125" s="90">
        <f t="shared" si="52"/>
        <v>47</v>
      </c>
      <c r="AP125" s="90">
        <f t="shared" si="53"/>
        <v>47</v>
      </c>
      <c r="AQ125" s="90">
        <f t="shared" si="54"/>
        <v>47</v>
      </c>
      <c r="AR125" s="90">
        <f t="shared" si="55"/>
        <v>47</v>
      </c>
      <c r="AS125" s="90">
        <f t="shared" si="56"/>
        <v>47</v>
      </c>
      <c r="AT125" s="90">
        <f t="shared" si="58"/>
        <v>47</v>
      </c>
      <c r="AU125" s="90">
        <f>AU124</f>
        <v>47</v>
      </c>
      <c r="AV125" s="90">
        <f>AV124</f>
        <v>47</v>
      </c>
      <c r="AW125" s="90">
        <f>AW124</f>
        <v>47</v>
      </c>
      <c r="AX125" s="179">
        <v>47</v>
      </c>
      <c r="AY125" s="179">
        <f>(44/(AY$102-1))+AY124</f>
        <v>45.086956521739125</v>
      </c>
      <c r="AZ125" s="179">
        <f>(44/(AZ$102-1))+AZ124</f>
        <v>43.33333333333334</v>
      </c>
      <c r="BA125" s="185"/>
      <c r="BB125" s="182">
        <v>3</v>
      </c>
      <c r="BC125" s="183">
        <v>47</v>
      </c>
      <c r="BD125" s="182">
        <f t="shared" si="6"/>
        <v>75</v>
      </c>
      <c r="BE125" s="90">
        <v>24</v>
      </c>
      <c r="BF125" s="90">
        <f t="shared" si="9"/>
        <v>75</v>
      </c>
      <c r="BG125" s="90">
        <f t="shared" si="13"/>
        <v>75</v>
      </c>
      <c r="BH125" s="90">
        <f t="shared" si="16"/>
        <v>75</v>
      </c>
      <c r="BI125" s="90">
        <f t="shared" si="19"/>
        <v>75</v>
      </c>
      <c r="BJ125" s="90">
        <f t="shared" si="22"/>
        <v>75</v>
      </c>
      <c r="BK125" s="90">
        <f t="shared" si="26"/>
        <v>75</v>
      </c>
      <c r="BL125" s="90">
        <f t="shared" si="29"/>
        <v>75</v>
      </c>
      <c r="BM125" s="90">
        <f t="shared" si="32"/>
        <v>75</v>
      </c>
      <c r="BN125" s="90">
        <f t="shared" si="43"/>
        <v>75</v>
      </c>
      <c r="BO125" s="90">
        <f t="shared" si="47"/>
        <v>75</v>
      </c>
      <c r="BP125" s="90">
        <f t="shared" si="50"/>
        <v>75</v>
      </c>
      <c r="BQ125" s="90">
        <f t="shared" si="50"/>
        <v>75</v>
      </c>
      <c r="BR125" s="90">
        <f t="shared" si="50"/>
        <v>75</v>
      </c>
      <c r="BS125" s="90">
        <f t="shared" si="50"/>
        <v>75</v>
      </c>
      <c r="BT125" s="90">
        <f t="shared" si="50"/>
        <v>75</v>
      </c>
      <c r="BU125" s="90">
        <f t="shared" si="50"/>
        <v>75</v>
      </c>
      <c r="BV125" s="90">
        <f t="shared" si="50"/>
        <v>75</v>
      </c>
      <c r="BW125" s="90">
        <f t="shared" si="59"/>
        <v>75</v>
      </c>
      <c r="BX125" s="90">
        <f>BX124</f>
        <v>75</v>
      </c>
      <c r="BY125" s="90">
        <f>BY124</f>
        <v>75</v>
      </c>
      <c r="BZ125" s="90">
        <f>BZ124</f>
        <v>75</v>
      </c>
      <c r="CA125" s="179">
        <v>75</v>
      </c>
      <c r="CB125" s="179">
        <f>70/(CB$102-1)+CB124</f>
        <v>71.95652173913041</v>
      </c>
      <c r="CC125" s="179">
        <f>70/(CC$102-1)+CC124</f>
        <v>69.16666666666666</v>
      </c>
    </row>
    <row r="126" spans="2:81" ht="11.25" customHeight="1">
      <c r="B126" s="20"/>
      <c r="C126" s="1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36"/>
      <c r="V126" s="21"/>
      <c r="Y126" s="182">
        <f t="shared" si="0"/>
        <v>47</v>
      </c>
      <c r="Z126" s="183">
        <v>75</v>
      </c>
      <c r="AA126" s="183">
        <v>5</v>
      </c>
      <c r="AB126" s="90">
        <v>25</v>
      </c>
      <c r="AC126" s="90">
        <f t="shared" si="8"/>
        <v>47</v>
      </c>
      <c r="AD126" s="90">
        <f t="shared" si="11"/>
        <v>47</v>
      </c>
      <c r="AE126" s="90">
        <f t="shared" si="15"/>
        <v>47</v>
      </c>
      <c r="AF126" s="90">
        <f t="shared" si="18"/>
        <v>47</v>
      </c>
      <c r="AG126" s="90">
        <f t="shared" si="21"/>
        <v>47</v>
      </c>
      <c r="AH126" s="90">
        <f t="shared" si="24"/>
        <v>47</v>
      </c>
      <c r="AI126" s="90">
        <f t="shared" si="28"/>
        <v>47</v>
      </c>
      <c r="AJ126" s="90">
        <f t="shared" si="31"/>
        <v>47</v>
      </c>
      <c r="AK126" s="90">
        <f t="shared" si="41"/>
        <v>47</v>
      </c>
      <c r="AL126" s="90">
        <f t="shared" si="45"/>
        <v>47</v>
      </c>
      <c r="AM126" s="90">
        <f t="shared" si="48"/>
        <v>47</v>
      </c>
      <c r="AN126" s="90">
        <f t="shared" si="51"/>
        <v>47</v>
      </c>
      <c r="AO126" s="90">
        <f t="shared" si="52"/>
        <v>47</v>
      </c>
      <c r="AP126" s="90">
        <f t="shared" si="53"/>
        <v>47</v>
      </c>
      <c r="AQ126" s="90">
        <f t="shared" si="54"/>
        <v>47</v>
      </c>
      <c r="AR126" s="90">
        <f t="shared" si="55"/>
        <v>47</v>
      </c>
      <c r="AS126" s="90">
        <f t="shared" si="56"/>
        <v>47</v>
      </c>
      <c r="AT126" s="90">
        <f t="shared" si="58"/>
        <v>47</v>
      </c>
      <c r="AU126" s="90">
        <f>AU125</f>
        <v>47</v>
      </c>
      <c r="AV126" s="90">
        <f>AV125</f>
        <v>47</v>
      </c>
      <c r="AW126" s="90">
        <f>AW125</f>
        <v>47</v>
      </c>
      <c r="AX126" s="90">
        <f>AX125</f>
        <v>47</v>
      </c>
      <c r="AY126" s="179">
        <v>47</v>
      </c>
      <c r="AZ126" s="179">
        <f>(44/(AZ$102-1))+AZ125</f>
        <v>45.16666666666668</v>
      </c>
      <c r="BA126" s="185"/>
      <c r="BB126" s="182">
        <v>3</v>
      </c>
      <c r="BC126" s="183">
        <v>47</v>
      </c>
      <c r="BD126" s="182">
        <f t="shared" si="6"/>
        <v>75</v>
      </c>
      <c r="BE126" s="90">
        <v>25</v>
      </c>
      <c r="BF126" s="90">
        <f t="shared" si="9"/>
        <v>75</v>
      </c>
      <c r="BG126" s="90">
        <f t="shared" si="13"/>
        <v>75</v>
      </c>
      <c r="BH126" s="90">
        <f t="shared" si="16"/>
        <v>75</v>
      </c>
      <c r="BI126" s="90">
        <f t="shared" si="19"/>
        <v>75</v>
      </c>
      <c r="BJ126" s="90">
        <f t="shared" si="22"/>
        <v>75</v>
      </c>
      <c r="BK126" s="90">
        <f t="shared" si="26"/>
        <v>75</v>
      </c>
      <c r="BL126" s="90">
        <f t="shared" si="29"/>
        <v>75</v>
      </c>
      <c r="BM126" s="90">
        <f t="shared" si="32"/>
        <v>75</v>
      </c>
      <c r="BN126" s="90">
        <f t="shared" si="43"/>
        <v>75</v>
      </c>
      <c r="BO126" s="90">
        <f t="shared" si="47"/>
        <v>75</v>
      </c>
      <c r="BP126" s="90">
        <f t="shared" si="50"/>
        <v>75</v>
      </c>
      <c r="BQ126" s="90">
        <f t="shared" si="50"/>
        <v>75</v>
      </c>
      <c r="BR126" s="90">
        <f t="shared" si="50"/>
        <v>75</v>
      </c>
      <c r="BS126" s="90">
        <f t="shared" si="50"/>
        <v>75</v>
      </c>
      <c r="BT126" s="90">
        <f t="shared" si="50"/>
        <v>75</v>
      </c>
      <c r="BU126" s="90">
        <f t="shared" si="50"/>
        <v>75</v>
      </c>
      <c r="BV126" s="90">
        <f t="shared" si="50"/>
        <v>75</v>
      </c>
      <c r="BW126" s="90">
        <f t="shared" si="59"/>
        <v>75</v>
      </c>
      <c r="BX126" s="90">
        <f>BX125</f>
        <v>75</v>
      </c>
      <c r="BY126" s="90">
        <f>BY125</f>
        <v>75</v>
      </c>
      <c r="BZ126" s="90">
        <f>BZ125</f>
        <v>75</v>
      </c>
      <c r="CA126" s="90">
        <f>CA125</f>
        <v>75</v>
      </c>
      <c r="CB126" s="179">
        <v>75</v>
      </c>
      <c r="CC126" s="179">
        <f>70/(CC$102-1)+CC125</f>
        <v>72.08333333333333</v>
      </c>
    </row>
    <row r="127" spans="2:81" ht="11.25" customHeight="1">
      <c r="B127" s="20"/>
      <c r="C127" s="13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36"/>
      <c r="V127" s="21"/>
      <c r="Y127" s="182">
        <f t="shared" si="0"/>
        <v>47</v>
      </c>
      <c r="Z127" s="183">
        <v>75</v>
      </c>
      <c r="AA127" s="183">
        <v>5</v>
      </c>
      <c r="AB127" s="90">
        <v>26</v>
      </c>
      <c r="AC127" s="90">
        <f t="shared" si="8"/>
        <v>47</v>
      </c>
      <c r="AD127" s="90">
        <f t="shared" si="11"/>
        <v>47</v>
      </c>
      <c r="AE127" s="90">
        <f t="shared" si="15"/>
        <v>47</v>
      </c>
      <c r="AF127" s="90">
        <f t="shared" si="18"/>
        <v>47</v>
      </c>
      <c r="AG127" s="90">
        <f t="shared" si="21"/>
        <v>47</v>
      </c>
      <c r="AH127" s="90">
        <f t="shared" si="24"/>
        <v>47</v>
      </c>
      <c r="AI127" s="90">
        <f t="shared" si="28"/>
        <v>47</v>
      </c>
      <c r="AJ127" s="90">
        <f t="shared" si="31"/>
        <v>47</v>
      </c>
      <c r="AK127" s="90">
        <f t="shared" si="41"/>
        <v>47</v>
      </c>
      <c r="AL127" s="90">
        <f t="shared" si="45"/>
        <v>47</v>
      </c>
      <c r="AM127" s="90">
        <f t="shared" si="48"/>
        <v>47</v>
      </c>
      <c r="AN127" s="90">
        <f t="shared" si="51"/>
        <v>47</v>
      </c>
      <c r="AO127" s="90">
        <f t="shared" si="52"/>
        <v>47</v>
      </c>
      <c r="AP127" s="90">
        <f t="shared" si="53"/>
        <v>47</v>
      </c>
      <c r="AQ127" s="90">
        <f t="shared" si="54"/>
        <v>47</v>
      </c>
      <c r="AR127" s="90">
        <f t="shared" si="55"/>
        <v>47</v>
      </c>
      <c r="AS127" s="90">
        <f t="shared" si="56"/>
        <v>47</v>
      </c>
      <c r="AT127" s="90">
        <f t="shared" si="58"/>
        <v>47</v>
      </c>
      <c r="AU127" s="90">
        <f>AU126</f>
        <v>47</v>
      </c>
      <c r="AV127" s="90">
        <f>AV126</f>
        <v>47</v>
      </c>
      <c r="AW127" s="90">
        <f>AW126</f>
        <v>47</v>
      </c>
      <c r="AX127" s="90">
        <f>AX126</f>
        <v>47</v>
      </c>
      <c r="AY127" s="90">
        <f>AY126</f>
        <v>47</v>
      </c>
      <c r="AZ127" s="179">
        <v>47</v>
      </c>
      <c r="BA127" s="185"/>
      <c r="BB127" s="182">
        <v>3</v>
      </c>
      <c r="BC127" s="183">
        <v>47</v>
      </c>
      <c r="BD127" s="182">
        <f t="shared" si="6"/>
        <v>75</v>
      </c>
      <c r="BE127" s="90">
        <v>26</v>
      </c>
      <c r="BF127" s="90">
        <f t="shared" si="9"/>
        <v>75</v>
      </c>
      <c r="BG127" s="90">
        <f t="shared" si="13"/>
        <v>75</v>
      </c>
      <c r="BH127" s="90">
        <f t="shared" si="16"/>
        <v>75</v>
      </c>
      <c r="BI127" s="90">
        <f t="shared" si="19"/>
        <v>75</v>
      </c>
      <c r="BJ127" s="90">
        <f t="shared" si="22"/>
        <v>75</v>
      </c>
      <c r="BK127" s="90">
        <f t="shared" si="26"/>
        <v>75</v>
      </c>
      <c r="BL127" s="90">
        <f t="shared" si="29"/>
        <v>75</v>
      </c>
      <c r="BM127" s="90">
        <f t="shared" si="32"/>
        <v>75</v>
      </c>
      <c r="BN127" s="90">
        <f t="shared" si="43"/>
        <v>75</v>
      </c>
      <c r="BO127" s="90">
        <f t="shared" si="47"/>
        <v>75</v>
      </c>
      <c r="BP127" s="90">
        <f t="shared" si="50"/>
        <v>75</v>
      </c>
      <c r="BQ127" s="90">
        <f t="shared" si="50"/>
        <v>75</v>
      </c>
      <c r="BR127" s="90">
        <f t="shared" si="50"/>
        <v>75</v>
      </c>
      <c r="BS127" s="90">
        <f t="shared" si="50"/>
        <v>75</v>
      </c>
      <c r="BT127" s="90">
        <f t="shared" si="50"/>
        <v>75</v>
      </c>
      <c r="BU127" s="90">
        <f t="shared" si="50"/>
        <v>75</v>
      </c>
      <c r="BV127" s="90">
        <f t="shared" si="50"/>
        <v>75</v>
      </c>
      <c r="BW127" s="90">
        <f t="shared" si="59"/>
        <v>75</v>
      </c>
      <c r="BX127" s="90">
        <f>BX126</f>
        <v>75</v>
      </c>
      <c r="BY127" s="90">
        <f>BY126</f>
        <v>75</v>
      </c>
      <c r="BZ127" s="90">
        <f>BZ126</f>
        <v>75</v>
      </c>
      <c r="CA127" s="90">
        <f>CA126</f>
        <v>75</v>
      </c>
      <c r="CB127" s="90">
        <f>CB126</f>
        <v>75</v>
      </c>
      <c r="CC127" s="179">
        <v>75</v>
      </c>
    </row>
    <row r="128" spans="2:81" ht="11.25" customHeight="1">
      <c r="B128" s="20"/>
      <c r="C128" s="135"/>
      <c r="D128" s="4"/>
      <c r="E128" s="4"/>
      <c r="F128" s="4"/>
      <c r="G128" s="4"/>
      <c r="H128" s="4"/>
      <c r="P128" s="4"/>
      <c r="Q128" s="4"/>
      <c r="R128" s="4"/>
      <c r="S128" s="4"/>
      <c r="T128" s="4"/>
      <c r="U128" s="136"/>
      <c r="V128" s="21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186"/>
      <c r="BB128" s="182">
        <v>3</v>
      </c>
      <c r="BC128" s="183">
        <v>47</v>
      </c>
      <c r="BD128" s="182">
        <f t="shared" si="6"/>
        <v>75</v>
      </c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</row>
    <row r="129" spans="2:51" ht="11.25" customHeight="1">
      <c r="B129" s="20"/>
      <c r="C129" s="13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36"/>
      <c r="V129" s="2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</row>
    <row r="130" spans="2:51" ht="11.25" customHeight="1">
      <c r="B130" s="20"/>
      <c r="C130" s="13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36"/>
      <c r="V130" s="2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</row>
    <row r="131" spans="2:51" ht="11.25" customHeight="1">
      <c r="B131" s="20"/>
      <c r="C131" s="13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36"/>
      <c r="V131" s="2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</row>
    <row r="132" spans="2:51" ht="11.25" customHeight="1" thickBot="1">
      <c r="B132" s="20"/>
      <c r="C132" s="137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  <c r="P132" s="138"/>
      <c r="Q132" s="138"/>
      <c r="R132" s="138"/>
      <c r="S132" s="138"/>
      <c r="T132" s="138"/>
      <c r="U132" s="140"/>
      <c r="V132" s="2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</row>
    <row r="133" spans="2:51" ht="11.25" customHeight="1">
      <c r="B133" s="2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2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</row>
    <row r="134" spans="2:51" ht="11.25" customHeight="1">
      <c r="B134" s="2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2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</row>
    <row r="135" spans="2:51" ht="11.25" customHeight="1">
      <c r="B135" s="2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  <c r="Q135" s="4"/>
      <c r="R135" s="4"/>
      <c r="S135" s="4"/>
      <c r="T135" s="4"/>
      <c r="U135" s="4"/>
      <c r="V135" s="2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</row>
    <row r="136" spans="2:51" ht="11.25" customHeight="1">
      <c r="B136" s="2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</row>
    <row r="137" spans="2:51" ht="11.25" customHeight="1">
      <c r="B137" s="2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</row>
    <row r="138" spans="2:51" ht="11.25" customHeight="1">
      <c r="B138" s="2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</row>
    <row r="139" spans="2:51" ht="11.25" customHeight="1">
      <c r="B139" s="2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</row>
    <row r="140" spans="2:22" ht="11.25" customHeight="1">
      <c r="B140" s="2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1"/>
    </row>
    <row r="141" spans="2:22" ht="11.25" customHeight="1"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1"/>
    </row>
    <row r="142" spans="2:22" ht="11.25" customHeight="1"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21"/>
    </row>
    <row r="143" spans="2:22" ht="11.25" customHeight="1">
      <c r="B143" s="2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21"/>
    </row>
    <row r="144" spans="2:22" ht="11.25" customHeight="1">
      <c r="B144" s="2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21"/>
    </row>
    <row r="145" spans="2:22" ht="11.25" customHeight="1">
      <c r="B145" s="2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1"/>
    </row>
    <row r="146" spans="2:22" ht="11.25" customHeight="1">
      <c r="B146" s="2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21"/>
    </row>
    <row r="147" spans="2:22" ht="11.25" customHeight="1"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21"/>
    </row>
    <row r="148" spans="2:22" ht="11.25" customHeight="1"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21"/>
    </row>
    <row r="149" spans="2:22" ht="11.25" customHeight="1"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21"/>
    </row>
    <row r="150" spans="2:22" ht="11.25" customHeight="1"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21"/>
    </row>
    <row r="151" spans="2:22" ht="11.25" customHeight="1"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21"/>
    </row>
    <row r="152" spans="2:22" ht="11.25" customHeight="1"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21"/>
    </row>
    <row r="153" spans="2:22" ht="11.25" customHeight="1"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1"/>
    </row>
    <row r="154" spans="2:22" ht="11.25" customHeight="1"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1"/>
    </row>
    <row r="155" spans="2:22" ht="11.25" customHeight="1">
      <c r="B155" s="2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21"/>
    </row>
    <row r="156" spans="2:22" ht="11.25" customHeight="1"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21"/>
    </row>
    <row r="157" spans="2:22" ht="11.25" customHeight="1"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21"/>
    </row>
    <row r="158" spans="2:22" ht="11.25" customHeight="1">
      <c r="B158" s="2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1"/>
    </row>
    <row r="159" spans="2:22" ht="11.25" customHeight="1">
      <c r="B159" s="2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1"/>
    </row>
    <row r="160" spans="2:22" ht="11.25" customHeight="1">
      <c r="B160" s="2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1"/>
    </row>
    <row r="161" spans="2:22" ht="11.25" customHeight="1">
      <c r="B161" s="2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1"/>
    </row>
    <row r="162" spans="2:22" ht="11.25" customHeight="1">
      <c r="B162" s="2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1"/>
    </row>
    <row r="163" spans="2:22" ht="11.25" customHeight="1">
      <c r="B163" s="2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1"/>
    </row>
    <row r="164" spans="2:22" ht="11.25" customHeight="1">
      <c r="B164" s="2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1"/>
    </row>
    <row r="165" spans="2:22" ht="11.25" customHeight="1"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1"/>
    </row>
    <row r="166" spans="2:22" ht="11.25" customHeight="1">
      <c r="B166" s="2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1"/>
    </row>
    <row r="167" spans="2:22" ht="11.25" customHeight="1">
      <c r="B167" s="2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62"/>
      <c r="P167" s="162"/>
      <c r="Q167" s="162"/>
      <c r="R167" s="162"/>
      <c r="S167" s="162"/>
      <c r="T167" s="4"/>
      <c r="U167" s="4"/>
      <c r="V167" s="21"/>
    </row>
    <row r="168" spans="2:22" ht="11.25" customHeight="1">
      <c r="B168" s="2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06" t="str">
        <f>O84</f>
        <v>วิศวกรโครงสร้าง :  นาย สุธีร์     แก้วคำ  สย.9698</v>
      </c>
      <c r="P168" s="4"/>
      <c r="Q168" s="4"/>
      <c r="R168" s="4"/>
      <c r="S168" s="4"/>
      <c r="T168" s="4"/>
      <c r="U168" s="4"/>
      <c r="V168" s="21"/>
    </row>
    <row r="169" spans="2:22" ht="11.25" customHeight="1" thickBot="1"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</row>
    <row r="170" spans="2:22" ht="11.2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1.2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1.2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1.2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="16" customFormat="1" ht="11.25" customHeight="1">
      <c r="A174" s="5"/>
    </row>
    <row r="175" s="16" customFormat="1" ht="11.25" customHeight="1">
      <c r="A175" s="5"/>
    </row>
    <row r="176" s="16" customFormat="1" ht="11.25" customHeight="1">
      <c r="A176" s="5"/>
    </row>
    <row r="177" s="16" customFormat="1" ht="11.25" customHeight="1">
      <c r="A177" s="5"/>
    </row>
    <row r="178" s="16" customFormat="1" ht="11.25" customHeight="1">
      <c r="A178" s="5"/>
    </row>
    <row r="179" s="16" customFormat="1" ht="11.25" customHeight="1">
      <c r="A179" s="5"/>
    </row>
    <row r="180" s="16" customFormat="1" ht="11.25" customHeight="1">
      <c r="A180" s="5"/>
    </row>
    <row r="181" s="16" customFormat="1" ht="11.25" customHeight="1">
      <c r="A181" s="5"/>
    </row>
    <row r="182" s="16" customFormat="1" ht="11.25" customHeight="1">
      <c r="A182" s="5"/>
    </row>
    <row r="183" s="16" customFormat="1" ht="11.25" customHeight="1">
      <c r="A183" s="5"/>
    </row>
    <row r="184" s="16" customFormat="1" ht="11.25" customHeight="1">
      <c r="A184" s="5"/>
    </row>
    <row r="185" s="16" customFormat="1" ht="11.25" customHeight="1">
      <c r="A185" s="5"/>
    </row>
    <row r="186" s="16" customFormat="1" ht="11.25" customHeight="1">
      <c r="A186" s="5"/>
    </row>
    <row r="187" s="16" customFormat="1" ht="11.25" customHeight="1">
      <c r="A187" s="5"/>
    </row>
    <row r="188" s="16" customFormat="1" ht="11.25" customHeight="1">
      <c r="A188" s="5"/>
    </row>
    <row r="189" s="16" customFormat="1" ht="11.25" customHeight="1">
      <c r="A189" s="5"/>
    </row>
    <row r="190" s="16" customFormat="1" ht="11.25" customHeight="1">
      <c r="A190" s="5"/>
    </row>
    <row r="191" s="16" customFormat="1" ht="11.25" customHeight="1">
      <c r="A191" s="5"/>
    </row>
    <row r="192" s="16" customFormat="1" ht="11.25" customHeight="1">
      <c r="A192" s="5"/>
    </row>
    <row r="193" s="16" customFormat="1" ht="11.25" customHeight="1">
      <c r="A193" s="5"/>
    </row>
    <row r="194" s="16" customFormat="1" ht="11.25" customHeight="1">
      <c r="A194" s="5"/>
    </row>
    <row r="195" s="16" customFormat="1" ht="11.25" customHeight="1">
      <c r="A195" s="5"/>
    </row>
    <row r="196" s="16" customFormat="1" ht="11.25" customHeight="1">
      <c r="A196" s="5"/>
    </row>
    <row r="197" s="16" customFormat="1" ht="11.25" customHeight="1">
      <c r="A197" s="5"/>
    </row>
    <row r="198" s="16" customFormat="1" ht="11.25" customHeight="1">
      <c r="A198" s="5"/>
    </row>
    <row r="199" s="16" customFormat="1" ht="11.25" customHeight="1">
      <c r="A199" s="5"/>
    </row>
    <row r="200" s="16" customFormat="1" ht="11.25" customHeight="1">
      <c r="A200" s="5"/>
    </row>
    <row r="201" s="16" customFormat="1" ht="11.25" customHeight="1">
      <c r="A201" s="5"/>
    </row>
    <row r="202" s="16" customFormat="1" ht="11.25" customHeight="1">
      <c r="A202" s="5"/>
    </row>
    <row r="203" s="16" customFormat="1" ht="11.25" customHeight="1">
      <c r="A203" s="5"/>
    </row>
    <row r="204" s="16" customFormat="1" ht="11.25" customHeight="1">
      <c r="A204" s="5"/>
    </row>
    <row r="205" s="16" customFormat="1" ht="11.25" customHeight="1">
      <c r="A205" s="5"/>
    </row>
    <row r="206" s="16" customFormat="1" ht="11.25" customHeight="1">
      <c r="A206" s="5"/>
    </row>
    <row r="207" s="16" customFormat="1" ht="11.25" customHeight="1">
      <c r="A207" s="5"/>
    </row>
    <row r="208" s="16" customFormat="1" ht="11.25" customHeight="1">
      <c r="A208" s="5"/>
    </row>
    <row r="209" s="16" customFormat="1" ht="11.25" customHeight="1">
      <c r="A209" s="5"/>
    </row>
    <row r="210" s="16" customFormat="1" ht="11.25" customHeight="1">
      <c r="A210" s="5"/>
    </row>
    <row r="211" s="16" customFormat="1" ht="11.25" customHeight="1">
      <c r="A211" s="5"/>
    </row>
    <row r="212" s="16" customFormat="1" ht="11.25" customHeight="1">
      <c r="A212" s="5"/>
    </row>
    <row r="213" s="16" customFormat="1" ht="11.25" customHeight="1">
      <c r="A213" s="5"/>
    </row>
    <row r="214" s="16" customFormat="1" ht="11.25" customHeight="1">
      <c r="A214" s="5"/>
    </row>
    <row r="215" s="16" customFormat="1" ht="11.25" customHeight="1">
      <c r="A215" s="5"/>
    </row>
    <row r="216" s="16" customFormat="1" ht="11.25" customHeight="1">
      <c r="A216" s="5"/>
    </row>
    <row r="217" s="16" customFormat="1" ht="11.25" customHeight="1">
      <c r="A217" s="5"/>
    </row>
    <row r="218" s="16" customFormat="1" ht="11.25" customHeight="1">
      <c r="A218" s="5"/>
    </row>
    <row r="219" s="16" customFormat="1" ht="11.25" customHeight="1">
      <c r="A219" s="5"/>
    </row>
    <row r="220" s="16" customFormat="1" ht="11.25" customHeight="1">
      <c r="A220" s="5"/>
    </row>
    <row r="221" s="16" customFormat="1" ht="11.25" customHeight="1">
      <c r="A221" s="5"/>
    </row>
    <row r="222" s="16" customFormat="1" ht="11.25" customHeight="1">
      <c r="A222" s="5"/>
    </row>
    <row r="223" s="16" customFormat="1" ht="11.25" customHeight="1">
      <c r="A223" s="5"/>
    </row>
    <row r="224" s="16" customFormat="1" ht="11.25" customHeight="1">
      <c r="A224" s="5"/>
    </row>
    <row r="225" s="16" customFormat="1" ht="11.25" customHeight="1">
      <c r="A225" s="5"/>
    </row>
    <row r="226" s="16" customFormat="1" ht="11.25" customHeight="1">
      <c r="A226" s="5"/>
    </row>
    <row r="227" s="16" customFormat="1" ht="11.25" customHeight="1">
      <c r="A227" s="5"/>
    </row>
    <row r="228" s="16" customFormat="1" ht="11.25" customHeight="1">
      <c r="A228" s="5"/>
    </row>
    <row r="229" s="16" customFormat="1" ht="11.25" customHeight="1">
      <c r="A229" s="5"/>
    </row>
    <row r="230" s="16" customFormat="1" ht="11.25" customHeight="1">
      <c r="A230" s="5"/>
    </row>
    <row r="231" s="16" customFormat="1" ht="11.25" customHeight="1">
      <c r="A231" s="5"/>
    </row>
    <row r="232" s="16" customFormat="1" ht="11.25" customHeight="1">
      <c r="A232" s="5"/>
    </row>
    <row r="233" s="16" customFormat="1" ht="11.25" customHeight="1">
      <c r="A233" s="5"/>
    </row>
    <row r="234" s="16" customFormat="1" ht="11.25" customHeight="1">
      <c r="A234" s="5"/>
    </row>
    <row r="235" s="16" customFormat="1" ht="11.25" customHeight="1">
      <c r="A235" s="5"/>
    </row>
    <row r="236" s="16" customFormat="1" ht="11.25" customHeight="1">
      <c r="A236" s="5"/>
    </row>
    <row r="237" s="16" customFormat="1" ht="11.25" customHeight="1">
      <c r="A237" s="5"/>
    </row>
    <row r="238" s="16" customFormat="1" ht="11.25" customHeight="1">
      <c r="A238" s="5"/>
    </row>
    <row r="239" s="16" customFormat="1" ht="11.25" customHeight="1">
      <c r="A239" s="5"/>
    </row>
    <row r="240" s="16" customFormat="1" ht="11.25" customHeight="1">
      <c r="A240" s="5"/>
    </row>
    <row r="241" s="16" customFormat="1" ht="11.25" customHeight="1">
      <c r="A241" s="5"/>
    </row>
    <row r="242" s="16" customFormat="1" ht="11.25" customHeight="1">
      <c r="A242" s="5"/>
    </row>
    <row r="243" s="16" customFormat="1" ht="11.25" customHeight="1">
      <c r="A243" s="5"/>
    </row>
    <row r="244" s="16" customFormat="1" ht="11.25" customHeight="1">
      <c r="A244" s="5"/>
    </row>
    <row r="245" s="16" customFormat="1" ht="11.25" customHeight="1">
      <c r="A245" s="5"/>
    </row>
    <row r="246" s="16" customFormat="1" ht="11.25" customHeight="1">
      <c r="A246" s="5"/>
    </row>
    <row r="247" s="16" customFormat="1" ht="11.25" customHeight="1">
      <c r="A247" s="5"/>
    </row>
    <row r="248" s="16" customFormat="1" ht="11.25" customHeight="1">
      <c r="A248" s="5"/>
    </row>
    <row r="249" s="16" customFormat="1" ht="11.25" customHeight="1">
      <c r="A249" s="5"/>
    </row>
    <row r="250" s="16" customFormat="1" ht="11.25" customHeight="1">
      <c r="A250" s="5"/>
    </row>
    <row r="251" s="16" customFormat="1" ht="11.25" customHeight="1">
      <c r="A251" s="5"/>
    </row>
    <row r="252" s="16" customFormat="1" ht="11.25" customHeight="1">
      <c r="A252" s="5"/>
    </row>
    <row r="253" s="16" customFormat="1" ht="11.25" customHeight="1">
      <c r="A253" s="5"/>
    </row>
    <row r="254" s="16" customFormat="1" ht="11.25" customHeight="1">
      <c r="A254" s="5"/>
    </row>
    <row r="255" s="16" customFormat="1" ht="11.25" customHeight="1">
      <c r="A255" s="5"/>
    </row>
    <row r="256" s="16" customFormat="1" ht="11.25" customHeight="1">
      <c r="A256" s="5"/>
    </row>
    <row r="257" s="16" customFormat="1" ht="11.25" customHeight="1">
      <c r="A257" s="5"/>
    </row>
    <row r="258" s="16" customFormat="1" ht="11.25" customHeight="1">
      <c r="A258" s="5"/>
    </row>
    <row r="259" s="16" customFormat="1" ht="11.25" customHeight="1">
      <c r="A259" s="5"/>
    </row>
    <row r="260" s="16" customFormat="1" ht="11.25" customHeight="1">
      <c r="A260" s="5"/>
    </row>
    <row r="261" s="16" customFormat="1" ht="11.25" customHeight="1">
      <c r="A261" s="5"/>
    </row>
    <row r="262" s="16" customFormat="1" ht="11.25" customHeight="1">
      <c r="A262" s="5"/>
    </row>
    <row r="263" s="16" customFormat="1" ht="11.25" customHeight="1">
      <c r="A263" s="5"/>
    </row>
    <row r="264" s="16" customFormat="1" ht="11.25" customHeight="1">
      <c r="A264" s="5"/>
    </row>
    <row r="265" s="16" customFormat="1" ht="11.25" customHeight="1">
      <c r="A265" s="5"/>
    </row>
    <row r="266" s="16" customFormat="1" ht="11.25" customHeight="1">
      <c r="A266" s="5"/>
    </row>
    <row r="267" s="16" customFormat="1" ht="11.25" customHeight="1">
      <c r="A267" s="5"/>
    </row>
    <row r="268" s="16" customFormat="1" ht="11.25" customHeight="1">
      <c r="A268" s="5"/>
    </row>
    <row r="269" s="16" customFormat="1" ht="11.25" customHeight="1">
      <c r="A269" s="5"/>
    </row>
    <row r="270" s="16" customFormat="1" ht="11.25" customHeight="1">
      <c r="A270" s="5"/>
    </row>
    <row r="271" s="16" customFormat="1" ht="11.25" customHeight="1">
      <c r="A271" s="5"/>
    </row>
    <row r="272" s="16" customFormat="1" ht="11.25" customHeight="1">
      <c r="A272" s="5"/>
    </row>
    <row r="273" s="16" customFormat="1" ht="11.25" customHeight="1">
      <c r="A273" s="5"/>
    </row>
    <row r="274" s="16" customFormat="1" ht="11.25" customHeight="1">
      <c r="A274" s="5"/>
    </row>
    <row r="275" s="16" customFormat="1" ht="11.25" customHeight="1">
      <c r="A275" s="5"/>
    </row>
    <row r="276" s="16" customFormat="1" ht="11.25" customHeight="1">
      <c r="A276" s="5"/>
    </row>
    <row r="277" s="16" customFormat="1" ht="11.25" customHeight="1">
      <c r="A277" s="5"/>
    </row>
    <row r="278" s="16" customFormat="1" ht="11.25" customHeight="1">
      <c r="A278" s="5"/>
    </row>
    <row r="279" s="16" customFormat="1" ht="11.25" customHeight="1">
      <c r="A279" s="5"/>
    </row>
    <row r="280" s="16" customFormat="1" ht="11.25" customHeight="1">
      <c r="A280" s="5"/>
    </row>
    <row r="281" s="16" customFormat="1" ht="11.25" customHeight="1">
      <c r="A281" s="5"/>
    </row>
    <row r="282" s="16" customFormat="1" ht="11.25" customHeight="1">
      <c r="A282" s="5"/>
    </row>
    <row r="283" s="16" customFormat="1" ht="11.25" customHeight="1">
      <c r="A283" s="5"/>
    </row>
    <row r="284" s="16" customFormat="1" ht="11.25" customHeight="1">
      <c r="A284" s="5"/>
    </row>
    <row r="285" s="16" customFormat="1" ht="11.25" customHeight="1">
      <c r="A285" s="5"/>
    </row>
    <row r="286" s="16" customFormat="1" ht="11.25" customHeight="1">
      <c r="A286" s="5"/>
    </row>
    <row r="287" s="16" customFormat="1" ht="11.25" customHeight="1">
      <c r="A287" s="5"/>
    </row>
    <row r="288" s="16" customFormat="1" ht="11.25" customHeight="1">
      <c r="A288" s="5"/>
    </row>
    <row r="289" s="16" customFormat="1" ht="11.25" customHeight="1">
      <c r="A289" s="5"/>
    </row>
    <row r="290" s="16" customFormat="1" ht="11.25" customHeight="1">
      <c r="A290" s="5"/>
    </row>
    <row r="291" s="16" customFormat="1" ht="11.25" customHeight="1">
      <c r="A291" s="5"/>
    </row>
    <row r="292" s="16" customFormat="1" ht="11.25" customHeight="1">
      <c r="A292" s="5"/>
    </row>
    <row r="293" s="16" customFormat="1" ht="11.25" customHeight="1">
      <c r="A293" s="5"/>
    </row>
    <row r="294" s="16" customFormat="1" ht="11.25" customHeight="1">
      <c r="A294" s="5"/>
    </row>
    <row r="295" s="16" customFormat="1" ht="11.25" customHeight="1">
      <c r="A295" s="5"/>
    </row>
    <row r="296" s="16" customFormat="1" ht="11.25" customHeight="1">
      <c r="A296" s="5"/>
    </row>
    <row r="297" s="16" customFormat="1" ht="11.25" customHeight="1">
      <c r="A297" s="5"/>
    </row>
    <row r="298" s="16" customFormat="1" ht="11.25" customHeight="1">
      <c r="A298" s="5"/>
    </row>
    <row r="299" s="16" customFormat="1" ht="11.25" customHeight="1">
      <c r="A299" s="5"/>
    </row>
    <row r="300" s="16" customFormat="1" ht="11.25" customHeight="1">
      <c r="A300" s="5"/>
    </row>
    <row r="301" s="16" customFormat="1" ht="11.25" customHeight="1">
      <c r="A301" s="5"/>
    </row>
    <row r="302" s="16" customFormat="1" ht="11.25" customHeight="1">
      <c r="A302" s="5"/>
    </row>
    <row r="303" s="16" customFormat="1" ht="11.25" customHeight="1">
      <c r="A303" s="5"/>
    </row>
    <row r="304" s="16" customFormat="1" ht="11.25" customHeight="1">
      <c r="A304" s="5"/>
    </row>
    <row r="305" s="16" customFormat="1" ht="11.25" customHeight="1">
      <c r="A305" s="5"/>
    </row>
    <row r="306" s="16" customFormat="1" ht="11.25" customHeight="1">
      <c r="A306" s="5"/>
    </row>
    <row r="307" s="16" customFormat="1" ht="11.25" customHeight="1">
      <c r="A307" s="5"/>
    </row>
    <row r="308" s="16" customFormat="1" ht="11.25" customHeight="1">
      <c r="A308" s="5"/>
    </row>
    <row r="309" s="16" customFormat="1" ht="11.25" customHeight="1">
      <c r="A309" s="5"/>
    </row>
    <row r="310" s="16" customFormat="1" ht="11.25" customHeight="1">
      <c r="A310" s="5"/>
    </row>
    <row r="311" s="16" customFormat="1" ht="11.25" customHeight="1">
      <c r="A311" s="5"/>
    </row>
    <row r="312" s="16" customFormat="1" ht="11.25" customHeight="1">
      <c r="A312" s="5"/>
    </row>
    <row r="313" s="16" customFormat="1" ht="11.25" customHeight="1">
      <c r="A313" s="5"/>
    </row>
    <row r="314" s="16" customFormat="1" ht="11.25" customHeight="1">
      <c r="A314" s="5"/>
    </row>
    <row r="315" s="16" customFormat="1" ht="11.25" customHeight="1">
      <c r="A315" s="5"/>
    </row>
    <row r="316" s="16" customFormat="1" ht="11.25" customHeight="1">
      <c r="A316" s="5"/>
    </row>
    <row r="317" s="16" customFormat="1" ht="11.25" customHeight="1">
      <c r="A317" s="5"/>
    </row>
    <row r="318" s="16" customFormat="1" ht="11.25" customHeight="1">
      <c r="A318" s="5"/>
    </row>
    <row r="319" s="16" customFormat="1" ht="11.25" customHeight="1">
      <c r="A319" s="5"/>
    </row>
    <row r="320" s="16" customFormat="1" ht="11.25" customHeight="1">
      <c r="A320" s="5"/>
    </row>
    <row r="321" s="16" customFormat="1" ht="11.25" customHeight="1">
      <c r="A321" s="5"/>
    </row>
    <row r="322" s="16" customFormat="1" ht="11.25" customHeight="1">
      <c r="A322" s="5"/>
    </row>
    <row r="323" s="16" customFormat="1" ht="11.25" customHeight="1">
      <c r="A323" s="5"/>
    </row>
    <row r="324" s="16" customFormat="1" ht="11.25" customHeight="1">
      <c r="A324" s="5"/>
    </row>
    <row r="325" s="16" customFormat="1" ht="11.25" customHeight="1">
      <c r="A325" s="5"/>
    </row>
    <row r="326" s="16" customFormat="1" ht="11.25" customHeight="1">
      <c r="A326" s="5"/>
    </row>
    <row r="327" s="16" customFormat="1" ht="11.25" customHeight="1">
      <c r="A327" s="5"/>
    </row>
    <row r="328" s="16" customFormat="1" ht="11.25" customHeight="1">
      <c r="A328" s="5"/>
    </row>
    <row r="329" s="16" customFormat="1" ht="11.25" customHeight="1">
      <c r="A329" s="5"/>
    </row>
    <row r="330" s="16" customFormat="1" ht="11.25" customHeight="1">
      <c r="A330" s="5"/>
    </row>
    <row r="331" s="16" customFormat="1" ht="11.25" customHeight="1">
      <c r="A331" s="5"/>
    </row>
    <row r="332" s="16" customFormat="1" ht="11.25" customHeight="1">
      <c r="A332" s="5"/>
    </row>
    <row r="333" s="16" customFormat="1" ht="11.25" customHeight="1">
      <c r="A333" s="5"/>
    </row>
    <row r="334" s="16" customFormat="1" ht="11.25" customHeight="1">
      <c r="A334" s="5"/>
    </row>
    <row r="335" s="16" customFormat="1" ht="11.25" customHeight="1">
      <c r="A335" s="5"/>
    </row>
    <row r="336" s="16" customFormat="1" ht="11.25" customHeight="1">
      <c r="A336" s="5"/>
    </row>
    <row r="337" s="16" customFormat="1" ht="11.25" customHeight="1">
      <c r="A337" s="5"/>
    </row>
    <row r="338" s="16" customFormat="1" ht="11.25" customHeight="1">
      <c r="A338" s="5"/>
    </row>
    <row r="339" s="16" customFormat="1" ht="11.25" customHeight="1">
      <c r="A339" s="5"/>
    </row>
    <row r="340" s="16" customFormat="1" ht="11.25" customHeight="1">
      <c r="A340" s="5"/>
    </row>
    <row r="341" s="16" customFormat="1" ht="11.25" customHeight="1">
      <c r="A341" s="5"/>
    </row>
    <row r="342" s="16" customFormat="1" ht="11.25" customHeight="1">
      <c r="A342" s="5"/>
    </row>
    <row r="343" s="16" customFormat="1" ht="11.25" customHeight="1">
      <c r="A343" s="5"/>
    </row>
    <row r="344" s="16" customFormat="1" ht="11.25" customHeight="1">
      <c r="A344" s="5"/>
    </row>
    <row r="345" s="16" customFormat="1" ht="11.25" customHeight="1">
      <c r="A345" s="5"/>
    </row>
    <row r="346" s="16" customFormat="1" ht="11.25" customHeight="1">
      <c r="A346" s="5"/>
    </row>
    <row r="347" s="16" customFormat="1" ht="11.25" customHeight="1">
      <c r="A347" s="5"/>
    </row>
    <row r="348" s="16" customFormat="1" ht="11.25" customHeight="1">
      <c r="A348" s="5"/>
    </row>
    <row r="349" s="16" customFormat="1" ht="11.25" customHeight="1">
      <c r="A349" s="5"/>
    </row>
    <row r="350" s="16" customFormat="1" ht="11.25" customHeight="1">
      <c r="A350" s="5"/>
    </row>
    <row r="351" s="16" customFormat="1" ht="11.25" customHeight="1">
      <c r="A351" s="5"/>
    </row>
    <row r="352" s="16" customFormat="1" ht="11.25" customHeight="1">
      <c r="A352" s="5"/>
    </row>
    <row r="353" s="16" customFormat="1" ht="11.25" customHeight="1">
      <c r="A353" s="5"/>
    </row>
    <row r="354" s="16" customFormat="1" ht="11.25" customHeight="1">
      <c r="A354" s="5"/>
    </row>
    <row r="355" s="16" customFormat="1" ht="11.25" customHeight="1">
      <c r="A355" s="5"/>
    </row>
    <row r="356" s="16" customFormat="1" ht="11.25" customHeight="1">
      <c r="A356" s="5"/>
    </row>
    <row r="357" s="16" customFormat="1" ht="11.25" customHeight="1">
      <c r="A357" s="5"/>
    </row>
    <row r="358" s="16" customFormat="1" ht="11.25" customHeight="1">
      <c r="A358" s="5"/>
    </row>
    <row r="359" s="16" customFormat="1" ht="11.25" customHeight="1">
      <c r="A359" s="5"/>
    </row>
    <row r="360" s="16" customFormat="1" ht="11.25" customHeight="1">
      <c r="A360" s="5"/>
    </row>
    <row r="361" s="16" customFormat="1" ht="11.25" customHeight="1">
      <c r="A361" s="5"/>
    </row>
    <row r="362" s="16" customFormat="1" ht="11.25" customHeight="1">
      <c r="A362" s="5"/>
    </row>
    <row r="363" s="16" customFormat="1" ht="11.25" customHeight="1">
      <c r="A363" s="5"/>
    </row>
    <row r="364" s="16" customFormat="1" ht="11.25" customHeight="1">
      <c r="A364" s="5"/>
    </row>
    <row r="365" s="16" customFormat="1" ht="11.25" customHeight="1">
      <c r="A365" s="5"/>
    </row>
    <row r="366" s="16" customFormat="1" ht="11.25" customHeight="1">
      <c r="A366" s="5"/>
    </row>
    <row r="367" s="16" customFormat="1" ht="11.25" customHeight="1">
      <c r="A367" s="5"/>
    </row>
    <row r="368" s="16" customFormat="1" ht="11.25" customHeight="1">
      <c r="A368" s="5"/>
    </row>
    <row r="369" s="16" customFormat="1" ht="11.25" customHeight="1">
      <c r="A369" s="5"/>
    </row>
    <row r="370" s="16" customFormat="1" ht="11.25" customHeight="1">
      <c r="A370" s="5"/>
    </row>
    <row r="371" s="16" customFormat="1" ht="11.25" customHeight="1">
      <c r="A371" s="5"/>
    </row>
    <row r="372" s="16" customFormat="1" ht="11.25" customHeight="1">
      <c r="A372" s="5"/>
    </row>
    <row r="373" s="16" customFormat="1" ht="11.25" customHeight="1">
      <c r="A373" s="5"/>
    </row>
    <row r="374" s="16" customFormat="1" ht="11.25" customHeight="1">
      <c r="A374" s="5"/>
    </row>
    <row r="375" s="16" customFormat="1" ht="11.25" customHeight="1">
      <c r="A375" s="5"/>
    </row>
    <row r="376" s="16" customFormat="1" ht="11.25" customHeight="1">
      <c r="A376" s="5"/>
    </row>
    <row r="377" s="16" customFormat="1" ht="11.25" customHeight="1">
      <c r="A377" s="5"/>
    </row>
    <row r="378" s="16" customFormat="1" ht="11.25" customHeight="1">
      <c r="A378" s="5"/>
    </row>
    <row r="379" s="16" customFormat="1" ht="11.25" customHeight="1">
      <c r="A379" s="5"/>
    </row>
    <row r="380" s="16" customFormat="1" ht="11.25" customHeight="1">
      <c r="A380" s="5"/>
    </row>
    <row r="381" s="16" customFormat="1" ht="11.25" customHeight="1">
      <c r="A381" s="5"/>
    </row>
    <row r="382" s="16" customFormat="1" ht="11.25" customHeight="1">
      <c r="A382" s="5"/>
    </row>
    <row r="383" s="16" customFormat="1" ht="11.25" customHeight="1">
      <c r="A383" s="5"/>
    </row>
    <row r="384" s="16" customFormat="1" ht="11.25" customHeight="1">
      <c r="A384" s="5"/>
    </row>
    <row r="385" s="16" customFormat="1" ht="11.25" customHeight="1">
      <c r="A385" s="5"/>
    </row>
    <row r="386" s="16" customFormat="1" ht="11.25" customHeight="1">
      <c r="A386" s="5"/>
    </row>
    <row r="387" s="16" customFormat="1" ht="11.25" customHeight="1">
      <c r="A387" s="5"/>
    </row>
    <row r="388" s="16" customFormat="1" ht="11.25" customHeight="1">
      <c r="A388" s="5"/>
    </row>
    <row r="389" s="16" customFormat="1" ht="11.25" customHeight="1">
      <c r="A389" s="5"/>
    </row>
    <row r="390" s="16" customFormat="1" ht="11.25" customHeight="1">
      <c r="A390" s="5"/>
    </row>
    <row r="391" s="16" customFormat="1" ht="11.25" customHeight="1">
      <c r="A391" s="5"/>
    </row>
    <row r="392" s="16" customFormat="1" ht="11.25" customHeight="1">
      <c r="A392" s="5"/>
    </row>
    <row r="393" s="16" customFormat="1" ht="11.25" customHeight="1">
      <c r="A393" s="5"/>
    </row>
    <row r="394" s="16" customFormat="1" ht="11.25" customHeight="1">
      <c r="A394" s="5"/>
    </row>
    <row r="395" s="16" customFormat="1" ht="11.25" customHeight="1">
      <c r="A395" s="5"/>
    </row>
    <row r="396" s="16" customFormat="1" ht="11.25" customHeight="1">
      <c r="A396" s="5"/>
    </row>
    <row r="397" s="16" customFormat="1" ht="11.25" customHeight="1">
      <c r="A397" s="5"/>
    </row>
    <row r="398" s="16" customFormat="1" ht="11.25" customHeight="1">
      <c r="A398" s="5"/>
    </row>
    <row r="399" s="16" customFormat="1" ht="11.25" customHeight="1">
      <c r="A399" s="5"/>
    </row>
    <row r="400" s="16" customFormat="1" ht="11.25" customHeight="1">
      <c r="A400" s="5"/>
    </row>
    <row r="401" s="16" customFormat="1" ht="11.25" customHeight="1">
      <c r="A401" s="5"/>
    </row>
    <row r="402" s="16" customFormat="1" ht="11.25" customHeight="1">
      <c r="A402" s="5"/>
    </row>
    <row r="403" s="16" customFormat="1" ht="11.25" customHeight="1">
      <c r="A403" s="5"/>
    </row>
    <row r="404" s="16" customFormat="1" ht="11.25" customHeight="1">
      <c r="A404" s="5"/>
    </row>
    <row r="405" s="16" customFormat="1" ht="11.25" customHeight="1">
      <c r="A405" s="5"/>
    </row>
    <row r="406" s="16" customFormat="1" ht="11.25" customHeight="1">
      <c r="A406" s="5"/>
    </row>
    <row r="407" s="16" customFormat="1" ht="11.25" customHeight="1">
      <c r="A407" s="5"/>
    </row>
    <row r="408" s="16" customFormat="1" ht="11.25" customHeight="1">
      <c r="A408" s="5"/>
    </row>
    <row r="409" s="16" customFormat="1" ht="11.25" customHeight="1">
      <c r="A409" s="5"/>
    </row>
    <row r="410" s="16" customFormat="1" ht="11.25" customHeight="1">
      <c r="A410" s="5"/>
    </row>
    <row r="411" s="16" customFormat="1" ht="11.25" customHeight="1">
      <c r="A411" s="5"/>
    </row>
    <row r="412" s="16" customFormat="1" ht="11.25" customHeight="1">
      <c r="A412" s="5"/>
    </row>
    <row r="413" s="16" customFormat="1" ht="11.25" customHeight="1">
      <c r="A413" s="5"/>
    </row>
    <row r="414" s="16" customFormat="1" ht="11.25" customHeight="1">
      <c r="A414" s="5"/>
    </row>
    <row r="415" s="16" customFormat="1" ht="11.25" customHeight="1">
      <c r="A415" s="5"/>
    </row>
    <row r="416" s="16" customFormat="1" ht="11.25" customHeight="1">
      <c r="A416" s="5"/>
    </row>
    <row r="417" s="16" customFormat="1" ht="11.25" customHeight="1">
      <c r="A417" s="5"/>
    </row>
    <row r="418" s="16" customFormat="1" ht="11.25" customHeight="1">
      <c r="A418" s="5"/>
    </row>
    <row r="419" s="16" customFormat="1" ht="11.25" customHeight="1">
      <c r="A419" s="5"/>
    </row>
    <row r="420" s="16" customFormat="1" ht="11.25" customHeight="1">
      <c r="A420" s="5"/>
    </row>
    <row r="421" s="16" customFormat="1" ht="11.25" customHeight="1">
      <c r="A421" s="5"/>
    </row>
    <row r="422" s="16" customFormat="1" ht="11.25" customHeight="1">
      <c r="A422" s="5"/>
    </row>
    <row r="423" s="16" customFormat="1" ht="11.25" customHeight="1">
      <c r="A423" s="5"/>
    </row>
    <row r="424" s="16" customFormat="1" ht="11.25" customHeight="1">
      <c r="A424" s="5"/>
    </row>
    <row r="425" s="16" customFormat="1" ht="11.25" customHeight="1">
      <c r="A425" s="5"/>
    </row>
    <row r="426" s="16" customFormat="1" ht="11.25" customHeight="1">
      <c r="A426" s="5"/>
    </row>
    <row r="427" s="16" customFormat="1" ht="11.25" customHeight="1">
      <c r="A427" s="5"/>
    </row>
    <row r="428" s="16" customFormat="1" ht="11.25" customHeight="1">
      <c r="A428" s="5"/>
    </row>
    <row r="429" s="16" customFormat="1" ht="11.25" customHeight="1">
      <c r="A429" s="5"/>
    </row>
    <row r="430" s="16" customFormat="1" ht="11.25" customHeight="1">
      <c r="A430" s="5"/>
    </row>
    <row r="431" s="16" customFormat="1" ht="11.25" customHeight="1">
      <c r="A431" s="5"/>
    </row>
    <row r="432" s="16" customFormat="1" ht="11.25" customHeight="1">
      <c r="A432" s="5"/>
    </row>
    <row r="433" s="16" customFormat="1" ht="11.25" customHeight="1">
      <c r="A433" s="5"/>
    </row>
    <row r="434" s="16" customFormat="1" ht="11.25" customHeight="1">
      <c r="A434" s="5"/>
    </row>
    <row r="435" s="16" customFormat="1" ht="11.25" customHeight="1">
      <c r="A435" s="5"/>
    </row>
    <row r="436" s="16" customFormat="1" ht="11.25" customHeight="1">
      <c r="A436" s="5"/>
    </row>
    <row r="437" s="16" customFormat="1" ht="11.25" customHeight="1">
      <c r="A437" s="5"/>
    </row>
    <row r="438" s="16" customFormat="1" ht="11.25" customHeight="1">
      <c r="A438" s="5"/>
    </row>
    <row r="439" s="16" customFormat="1" ht="11.25" customHeight="1">
      <c r="A439" s="5"/>
    </row>
    <row r="440" s="16" customFormat="1" ht="11.25" customHeight="1">
      <c r="A440" s="5"/>
    </row>
    <row r="441" s="16" customFormat="1" ht="11.25" customHeight="1">
      <c r="A441" s="5"/>
    </row>
    <row r="442" s="16" customFormat="1" ht="11.25" customHeight="1">
      <c r="A442" s="5"/>
    </row>
    <row r="443" s="16" customFormat="1" ht="11.25" customHeight="1">
      <c r="A443" s="5"/>
    </row>
    <row r="444" s="16" customFormat="1" ht="11.25" customHeight="1">
      <c r="A444" s="5"/>
    </row>
    <row r="445" s="16" customFormat="1" ht="11.25" customHeight="1">
      <c r="A445" s="5"/>
    </row>
    <row r="446" s="16" customFormat="1" ht="11.25" customHeight="1">
      <c r="A446" s="5"/>
    </row>
    <row r="447" s="16" customFormat="1" ht="11.25" customHeight="1">
      <c r="A447" s="5"/>
    </row>
    <row r="448" s="16" customFormat="1" ht="11.25" customHeight="1">
      <c r="A448" s="5"/>
    </row>
    <row r="449" s="16" customFormat="1" ht="11.25" customHeight="1">
      <c r="A449" s="5"/>
    </row>
    <row r="450" s="16" customFormat="1" ht="11.25" customHeight="1">
      <c r="A450" s="5"/>
    </row>
    <row r="451" s="16" customFormat="1" ht="11.25" customHeight="1">
      <c r="A451" s="5"/>
    </row>
    <row r="452" s="16" customFormat="1" ht="11.25" customHeight="1">
      <c r="A452" s="5"/>
    </row>
    <row r="453" s="16" customFormat="1" ht="11.25" customHeight="1">
      <c r="A453" s="5"/>
    </row>
    <row r="454" s="16" customFormat="1" ht="11.25" customHeight="1">
      <c r="A454" s="5"/>
    </row>
    <row r="455" s="16" customFormat="1" ht="11.25" customHeight="1">
      <c r="A455" s="5"/>
    </row>
    <row r="456" s="16" customFormat="1" ht="11.25" customHeight="1">
      <c r="A456" s="5"/>
    </row>
    <row r="457" s="16" customFormat="1" ht="11.25" customHeight="1">
      <c r="A457" s="5"/>
    </row>
    <row r="458" s="16" customFormat="1" ht="11.25" customHeight="1">
      <c r="A458" s="5"/>
    </row>
    <row r="459" s="16" customFormat="1" ht="11.25" customHeight="1">
      <c r="A459" s="5"/>
    </row>
    <row r="460" s="16" customFormat="1" ht="11.25" customHeight="1">
      <c r="A460" s="5"/>
    </row>
    <row r="461" s="16" customFormat="1" ht="11.25" customHeight="1">
      <c r="A461" s="5"/>
    </row>
    <row r="462" s="16" customFormat="1" ht="11.25" customHeight="1">
      <c r="A462" s="5"/>
    </row>
    <row r="463" s="16" customFormat="1" ht="11.25" customHeight="1">
      <c r="A463" s="5"/>
    </row>
    <row r="464" s="16" customFormat="1" ht="11.25" customHeight="1">
      <c r="A464" s="5"/>
    </row>
    <row r="465" s="16" customFormat="1" ht="11.25" customHeight="1">
      <c r="A465" s="5"/>
    </row>
    <row r="466" s="16" customFormat="1" ht="11.25" customHeight="1">
      <c r="A466" s="5"/>
    </row>
    <row r="467" s="16" customFormat="1" ht="11.25" customHeight="1">
      <c r="A467" s="5"/>
    </row>
    <row r="468" s="16" customFormat="1" ht="11.25" customHeight="1">
      <c r="A468" s="5"/>
    </row>
    <row r="469" s="16" customFormat="1" ht="11.25" customHeight="1">
      <c r="A469" s="5"/>
    </row>
    <row r="470" s="16" customFormat="1" ht="11.25" customHeight="1">
      <c r="A470" s="5"/>
    </row>
    <row r="471" spans="1:22" s="16" customFormat="1" ht="11.25" customHeight="1">
      <c r="A471" s="5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s="16" customFormat="1" ht="11.25" customHeight="1">
      <c r="A472" s="5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s="16" customFormat="1" ht="11.25" customHeight="1">
      <c r="A473" s="5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s="16" customFormat="1" ht="11.25" customHeight="1">
      <c r="A474" s="5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</sheetData>
  <sheetProtection/>
  <mergeCells count="73">
    <mergeCell ref="C2:G3"/>
    <mergeCell ref="C4:G5"/>
    <mergeCell ref="C86:G87"/>
    <mergeCell ref="C88:G89"/>
    <mergeCell ref="Q2:T2"/>
    <mergeCell ref="J27:K27"/>
    <mergeCell ref="H12:I12"/>
    <mergeCell ref="H13:I13"/>
    <mergeCell ref="H16:I16"/>
    <mergeCell ref="H17:I17"/>
    <mergeCell ref="AB30:AC30"/>
    <mergeCell ref="AB33:AC33"/>
    <mergeCell ref="Z36:AA36"/>
    <mergeCell ref="J4:M4"/>
    <mergeCell ref="Z33:AA33"/>
    <mergeCell ref="Z30:AA30"/>
    <mergeCell ref="AB29:AC29"/>
    <mergeCell ref="AB36:AC36"/>
    <mergeCell ref="S16:T16"/>
    <mergeCell ref="S17:T17"/>
    <mergeCell ref="K107:L107"/>
    <mergeCell ref="H114:I114"/>
    <mergeCell ref="U2:U5"/>
    <mergeCell ref="H10:I10"/>
    <mergeCell ref="H11:I11"/>
    <mergeCell ref="B6:V6"/>
    <mergeCell ref="Q4:T4"/>
    <mergeCell ref="S10:T10"/>
    <mergeCell ref="S13:T13"/>
    <mergeCell ref="S12:T12"/>
    <mergeCell ref="Z48:AA48"/>
    <mergeCell ref="AB48:AC48"/>
    <mergeCell ref="AB39:AC39"/>
    <mergeCell ref="Z39:AA39"/>
    <mergeCell ref="Z42:AA42"/>
    <mergeCell ref="AB42:AC42"/>
    <mergeCell ref="Z45:AA45"/>
    <mergeCell ref="AB45:AC45"/>
    <mergeCell ref="O88:P88"/>
    <mergeCell ref="Q87:T87"/>
    <mergeCell ref="O87:P87"/>
    <mergeCell ref="Q86:T86"/>
    <mergeCell ref="Z29:AA29"/>
    <mergeCell ref="Z60:AA60"/>
    <mergeCell ref="Z63:AA63"/>
    <mergeCell ref="M51:U51"/>
    <mergeCell ref="Z75:AA75"/>
    <mergeCell ref="Z72:AA72"/>
    <mergeCell ref="J2:M2"/>
    <mergeCell ref="J3:M3"/>
    <mergeCell ref="S11:T11"/>
    <mergeCell ref="O4:P4"/>
    <mergeCell ref="O3:P3"/>
    <mergeCell ref="Q3:T3"/>
    <mergeCell ref="H121:O121"/>
    <mergeCell ref="AB69:AC69"/>
    <mergeCell ref="Q88:T88"/>
    <mergeCell ref="AB63:AC63"/>
    <mergeCell ref="AB66:AC66"/>
    <mergeCell ref="Z66:AA66"/>
    <mergeCell ref="AB75:AC75"/>
    <mergeCell ref="Z69:AA69"/>
    <mergeCell ref="B90:V90"/>
    <mergeCell ref="U86:U88"/>
    <mergeCell ref="AB72:AC72"/>
    <mergeCell ref="M66:U66"/>
    <mergeCell ref="AB57:AC57"/>
    <mergeCell ref="AB60:AC60"/>
    <mergeCell ref="Z51:AA51"/>
    <mergeCell ref="Z54:AA54"/>
    <mergeCell ref="Z57:AA57"/>
    <mergeCell ref="AB54:AC54"/>
    <mergeCell ref="AB51:AC51"/>
  </mergeCells>
  <conditionalFormatting sqref="S58 S77">
    <cfRule type="cellIs" priority="31" dxfId="11" operator="equal" stopIfTrue="1">
      <formula>"""Try again"""</formula>
    </cfRule>
  </conditionalFormatting>
  <conditionalFormatting sqref="O47">
    <cfRule type="cellIs" priority="27" dxfId="12" operator="equal" stopIfTrue="1">
      <formula>"Try again"</formula>
    </cfRule>
  </conditionalFormatting>
  <conditionalFormatting sqref="S58 S77">
    <cfRule type="cellIs" priority="24" dxfId="13" operator="equal" stopIfTrue="1">
      <formula>"Try again"</formula>
    </cfRule>
  </conditionalFormatting>
  <conditionalFormatting sqref="O47">
    <cfRule type="cellIs" priority="20" dxfId="14" operator="equal" stopIfTrue="1">
      <formula>"NG."</formula>
    </cfRule>
  </conditionalFormatting>
  <conditionalFormatting sqref="O47">
    <cfRule type="cellIs" priority="19" dxfId="15" operator="equal" stopIfTrue="1">
      <formula>"NG."</formula>
    </cfRule>
  </conditionalFormatting>
  <conditionalFormatting sqref="O47">
    <cfRule type="cellIs" priority="18" dxfId="16" operator="equal" stopIfTrue="1">
      <formula>"NG."</formula>
    </cfRule>
  </conditionalFormatting>
  <conditionalFormatting sqref="O47">
    <cfRule type="cellIs" priority="17" dxfId="17" operator="equal" stopIfTrue="1">
      <formula>"NG."</formula>
    </cfRule>
  </conditionalFormatting>
  <conditionalFormatting sqref="J98 J69 J72 J81 J44">
    <cfRule type="cellIs" priority="15" dxfId="17" operator="equal" stopIfTrue="1">
      <formula>"NG."</formula>
    </cfRule>
    <cfRule type="cellIs" priority="16" dxfId="18" operator="equal" stopIfTrue="1">
      <formula>"OK."</formula>
    </cfRule>
  </conditionalFormatting>
  <conditionalFormatting sqref="J44">
    <cfRule type="cellIs" priority="1" dxfId="17" operator="equal" stopIfTrue="1">
      <formula>"NG."</formula>
    </cfRule>
    <cfRule type="cellIs" priority="2" dxfId="18" operator="equal" stopIfTrue="1">
      <formula>"OK."</formula>
    </cfRule>
  </conditionalFormatting>
  <dataValidations count="9">
    <dataValidation type="list" allowBlank="1" showInputMessage="1" showErrorMessage="1" sqref="H93">
      <formula1>"6,9,10,12,15,16,19,20"</formula1>
    </dataValidation>
    <dataValidation type="list" allowBlank="1" showInputMessage="1" showErrorMessage="1" sqref="G93">
      <formula1>"RB,DB"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U59 O77:P77 V68 V70 U61">
      <formula1>"12,16,20,25,32"</formula1>
    </dataValidation>
    <dataValidation type="list" allowBlank="1" showInputMessage="1" showErrorMessage="1" sqref="M45">
      <formula1>case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H38:H40">
      <formula1>"12,15,16,19,20,25,32"</formula1>
    </dataValidation>
    <dataValidation type="list" allowBlank="1" showInputMessage="1" showErrorMessage="1" sqref="F39:F40">
      <formula1>"2,3,4,5,6,7,8,9,10,11,12,13,14,15,16,17,18,18,20,21,22,23,24,25"</formula1>
    </dataValidation>
    <dataValidation type="list" allowBlank="1" showInputMessage="1" showErrorMessage="1" sqref="D93">
      <formula1>"1,2,3,4,5,6,9,10,12,15,16,19,20"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fitToHeight="2" fitToWidth="1" horizontalDpi="600" verticalDpi="600" orientation="portrait" paperSize="9" scale="85" r:id="rId3"/>
  <headerFooter>
    <oddFooter>&amp;L&amp;11&amp;Z&amp;F&amp;R&amp;11&amp;D/&amp;T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28</v>
      </c>
    </row>
    <row r="32" ht="23.25">
      <c r="I32" t="s">
        <v>29</v>
      </c>
    </row>
    <row r="33" ht="23.25">
      <c r="I33" t="s">
        <v>31</v>
      </c>
    </row>
    <row r="34" spans="3:9" ht="23.25">
      <c r="C34" t="s">
        <v>26</v>
      </c>
      <c r="I34" t="s">
        <v>32</v>
      </c>
    </row>
    <row r="35" spans="3:10" ht="23.25">
      <c r="C35" t="s">
        <v>27</v>
      </c>
      <c r="I35" t="s">
        <v>30</v>
      </c>
      <c r="J35" t="s">
        <v>35</v>
      </c>
    </row>
    <row r="36" ht="23.25">
      <c r="I36" t="s">
        <v>33</v>
      </c>
    </row>
    <row r="38" ht="23.25">
      <c r="C38" s="4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28</v>
      </c>
    </row>
    <row r="32" ht="23.25">
      <c r="I32" t="s">
        <v>29</v>
      </c>
    </row>
    <row r="33" ht="23.25">
      <c r="I33" t="s">
        <v>31</v>
      </c>
    </row>
    <row r="34" spans="3:9" ht="23.25">
      <c r="C34" t="s">
        <v>26</v>
      </c>
      <c r="I34" t="s">
        <v>32</v>
      </c>
    </row>
    <row r="35" spans="3:10" ht="23.25">
      <c r="C35" t="s">
        <v>27</v>
      </c>
      <c r="I35" t="s">
        <v>30</v>
      </c>
      <c r="J35" t="s">
        <v>35</v>
      </c>
    </row>
    <row r="36" ht="23.25">
      <c r="I36" t="s">
        <v>33</v>
      </c>
    </row>
    <row r="38" ht="23.25">
      <c r="C38" s="4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2012-11-11T14:44:21Z</cp:lastPrinted>
  <dcterms:created xsi:type="dcterms:W3CDTF">2008-06-04T11:41:54Z</dcterms:created>
  <dcterms:modified xsi:type="dcterms:W3CDTF">2012-11-22T14:04:15Z</dcterms:modified>
  <cp:category/>
  <cp:version/>
  <cp:contentType/>
  <cp:contentStatus/>
</cp:coreProperties>
</file>