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662aed8b1bac318/Desktop/resume/"/>
    </mc:Choice>
  </mc:AlternateContent>
  <xr:revisionPtr revIDLastSave="26" documentId="8_{94DBE083-CBB6-404A-8C75-9B4E8A1941FC}" xr6:coauthVersionLast="47" xr6:coauthVersionMax="47" xr10:uidLastSave="{F99D098A-0380-42C7-93D9-DD23DBD1B512}"/>
  <workbookProtection workbookAlgorithmName="SHA-512" workbookHashValue="ccwuJnP7wIdMcauchWEYgbIPr8mFgE6CtXXZzsZC5lyaPDL7Gh2+TuB9944Z7utc1iqNwq2ge4jWr6uUnCJuFg==" workbookSaltValue="eUDZr7U6n2cDv34WcgeO+A==" workbookSpinCount="100000" lockStructure="1"/>
  <bookViews>
    <workbookView xWindow="-120" yWindow="-120" windowWidth="38640" windowHeight="21120" xr2:uid="{4EF39BD4-B69E-4386-9A7B-B6D08D7C4EB5}"/>
  </bookViews>
  <sheets>
    <sheet name="TIMBER ตงไม้ " sheetId="1" r:id="rId1"/>
    <sheet name="TIMBER คานไม้ " sheetId="3" r:id="rId2"/>
    <sheet name="TIMBER เสาไม้ " sheetId="5" r:id="rId3"/>
    <sheet name="รายชื่อคณะผู้จัดทำโปรแกรม" sheetId="4" r:id="rId4"/>
  </sheets>
  <definedNames>
    <definedName name="b" localSheetId="3">#REF!</definedName>
    <definedName name="b">#REF!</definedName>
    <definedName name="bc" localSheetId="3">#REF!</definedName>
    <definedName name="bc">#REF!</definedName>
    <definedName name="D" localSheetId="3">#REF!</definedName>
    <definedName name="D">#REF!</definedName>
    <definedName name="Ec" localSheetId="3">#REF!</definedName>
    <definedName name="Ec">#REF!</definedName>
    <definedName name="Es" localSheetId="3">#REF!</definedName>
    <definedName name="Es">#REF!</definedName>
    <definedName name="fc" localSheetId="3">#REF!</definedName>
    <definedName name="fc">#REF!</definedName>
    <definedName name="fcu" localSheetId="3">#REF!</definedName>
    <definedName name="fcu">#REF!</definedName>
    <definedName name="fs" localSheetId="3">#REF!</definedName>
    <definedName name="fs">#REF!</definedName>
    <definedName name="fy" localSheetId="3">#REF!</definedName>
    <definedName name="fy">#REF!</definedName>
    <definedName name="H">#REF!</definedName>
    <definedName name="j" localSheetId="3">#REF!</definedName>
    <definedName name="j">#REF!</definedName>
    <definedName name="k" localSheetId="3">#REF!</definedName>
    <definedName name="k">#REF!</definedName>
    <definedName name="Ka" localSheetId="3">#REF!</definedName>
    <definedName name="Ka">#REF!</definedName>
    <definedName name="LC" localSheetId="3">#REF!</definedName>
    <definedName name="LC">#REF!</definedName>
    <definedName name="Ls" localSheetId="3">#REF!</definedName>
    <definedName name="Ls">#REF!</definedName>
    <definedName name="Lw" localSheetId="3">#REF!</definedName>
    <definedName name="Lw">#REF!</definedName>
    <definedName name="LX" localSheetId="3">#REF!</definedName>
    <definedName name="LX">#REF!</definedName>
    <definedName name="LY" localSheetId="3">#REF!</definedName>
    <definedName name="LY">#REF!</definedName>
    <definedName name="LZ" localSheetId="3">#REF!</definedName>
    <definedName name="LZ">#REF!</definedName>
    <definedName name="M" localSheetId="3">#REF!</definedName>
    <definedName name="M">#REF!</definedName>
    <definedName name="Mc" localSheetId="3">#REF!</definedName>
    <definedName name="Mc">#REF!</definedName>
    <definedName name="n" localSheetId="3">#REF!</definedName>
    <definedName name="n">#REF!</definedName>
    <definedName name="P" localSheetId="3">#REF!</definedName>
    <definedName name="P">#REF!</definedName>
    <definedName name="P1." localSheetId="3">#REF!</definedName>
    <definedName name="P1.">#REF!</definedName>
    <definedName name="P2." localSheetId="3">#REF!</definedName>
    <definedName name="P2.">#REF!</definedName>
    <definedName name="P3." localSheetId="3">#REF!</definedName>
    <definedName name="P3.">#REF!</definedName>
    <definedName name="_xlnm.Print_Area" localSheetId="1">'TIMBER คานไม้ '!$B$3:$M$20</definedName>
    <definedName name="_xlnm.Print_Area" localSheetId="0">'TIMBER ตงไม้ '!$B$3:$M$20</definedName>
    <definedName name="_xlnm.Print_Area" localSheetId="2">'TIMBER เสาไม้ '!$B$3:$M$20</definedName>
    <definedName name="Rall" localSheetId="3">#REF!</definedName>
    <definedName name="Rall">#REF!</definedName>
    <definedName name="ss" localSheetId="3">#REF!</definedName>
    <definedName name="ss">#REF!</definedName>
    <definedName name="St" localSheetId="3">#REF!</definedName>
    <definedName name="St">#REF!</definedName>
    <definedName name="Surcharge" localSheetId="3">#REF!</definedName>
    <definedName name="Surcharge">#REF!</definedName>
    <definedName name="ts" localSheetId="3">#REF!</definedName>
    <definedName name="ts">#REF!</definedName>
    <definedName name="tw" localSheetId="3">#REF!</definedName>
    <definedName name="tw">#REF!</definedName>
    <definedName name="W.all" localSheetId="3">#REF!</definedName>
    <definedName name="W.all">#REF!</definedName>
    <definedName name="Wslap" localSheetId="3">#REF!</definedName>
    <definedName name="Wslap">#REF!</definedName>
    <definedName name="Wt" localSheetId="3">#REF!</definedName>
    <definedName name="Wt">#REF!</definedName>
    <definedName name="Wwall" localSheetId="3">#REF!</definedName>
    <definedName name="Wwall">#REF!</definedName>
    <definedName name="Wwater" localSheetId="3">#REF!</definedName>
    <definedName name="Wwater">#REF!</definedName>
    <definedName name="Z" localSheetId="3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" i="1" l="1"/>
  <c r="E71" i="3" s="1"/>
  <c r="E35" i="3"/>
  <c r="E48" i="1"/>
  <c r="E50" i="1" s="1"/>
  <c r="E47" i="5"/>
  <c r="E45" i="3"/>
  <c r="E47" i="3"/>
  <c r="E46" i="3"/>
  <c r="E53" i="5"/>
  <c r="C27" i="3"/>
  <c r="E51" i="3"/>
  <c r="E35" i="5"/>
  <c r="E34" i="3"/>
  <c r="K70" i="1"/>
  <c r="I31" i="5"/>
  <c r="I30" i="5"/>
  <c r="I35" i="3"/>
  <c r="I31" i="3"/>
  <c r="I34" i="3"/>
  <c r="I33" i="3"/>
  <c r="I32" i="3"/>
  <c r="I35" i="1"/>
  <c r="I34" i="1"/>
  <c r="I33" i="1"/>
  <c r="I32" i="1"/>
  <c r="I31" i="1"/>
  <c r="T71" i="3" l="1"/>
  <c r="T72" i="3" s="1"/>
  <c r="E36" i="5" l="1"/>
  <c r="E33" i="3" l="1"/>
  <c r="E69" i="1"/>
  <c r="E56" i="5"/>
  <c r="Y2" i="5"/>
  <c r="F28" i="5" s="1"/>
  <c r="K28" i="3"/>
  <c r="E36" i="3"/>
  <c r="E49" i="3" s="1"/>
  <c r="C27" i="5"/>
  <c r="T71" i="1" l="1"/>
  <c r="T72" i="1" s="1"/>
  <c r="O31" i="5"/>
  <c r="O31" i="3"/>
  <c r="E49" i="5"/>
  <c r="E48" i="5"/>
  <c r="E38" i="5"/>
  <c r="E37" i="5"/>
  <c r="E51" i="5" s="1"/>
  <c r="X29" i="5"/>
  <c r="O50" i="5" s="1"/>
  <c r="E33" i="5"/>
  <c r="E32" i="5"/>
  <c r="P8" i="5" s="1"/>
  <c r="E31" i="5"/>
  <c r="E30" i="5"/>
  <c r="S17" i="5" s="1"/>
  <c r="AF28" i="5"/>
  <c r="AE28" i="5"/>
  <c r="AD28" i="5"/>
  <c r="AC28" i="5"/>
  <c r="AB28" i="5"/>
  <c r="E29" i="5"/>
  <c r="AF27" i="5"/>
  <c r="AE27" i="5"/>
  <c r="AD27" i="5"/>
  <c r="AC27" i="5"/>
  <c r="AB27" i="5"/>
  <c r="AF26" i="5"/>
  <c r="AE26" i="5"/>
  <c r="AD26" i="5"/>
  <c r="AC26" i="5"/>
  <c r="AB26" i="5"/>
  <c r="AF25" i="5"/>
  <c r="AE25" i="5"/>
  <c r="AD25" i="5"/>
  <c r="AC25" i="5"/>
  <c r="AB25" i="5"/>
  <c r="AF24" i="5"/>
  <c r="AE24" i="5"/>
  <c r="AD24" i="5"/>
  <c r="AC24" i="5"/>
  <c r="AB24" i="5"/>
  <c r="T12" i="5"/>
  <c r="S12" i="5"/>
  <c r="T11" i="5"/>
  <c r="T10" i="5"/>
  <c r="T5" i="1"/>
  <c r="AB25" i="3"/>
  <c r="AC25" i="3"/>
  <c r="AD25" i="3"/>
  <c r="AE25" i="3"/>
  <c r="AF25" i="3"/>
  <c r="AB26" i="3"/>
  <c r="AC26" i="3"/>
  <c r="AD26" i="3"/>
  <c r="AE26" i="3"/>
  <c r="AF26" i="3"/>
  <c r="AB27" i="3"/>
  <c r="AC27" i="3"/>
  <c r="AD27" i="3"/>
  <c r="AE27" i="3"/>
  <c r="AF27" i="3"/>
  <c r="AB28" i="3"/>
  <c r="AC28" i="3"/>
  <c r="AD28" i="3"/>
  <c r="AE28" i="3"/>
  <c r="AF28" i="3"/>
  <c r="AC24" i="3"/>
  <c r="AD24" i="3"/>
  <c r="AE24" i="3"/>
  <c r="AF24" i="3"/>
  <c r="AB24" i="3"/>
  <c r="E37" i="3"/>
  <c r="X29" i="3"/>
  <c r="O50" i="3" s="1"/>
  <c r="E32" i="3"/>
  <c r="E31" i="3"/>
  <c r="P8" i="3" s="1"/>
  <c r="E30" i="3"/>
  <c r="E48" i="3" s="1"/>
  <c r="E29" i="3"/>
  <c r="S16" i="3" s="1"/>
  <c r="E28" i="3"/>
  <c r="E66" i="3"/>
  <c r="T12" i="3"/>
  <c r="S12" i="3"/>
  <c r="T11" i="3"/>
  <c r="T10" i="3"/>
  <c r="O27" i="3" l="1"/>
  <c r="O28" i="3" s="1"/>
  <c r="K72" i="3"/>
  <c r="K28" i="5"/>
  <c r="O29" i="5" s="1"/>
  <c r="O30" i="5" s="1"/>
  <c r="K32" i="5"/>
  <c r="G68" i="5"/>
  <c r="G87" i="5"/>
  <c r="H87" i="5" s="1"/>
  <c r="U8" i="3"/>
  <c r="AG29" i="3"/>
  <c r="U8" i="5"/>
  <c r="AG29" i="5"/>
  <c r="S18" i="5"/>
  <c r="O27" i="5"/>
  <c r="O28" i="5" s="1"/>
  <c r="S8" i="5"/>
  <c r="E50" i="5"/>
  <c r="O26" i="5"/>
  <c r="O26" i="3"/>
  <c r="Y2" i="3"/>
  <c r="D43" i="3" s="1"/>
  <c r="K66" i="3" s="1"/>
  <c r="S15" i="5"/>
  <c r="U38" i="5" s="1"/>
  <c r="U40" i="5"/>
  <c r="S16" i="5"/>
  <c r="U39" i="5" s="1"/>
  <c r="S70" i="5"/>
  <c r="S7" i="5"/>
  <c r="O29" i="3"/>
  <c r="O30" i="3" s="1"/>
  <c r="R18" i="3"/>
  <c r="S18" i="3" s="1"/>
  <c r="S7" i="3"/>
  <c r="S70" i="3"/>
  <c r="R15" i="3"/>
  <c r="S15" i="3" s="1"/>
  <c r="U38" i="3" s="1"/>
  <c r="S17" i="3"/>
  <c r="U40" i="3" s="1"/>
  <c r="U39" i="3"/>
  <c r="S8" i="3"/>
  <c r="J87" i="5" l="1"/>
  <c r="O37" i="5"/>
  <c r="D41" i="3"/>
  <c r="D40" i="3"/>
  <c r="D42" i="3"/>
  <c r="T73" i="3" s="1"/>
  <c r="E75" i="3" s="1"/>
  <c r="D39" i="3"/>
  <c r="O37" i="3"/>
  <c r="S70" i="1"/>
  <c r="E64" i="1"/>
  <c r="E51" i="1"/>
  <c r="Y2" i="1"/>
  <c r="D43" i="1" s="1"/>
  <c r="K64" i="1" l="1"/>
  <c r="D45" i="5"/>
  <c r="E53" i="1"/>
  <c r="D42" i="1"/>
  <c r="D39" i="1"/>
  <c r="D41" i="5" s="1"/>
  <c r="D41" i="1"/>
  <c r="D43" i="5" s="1"/>
  <c r="U90" i="5" s="1"/>
  <c r="G89" i="5" s="1"/>
  <c r="G95" i="5" s="1"/>
  <c r="D40" i="1"/>
  <c r="D42" i="5" s="1"/>
  <c r="D44" i="5" l="1"/>
  <c r="T73" i="1"/>
  <c r="E73" i="1" s="1"/>
  <c r="U89" i="5"/>
  <c r="E54" i="1"/>
  <c r="T44" i="1" s="1"/>
  <c r="T45" i="1" s="1"/>
  <c r="E56" i="1" s="1"/>
  <c r="E55" i="1"/>
  <c r="E72" i="1" l="1"/>
  <c r="D75" i="1" s="1"/>
  <c r="L34" i="1" s="1"/>
  <c r="E57" i="1"/>
  <c r="K29" i="1" s="1"/>
  <c r="E63" i="1" l="1"/>
  <c r="E52" i="5" s="1"/>
  <c r="E54" i="5" s="1"/>
  <c r="E55" i="5" s="1"/>
  <c r="E57" i="5" s="1"/>
  <c r="E58" i="5" s="1"/>
  <c r="K37" i="1"/>
  <c r="E50" i="3"/>
  <c r="E52" i="3" l="1"/>
  <c r="E53" i="3" s="1"/>
  <c r="E55" i="3" s="1"/>
  <c r="K69" i="1"/>
  <c r="J73" i="1" s="1"/>
  <c r="L35" i="1" s="1"/>
  <c r="K63" i="1"/>
  <c r="J66" i="1" s="1"/>
  <c r="L33" i="1" s="1"/>
  <c r="R15" i="1"/>
  <c r="S15" i="1" s="1"/>
  <c r="U38" i="1" s="1"/>
  <c r="O37" i="1"/>
  <c r="O27" i="1"/>
  <c r="O26" i="1"/>
  <c r="S17" i="1"/>
  <c r="U40" i="1" s="1"/>
  <c r="S16" i="1"/>
  <c r="U39" i="1" s="1"/>
  <c r="T12" i="1"/>
  <c r="S12" i="1"/>
  <c r="T11" i="1"/>
  <c r="T10" i="1"/>
  <c r="S8" i="1"/>
  <c r="P8" i="1"/>
  <c r="S7" i="1"/>
  <c r="E56" i="3" l="1"/>
  <c r="E57" i="3"/>
  <c r="D66" i="1"/>
  <c r="L32" i="1" s="1"/>
  <c r="C58" i="1"/>
  <c r="L31" i="1" s="1"/>
  <c r="O28" i="1"/>
  <c r="R18" i="1"/>
  <c r="S18" i="1" s="1"/>
  <c r="T44" i="3" l="1"/>
  <c r="T45" i="3" s="1"/>
  <c r="E58" i="3" s="1"/>
  <c r="E74" i="3"/>
  <c r="E59" i="5"/>
  <c r="U8" i="1"/>
  <c r="O29" i="1"/>
  <c r="O30" i="1" s="1"/>
  <c r="G97" i="5" l="1"/>
  <c r="F100" i="5" s="1"/>
  <c r="L31" i="5" s="1"/>
  <c r="G67" i="5"/>
  <c r="F69" i="5" s="1"/>
  <c r="L30" i="5" s="1"/>
  <c r="T44" i="5"/>
  <c r="T45" i="5" s="1"/>
  <c r="S6" i="5"/>
  <c r="S5" i="5"/>
  <c r="D77" i="3"/>
  <c r="L34" i="3" s="1"/>
  <c r="S5" i="3"/>
  <c r="E59" i="3"/>
  <c r="K29" i="3" s="1"/>
  <c r="K37" i="3" s="1"/>
  <c r="S6" i="3"/>
  <c r="E65" i="3" l="1"/>
  <c r="E60" i="5"/>
  <c r="E61" i="5" s="1"/>
  <c r="K71" i="3"/>
  <c r="J75" i="3" s="1"/>
  <c r="L35" i="3" s="1"/>
  <c r="K65" i="3"/>
  <c r="J68" i="3" s="1"/>
  <c r="L33" i="3" s="1"/>
  <c r="S5" i="1"/>
  <c r="S6" i="1"/>
  <c r="C62" i="5" l="1"/>
  <c r="D68" i="3"/>
  <c r="L32" i="3" s="1"/>
  <c r="C61" i="3"/>
  <c r="L31" i="3" s="1"/>
  <c r="O50" i="1"/>
</calcChain>
</file>

<file path=xl/sharedStrings.xml><?xml version="1.0" encoding="utf-8"?>
<sst xmlns="http://schemas.openxmlformats.org/spreadsheetml/2006/main" count="854" uniqueCount="183">
  <si>
    <t>ขนาดเสาเข็ม</t>
  </si>
  <si>
    <t>ความยาวเสาเข็ม</t>
  </si>
  <si>
    <t>m</t>
  </si>
  <si>
    <t>ระยะห่างเสาเข็ม</t>
  </si>
  <si>
    <t>ความยาวแผ่นกันดิน</t>
  </si>
  <si>
    <t>ความหนาแผ่นกันดิน</t>
  </si>
  <si>
    <t>ความกว้างร่องเสาเข็ม</t>
  </si>
  <si>
    <t>ความลึกร่องเสาข็ม</t>
  </si>
  <si>
    <t>ชั้นคุณภาพเหล็ก</t>
  </si>
  <si>
    <t>Fy (ksc)</t>
  </si>
  <si>
    <t>Fs</t>
  </si>
  <si>
    <r>
      <t>ρ</t>
    </r>
    <r>
      <rPr>
        <vertAlign val="subscript"/>
        <sz val="16"/>
        <color theme="1"/>
        <rFont val="TH SarabunPSK"/>
        <family val="2"/>
      </rPr>
      <t>min</t>
    </r>
  </si>
  <si>
    <t>SR24</t>
  </si>
  <si>
    <t>SD40</t>
  </si>
  <si>
    <t>SD30</t>
  </si>
  <si>
    <t>Spacing คำนวณ</t>
  </si>
  <si>
    <t>Spacing ใช้งาน</t>
  </si>
  <si>
    <t>ชื่อเหล็กเสริม</t>
  </si>
  <si>
    <t>เหล็กนอน</t>
  </si>
  <si>
    <t>เหล็กรับแรงอัด</t>
  </si>
  <si>
    <t>เหล็กยืน</t>
  </si>
  <si>
    <t>DB30</t>
  </si>
  <si>
    <t>DB40</t>
  </si>
  <si>
    <t>DB50</t>
  </si>
  <si>
    <t>น้ำหนักเหล็กเส้น / 1 m.</t>
  </si>
  <si>
    <t>ขนาด RB</t>
  </si>
  <si>
    <t>ขนาด DB</t>
  </si>
  <si>
    <t>ความยาว L</t>
  </si>
  <si>
    <t>=</t>
  </si>
  <si>
    <t>m.</t>
  </si>
  <si>
    <t>-</t>
  </si>
  <si>
    <t>6SR24</t>
  </si>
  <si>
    <t>ความกว้างออกแบบ B</t>
  </si>
  <si>
    <t>@0.03</t>
  </si>
  <si>
    <t>9SR24</t>
  </si>
  <si>
    <t>@0.04</t>
  </si>
  <si>
    <t>12SR24</t>
  </si>
  <si>
    <t>@0.05</t>
  </si>
  <si>
    <t>15SR24</t>
  </si>
  <si>
    <t>12SD40</t>
  </si>
  <si>
    <t>16SD40</t>
  </si>
  <si>
    <t>PARAMITER</t>
  </si>
  <si>
    <t>20SD40</t>
  </si>
  <si>
    <t>25SD40</t>
  </si>
  <si>
    <t>@0.10</t>
  </si>
  <si>
    <t>12SD50</t>
  </si>
  <si>
    <t>ksc</t>
  </si>
  <si>
    <t>16SD50</t>
  </si>
  <si>
    <t>@0.12</t>
  </si>
  <si>
    <t>20SD50</t>
  </si>
  <si>
    <t>25SD50</t>
  </si>
  <si>
    <t>0SD40</t>
  </si>
  <si>
    <t>@0.15</t>
  </si>
  <si>
    <t>0SD50</t>
  </si>
  <si>
    <t>ความยาว (m)</t>
  </si>
  <si>
    <t>ปริมาณเหล็กรับแรงดึง</t>
  </si>
  <si>
    <t>ปริมาณเหล็กรับแรงอัด</t>
  </si>
  <si>
    <t>@0.20</t>
  </si>
  <si>
    <t>ปริมาณเหล็กยืน</t>
  </si>
  <si>
    <t>OK</t>
  </si>
  <si>
    <t>NOT OK</t>
  </si>
  <si>
    <t>น้ำหนักบรรทุกจริง (LL)</t>
  </si>
  <si>
    <t>kg.m</t>
  </si>
  <si>
    <t>@0.25</t>
  </si>
  <si>
    <t>โมเมนต์ดัดสูงสุด,Mmax</t>
  </si>
  <si>
    <t>kg-m</t>
  </si>
  <si>
    <t>@0.30</t>
  </si>
  <si>
    <t xml:space="preserve">Status </t>
  </si>
  <si>
    <t>@0.35</t>
  </si>
  <si>
    <t>@0.40</t>
  </si>
  <si>
    <t>@0.45</t>
  </si>
  <si>
    <t>@0.50</t>
  </si>
  <si>
    <t>kg.</t>
  </si>
  <si>
    <t>@0.55</t>
  </si>
  <si>
    <t>@0.60</t>
  </si>
  <si>
    <t>@0.70</t>
  </si>
  <si>
    <t>@0.75</t>
  </si>
  <si>
    <t>@0.80</t>
  </si>
  <si>
    <t>ชนิดไม้</t>
  </si>
  <si>
    <t>โมดูลัสยืดหยุ่น (KSC)</t>
  </si>
  <si>
    <t>หน่วยแรงดัด/ดึง  (KSC)</t>
  </si>
  <si>
    <t>หน่วยแรงอัด (KSC)</t>
  </si>
  <si>
    <t>ขนานเสี้ยน</t>
  </si>
  <si>
    <t>ตั้งฉากเสี้ยน</t>
  </si>
  <si>
    <t>หน่วยแรงเฉือนขนานเสี้ยน (KSC)</t>
  </si>
  <si>
    <t>ไม้เนื้ออ่อนมาก</t>
  </si>
  <si>
    <t>ไม้เนื้ออ่อน</t>
  </si>
  <si>
    <t>ไม้เนื้อแข็งปลานกลาง</t>
  </si>
  <si>
    <t>ไม้เนื้อแข็ง</t>
  </si>
  <si>
    <t>ไม้เนื้อแข็งมาก</t>
  </si>
  <si>
    <t>E</t>
  </si>
  <si>
    <t>Fb</t>
  </si>
  <si>
    <t>Fh//</t>
  </si>
  <si>
    <t>Fc//</t>
  </si>
  <si>
    <t>Fc┴</t>
  </si>
  <si>
    <t>กรณี</t>
  </si>
  <si>
    <t>ระยะ @ ตงไม้</t>
  </si>
  <si>
    <t>ประเภทคาน</t>
  </si>
  <si>
    <t>ขนาดเสาไม้</t>
  </si>
  <si>
    <t>B1</t>
  </si>
  <si>
    <r>
      <t>kg/m</t>
    </r>
    <r>
      <rPr>
        <vertAlign val="superscript"/>
        <sz val="24"/>
        <color theme="1"/>
        <rFont val="Angsana New"/>
        <family val="1"/>
      </rPr>
      <t>2</t>
    </r>
  </si>
  <si>
    <t>น้ำหนักพื้นไม้</t>
  </si>
  <si>
    <t>สมมุติน้ำหนักตงไม้</t>
  </si>
  <si>
    <t>น้ำหนักที่ถ่ายลงตงไม้</t>
  </si>
  <si>
    <t>ตงไม้รับน้ำหนักทั้งหมด W</t>
  </si>
  <si>
    <t xml:space="preserve">รวมน้ำหนักบรรทุกทั้งหมด </t>
  </si>
  <si>
    <t>ความกว้างของตง (b)</t>
  </si>
  <si>
    <t>ความลึกของตง (d)</t>
  </si>
  <si>
    <t>dตง = √6m/b*Fb</t>
  </si>
  <si>
    <t>inch</t>
  </si>
  <si>
    <t>ขนาด (inch)</t>
  </si>
  <si>
    <t xml:space="preserve">dตง </t>
  </si>
  <si>
    <t>ตรวจสอบ</t>
  </si>
  <si>
    <t>น้ำหนักจริงตงไม้</t>
  </si>
  <si>
    <t>น้ำหนักฝาผนังด้านเดียวพร้อมเคร่าไม้</t>
  </si>
  <si>
    <t>cm</t>
  </si>
  <si>
    <t>ความต้านทานแรงเฉือน</t>
  </si>
  <si>
    <t>𝑓ℎ//=3V/2bd</t>
  </si>
  <si>
    <t>ความต้านแรงกด</t>
  </si>
  <si>
    <t>สมมุติคานไม้หนา</t>
  </si>
  <si>
    <t>𝑓𝑐┴  (P/A)</t>
  </si>
  <si>
    <t>Δ𝑚𝑎𝑥</t>
  </si>
  <si>
    <t>100^4</t>
  </si>
  <si>
    <t>Δall</t>
  </si>
  <si>
    <t>ตงไม้ขนาด</t>
  </si>
  <si>
    <t>รายละเอียดการคำนวณน้ำหนักตง</t>
  </si>
  <si>
    <r>
      <t>kg/m</t>
    </r>
    <r>
      <rPr>
        <vertAlign val="superscript"/>
        <sz val="28"/>
        <color theme="1"/>
        <rFont val="Angsana New"/>
        <family val="1"/>
      </rPr>
      <t>2</t>
    </r>
  </si>
  <si>
    <r>
      <t>V</t>
    </r>
    <r>
      <rPr>
        <vertAlign val="subscript"/>
        <sz val="28"/>
        <color theme="1"/>
        <rFont val="Angsana New"/>
        <family val="1"/>
      </rPr>
      <t xml:space="preserve">ที่เกิดขึ้นจริง </t>
    </r>
    <r>
      <rPr>
        <sz val="28"/>
        <color theme="1"/>
        <rFont val="Angsana New"/>
        <family val="1"/>
      </rPr>
      <t>= wL/2</t>
    </r>
  </si>
  <si>
    <t>ออกแบบ ตงไม้</t>
  </si>
  <si>
    <t>ความหนาพื้นไม้</t>
  </si>
  <si>
    <t>ความกว้างพื้นไม้</t>
  </si>
  <si>
    <t>หน่วยยน้ำหนักของตงไม้ คานไม้</t>
  </si>
  <si>
    <t>หน่วยน้ำหนักของตงไม้ คานไม้</t>
  </si>
  <si>
    <t>น้ำหนักตงไม้</t>
  </si>
  <si>
    <t>น้ำหนักที่ถ่ายลงคานไม้</t>
  </si>
  <si>
    <t>น้ำหนักฝาผนังด้านเดียวพร้อมเคร่าไม้ทั้งหมด</t>
  </si>
  <si>
    <t>ความสูงผนัง</t>
  </si>
  <si>
    <t>ขนาดเสา</t>
  </si>
  <si>
    <t>𝐹𝑐┴</t>
  </si>
  <si>
    <t>คานไม้ขนาด</t>
  </si>
  <si>
    <t>นาย พงศ์อรัญชย์     ใหม่ไชย</t>
  </si>
  <si>
    <t>สมมุติน้ำหนักคานไม้</t>
  </si>
  <si>
    <t>K ที่ออกแบบ</t>
  </si>
  <si>
    <t xml:space="preserve">กรณี ลักษณะการโค้งงอของเสา </t>
  </si>
  <si>
    <t>k    =</t>
  </si>
  <si>
    <t>ตรวจสอบออกแบบเสา</t>
  </si>
  <si>
    <t>คานไม้หนา</t>
  </si>
  <si>
    <t>เช็คขนาดหน้าตัดเสา</t>
  </si>
  <si>
    <t>เช็คว่าใช้สูตรเสาสั้นหรือเสายาว</t>
  </si>
  <si>
    <t>Fc// = V/A</t>
  </si>
  <si>
    <t>√A</t>
  </si>
  <si>
    <t>จากที่กำหนดหน้าตัดเสา</t>
  </si>
  <si>
    <t>โดย Le/d = KL/d</t>
  </si>
  <si>
    <t>ความสูงเสา</t>
  </si>
  <si>
    <t xml:space="preserve">Fc'// </t>
  </si>
  <si>
    <t>เช็คว่าเสารับแรงได้ไหม</t>
  </si>
  <si>
    <t>Fc'// = P/A</t>
  </si>
  <si>
    <t>p</t>
  </si>
  <si>
    <t xml:space="preserve">P=Vคาน </t>
  </si>
  <si>
    <t>LL</t>
  </si>
  <si>
    <t>น้ำหนักจริงคานไม้</t>
  </si>
  <si>
    <t>เสาไม้ขนาด</t>
  </si>
  <si>
    <t>ความกว้างของคาน (b)</t>
  </si>
  <si>
    <t>ความลึกของคาน (d)</t>
  </si>
  <si>
    <t>ถ้าขนาดเสาน้อยกว่า 15 cm. ปรับ 𝐹𝑐┴ ใช้สูตร</t>
  </si>
  <si>
    <t>dคาน = √6m/b*Fb</t>
  </si>
  <si>
    <t>dคาน</t>
  </si>
  <si>
    <t>หน่วยน้ำหนักของพื้นไม้</t>
  </si>
  <si>
    <r>
      <t>kg/m</t>
    </r>
    <r>
      <rPr>
        <vertAlign val="superscript"/>
        <sz val="28"/>
        <color theme="1"/>
        <rFont val="Angsana New"/>
        <family val="1"/>
      </rPr>
      <t>1</t>
    </r>
    <r>
      <rPr>
        <sz val="11"/>
        <color theme="1"/>
        <rFont val="Tahoma"/>
        <family val="2"/>
        <charset val="222"/>
        <scheme val="minor"/>
      </rPr>
      <t/>
    </r>
  </si>
  <si>
    <t>รายชื่อผู้พัฒนาโปรแกรม</t>
  </si>
  <si>
    <t>0   m</t>
  </si>
  <si>
    <t xml:space="preserve"> DB5 มม. =ม</t>
  </si>
  <si>
    <t xml:space="preserve"> DB1.5 มม. =ม</t>
  </si>
  <si>
    <t>9</t>
  </si>
  <si>
    <t/>
  </si>
  <si>
    <t xml:space="preserve"> DB10 มม. =ม</t>
  </si>
  <si>
    <t xml:space="preserve"> DB2 มม. =ม</t>
  </si>
  <si>
    <t xml:space="preserve"> 0.0018</t>
  </si>
  <si>
    <t xml:space="preserve"> DB มม. ม</t>
  </si>
  <si>
    <t xml:space="preserve"> DB6 มม. 0.68ม</t>
  </si>
  <si>
    <t>ออกแบบ คานไม้</t>
  </si>
  <si>
    <t>ออกแบบ เสาไม้</t>
  </si>
  <si>
    <r>
      <rPr>
        <b/>
        <u/>
        <sz val="20"/>
        <color rgb="FFFF0000"/>
        <rFont val="Angsana New"/>
        <family val="1"/>
      </rPr>
      <t>หมายเหตุ</t>
    </r>
    <r>
      <rPr>
        <sz val="20"/>
        <color theme="1"/>
        <rFont val="Angsana New"/>
        <family val="1"/>
      </rPr>
      <t xml:space="preserve"> : โปรแกรมนี้จัดทำขึ้นเพื่อใช้ในการออกแบบและตรวจสอบองค์ประกอบของโครงสร้างไม้ เช่น ตงไม้ คานไม้ และเสาไม้ ทั้งนี้ หากเกิดข้อผิดพลาดใด ๆ จากการใช้งาน โปรแกรม ผู้พัฒนาจะไม่รับผิดชอบต่อความเสียหายที่อาจเกิดขึ้นไม่ว่ากรณีใด ๆ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</si>
</sst>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0_ ;\-0\ "/>
  </numFmts>
  <fonts count="60">
    <font>
      <sz val="12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 New"/>
      <family val="2"/>
    </font>
    <font>
      <sz val="16"/>
      <color theme="1"/>
      <name val="TH SarabunPSK"/>
      <family val="2"/>
    </font>
    <font>
      <vertAlign val="subscript"/>
      <sz val="16"/>
      <color theme="1"/>
      <name val="TH SarabunPSK"/>
      <family val="2"/>
    </font>
    <font>
      <sz val="16"/>
      <color rgb="FF000000"/>
      <name val="TH Sarabun New"/>
      <family val="2"/>
    </font>
    <font>
      <sz val="26"/>
      <color theme="1"/>
      <name val="Angsana New"/>
      <family val="1"/>
    </font>
    <font>
      <sz val="24"/>
      <color theme="1"/>
      <name val="Angsana New"/>
      <family val="1"/>
    </font>
    <font>
      <u/>
      <sz val="26"/>
      <color theme="1"/>
      <name val="Angsana New"/>
      <family val="1"/>
    </font>
    <font>
      <u/>
      <sz val="18"/>
      <color theme="1"/>
      <name val="TH SarabunPSK"/>
      <family val="2"/>
    </font>
    <font>
      <u/>
      <sz val="12"/>
      <color theme="10"/>
      <name val="Tahoma"/>
      <family val="2"/>
      <charset val="222"/>
      <scheme val="minor"/>
    </font>
    <font>
      <b/>
      <u/>
      <sz val="26"/>
      <color theme="10"/>
      <name val="TH Sarabun New"/>
      <family val="2"/>
    </font>
    <font>
      <b/>
      <sz val="26"/>
      <color theme="1"/>
      <name val="TH Sarabun New"/>
      <family val="2"/>
    </font>
    <font>
      <sz val="12"/>
      <color theme="1"/>
      <name val="Angsana New"/>
      <family val="1"/>
    </font>
    <font>
      <b/>
      <sz val="24"/>
      <color rgb="FFFF0000"/>
      <name val="Angsana New"/>
      <family val="1"/>
    </font>
    <font>
      <b/>
      <sz val="24"/>
      <name val="Angsana New"/>
      <family val="1"/>
    </font>
    <font>
      <u/>
      <sz val="24"/>
      <color theme="1"/>
      <name val="Angsana New"/>
      <family val="1"/>
    </font>
    <font>
      <b/>
      <sz val="24"/>
      <color theme="1"/>
      <name val="Angsana New"/>
      <family val="1"/>
    </font>
    <font>
      <sz val="24"/>
      <name val="Angsana New"/>
      <family val="1"/>
    </font>
    <font>
      <vertAlign val="superscript"/>
      <sz val="24"/>
      <color theme="1"/>
      <name val="Angsana New"/>
      <family val="1"/>
    </font>
    <font>
      <sz val="24"/>
      <color indexed="8"/>
      <name val="Angsana New"/>
      <family val="1"/>
    </font>
    <font>
      <sz val="26"/>
      <color rgb="FFFF0000"/>
      <name val="Angsana New"/>
      <family val="1"/>
    </font>
    <font>
      <b/>
      <sz val="26"/>
      <name val="Angsana New"/>
      <family val="1"/>
    </font>
    <font>
      <b/>
      <sz val="26"/>
      <color theme="1"/>
      <name val="Angsana New"/>
      <family val="1"/>
    </font>
    <font>
      <b/>
      <sz val="36"/>
      <color rgb="FFFF0000"/>
      <name val="Angsana New"/>
      <family val="1"/>
    </font>
    <font>
      <sz val="28"/>
      <color theme="1"/>
      <name val="Angsana New"/>
      <family val="1"/>
    </font>
    <font>
      <sz val="36"/>
      <color theme="1"/>
      <name val="Angsana New"/>
      <family val="1"/>
    </font>
    <font>
      <sz val="48"/>
      <color theme="1"/>
      <name val="Angsana New"/>
      <family val="1"/>
    </font>
    <font>
      <sz val="40"/>
      <color theme="1"/>
      <name val="Angsana New"/>
      <family val="1"/>
    </font>
    <font>
      <b/>
      <sz val="28"/>
      <color theme="1"/>
      <name val="Angsana New"/>
      <family val="1"/>
    </font>
    <font>
      <b/>
      <sz val="48"/>
      <color theme="1"/>
      <name val="Angsana New"/>
      <family val="1"/>
    </font>
    <font>
      <u/>
      <sz val="36"/>
      <color theme="1"/>
      <name val="Angsana New"/>
      <family val="1"/>
    </font>
    <font>
      <b/>
      <sz val="28"/>
      <name val="Angsana New"/>
      <family val="1"/>
    </font>
    <font>
      <b/>
      <sz val="36"/>
      <name val="Angsana New"/>
      <family val="1"/>
    </font>
    <font>
      <b/>
      <sz val="48"/>
      <name val="Angsana New"/>
      <family val="1"/>
    </font>
    <font>
      <b/>
      <sz val="72"/>
      <name val="Angsana New"/>
      <family val="1"/>
    </font>
    <font>
      <b/>
      <sz val="45"/>
      <color theme="1"/>
      <name val="Angsana New"/>
      <family val="1"/>
    </font>
    <font>
      <sz val="28"/>
      <color theme="1"/>
      <name val="Tahoma"/>
      <family val="2"/>
      <charset val="222"/>
      <scheme val="minor"/>
    </font>
    <font>
      <sz val="28"/>
      <color rgb="FFFF0000"/>
      <name val="Angsana New"/>
      <family val="1"/>
    </font>
    <font>
      <vertAlign val="superscript"/>
      <sz val="28"/>
      <color theme="1"/>
      <name val="Angsana New"/>
      <family val="1"/>
    </font>
    <font>
      <sz val="28"/>
      <name val="Angsana New"/>
      <family val="1"/>
    </font>
    <font>
      <vertAlign val="subscript"/>
      <sz val="28"/>
      <color theme="1"/>
      <name val="Angsana New"/>
      <family val="1"/>
    </font>
    <font>
      <sz val="20"/>
      <color theme="1"/>
      <name val="Angsana New"/>
      <family val="1"/>
    </font>
    <font>
      <sz val="22"/>
      <color theme="1"/>
      <name val="Angsana New"/>
      <family val="1"/>
    </font>
    <font>
      <b/>
      <u/>
      <sz val="36"/>
      <color theme="1"/>
      <name val="Angsana New"/>
      <family val="1"/>
    </font>
    <font>
      <sz val="23"/>
      <color theme="1"/>
      <name val="Angsana New"/>
      <family val="1"/>
    </font>
    <font>
      <b/>
      <sz val="20"/>
      <color theme="1"/>
      <name val="Angsana New"/>
      <family val="1"/>
    </font>
    <font>
      <b/>
      <u/>
      <sz val="20"/>
      <color rgb="FFFF0000"/>
      <name val="Angsana New"/>
      <family val="1"/>
    </font>
    <font>
      <sz val="26"/>
      <name val="Angsana New"/>
      <family val="1"/>
    </font>
    <font>
      <sz val="14"/>
      <color theme="1"/>
      <name val="Tahoma"/>
      <family val="2"/>
      <charset val="222"/>
      <scheme val="minor"/>
    </font>
    <font>
      <sz val="30"/>
      <color theme="1"/>
      <name val="Angsana New"/>
      <family val="1"/>
    </font>
    <font>
      <sz val="36"/>
      <color rgb="FFFF0000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  <font>
      <b/>
      <sz val="26"/>
      <color rgb="FFFF0000"/>
      <name val="Angsana New"/>
      <family val="1"/>
    </font>
    <font>
      <sz val="20"/>
      <color theme="1"/>
      <name val="Tahoma"/>
      <family val="2"/>
      <charset val="222"/>
      <scheme val="minor"/>
    </font>
    <font>
      <sz val="24"/>
      <color theme="1"/>
      <name val="Tahoma"/>
      <family val="2"/>
      <charset val="222"/>
      <scheme val="minor"/>
    </font>
    <font>
      <b/>
      <sz val="55"/>
      <color rgb="FFFF0000"/>
      <name val="Angsana New"/>
      <family val="1"/>
    </font>
    <font>
      <sz val="8"/>
      <name val="Tahoma"/>
      <family val="2"/>
      <charset val="222"/>
      <scheme val="minor"/>
    </font>
    <font>
      <b/>
      <sz val="36"/>
      <color theme="1"/>
      <name val="Angsana New"/>
      <family val="1"/>
    </font>
  </fonts>
  <fills count="1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7FBF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37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 vertical="center"/>
    </xf>
    <xf numFmtId="0" fontId="4" fillId="0" borderId="0" xfId="0" applyFont="1"/>
    <xf numFmtId="2" fontId="3" fillId="0" borderId="0" xfId="0" applyNumberFormat="1" applyFont="1" applyAlignment="1">
      <alignment horizontal="right" vertical="center"/>
    </xf>
    <xf numFmtId="0" fontId="4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2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6" xfId="0" applyFont="1" applyBorder="1"/>
    <xf numFmtId="2" fontId="3" fillId="0" borderId="6" xfId="0" applyNumberFormat="1" applyFont="1" applyBorder="1"/>
    <xf numFmtId="0" fontId="4" fillId="2" borderId="0" xfId="0" applyFont="1" applyFill="1"/>
    <xf numFmtId="0" fontId="4" fillId="8" borderId="0" xfId="0" applyFont="1" applyFill="1"/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2" applyFont="1" applyAlignment="1" applyProtection="1">
      <alignment horizontal="left" vertical="center"/>
      <protection hidden="1"/>
    </xf>
    <xf numFmtId="0" fontId="13" fillId="0" borderId="0" xfId="0" applyFont="1"/>
    <xf numFmtId="0" fontId="13" fillId="3" borderId="0" xfId="0" applyFont="1" applyFill="1"/>
    <xf numFmtId="0" fontId="12" fillId="10" borderId="0" xfId="2" applyFont="1" applyFill="1" applyAlignment="1" applyProtection="1">
      <alignment horizontal="center" vertical="center"/>
      <protection hidden="1"/>
    </xf>
    <xf numFmtId="2" fontId="4" fillId="0" borderId="6" xfId="0" applyNumberFormat="1" applyFont="1" applyBorder="1" applyAlignment="1">
      <alignment horizontal="center" vertical="center"/>
    </xf>
    <xf numFmtId="0" fontId="8" fillId="0" borderId="5" xfId="0" applyFont="1" applyBorder="1"/>
    <xf numFmtId="0" fontId="14" fillId="0" borderId="5" xfId="0" applyFont="1" applyBorder="1"/>
    <xf numFmtId="0" fontId="14" fillId="0" borderId="4" xfId="0" applyFont="1" applyBorder="1"/>
    <xf numFmtId="0" fontId="8" fillId="0" borderId="17" xfId="0" applyFont="1" applyBorder="1"/>
    <xf numFmtId="0" fontId="26" fillId="0" borderId="23" xfId="0" applyFont="1" applyBorder="1" applyAlignment="1">
      <alignment horizontal="center"/>
    </xf>
    <xf numFmtId="2" fontId="4" fillId="0" borderId="0" xfId="0" applyNumberFormat="1" applyFont="1"/>
    <xf numFmtId="0" fontId="26" fillId="0" borderId="24" xfId="0" applyFont="1" applyBorder="1" applyAlignment="1">
      <alignment horizontal="center"/>
    </xf>
    <xf numFmtId="0" fontId="8" fillId="0" borderId="12" xfId="0" applyFont="1" applyBorder="1"/>
    <xf numFmtId="2" fontId="15" fillId="0" borderId="5" xfId="0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33" fillId="0" borderId="2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30" fillId="5" borderId="13" xfId="0" applyFont="1" applyFill="1" applyBorder="1" applyAlignment="1">
      <alignment vertical="center"/>
    </xf>
    <xf numFmtId="0" fontId="8" fillId="5" borderId="13" xfId="0" applyFont="1" applyFill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vertical="center"/>
    </xf>
    <xf numFmtId="0" fontId="19" fillId="3" borderId="13" xfId="0" applyFont="1" applyFill="1" applyBorder="1" applyAlignment="1">
      <alignment vertical="center"/>
    </xf>
    <xf numFmtId="0" fontId="8" fillId="3" borderId="13" xfId="0" applyFont="1" applyFill="1" applyBorder="1" applyAlignment="1">
      <alignment vertical="center"/>
    </xf>
    <xf numFmtId="43" fontId="19" fillId="3" borderId="13" xfId="1" applyFont="1" applyFill="1" applyBorder="1" applyAlignment="1" applyProtection="1">
      <alignment vertical="center"/>
    </xf>
    <xf numFmtId="0" fontId="8" fillId="0" borderId="10" xfId="0" applyFont="1" applyBorder="1" applyAlignment="1">
      <alignment vertical="center"/>
    </xf>
    <xf numFmtId="0" fontId="26" fillId="0" borderId="4" xfId="0" applyFont="1" applyBorder="1" applyAlignment="1">
      <alignment vertical="center"/>
    </xf>
    <xf numFmtId="0" fontId="26" fillId="0" borderId="4" xfId="0" applyFont="1" applyBorder="1" applyAlignment="1">
      <alignment horizontal="left" vertical="center"/>
    </xf>
    <xf numFmtId="0" fontId="30" fillId="3" borderId="4" xfId="0" applyFont="1" applyFill="1" applyBorder="1" applyAlignment="1">
      <alignment horizontal="left" vertical="center"/>
    </xf>
    <xf numFmtId="0" fontId="8" fillId="0" borderId="17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16" fillId="0" borderId="4" xfId="0" applyFont="1" applyBorder="1" applyAlignment="1">
      <alignment horizontal="left" vertic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 applyProtection="1">
      <alignment horizontal="center" vertical="center"/>
      <protection hidden="1"/>
    </xf>
    <xf numFmtId="2" fontId="26" fillId="0" borderId="0" xfId="0" applyNumberFormat="1" applyFont="1" applyAlignment="1">
      <alignment horizontal="center" vertical="center"/>
    </xf>
    <xf numFmtId="2" fontId="41" fillId="3" borderId="0" xfId="0" applyNumberFormat="1" applyFont="1" applyFill="1" applyAlignment="1">
      <alignment horizontal="center" vertical="center"/>
    </xf>
    <xf numFmtId="0" fontId="21" fillId="0" borderId="0" xfId="0" applyFont="1" applyAlignment="1" applyProtection="1">
      <alignment vertical="center"/>
      <protection hidden="1"/>
    </xf>
    <xf numFmtId="3" fontId="19" fillId="0" borderId="0" xfId="0" applyNumberFormat="1" applyFont="1" applyAlignment="1" applyProtection="1">
      <alignment vertical="center"/>
      <protection hidden="1"/>
    </xf>
    <xf numFmtId="187" fontId="26" fillId="0" borderId="0" xfId="0" applyNumberFormat="1" applyFont="1" applyAlignment="1">
      <alignment horizontal="center" vertical="center"/>
    </xf>
    <xf numFmtId="0" fontId="18" fillId="3" borderId="0" xfId="0" applyFont="1" applyFill="1" applyAlignment="1">
      <alignment vertical="center"/>
    </xf>
    <xf numFmtId="0" fontId="26" fillId="0" borderId="0" xfId="0" applyFont="1" applyAlignment="1">
      <alignment horizontal="left" vertical="center"/>
    </xf>
    <xf numFmtId="2" fontId="18" fillId="3" borderId="0" xfId="0" applyNumberFormat="1" applyFont="1" applyFill="1" applyAlignment="1" applyProtection="1">
      <alignment vertical="center"/>
      <protection hidden="1"/>
    </xf>
    <xf numFmtId="0" fontId="30" fillId="3" borderId="0" xfId="0" applyFont="1" applyFill="1" applyAlignment="1" applyProtection="1">
      <alignment horizontal="center" vertical="center"/>
      <protection hidden="1"/>
    </xf>
    <xf numFmtId="3" fontId="26" fillId="3" borderId="0" xfId="0" applyNumberFormat="1" applyFont="1" applyFill="1" applyAlignment="1" applyProtection="1">
      <alignment horizontal="center" vertical="center"/>
      <protection hidden="1"/>
    </xf>
    <xf numFmtId="1" fontId="8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5" fillId="5" borderId="9" xfId="0" applyFont="1" applyFill="1" applyBorder="1" applyAlignment="1">
      <alignment vertical="center"/>
    </xf>
    <xf numFmtId="0" fontId="30" fillId="4" borderId="4" xfId="0" applyFont="1" applyFill="1" applyBorder="1" applyAlignment="1">
      <alignment vertical="center"/>
    </xf>
    <xf numFmtId="0" fontId="30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26" fillId="0" borderId="38" xfId="0" applyFont="1" applyBorder="1" applyAlignment="1">
      <alignment horizontal="center" vertical="center"/>
    </xf>
    <xf numFmtId="0" fontId="7" fillId="0" borderId="4" xfId="0" applyFont="1" applyBorder="1"/>
    <xf numFmtId="0" fontId="45" fillId="5" borderId="4" xfId="0" applyFont="1" applyFill="1" applyBorder="1" applyAlignment="1">
      <alignment vertical="center"/>
    </xf>
    <xf numFmtId="0" fontId="30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43" fontId="19" fillId="3" borderId="0" xfId="1" applyFont="1" applyFill="1" applyBorder="1" applyAlignment="1" applyProtection="1">
      <alignment vertical="center"/>
    </xf>
    <xf numFmtId="0" fontId="29" fillId="0" borderId="37" xfId="0" applyFont="1" applyBorder="1" applyAlignment="1">
      <alignment horizontal="center" vertical="center"/>
    </xf>
    <xf numFmtId="0" fontId="8" fillId="0" borderId="13" xfId="0" applyFont="1" applyBorder="1"/>
    <xf numFmtId="0" fontId="33" fillId="0" borderId="17" xfId="0" applyFont="1" applyBorder="1" applyAlignment="1">
      <alignment horizontal="center" vertical="center"/>
    </xf>
    <xf numFmtId="0" fontId="47" fillId="0" borderId="13" xfId="0" applyFont="1" applyBorder="1" applyAlignment="1">
      <alignment horizontal="center"/>
    </xf>
    <xf numFmtId="0" fontId="43" fillId="0" borderId="4" xfId="0" applyFont="1" applyBorder="1"/>
    <xf numFmtId="0" fontId="43" fillId="0" borderId="4" xfId="0" applyFont="1" applyBorder="1" applyAlignment="1">
      <alignment horizontal="center"/>
    </xf>
    <xf numFmtId="0" fontId="43" fillId="0" borderId="5" xfId="0" applyFont="1" applyBorder="1" applyAlignment="1">
      <alignment horizontal="left" vertical="center"/>
    </xf>
    <xf numFmtId="0" fontId="43" fillId="0" borderId="17" xfId="0" applyFont="1" applyBorder="1" applyAlignment="1">
      <alignment horizontal="center"/>
    </xf>
    <xf numFmtId="0" fontId="43" fillId="0" borderId="17" xfId="0" applyFont="1" applyBorder="1"/>
    <xf numFmtId="0" fontId="43" fillId="0" borderId="12" xfId="0" applyFont="1" applyBorder="1"/>
    <xf numFmtId="1" fontId="41" fillId="3" borderId="0" xfId="0" applyNumberFormat="1" applyFont="1" applyFill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left" vertical="center"/>
    </xf>
    <xf numFmtId="0" fontId="38" fillId="0" borderId="38" xfId="0" applyFont="1" applyBorder="1" applyAlignment="1">
      <alignment horizontal="center" vertical="center"/>
    </xf>
    <xf numFmtId="0" fontId="41" fillId="3" borderId="6" xfId="0" applyFont="1" applyFill="1" applyBorder="1" applyAlignment="1">
      <alignment horizontal="center"/>
    </xf>
    <xf numFmtId="0" fontId="30" fillId="0" borderId="46" xfId="0" applyFont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0" fontId="33" fillId="0" borderId="46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0" fillId="4" borderId="18" xfId="0" applyFont="1" applyFill="1" applyBorder="1" applyAlignment="1">
      <alignment vertical="center"/>
    </xf>
    <xf numFmtId="0" fontId="49" fillId="3" borderId="0" xfId="0" applyFont="1" applyFill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0" fillId="0" borderId="13" xfId="0" applyBorder="1"/>
    <xf numFmtId="0" fontId="35" fillId="3" borderId="37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2" fontId="49" fillId="3" borderId="0" xfId="0" applyNumberFormat="1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2" fontId="15" fillId="0" borderId="0" xfId="0" applyNumberFormat="1" applyFont="1" applyAlignment="1">
      <alignment horizontal="center" vertical="center"/>
    </xf>
    <xf numFmtId="0" fontId="0" fillId="0" borderId="4" xfId="0" applyBorder="1"/>
    <xf numFmtId="3" fontId="41" fillId="3" borderId="0" xfId="0" applyNumberFormat="1" applyFont="1" applyFill="1" applyAlignment="1" applyProtection="1">
      <alignment horizontal="center" vertical="center"/>
      <protection hidden="1"/>
    </xf>
    <xf numFmtId="0" fontId="33" fillId="0" borderId="0" xfId="0" applyFont="1" applyAlignment="1">
      <alignment horizontal="center" vertical="center"/>
    </xf>
    <xf numFmtId="0" fontId="47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left" vertical="center"/>
    </xf>
    <xf numFmtId="0" fontId="0" fillId="0" borderId="5" xfId="0" applyBorder="1"/>
    <xf numFmtId="0" fontId="43" fillId="0" borderId="0" xfId="0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7" xfId="0" applyBorder="1"/>
    <xf numFmtId="0" fontId="0" fillId="0" borderId="12" xfId="0" applyBorder="1"/>
    <xf numFmtId="0" fontId="0" fillId="0" borderId="26" xfId="0" applyBorder="1"/>
    <xf numFmtId="0" fontId="0" fillId="0" borderId="27" xfId="0" applyBorder="1"/>
    <xf numFmtId="3" fontId="49" fillId="3" borderId="0" xfId="0" applyNumberFormat="1" applyFont="1" applyFill="1" applyAlignment="1">
      <alignment horizontal="center" vertical="center"/>
    </xf>
    <xf numFmtId="1" fontId="0" fillId="0" borderId="0" xfId="0" applyNumberForma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5" xfId="0" applyFont="1" applyBorder="1"/>
    <xf numFmtId="0" fontId="53" fillId="0" borderId="0" xfId="0" applyFont="1"/>
    <xf numFmtId="0" fontId="17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9" fillId="3" borderId="13" xfId="0" applyFont="1" applyFill="1" applyBorder="1" applyAlignment="1">
      <alignment horizontal="center" vertical="center"/>
    </xf>
    <xf numFmtId="0" fontId="50" fillId="0" borderId="4" xfId="0" applyFont="1" applyBorder="1"/>
    <xf numFmtId="0" fontId="4" fillId="0" borderId="13" xfId="0" applyFont="1" applyBorder="1"/>
    <xf numFmtId="0" fontId="4" fillId="0" borderId="10" xfId="0" applyFont="1" applyBorder="1"/>
    <xf numFmtId="0" fontId="4" fillId="0" borderId="5" xfId="0" applyFont="1" applyBorder="1"/>
    <xf numFmtId="0" fontId="14" fillId="0" borderId="4" xfId="0" applyFont="1" applyBorder="1" applyAlignment="1">
      <alignment vertical="center"/>
    </xf>
    <xf numFmtId="0" fontId="4" fillId="0" borderId="17" xfId="0" applyFont="1" applyBorder="1"/>
    <xf numFmtId="0" fontId="4" fillId="0" borderId="12" xfId="0" applyFont="1" applyBorder="1"/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14" fillId="0" borderId="9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33" fillId="0" borderId="38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27" fillId="5" borderId="37" xfId="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41" fillId="3" borderId="28" xfId="0" applyFont="1" applyFill="1" applyBorder="1" applyAlignment="1">
      <alignment horizontal="center"/>
    </xf>
    <xf numFmtId="0" fontId="41" fillId="3" borderId="18" xfId="0" applyFont="1" applyFill="1" applyBorder="1" applyAlignment="1">
      <alignment horizontal="center"/>
    </xf>
    <xf numFmtId="0" fontId="41" fillId="3" borderId="29" xfId="0" applyFont="1" applyFill="1" applyBorder="1" applyAlignment="1">
      <alignment horizontal="center"/>
    </xf>
    <xf numFmtId="0" fontId="56" fillId="0" borderId="25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/>
    </xf>
    <xf numFmtId="0" fontId="46" fillId="0" borderId="0" xfId="0" applyFont="1" applyAlignment="1">
      <alignment horizontal="left" vertical="center"/>
    </xf>
    <xf numFmtId="0" fontId="41" fillId="3" borderId="0" xfId="0" applyFont="1" applyFill="1" applyAlignment="1">
      <alignment horizontal="center" vertical="center"/>
    </xf>
    <xf numFmtId="0" fontId="57" fillId="6" borderId="37" xfId="0" applyFont="1" applyFill="1" applyBorder="1" applyAlignment="1" applyProtection="1">
      <alignment horizontal="center" vertical="center"/>
      <protection locked="0"/>
    </xf>
    <xf numFmtId="2" fontId="22" fillId="6" borderId="6" xfId="0" applyNumberFormat="1" applyFont="1" applyFill="1" applyBorder="1" applyAlignment="1" applyProtection="1">
      <alignment horizontal="center" vertical="center"/>
      <protection locked="0"/>
    </xf>
    <xf numFmtId="0" fontId="22" fillId="6" borderId="6" xfId="0" applyFont="1" applyFill="1" applyBorder="1" applyAlignment="1" applyProtection="1">
      <alignment horizontal="center" vertical="center"/>
      <protection locked="0"/>
    </xf>
    <xf numFmtId="1" fontId="39" fillId="6" borderId="6" xfId="0" applyNumberFormat="1" applyFont="1" applyFill="1" applyBorder="1" applyAlignment="1" applyProtection="1">
      <alignment horizontal="center" vertical="center"/>
      <protection locked="0"/>
    </xf>
    <xf numFmtId="3" fontId="39" fillId="6" borderId="50" xfId="0" applyNumberFormat="1" applyFont="1" applyFill="1" applyBorder="1" applyAlignment="1" applyProtection="1">
      <alignment horizontal="center" vertical="center"/>
      <protection locked="0"/>
    </xf>
    <xf numFmtId="0" fontId="39" fillId="6" borderId="35" xfId="0" applyFont="1" applyFill="1" applyBorder="1" applyAlignment="1" applyProtection="1">
      <alignment horizontal="center"/>
      <protection locked="0"/>
    </xf>
    <xf numFmtId="0" fontId="39" fillId="6" borderId="36" xfId="0" applyFont="1" applyFill="1" applyBorder="1" applyAlignment="1" applyProtection="1">
      <alignment horizontal="center"/>
      <protection locked="0"/>
    </xf>
    <xf numFmtId="0" fontId="39" fillId="6" borderId="6" xfId="0" applyFont="1" applyFill="1" applyBorder="1" applyAlignment="1" applyProtection="1">
      <alignment horizontal="center"/>
      <protection locked="0"/>
    </xf>
    <xf numFmtId="0" fontId="39" fillId="6" borderId="28" xfId="0" applyFont="1" applyFill="1" applyBorder="1" applyAlignment="1" applyProtection="1">
      <alignment horizontal="center"/>
      <protection locked="0"/>
    </xf>
    <xf numFmtId="0" fontId="39" fillId="6" borderId="18" xfId="0" applyFont="1" applyFill="1" applyBorder="1" applyAlignment="1" applyProtection="1">
      <alignment horizontal="center"/>
      <protection locked="0"/>
    </xf>
    <xf numFmtId="0" fontId="39" fillId="6" borderId="29" xfId="0" applyFont="1" applyFill="1" applyBorder="1" applyAlignment="1" applyProtection="1">
      <alignment horizontal="center"/>
      <protection locked="0"/>
    </xf>
    <xf numFmtId="2" fontId="39" fillId="6" borderId="6" xfId="0" applyNumberFormat="1" applyFont="1" applyFill="1" applyBorder="1" applyAlignment="1" applyProtection="1">
      <alignment horizontal="center" vertical="center"/>
      <protection locked="0"/>
    </xf>
    <xf numFmtId="0" fontId="39" fillId="6" borderId="6" xfId="0" applyFont="1" applyFill="1" applyBorder="1" applyAlignment="1" applyProtection="1">
      <alignment horizontal="center" vertical="center"/>
      <protection locked="0"/>
    </xf>
    <xf numFmtId="0" fontId="52" fillId="6" borderId="37" xfId="0" applyFont="1" applyFill="1" applyBorder="1" applyAlignment="1" applyProtection="1">
      <alignment horizontal="center" vertical="center"/>
      <protection locked="0"/>
    </xf>
    <xf numFmtId="0" fontId="47" fillId="3" borderId="9" xfId="0" applyFont="1" applyFill="1" applyBorder="1" applyAlignment="1">
      <alignment vertical="center"/>
    </xf>
    <xf numFmtId="0" fontId="47" fillId="3" borderId="13" xfId="0" applyFont="1" applyFill="1" applyBorder="1" applyAlignment="1">
      <alignment vertical="center"/>
    </xf>
    <xf numFmtId="0" fontId="47" fillId="3" borderId="4" xfId="0" applyFont="1" applyFill="1" applyBorder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4" xfId="0" applyFont="1" applyFill="1" applyBorder="1" applyAlignment="1">
      <alignment vertical="center"/>
    </xf>
    <xf numFmtId="0" fontId="44" fillId="3" borderId="0" xfId="0" applyFont="1" applyFill="1" applyAlignment="1">
      <alignment vertical="center"/>
    </xf>
    <xf numFmtId="0" fontId="27" fillId="0" borderId="23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25" fillId="9" borderId="9" xfId="0" applyFont="1" applyFill="1" applyBorder="1" applyAlignment="1">
      <alignment horizontal="center" vertical="center"/>
    </xf>
    <xf numFmtId="0" fontId="25" fillId="9" borderId="13" xfId="0" applyFont="1" applyFill="1" applyBorder="1" applyAlignment="1">
      <alignment horizontal="center" vertical="center"/>
    </xf>
    <xf numFmtId="0" fontId="25" fillId="9" borderId="10" xfId="0" applyFont="1" applyFill="1" applyBorder="1" applyAlignment="1">
      <alignment horizontal="center" vertical="center"/>
    </xf>
    <xf numFmtId="0" fontId="25" fillId="9" borderId="11" xfId="0" applyFont="1" applyFill="1" applyBorder="1" applyAlignment="1">
      <alignment horizontal="center" vertical="center"/>
    </xf>
    <xf numFmtId="0" fontId="25" fillId="9" borderId="17" xfId="0" applyFont="1" applyFill="1" applyBorder="1" applyAlignment="1">
      <alignment horizontal="center" vertical="center"/>
    </xf>
    <xf numFmtId="0" fontId="25" fillId="9" borderId="12" xfId="0" applyFont="1" applyFill="1" applyBorder="1" applyAlignment="1">
      <alignment horizontal="center" vertical="center"/>
    </xf>
    <xf numFmtId="0" fontId="31" fillId="5" borderId="25" xfId="0" applyFont="1" applyFill="1" applyBorder="1" applyAlignment="1">
      <alignment horizontal="center" vertical="center"/>
    </xf>
    <xf numFmtId="0" fontId="31" fillId="5" borderId="26" xfId="0" applyFont="1" applyFill="1" applyBorder="1" applyAlignment="1">
      <alignment horizontal="center" vertical="center"/>
    </xf>
    <xf numFmtId="0" fontId="31" fillId="5" borderId="27" xfId="0" applyFont="1" applyFill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32" fillId="0" borderId="27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7" fillId="11" borderId="9" xfId="0" applyFont="1" applyFill="1" applyBorder="1" applyAlignment="1">
      <alignment horizontal="center" vertical="center"/>
    </xf>
    <xf numFmtId="0" fontId="37" fillId="11" borderId="13" xfId="0" applyFont="1" applyFill="1" applyBorder="1" applyAlignment="1">
      <alignment horizontal="center" vertical="center"/>
    </xf>
    <xf numFmtId="0" fontId="37" fillId="11" borderId="11" xfId="0" applyFont="1" applyFill="1" applyBorder="1" applyAlignment="1">
      <alignment horizontal="center" vertical="center"/>
    </xf>
    <xf numFmtId="0" fontId="37" fillId="11" borderId="17" xfId="0" applyFont="1" applyFill="1" applyBorder="1" applyAlignment="1">
      <alignment horizontal="center" vertical="center"/>
    </xf>
    <xf numFmtId="0" fontId="37" fillId="11" borderId="10" xfId="0" applyFont="1" applyFill="1" applyBorder="1" applyAlignment="1">
      <alignment horizontal="center" vertical="center"/>
    </xf>
    <xf numFmtId="0" fontId="37" fillId="11" borderId="12" xfId="0" applyFont="1" applyFill="1" applyBorder="1" applyAlignment="1">
      <alignment horizontal="center" vertical="center"/>
    </xf>
    <xf numFmtId="0" fontId="54" fillId="0" borderId="49" xfId="0" applyFont="1" applyBorder="1" applyAlignment="1">
      <alignment horizontal="center"/>
    </xf>
    <xf numFmtId="0" fontId="54" fillId="0" borderId="4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28" fillId="0" borderId="2" xfId="0" applyFont="1" applyBorder="1" applyAlignment="1" applyProtection="1">
      <alignment horizontal="center"/>
      <protection locked="0"/>
    </xf>
    <xf numFmtId="0" fontId="28" fillId="0" borderId="3" xfId="0" applyFont="1" applyBorder="1" applyAlignment="1" applyProtection="1">
      <alignment horizontal="center"/>
      <protection locked="0"/>
    </xf>
    <xf numFmtId="0" fontId="8" fillId="0" borderId="2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30" fillId="4" borderId="1" xfId="0" applyFont="1" applyFill="1" applyBorder="1" applyAlignment="1">
      <alignment horizontal="center" vertical="center" wrapText="1"/>
    </xf>
    <xf numFmtId="0" fontId="30" fillId="4" borderId="24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 wrapText="1"/>
    </xf>
    <xf numFmtId="0" fontId="30" fillId="4" borderId="18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/>
    </xf>
    <xf numFmtId="0" fontId="30" fillId="4" borderId="3" xfId="0" applyFont="1" applyFill="1" applyBorder="1" applyAlignment="1">
      <alignment horizontal="center" vertical="center" wrapText="1"/>
    </xf>
    <xf numFmtId="0" fontId="30" fillId="4" borderId="29" xfId="0" applyFont="1" applyFill="1" applyBorder="1" applyAlignment="1">
      <alignment horizontal="center" vertical="center" wrapText="1"/>
    </xf>
    <xf numFmtId="0" fontId="30" fillId="4" borderId="47" xfId="0" applyFont="1" applyFill="1" applyBorder="1" applyAlignment="1">
      <alignment horizontal="center" vertical="center"/>
    </xf>
    <xf numFmtId="0" fontId="30" fillId="4" borderId="48" xfId="0" applyFont="1" applyFill="1" applyBorder="1" applyAlignment="1">
      <alignment horizontal="center" vertical="center"/>
    </xf>
    <xf numFmtId="0" fontId="30" fillId="4" borderId="33" xfId="0" applyFont="1" applyFill="1" applyBorder="1" applyAlignment="1">
      <alignment horizontal="center" vertical="center"/>
    </xf>
    <xf numFmtId="0" fontId="12" fillId="0" borderId="0" xfId="2" applyFont="1" applyAlignment="1" applyProtection="1">
      <alignment horizontal="left" vertical="center"/>
      <protection hidden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36" fillId="2" borderId="53" xfId="0" applyFont="1" applyFill="1" applyBorder="1" applyAlignment="1">
      <alignment horizontal="center"/>
    </xf>
    <xf numFmtId="0" fontId="36" fillId="2" borderId="54" xfId="0" applyFont="1" applyFill="1" applyBorder="1" applyAlignment="1">
      <alignment horizontal="center"/>
    </xf>
    <xf numFmtId="0" fontId="36" fillId="2" borderId="55" xfId="0" applyFont="1" applyFill="1" applyBorder="1" applyAlignment="1">
      <alignment horizontal="center"/>
    </xf>
    <xf numFmtId="1" fontId="23" fillId="0" borderId="43" xfId="0" applyNumberFormat="1" applyFont="1" applyBorder="1" applyAlignment="1">
      <alignment horizontal="center" vertical="center"/>
    </xf>
    <xf numFmtId="1" fontId="23" fillId="0" borderId="34" xfId="0" applyNumberFormat="1" applyFont="1" applyBorder="1" applyAlignment="1">
      <alignment horizontal="center" vertical="center"/>
    </xf>
    <xf numFmtId="1" fontId="23" fillId="0" borderId="7" xfId="0" applyNumberFormat="1" applyFont="1" applyBorder="1" applyAlignment="1">
      <alignment horizontal="center" vertical="center"/>
    </xf>
    <xf numFmtId="1" fontId="23" fillId="0" borderId="8" xfId="0" applyNumberFormat="1" applyFont="1" applyBorder="1" applyAlignment="1">
      <alignment horizontal="center" vertical="center"/>
    </xf>
    <xf numFmtId="1" fontId="23" fillId="3" borderId="7" xfId="0" applyNumberFormat="1" applyFont="1" applyFill="1" applyBorder="1" applyAlignment="1">
      <alignment horizontal="center" vertical="center"/>
    </xf>
    <xf numFmtId="1" fontId="23" fillId="3" borderId="8" xfId="0" applyNumberFormat="1" applyFont="1" applyFill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1" fontId="23" fillId="0" borderId="30" xfId="0" applyNumberFormat="1" applyFont="1" applyBorder="1" applyAlignment="1">
      <alignment horizontal="center" vertical="center"/>
    </xf>
    <xf numFmtId="0" fontId="25" fillId="7" borderId="6" xfId="0" applyFont="1" applyFill="1" applyBorder="1" applyAlignment="1" applyProtection="1">
      <alignment horizontal="center" vertical="center"/>
      <protection locked="0"/>
    </xf>
    <xf numFmtId="0" fontId="25" fillId="7" borderId="28" xfId="0" applyFont="1" applyFill="1" applyBorder="1" applyAlignment="1" applyProtection="1">
      <alignment horizontal="center" vertical="center"/>
      <protection locked="0"/>
    </xf>
    <xf numFmtId="3" fontId="34" fillId="3" borderId="18" xfId="0" applyNumberFormat="1" applyFont="1" applyFill="1" applyBorder="1" applyAlignment="1">
      <alignment horizontal="center" vertical="center"/>
    </xf>
    <xf numFmtId="3" fontId="34" fillId="3" borderId="29" xfId="0" applyNumberFormat="1" applyFont="1" applyFill="1" applyBorder="1" applyAlignment="1">
      <alignment horizontal="center" vertical="center"/>
    </xf>
    <xf numFmtId="0" fontId="34" fillId="13" borderId="25" xfId="0" applyFont="1" applyFill="1" applyBorder="1" applyAlignment="1">
      <alignment horizontal="center" vertical="center"/>
    </xf>
    <xf numFmtId="0" fontId="34" fillId="13" borderId="26" xfId="0" applyFont="1" applyFill="1" applyBorder="1" applyAlignment="1">
      <alignment horizontal="center" vertical="center"/>
    </xf>
    <xf numFmtId="0" fontId="34" fillId="13" borderId="27" xfId="0" applyFont="1" applyFill="1" applyBorder="1" applyAlignment="1">
      <alignment horizontal="center" vertical="center"/>
    </xf>
    <xf numFmtId="0" fontId="29" fillId="5" borderId="25" xfId="0" applyFont="1" applyFill="1" applyBorder="1" applyAlignment="1">
      <alignment horizontal="center" vertical="center"/>
    </xf>
    <xf numFmtId="0" fontId="29" fillId="5" borderId="27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/>
    </xf>
    <xf numFmtId="0" fontId="23" fillId="0" borderId="28" xfId="0" applyFont="1" applyBorder="1" applyAlignment="1">
      <alignment horizontal="center"/>
    </xf>
    <xf numFmtId="0" fontId="54" fillId="0" borderId="23" xfId="0" applyFont="1" applyBorder="1" applyAlignment="1">
      <alignment horizontal="center"/>
    </xf>
    <xf numFmtId="0" fontId="54" fillId="0" borderId="28" xfId="0" applyFont="1" applyBorder="1" applyAlignment="1">
      <alignment horizontal="center"/>
    </xf>
    <xf numFmtId="0" fontId="34" fillId="3" borderId="6" xfId="0" applyFont="1" applyFill="1" applyBorder="1" applyAlignment="1">
      <alignment horizontal="center" vertical="center"/>
    </xf>
    <xf numFmtId="0" fontId="34" fillId="3" borderId="28" xfId="0" applyFont="1" applyFill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34" fillId="13" borderId="21" xfId="0" applyFont="1" applyFill="1" applyBorder="1" applyAlignment="1">
      <alignment horizontal="center" vertical="center"/>
    </xf>
    <xf numFmtId="0" fontId="34" fillId="13" borderId="22" xfId="0" applyFont="1" applyFill="1" applyBorder="1" applyAlignment="1">
      <alignment horizontal="center" vertical="center"/>
    </xf>
    <xf numFmtId="0" fontId="34" fillId="13" borderId="14" xfId="0" applyFont="1" applyFill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/>
    </xf>
    <xf numFmtId="0" fontId="28" fillId="0" borderId="52" xfId="0" applyFont="1" applyBorder="1" applyAlignment="1" applyProtection="1">
      <alignment horizontal="center"/>
      <protection locked="0"/>
    </xf>
    <xf numFmtId="0" fontId="28" fillId="0" borderId="40" xfId="0" applyFont="1" applyBorder="1" applyAlignment="1" applyProtection="1">
      <alignment horizontal="center"/>
      <protection locked="0"/>
    </xf>
    <xf numFmtId="0" fontId="27" fillId="0" borderId="53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34" fillId="3" borderId="54" xfId="0" applyFont="1" applyFill="1" applyBorder="1" applyAlignment="1">
      <alignment horizontal="center" vertical="center"/>
    </xf>
    <xf numFmtId="0" fontId="34" fillId="3" borderId="55" xfId="0" applyFont="1" applyFill="1" applyBorder="1" applyAlignment="1">
      <alignment horizontal="center" vertical="center"/>
    </xf>
    <xf numFmtId="3" fontId="34" fillId="3" borderId="0" xfId="0" applyNumberFormat="1" applyFont="1" applyFill="1" applyAlignment="1">
      <alignment horizontal="center" vertical="center"/>
    </xf>
    <xf numFmtId="3" fontId="34" fillId="3" borderId="5" xfId="0" applyNumberFormat="1" applyFont="1" applyFill="1" applyBorder="1" applyAlignment="1">
      <alignment horizontal="center" vertical="center"/>
    </xf>
    <xf numFmtId="0" fontId="51" fillId="5" borderId="25" xfId="0" applyFont="1" applyFill="1" applyBorder="1" applyAlignment="1">
      <alignment horizontal="center" vertical="center"/>
    </xf>
    <xf numFmtId="0" fontId="51" fillId="5" borderId="27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0" fontId="28" fillId="0" borderId="25" xfId="0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28" fillId="0" borderId="27" xfId="0" applyFont="1" applyBorder="1" applyAlignment="1">
      <alignment horizontal="center" vertical="center"/>
    </xf>
    <xf numFmtId="0" fontId="43" fillId="0" borderId="4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7" fillId="14" borderId="9" xfId="0" applyFont="1" applyFill="1" applyBorder="1" applyAlignment="1">
      <alignment horizontal="center" vertical="center"/>
    </xf>
    <xf numFmtId="0" fontId="47" fillId="14" borderId="13" xfId="0" applyFont="1" applyFill="1" applyBorder="1" applyAlignment="1">
      <alignment horizontal="center" vertical="center"/>
    </xf>
    <xf numFmtId="0" fontId="47" fillId="14" borderId="10" xfId="0" applyFont="1" applyFill="1" applyBorder="1" applyAlignment="1">
      <alignment horizontal="center" vertical="center"/>
    </xf>
    <xf numFmtId="0" fontId="47" fillId="14" borderId="4" xfId="0" applyFont="1" applyFill="1" applyBorder="1" applyAlignment="1">
      <alignment horizontal="center" vertical="center"/>
    </xf>
    <xf numFmtId="0" fontId="47" fillId="14" borderId="0" xfId="0" applyFont="1" applyFill="1" applyAlignment="1">
      <alignment horizontal="center" vertical="center"/>
    </xf>
    <xf numFmtId="0" fontId="47" fillId="14" borderId="5" xfId="0" applyFont="1" applyFill="1" applyBorder="1" applyAlignment="1">
      <alignment horizontal="center" vertical="center"/>
    </xf>
    <xf numFmtId="0" fontId="47" fillId="14" borderId="56" xfId="0" applyFont="1" applyFill="1" applyBorder="1" applyAlignment="1">
      <alignment horizontal="center" vertical="center"/>
    </xf>
    <xf numFmtId="0" fontId="47" fillId="14" borderId="59" xfId="0" applyFont="1" applyFill="1" applyBorder="1" applyAlignment="1">
      <alignment horizontal="center" vertical="center"/>
    </xf>
    <xf numFmtId="0" fontId="47" fillId="14" borderId="57" xfId="0" applyFont="1" applyFill="1" applyBorder="1" applyAlignment="1">
      <alignment horizontal="center" vertical="center"/>
    </xf>
    <xf numFmtId="0" fontId="43" fillId="0" borderId="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43" fillId="0" borderId="45" xfId="0" applyFont="1" applyBorder="1" applyAlignment="1">
      <alignment horizontal="left" vertical="center"/>
    </xf>
    <xf numFmtId="0" fontId="43" fillId="0" borderId="9" xfId="0" applyFont="1" applyBorder="1" applyAlignment="1">
      <alignment horizontal="left" vertical="center" wrapText="1"/>
    </xf>
    <xf numFmtId="0" fontId="43" fillId="0" borderId="13" xfId="0" applyFont="1" applyBorder="1" applyAlignment="1">
      <alignment horizontal="left" vertical="center" wrapText="1"/>
    </xf>
    <xf numFmtId="0" fontId="43" fillId="0" borderId="10" xfId="0" applyFont="1" applyBorder="1" applyAlignment="1">
      <alignment horizontal="left" vertical="center" wrapText="1"/>
    </xf>
    <xf numFmtId="0" fontId="43" fillId="0" borderId="4" xfId="0" applyFont="1" applyBorder="1" applyAlignment="1">
      <alignment horizontal="left" vertical="center" wrapText="1"/>
    </xf>
    <xf numFmtId="0" fontId="43" fillId="0" borderId="5" xfId="0" applyFont="1" applyBorder="1" applyAlignment="1">
      <alignment horizontal="left" vertical="center" wrapText="1"/>
    </xf>
    <xf numFmtId="0" fontId="43" fillId="0" borderId="11" xfId="0" applyFont="1" applyBorder="1" applyAlignment="1">
      <alignment horizontal="left" vertical="center" wrapText="1"/>
    </xf>
    <xf numFmtId="0" fontId="43" fillId="0" borderId="17" xfId="0" applyFont="1" applyBorder="1" applyAlignment="1">
      <alignment horizontal="left" vertical="center" wrapText="1"/>
    </xf>
    <xf numFmtId="0" fontId="43" fillId="0" borderId="12" xfId="0" applyFont="1" applyBorder="1" applyAlignment="1">
      <alignment horizontal="left" vertical="center" wrapText="1"/>
    </xf>
    <xf numFmtId="0" fontId="43" fillId="0" borderId="41" xfId="0" applyFont="1" applyBorder="1" applyAlignment="1">
      <alignment horizontal="left" vertical="center"/>
    </xf>
    <xf numFmtId="0" fontId="43" fillId="0" borderId="42" xfId="0" applyFont="1" applyBorder="1" applyAlignment="1">
      <alignment horizontal="left" vertical="center"/>
    </xf>
    <xf numFmtId="0" fontId="47" fillId="3" borderId="0" xfId="0" applyFont="1" applyFill="1" applyAlignment="1">
      <alignment horizontal="center" vertical="center"/>
    </xf>
    <xf numFmtId="0" fontId="47" fillId="3" borderId="41" xfId="0" applyFont="1" applyFill="1" applyBorder="1" applyAlignment="1">
      <alignment horizontal="center" vertical="center"/>
    </xf>
    <xf numFmtId="0" fontId="47" fillId="3" borderId="42" xfId="0" applyFont="1" applyFill="1" applyBorder="1" applyAlignment="1">
      <alignment horizontal="center" vertical="center"/>
    </xf>
    <xf numFmtId="0" fontId="43" fillId="0" borderId="43" xfId="0" applyFont="1" applyBorder="1" applyAlignment="1">
      <alignment horizontal="left" vertical="center"/>
    </xf>
    <xf numFmtId="0" fontId="43" fillId="0" borderId="36" xfId="0" applyFont="1" applyBorder="1" applyAlignment="1">
      <alignment horizontal="left" vertical="center"/>
    </xf>
    <xf numFmtId="0" fontId="31" fillId="12" borderId="46" xfId="0" applyFont="1" applyFill="1" applyBorder="1" applyAlignment="1">
      <alignment horizontal="center"/>
    </xf>
    <xf numFmtId="0" fontId="31" fillId="12" borderId="60" xfId="0" applyFont="1" applyFill="1" applyBorder="1" applyAlignment="1">
      <alignment horizontal="center"/>
    </xf>
    <xf numFmtId="0" fontId="31" fillId="12" borderId="61" xfId="0" applyFont="1" applyFill="1" applyBorder="1" applyAlignment="1">
      <alignment horizontal="center"/>
    </xf>
    <xf numFmtId="0" fontId="14" fillId="0" borderId="0" xfId="0" applyFont="1" applyBorder="1"/>
    <xf numFmtId="0" fontId="14" fillId="0" borderId="11" xfId="0" applyFont="1" applyBorder="1"/>
    <xf numFmtId="0" fontId="14" fillId="0" borderId="17" xfId="0" applyFont="1" applyBorder="1"/>
    <xf numFmtId="0" fontId="14" fillId="0" borderId="12" xfId="0" applyFont="1" applyBorder="1"/>
    <xf numFmtId="0" fontId="59" fillId="11" borderId="13" xfId="0" applyFont="1" applyFill="1" applyBorder="1" applyAlignment="1">
      <alignment horizontal="center" vertical="center"/>
    </xf>
    <xf numFmtId="0" fontId="59" fillId="11" borderId="10" xfId="0" applyFont="1" applyFill="1" applyBorder="1" applyAlignment="1">
      <alignment horizontal="center" vertical="center"/>
    </xf>
    <xf numFmtId="0" fontId="59" fillId="11" borderId="17" xfId="0" applyFont="1" applyFill="1" applyBorder="1" applyAlignment="1">
      <alignment horizontal="center" vertical="center"/>
    </xf>
    <xf numFmtId="0" fontId="59" fillId="11" borderId="12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/>
    </xf>
    <xf numFmtId="0" fontId="31" fillId="12" borderId="35" xfId="0" applyFont="1" applyFill="1" applyBorder="1" applyAlignment="1">
      <alignment horizontal="center"/>
    </xf>
    <xf numFmtId="0" fontId="31" fillId="12" borderId="36" xfId="0" applyFont="1" applyFill="1" applyBorder="1" applyAlignment="1">
      <alignment horizontal="center"/>
    </xf>
    <xf numFmtId="0" fontId="14" fillId="0" borderId="9" xfId="0" applyFont="1" applyBorder="1"/>
    <xf numFmtId="0" fontId="14" fillId="0" borderId="13" xfId="0" applyFont="1" applyBorder="1"/>
    <xf numFmtId="0" fontId="14" fillId="0" borderId="10" xfId="0" applyFont="1" applyBorder="1"/>
    <xf numFmtId="0" fontId="31" fillId="12" borderId="56" xfId="0" applyFont="1" applyFill="1" applyBorder="1" applyAlignment="1">
      <alignment horizontal="center"/>
    </xf>
    <xf numFmtId="0" fontId="31" fillId="12" borderId="59" xfId="0" applyFont="1" applyFill="1" applyBorder="1" applyAlignment="1">
      <alignment horizontal="center"/>
    </xf>
    <xf numFmtId="0" fontId="31" fillId="12" borderId="57" xfId="0" applyFont="1" applyFill="1" applyBorder="1" applyAlignment="1">
      <alignment horizontal="center"/>
    </xf>
    <xf numFmtId="0" fontId="26" fillId="0" borderId="56" xfId="0" applyFont="1" applyBorder="1" applyAlignment="1">
      <alignment horizontal="center"/>
    </xf>
    <xf numFmtId="0" fontId="26" fillId="0" borderId="57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26" fillId="0" borderId="31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2" fillId="6" borderId="6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left" vertical="center" wrapText="1"/>
    </xf>
    <xf numFmtId="0" fontId="44" fillId="0" borderId="15" xfId="0" applyFont="1" applyBorder="1" applyAlignment="1">
      <alignment horizontal="center" vertical="center"/>
    </xf>
    <xf numFmtId="0" fontId="44" fillId="0" borderId="58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2" fontId="49" fillId="3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Border="1" applyAlignment="1">
      <alignment horizontal="left" vertical="center"/>
    </xf>
    <xf numFmtId="0" fontId="29" fillId="5" borderId="26" xfId="0" applyFont="1" applyFill="1" applyBorder="1" applyAlignment="1">
      <alignment horizontal="center" vertical="center"/>
    </xf>
  </cellXfs>
  <cellStyles count="3">
    <cellStyle name="Hyperlink" xfId="2" builtinId="8"/>
    <cellStyle name="จุลภาค" xfId="1" builtinId="3"/>
    <cellStyle name="ปกติ" xfId="0" builtinId="0"/>
  </cellStyles>
  <dxfs count="1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363684</xdr:colOff>
      <xdr:row>2</xdr:row>
      <xdr:rowOff>182703</xdr:rowOff>
    </xdr:from>
    <xdr:to>
      <xdr:col>12</xdr:col>
      <xdr:colOff>1437071</xdr:colOff>
      <xdr:row>19</xdr:row>
      <xdr:rowOff>242455</xdr:rowOff>
    </xdr:to>
    <xdr:pic>
      <xdr:nvPicPr>
        <xdr:cNvPr id="50" name="รูปภาพ 49">
          <a:extLst>
            <a:ext uri="{FF2B5EF4-FFF2-40B4-BE49-F238E27FC236}">
              <a16:creationId xmlns:a16="http://schemas.microsoft.com/office/drawing/2014/main" id="{5F9959FF-0E70-C6B3-CC54-1D037054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5820" y="1637430"/>
          <a:ext cx="8693387" cy="5636207"/>
        </a:xfrm>
        <a:prstGeom prst="rect">
          <a:avLst/>
        </a:prstGeom>
      </xdr:spPr>
    </xdr:pic>
    <xdr:clientData/>
  </xdr:twoCellAnchor>
  <xdr:twoCellAnchor editAs="oneCell">
    <xdr:from>
      <xdr:col>7</xdr:col>
      <xdr:colOff>1000990</xdr:colOff>
      <xdr:row>68</xdr:row>
      <xdr:rowOff>58882</xdr:rowOff>
    </xdr:from>
    <xdr:to>
      <xdr:col>8</xdr:col>
      <xdr:colOff>527163</xdr:colOff>
      <xdr:row>69</xdr:row>
      <xdr:rowOff>145470</xdr:rowOff>
    </xdr:to>
    <xdr:pic>
      <xdr:nvPicPr>
        <xdr:cNvPr id="54" name="รูปภาพ 53">
          <a:extLst>
            <a:ext uri="{FF2B5EF4-FFF2-40B4-BE49-F238E27FC236}">
              <a16:creationId xmlns:a16="http://schemas.microsoft.com/office/drawing/2014/main" id="{9FD1A7DF-6DBD-5FAD-6262-CD7F12643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41426" y="33628446"/>
          <a:ext cx="579119" cy="557643"/>
        </a:xfrm>
        <a:prstGeom prst="rect">
          <a:avLst/>
        </a:prstGeom>
      </xdr:spPr>
    </xdr:pic>
    <xdr:clientData/>
  </xdr:twoCellAnchor>
  <xdr:twoCellAnchor>
    <xdr:from>
      <xdr:col>5</xdr:col>
      <xdr:colOff>142011</xdr:colOff>
      <xdr:row>10</xdr:row>
      <xdr:rowOff>190500</xdr:rowOff>
    </xdr:from>
    <xdr:to>
      <xdr:col>8</xdr:col>
      <xdr:colOff>548710</xdr:colOff>
      <xdr:row>11</xdr:row>
      <xdr:rowOff>179265</xdr:rowOff>
    </xdr:to>
    <xdr:sp macro="" textlink="$E$29">
      <xdr:nvSpPr>
        <xdr:cNvPr id="55" name="TextBox 64">
          <a:extLst>
            <a:ext uri="{FF2B5EF4-FFF2-40B4-BE49-F238E27FC236}">
              <a16:creationId xmlns:a16="http://schemas.microsoft.com/office/drawing/2014/main" id="{458AE7F9-A968-4DEA-801C-1A0FC8F820F1}"/>
            </a:ext>
          </a:extLst>
        </xdr:cNvPr>
        <xdr:cNvSpPr txBox="1"/>
      </xdr:nvSpPr>
      <xdr:spPr>
        <a:xfrm>
          <a:off x="6844147" y="4242955"/>
          <a:ext cx="3333472" cy="3004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D5BB747-9EBB-40C6-99FC-9E3AC7232CA1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3.00</a:t>
          </a:fld>
          <a:endParaRPr lang="th-TH" sz="16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8</xdr:col>
      <xdr:colOff>732458</xdr:colOff>
      <xdr:row>15</xdr:row>
      <xdr:rowOff>353834</xdr:rowOff>
    </xdr:from>
    <xdr:to>
      <xdr:col>9</xdr:col>
      <xdr:colOff>1277702</xdr:colOff>
      <xdr:row>17</xdr:row>
      <xdr:rowOff>87949</xdr:rowOff>
    </xdr:to>
    <xdr:sp macro="" textlink="$E$28">
      <xdr:nvSpPr>
        <xdr:cNvPr id="56" name="TextBox 64">
          <a:extLst>
            <a:ext uri="{FF2B5EF4-FFF2-40B4-BE49-F238E27FC236}">
              <a16:creationId xmlns:a16="http://schemas.microsoft.com/office/drawing/2014/main" id="{7CE2DC39-93E5-4943-AFFB-8D71C13BA03E}"/>
            </a:ext>
          </a:extLst>
        </xdr:cNvPr>
        <xdr:cNvSpPr txBox="1"/>
      </xdr:nvSpPr>
      <xdr:spPr>
        <a:xfrm>
          <a:off x="10361367" y="5930289"/>
          <a:ext cx="1878744" cy="56538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2B02A155-74AB-4190-B19F-14F38FC0538A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4.00</a:t>
          </a:fld>
          <a:endParaRPr lang="th-TH" sz="16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11</xdr:col>
      <xdr:colOff>187037</xdr:colOff>
      <xdr:row>2</xdr:row>
      <xdr:rowOff>232064</xdr:rowOff>
    </xdr:from>
    <xdr:to>
      <xdr:col>12</xdr:col>
      <xdr:colOff>1078645</xdr:colOff>
      <xdr:row>3</xdr:row>
      <xdr:rowOff>116920</xdr:rowOff>
    </xdr:to>
    <xdr:sp macro="" textlink="$E$31">
      <xdr:nvSpPr>
        <xdr:cNvPr id="57" name="TextBox 64">
          <a:extLst>
            <a:ext uri="{FF2B5EF4-FFF2-40B4-BE49-F238E27FC236}">
              <a16:creationId xmlns:a16="http://schemas.microsoft.com/office/drawing/2014/main" id="{B1395893-D610-4847-89D2-788045E0163A}"/>
            </a:ext>
          </a:extLst>
        </xdr:cNvPr>
        <xdr:cNvSpPr txBox="1"/>
      </xdr:nvSpPr>
      <xdr:spPr>
        <a:xfrm>
          <a:off x="13643264" y="1686791"/>
          <a:ext cx="1757517" cy="30049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9F3F8770-0DA4-48ED-8CF1-E7D6C4B33287}" type="TxLink">
            <a:rPr lang="en-US" sz="40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0.50</a:t>
          </a:fld>
          <a:endParaRPr lang="th-TH" sz="12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12</xdr:col>
      <xdr:colOff>370609</xdr:colOff>
      <xdr:row>5</xdr:row>
      <xdr:rowOff>100445</xdr:rowOff>
    </xdr:from>
    <xdr:to>
      <xdr:col>26</xdr:col>
      <xdr:colOff>652618</xdr:colOff>
      <xdr:row>6</xdr:row>
      <xdr:rowOff>89210</xdr:rowOff>
    </xdr:to>
    <xdr:sp macro="" textlink="$T$5">
      <xdr:nvSpPr>
        <xdr:cNvPr id="58" name="TextBox 64">
          <a:extLst>
            <a:ext uri="{FF2B5EF4-FFF2-40B4-BE49-F238E27FC236}">
              <a16:creationId xmlns:a16="http://schemas.microsoft.com/office/drawing/2014/main" id="{F477180E-5FB5-4651-A101-58DAABF8D339}"/>
            </a:ext>
          </a:extLst>
        </xdr:cNvPr>
        <xdr:cNvSpPr txBox="1"/>
      </xdr:nvSpPr>
      <xdr:spPr>
        <a:xfrm>
          <a:off x="14692745" y="2594263"/>
          <a:ext cx="2204328" cy="3004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04DE390-7C55-4626-AD80-00DD37318C84}" type="TxLink">
            <a:rPr lang="en-US" sz="3200" b="0" i="0" u="none" strike="noStrike">
              <a:ln>
                <a:noFill/>
              </a:ln>
              <a:solidFill>
                <a:srgbClr val="FF0000"/>
              </a:solidFill>
              <a:latin typeface="Tahoma"/>
              <a:ea typeface="Tahoma"/>
              <a:cs typeface="Tahoma"/>
            </a:rPr>
            <a:pPr algn="l"/>
            <a:t>3" x 3"</a:t>
          </a:fld>
          <a:endParaRPr lang="th-TH" sz="4800" b="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9</xdr:col>
      <xdr:colOff>1437408</xdr:colOff>
      <xdr:row>5</xdr:row>
      <xdr:rowOff>20782</xdr:rowOff>
    </xdr:from>
    <xdr:to>
      <xdr:col>11</xdr:col>
      <xdr:colOff>509155</xdr:colOff>
      <xdr:row>5</xdr:row>
      <xdr:rowOff>300492</xdr:rowOff>
    </xdr:to>
    <xdr:sp macro="" textlink="$E$32">
      <xdr:nvSpPr>
        <xdr:cNvPr id="59" name="TextBox 64">
          <a:extLst>
            <a:ext uri="{FF2B5EF4-FFF2-40B4-BE49-F238E27FC236}">
              <a16:creationId xmlns:a16="http://schemas.microsoft.com/office/drawing/2014/main" id="{F4A951A6-8337-43BD-BBB4-37CCF5F28DD8}"/>
            </a:ext>
          </a:extLst>
        </xdr:cNvPr>
        <xdr:cNvSpPr txBox="1"/>
      </xdr:nvSpPr>
      <xdr:spPr>
        <a:xfrm>
          <a:off x="12399817" y="2514600"/>
          <a:ext cx="1565565" cy="27971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F82278FF-DD15-4FF9-80F1-B1D9C8CD6026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B1</a:t>
          </a:fld>
          <a:endParaRPr lang="th-TH" sz="20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10</xdr:col>
      <xdr:colOff>31172</xdr:colOff>
      <xdr:row>15</xdr:row>
      <xdr:rowOff>290946</xdr:rowOff>
    </xdr:from>
    <xdr:to>
      <xdr:col>12</xdr:col>
      <xdr:colOff>921050</xdr:colOff>
      <xdr:row>16</xdr:row>
      <xdr:rowOff>193120</xdr:rowOff>
    </xdr:to>
    <xdr:sp macro="" textlink="$E$32">
      <xdr:nvSpPr>
        <xdr:cNvPr id="60" name="TextBox 64">
          <a:extLst>
            <a:ext uri="{FF2B5EF4-FFF2-40B4-BE49-F238E27FC236}">
              <a16:creationId xmlns:a16="http://schemas.microsoft.com/office/drawing/2014/main" id="{1BE3EBF7-EC5D-477F-B235-2F3E76EAEFB7}"/>
            </a:ext>
          </a:extLst>
        </xdr:cNvPr>
        <xdr:cNvSpPr txBox="1"/>
      </xdr:nvSpPr>
      <xdr:spPr>
        <a:xfrm>
          <a:off x="12482945" y="5867401"/>
          <a:ext cx="2760241" cy="3004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F82278FF-DD15-4FF9-80F1-B1D9C8CD6026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B1</a:t>
          </a:fld>
          <a:endParaRPr lang="th-TH" sz="20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 editAs="oneCell">
    <xdr:from>
      <xdr:col>1</xdr:col>
      <xdr:colOff>658092</xdr:colOff>
      <xdr:row>2</xdr:row>
      <xdr:rowOff>17318</xdr:rowOff>
    </xdr:from>
    <xdr:to>
      <xdr:col>4</xdr:col>
      <xdr:colOff>381001</xdr:colOff>
      <xdr:row>19</xdr:row>
      <xdr:rowOff>294409</xdr:rowOff>
    </xdr:to>
    <xdr:pic>
      <xdr:nvPicPr>
        <xdr:cNvPr id="61" name="รูปภาพ 60">
          <a:extLst>
            <a:ext uri="{FF2B5EF4-FFF2-40B4-BE49-F238E27FC236}">
              <a16:creationId xmlns:a16="http://schemas.microsoft.com/office/drawing/2014/main" id="{962E8110-7C9F-112C-BD33-8F67E6D08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5956" y="1472045"/>
          <a:ext cx="4572000" cy="585354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1125685</xdr:colOff>
      <xdr:row>2</xdr:row>
      <xdr:rowOff>315191</xdr:rowOff>
    </xdr:from>
    <xdr:to>
      <xdr:col>4</xdr:col>
      <xdr:colOff>682340</xdr:colOff>
      <xdr:row>5</xdr:row>
      <xdr:rowOff>142010</xdr:rowOff>
    </xdr:to>
    <xdr:sp macro="" textlink="$K$28">
      <xdr:nvSpPr>
        <xdr:cNvPr id="62" name="TextBox 64">
          <a:extLst>
            <a:ext uri="{FF2B5EF4-FFF2-40B4-BE49-F238E27FC236}">
              <a16:creationId xmlns:a16="http://schemas.microsoft.com/office/drawing/2014/main" id="{CD59A584-3355-4582-AA68-EE08DBDBA49D}"/>
            </a:ext>
          </a:extLst>
        </xdr:cNvPr>
        <xdr:cNvSpPr txBox="1"/>
      </xdr:nvSpPr>
      <xdr:spPr>
        <a:xfrm>
          <a:off x="3325094" y="1769918"/>
          <a:ext cx="3124201" cy="86591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B9F6C47-1002-4BAD-94F6-38F53E1CF720}" type="TxLink">
            <a:rPr lang="en-US" sz="6000" b="1" i="0" u="none" strike="noStrike">
              <a:ln>
                <a:noFill/>
              </a:ln>
              <a:solidFill>
                <a:sysClr val="windowText" lastClr="000000"/>
              </a:solidFill>
              <a:latin typeface="Angsana New"/>
              <a:ea typeface="Tahoma"/>
              <a:cs typeface="Angsana New"/>
            </a:rPr>
            <a:pPr algn="l"/>
            <a:t>1.5</a:t>
          </a:fld>
          <a:endParaRPr lang="th-TH" sz="4400">
            <a:ln>
              <a:noFill/>
            </a:ln>
            <a:solidFill>
              <a:sysClr val="windowText" lastClr="00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</xdr:col>
      <xdr:colOff>613067</xdr:colOff>
      <xdr:row>10</xdr:row>
      <xdr:rowOff>169718</xdr:rowOff>
    </xdr:from>
    <xdr:to>
      <xdr:col>5</xdr:col>
      <xdr:colOff>500221</xdr:colOff>
      <xdr:row>12</xdr:row>
      <xdr:rowOff>155864</xdr:rowOff>
    </xdr:to>
    <xdr:sp macro="" textlink="$K$29">
      <xdr:nvSpPr>
        <xdr:cNvPr id="63" name="TextBox 64">
          <a:extLst>
            <a:ext uri="{FF2B5EF4-FFF2-40B4-BE49-F238E27FC236}">
              <a16:creationId xmlns:a16="http://schemas.microsoft.com/office/drawing/2014/main" id="{CE979AE0-F9DC-49BC-B784-8686CE0A70C5}"/>
            </a:ext>
          </a:extLst>
        </xdr:cNvPr>
        <xdr:cNvSpPr txBox="1"/>
      </xdr:nvSpPr>
      <xdr:spPr>
        <a:xfrm>
          <a:off x="5444840" y="4222173"/>
          <a:ext cx="1757517" cy="609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D49EB19B-35E6-4758-B89B-7D9F4336363F}" type="TxLink">
            <a:rPr lang="en-US" sz="4800" b="1" i="0" u="none" strike="noStrike">
              <a:ln>
                <a:noFill/>
              </a:ln>
              <a:solidFill>
                <a:schemeClr val="accent2"/>
              </a:solidFill>
              <a:latin typeface="Angsana New"/>
              <a:ea typeface="Tahoma"/>
              <a:cs typeface="Angsana New"/>
            </a:rPr>
            <a:pPr algn="l"/>
            <a:t>5</a:t>
          </a:fld>
          <a:endParaRPr lang="th-TH" sz="7200">
            <a:ln>
              <a:noFill/>
            </a:ln>
            <a:solidFill>
              <a:schemeClr val="accent2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 editAs="oneCell">
    <xdr:from>
      <xdr:col>26</xdr:col>
      <xdr:colOff>69271</xdr:colOff>
      <xdr:row>29</xdr:row>
      <xdr:rowOff>720438</xdr:rowOff>
    </xdr:from>
    <xdr:to>
      <xdr:col>34</xdr:col>
      <xdr:colOff>225135</xdr:colOff>
      <xdr:row>50</xdr:row>
      <xdr:rowOff>500376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DF0BB6DA-A9FC-01FE-DF61-0BBB114B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31044" y="13864938"/>
          <a:ext cx="10356273" cy="1145239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2272144</xdr:colOff>
      <xdr:row>69</xdr:row>
      <xdr:rowOff>54431</xdr:rowOff>
    </xdr:from>
    <xdr:to>
      <xdr:col>5</xdr:col>
      <xdr:colOff>570114</xdr:colOff>
      <xdr:row>70</xdr:row>
      <xdr:rowOff>208412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D51659D2-1AE2-4A06-A36A-A151CF55C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20984" y="33932951"/>
          <a:ext cx="2702330" cy="6714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419102</xdr:colOff>
      <xdr:row>2</xdr:row>
      <xdr:rowOff>0</xdr:rowOff>
    </xdr:from>
    <xdr:to>
      <xdr:col>4</xdr:col>
      <xdr:colOff>588818</xdr:colOff>
      <xdr:row>19</xdr:row>
      <xdr:rowOff>294408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DF421B0D-93BF-B449-48DB-386C524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966" y="1454727"/>
          <a:ext cx="4741716" cy="587086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502229</xdr:colOff>
      <xdr:row>2</xdr:row>
      <xdr:rowOff>241584</xdr:rowOff>
    </xdr:from>
    <xdr:to>
      <xdr:col>12</xdr:col>
      <xdr:colOff>1523661</xdr:colOff>
      <xdr:row>19</xdr:row>
      <xdr:rowOff>218209</xdr:rowOff>
    </xdr:to>
    <xdr:pic>
      <xdr:nvPicPr>
        <xdr:cNvPr id="28" name="รูปภาพ 27">
          <a:extLst>
            <a:ext uri="{FF2B5EF4-FFF2-40B4-BE49-F238E27FC236}">
              <a16:creationId xmlns:a16="http://schemas.microsoft.com/office/drawing/2014/main" id="{665BD59F-FA50-45A7-8A86-13FBD65B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274" y="1696311"/>
          <a:ext cx="8693387" cy="5553080"/>
        </a:xfrm>
        <a:prstGeom prst="rect">
          <a:avLst/>
        </a:prstGeom>
      </xdr:spPr>
    </xdr:pic>
    <xdr:clientData/>
  </xdr:twoCellAnchor>
  <xdr:twoCellAnchor editAs="oneCell">
    <xdr:from>
      <xdr:col>7</xdr:col>
      <xdr:colOff>848590</xdr:colOff>
      <xdr:row>70</xdr:row>
      <xdr:rowOff>86591</xdr:rowOff>
    </xdr:from>
    <xdr:to>
      <xdr:col>8</xdr:col>
      <xdr:colOff>374764</xdr:colOff>
      <xdr:row>71</xdr:row>
      <xdr:rowOff>173180</xdr:rowOff>
    </xdr:to>
    <xdr:pic>
      <xdr:nvPicPr>
        <xdr:cNvPr id="31" name="รูปภาพ 30">
          <a:extLst>
            <a:ext uri="{FF2B5EF4-FFF2-40B4-BE49-F238E27FC236}">
              <a16:creationId xmlns:a16="http://schemas.microsoft.com/office/drawing/2014/main" id="{310FD351-B4C0-4E05-9244-0DF6A6F63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06765" y="32985941"/>
          <a:ext cx="612024" cy="562839"/>
        </a:xfrm>
        <a:prstGeom prst="rect">
          <a:avLst/>
        </a:prstGeom>
      </xdr:spPr>
    </xdr:pic>
    <xdr:clientData/>
  </xdr:twoCellAnchor>
  <xdr:twoCellAnchor>
    <xdr:from>
      <xdr:col>5</xdr:col>
      <xdr:colOff>197427</xdr:colOff>
      <xdr:row>10</xdr:row>
      <xdr:rowOff>218209</xdr:rowOff>
    </xdr:from>
    <xdr:to>
      <xdr:col>8</xdr:col>
      <xdr:colOff>327035</xdr:colOff>
      <xdr:row>11</xdr:row>
      <xdr:rowOff>206974</xdr:rowOff>
    </xdr:to>
    <xdr:sp macro="" textlink="$E$29">
      <xdr:nvSpPr>
        <xdr:cNvPr id="32" name="TextBox 64">
          <a:extLst>
            <a:ext uri="{FF2B5EF4-FFF2-40B4-BE49-F238E27FC236}">
              <a16:creationId xmlns:a16="http://schemas.microsoft.com/office/drawing/2014/main" id="{EF9FD35B-4366-4931-9046-49F4BA07BFF8}"/>
            </a:ext>
          </a:extLst>
        </xdr:cNvPr>
        <xdr:cNvSpPr txBox="1"/>
      </xdr:nvSpPr>
      <xdr:spPr>
        <a:xfrm>
          <a:off x="6622472" y="4270664"/>
          <a:ext cx="3056381" cy="3004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D5BB747-9EBB-40C6-99FC-9E3AC7232CA1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3.00</a:t>
          </a:fld>
          <a:endParaRPr lang="th-TH" sz="16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8</xdr:col>
      <xdr:colOff>787875</xdr:colOff>
      <xdr:row>15</xdr:row>
      <xdr:rowOff>315733</xdr:rowOff>
    </xdr:from>
    <xdr:to>
      <xdr:col>9</xdr:col>
      <xdr:colOff>1333119</xdr:colOff>
      <xdr:row>17</xdr:row>
      <xdr:rowOff>46385</xdr:rowOff>
    </xdr:to>
    <xdr:sp macro="" textlink="$E$28">
      <xdr:nvSpPr>
        <xdr:cNvPr id="33" name="TextBox 64">
          <a:extLst>
            <a:ext uri="{FF2B5EF4-FFF2-40B4-BE49-F238E27FC236}">
              <a16:creationId xmlns:a16="http://schemas.microsoft.com/office/drawing/2014/main" id="{F8E1B2D9-2CB5-42A4-9B1F-62E9D8EE2886}"/>
            </a:ext>
          </a:extLst>
        </xdr:cNvPr>
        <xdr:cNvSpPr txBox="1"/>
      </xdr:nvSpPr>
      <xdr:spPr>
        <a:xfrm>
          <a:off x="10139693" y="5892188"/>
          <a:ext cx="1878744" cy="56192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2B02A155-74AB-4190-B19F-14F38FC0538A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4.00</a:t>
          </a:fld>
          <a:endParaRPr lang="th-TH" sz="16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11</xdr:col>
      <xdr:colOff>363680</xdr:colOff>
      <xdr:row>2</xdr:row>
      <xdr:rowOff>252845</xdr:rowOff>
    </xdr:from>
    <xdr:to>
      <xdr:col>12</xdr:col>
      <xdr:colOff>1289925</xdr:colOff>
      <xdr:row>3</xdr:row>
      <xdr:rowOff>137701</xdr:rowOff>
    </xdr:to>
    <xdr:sp macro="" textlink="$E$31">
      <xdr:nvSpPr>
        <xdr:cNvPr id="34" name="TextBox 64">
          <a:extLst>
            <a:ext uri="{FF2B5EF4-FFF2-40B4-BE49-F238E27FC236}">
              <a16:creationId xmlns:a16="http://schemas.microsoft.com/office/drawing/2014/main" id="{16B3A82D-6EBC-42DB-A711-07CC33481225}"/>
            </a:ext>
          </a:extLst>
        </xdr:cNvPr>
        <xdr:cNvSpPr txBox="1"/>
      </xdr:nvSpPr>
      <xdr:spPr>
        <a:xfrm>
          <a:off x="13508180" y="1707572"/>
          <a:ext cx="1878745" cy="30049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9F3F8770-0DA4-48ED-8CF1-E7D6C4B33287}" type="TxLink">
            <a:rPr lang="en-US" sz="44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0.50</a:t>
          </a:fld>
          <a:endParaRPr lang="th-TH" sz="14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12</xdr:col>
      <xdr:colOff>450271</xdr:colOff>
      <xdr:row>5</xdr:row>
      <xdr:rowOff>121228</xdr:rowOff>
    </xdr:from>
    <xdr:to>
      <xdr:col>26</xdr:col>
      <xdr:colOff>1160317</xdr:colOff>
      <xdr:row>6</xdr:row>
      <xdr:rowOff>165410</xdr:rowOff>
    </xdr:to>
    <xdr:sp macro="" textlink="$AG$29">
      <xdr:nvSpPr>
        <xdr:cNvPr id="35" name="TextBox 64">
          <a:extLst>
            <a:ext uri="{FF2B5EF4-FFF2-40B4-BE49-F238E27FC236}">
              <a16:creationId xmlns:a16="http://schemas.microsoft.com/office/drawing/2014/main" id="{27CA3FEC-60EC-4C51-AB3D-923976670D8A}"/>
            </a:ext>
          </a:extLst>
        </xdr:cNvPr>
        <xdr:cNvSpPr txBox="1"/>
      </xdr:nvSpPr>
      <xdr:spPr>
        <a:xfrm>
          <a:off x="14547271" y="2615046"/>
          <a:ext cx="2597728" cy="3559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6DBC61C-8F4E-49E7-A32B-3F2B1376B048}" type="TxLink">
            <a:rPr lang="en-US" sz="2400" b="0" i="0" u="none" strike="noStrike">
              <a:ln>
                <a:noFill/>
              </a:ln>
              <a:solidFill>
                <a:srgbClr val="FF0000"/>
              </a:solidFill>
              <a:latin typeface="Tahoma"/>
              <a:ea typeface="Tahoma"/>
              <a:cs typeface="Tahoma"/>
            </a:rPr>
            <a:pPr algn="l"/>
            <a:t>3" x 3"</a:t>
          </a:fld>
          <a:endParaRPr lang="th-TH" sz="400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10</xdr:col>
      <xdr:colOff>301334</xdr:colOff>
      <xdr:row>5</xdr:row>
      <xdr:rowOff>17318</xdr:rowOff>
    </xdr:from>
    <xdr:to>
      <xdr:col>11</xdr:col>
      <xdr:colOff>27708</xdr:colOff>
      <xdr:row>6</xdr:row>
      <xdr:rowOff>121228</xdr:rowOff>
    </xdr:to>
    <xdr:sp macro="" textlink="$E$32">
      <xdr:nvSpPr>
        <xdr:cNvPr id="36" name="TextBox 64">
          <a:extLst>
            <a:ext uri="{FF2B5EF4-FFF2-40B4-BE49-F238E27FC236}">
              <a16:creationId xmlns:a16="http://schemas.microsoft.com/office/drawing/2014/main" id="{3C04B7E2-DA7E-4607-92D5-13F6986269C9}"/>
            </a:ext>
          </a:extLst>
        </xdr:cNvPr>
        <xdr:cNvSpPr txBox="1"/>
      </xdr:nvSpPr>
      <xdr:spPr>
        <a:xfrm>
          <a:off x="12320152" y="2511136"/>
          <a:ext cx="852056" cy="41563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F82278FF-DD15-4FF9-80F1-B1D9C8CD6026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B1</a:t>
          </a:fld>
          <a:endParaRPr lang="th-TH" sz="20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10</xdr:col>
      <xdr:colOff>339435</xdr:colOff>
      <xdr:row>15</xdr:row>
      <xdr:rowOff>308264</xdr:rowOff>
    </xdr:from>
    <xdr:to>
      <xdr:col>12</xdr:col>
      <xdr:colOff>884680</xdr:colOff>
      <xdr:row>16</xdr:row>
      <xdr:rowOff>210438</xdr:rowOff>
    </xdr:to>
    <xdr:sp macro="" textlink="$E$32">
      <xdr:nvSpPr>
        <xdr:cNvPr id="37" name="TextBox 64">
          <a:extLst>
            <a:ext uri="{FF2B5EF4-FFF2-40B4-BE49-F238E27FC236}">
              <a16:creationId xmlns:a16="http://schemas.microsoft.com/office/drawing/2014/main" id="{04E93574-788E-4525-AD79-1C565772B24F}"/>
            </a:ext>
          </a:extLst>
        </xdr:cNvPr>
        <xdr:cNvSpPr txBox="1"/>
      </xdr:nvSpPr>
      <xdr:spPr>
        <a:xfrm>
          <a:off x="12358253" y="5884719"/>
          <a:ext cx="2623427" cy="3004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F82278FF-DD15-4FF9-80F1-B1D9C8CD6026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B1</a:t>
          </a:fld>
          <a:endParaRPr lang="th-TH" sz="20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2</xdr:col>
      <xdr:colOff>1101435</xdr:colOff>
      <xdr:row>2</xdr:row>
      <xdr:rowOff>374072</xdr:rowOff>
    </xdr:from>
    <xdr:to>
      <xdr:col>4</xdr:col>
      <xdr:colOff>182065</xdr:colOff>
      <xdr:row>5</xdr:row>
      <xdr:rowOff>129154</xdr:rowOff>
    </xdr:to>
    <xdr:sp macro="" textlink="$K$28">
      <xdr:nvSpPr>
        <xdr:cNvPr id="39" name="TextBox 64">
          <a:extLst>
            <a:ext uri="{FF2B5EF4-FFF2-40B4-BE49-F238E27FC236}">
              <a16:creationId xmlns:a16="http://schemas.microsoft.com/office/drawing/2014/main" id="{73242A19-E6CD-4145-B103-1DBFEE2C0A0B}"/>
            </a:ext>
          </a:extLst>
        </xdr:cNvPr>
        <xdr:cNvSpPr txBox="1"/>
      </xdr:nvSpPr>
      <xdr:spPr>
        <a:xfrm>
          <a:off x="3300844" y="1828799"/>
          <a:ext cx="2371085" cy="79417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B9F6C47-1002-4BAD-94F6-38F53E1CF720}" type="TxLink">
            <a:rPr lang="en-US" sz="8000" b="1" i="0" u="none" strike="noStrike">
              <a:ln>
                <a:noFill/>
              </a:ln>
              <a:solidFill>
                <a:sysClr val="windowText" lastClr="000000"/>
              </a:solidFill>
              <a:latin typeface="Angsana New"/>
              <a:ea typeface="Tahoma"/>
              <a:cs typeface="Angsana New"/>
            </a:rPr>
            <a:pPr algn="l"/>
            <a:t>2</a:t>
          </a:fld>
          <a:endParaRPr lang="th-TH" sz="6000">
            <a:ln>
              <a:noFill/>
            </a:ln>
            <a:solidFill>
              <a:sysClr val="windowText" lastClr="00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</xdr:col>
      <xdr:colOff>689266</xdr:colOff>
      <xdr:row>10</xdr:row>
      <xdr:rowOff>169721</xdr:rowOff>
    </xdr:from>
    <xdr:to>
      <xdr:col>4</xdr:col>
      <xdr:colOff>623455</xdr:colOff>
      <xdr:row>12</xdr:row>
      <xdr:rowOff>26078</xdr:rowOff>
    </xdr:to>
    <xdr:sp macro="" textlink="$K$29">
      <xdr:nvSpPr>
        <xdr:cNvPr id="40" name="TextBox 64">
          <a:extLst>
            <a:ext uri="{FF2B5EF4-FFF2-40B4-BE49-F238E27FC236}">
              <a16:creationId xmlns:a16="http://schemas.microsoft.com/office/drawing/2014/main" id="{D1EABBBC-0A9A-41CE-A8B8-F42DB5BA22A9}"/>
            </a:ext>
          </a:extLst>
        </xdr:cNvPr>
        <xdr:cNvSpPr txBox="1"/>
      </xdr:nvSpPr>
      <xdr:spPr>
        <a:xfrm>
          <a:off x="5243948" y="4222176"/>
          <a:ext cx="869371" cy="47981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D49EB19B-35E6-4758-B89B-7D9F4336363F}" type="TxLink">
            <a:rPr lang="en-US" sz="4800" b="1" i="0" u="none" strike="noStrike">
              <a:ln>
                <a:noFill/>
              </a:ln>
              <a:solidFill>
                <a:schemeClr val="accent2"/>
              </a:solidFill>
              <a:latin typeface="Angsana New"/>
              <a:ea typeface="Tahoma"/>
              <a:cs typeface="Angsana New"/>
            </a:rPr>
            <a:pPr algn="l"/>
            <a:t>10</a:t>
          </a:fld>
          <a:endParaRPr lang="th-TH" sz="7200">
            <a:ln>
              <a:noFill/>
            </a:ln>
            <a:solidFill>
              <a:schemeClr val="accent2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 editAs="oneCell">
    <xdr:from>
      <xdr:col>2</xdr:col>
      <xdr:colOff>2324098</xdr:colOff>
      <xdr:row>71</xdr:row>
      <xdr:rowOff>54431</xdr:rowOff>
    </xdr:from>
    <xdr:to>
      <xdr:col>6</xdr:col>
      <xdr:colOff>218208</xdr:colOff>
      <xdr:row>72</xdr:row>
      <xdr:rowOff>360814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24DF40BC-0992-9AB6-E442-B4C54482D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23507" y="35487431"/>
          <a:ext cx="2812474" cy="670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644238</xdr:colOff>
      <xdr:row>2</xdr:row>
      <xdr:rowOff>203485</xdr:rowOff>
    </xdr:from>
    <xdr:to>
      <xdr:col>12</xdr:col>
      <xdr:colOff>1527126</xdr:colOff>
      <xdr:row>19</xdr:row>
      <xdr:rowOff>235528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E35A4930-75B8-49E7-AE8A-DBAB58D08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0783" y="1658212"/>
          <a:ext cx="8693388" cy="5608498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10</xdr:row>
      <xdr:rowOff>207817</xdr:rowOff>
    </xdr:from>
    <xdr:to>
      <xdr:col>8</xdr:col>
      <xdr:colOff>1082108</xdr:colOff>
      <xdr:row>11</xdr:row>
      <xdr:rowOff>196582</xdr:rowOff>
    </xdr:to>
    <xdr:sp macro="" textlink="$E$30">
      <xdr:nvSpPr>
        <xdr:cNvPr id="9" name="TextBox 64">
          <a:extLst>
            <a:ext uri="{FF2B5EF4-FFF2-40B4-BE49-F238E27FC236}">
              <a16:creationId xmlns:a16="http://schemas.microsoft.com/office/drawing/2014/main" id="{8E81183C-AB0F-48E6-A11D-63554638AC11}"/>
            </a:ext>
          </a:extLst>
        </xdr:cNvPr>
        <xdr:cNvSpPr txBox="1"/>
      </xdr:nvSpPr>
      <xdr:spPr>
        <a:xfrm>
          <a:off x="7377546" y="4260272"/>
          <a:ext cx="3766426" cy="3004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D5BB747-9EBB-40C6-99FC-9E3AC7232CA1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3.00</a:t>
          </a:fld>
          <a:endParaRPr lang="th-TH" sz="16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8</xdr:col>
      <xdr:colOff>992230</xdr:colOff>
      <xdr:row>15</xdr:row>
      <xdr:rowOff>353832</xdr:rowOff>
    </xdr:from>
    <xdr:to>
      <xdr:col>10</xdr:col>
      <xdr:colOff>165874</xdr:colOff>
      <xdr:row>17</xdr:row>
      <xdr:rowOff>84484</xdr:rowOff>
    </xdr:to>
    <xdr:sp macro="" textlink="$E$29">
      <xdr:nvSpPr>
        <xdr:cNvPr id="10" name="TextBox 64">
          <a:extLst>
            <a:ext uri="{FF2B5EF4-FFF2-40B4-BE49-F238E27FC236}">
              <a16:creationId xmlns:a16="http://schemas.microsoft.com/office/drawing/2014/main" id="{A3841792-C2C0-4C3F-A1E5-E499FDAD9CD6}"/>
            </a:ext>
          </a:extLst>
        </xdr:cNvPr>
        <xdr:cNvSpPr txBox="1"/>
      </xdr:nvSpPr>
      <xdr:spPr>
        <a:xfrm>
          <a:off x="11054094" y="5930287"/>
          <a:ext cx="1840644" cy="56192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2B02A155-74AB-4190-B19F-14F38FC0538A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4.00</a:t>
          </a:fld>
          <a:endParaRPr lang="th-TH" sz="16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11</xdr:col>
      <xdr:colOff>367146</xdr:colOff>
      <xdr:row>2</xdr:row>
      <xdr:rowOff>228599</xdr:rowOff>
    </xdr:from>
    <xdr:to>
      <xdr:col>12</xdr:col>
      <xdr:colOff>1324563</xdr:colOff>
      <xdr:row>3</xdr:row>
      <xdr:rowOff>113455</xdr:rowOff>
    </xdr:to>
    <xdr:sp macro="" textlink="$E$32">
      <xdr:nvSpPr>
        <xdr:cNvPr id="11" name="TextBox 64">
          <a:extLst>
            <a:ext uri="{FF2B5EF4-FFF2-40B4-BE49-F238E27FC236}">
              <a16:creationId xmlns:a16="http://schemas.microsoft.com/office/drawing/2014/main" id="{911F6235-0304-44B2-8640-3FDE2B86DDB9}"/>
            </a:ext>
          </a:extLst>
        </xdr:cNvPr>
        <xdr:cNvSpPr txBox="1"/>
      </xdr:nvSpPr>
      <xdr:spPr>
        <a:xfrm>
          <a:off x="14221691" y="1683326"/>
          <a:ext cx="1909917" cy="30049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9F3F8770-0DA4-48ED-8CF1-E7D6C4B33287}" type="TxLink">
            <a:rPr lang="en-US" sz="44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0.50</a:t>
          </a:fld>
          <a:endParaRPr lang="th-TH" sz="14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12</xdr:col>
      <xdr:colOff>523008</xdr:colOff>
      <xdr:row>5</xdr:row>
      <xdr:rowOff>138545</xdr:rowOff>
    </xdr:from>
    <xdr:to>
      <xdr:col>26</xdr:col>
      <xdr:colOff>242453</xdr:colOff>
      <xdr:row>6</xdr:row>
      <xdr:rowOff>127310</xdr:rowOff>
    </xdr:to>
    <xdr:sp macro="" textlink="$AG$29">
      <xdr:nvSpPr>
        <xdr:cNvPr id="12" name="TextBox 64">
          <a:extLst>
            <a:ext uri="{FF2B5EF4-FFF2-40B4-BE49-F238E27FC236}">
              <a16:creationId xmlns:a16="http://schemas.microsoft.com/office/drawing/2014/main" id="{7320B420-57AA-490E-A62D-5BC4CC89BB03}"/>
            </a:ext>
          </a:extLst>
        </xdr:cNvPr>
        <xdr:cNvSpPr txBox="1"/>
      </xdr:nvSpPr>
      <xdr:spPr>
        <a:xfrm>
          <a:off x="15330053" y="2632363"/>
          <a:ext cx="1607127" cy="3004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5FFA746-0ACD-4BDA-8699-171756F3FCFA}" type="TxLink">
            <a:rPr lang="en-US" sz="2800" b="0" i="0" u="none" strike="noStrike">
              <a:ln>
                <a:noFill/>
              </a:ln>
              <a:solidFill>
                <a:srgbClr val="FF0000"/>
              </a:solidFill>
              <a:latin typeface="Tahoma"/>
              <a:ea typeface="Tahoma"/>
              <a:cs typeface="Tahoma"/>
            </a:rPr>
            <a:pPr algn="l"/>
            <a:t>3" x 3"</a:t>
          </a:fld>
          <a:endParaRPr lang="th-TH" sz="440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10</xdr:col>
      <xdr:colOff>339434</xdr:colOff>
      <xdr:row>4</xdr:row>
      <xdr:rowOff>297872</xdr:rowOff>
    </xdr:from>
    <xdr:to>
      <xdr:col>12</xdr:col>
      <xdr:colOff>891608</xdr:colOff>
      <xdr:row>5</xdr:row>
      <xdr:rowOff>286637</xdr:rowOff>
    </xdr:to>
    <xdr:sp macro="" textlink="$E$33">
      <xdr:nvSpPr>
        <xdr:cNvPr id="13" name="TextBox 64">
          <a:extLst>
            <a:ext uri="{FF2B5EF4-FFF2-40B4-BE49-F238E27FC236}">
              <a16:creationId xmlns:a16="http://schemas.microsoft.com/office/drawing/2014/main" id="{5BD246A0-944E-45D4-8F35-E4931E50C92A}"/>
            </a:ext>
          </a:extLst>
        </xdr:cNvPr>
        <xdr:cNvSpPr txBox="1"/>
      </xdr:nvSpPr>
      <xdr:spPr>
        <a:xfrm>
          <a:off x="13068298" y="2479963"/>
          <a:ext cx="2630355" cy="3004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F82278FF-DD15-4FF9-80F1-B1D9C8CD6026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B1</a:t>
          </a:fld>
          <a:endParaRPr lang="th-TH" sz="20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</xdr:col>
      <xdr:colOff>678876</xdr:colOff>
      <xdr:row>11</xdr:row>
      <xdr:rowOff>183572</xdr:rowOff>
    </xdr:from>
    <xdr:to>
      <xdr:col>5</xdr:col>
      <xdr:colOff>585356</xdr:colOff>
      <xdr:row>12</xdr:row>
      <xdr:rowOff>308261</xdr:rowOff>
    </xdr:to>
    <xdr:sp macro="" textlink="$AG$29">
      <xdr:nvSpPr>
        <xdr:cNvPr id="17" name="TextBox 64">
          <a:extLst>
            <a:ext uri="{FF2B5EF4-FFF2-40B4-BE49-F238E27FC236}">
              <a16:creationId xmlns:a16="http://schemas.microsoft.com/office/drawing/2014/main" id="{467E0C5A-D37F-487F-9DFB-E5B3285D657B}"/>
            </a:ext>
          </a:extLst>
        </xdr:cNvPr>
        <xdr:cNvSpPr txBox="1"/>
      </xdr:nvSpPr>
      <xdr:spPr>
        <a:xfrm>
          <a:off x="5233558" y="4547754"/>
          <a:ext cx="2348343" cy="436416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95A0040-78ED-4856-A3B1-93504856931E}" type="TxLink">
            <a:rPr lang="en-US" sz="4000" b="0" i="0" u="none" strike="noStrike">
              <a:ln>
                <a:noFill/>
              </a:ln>
              <a:solidFill>
                <a:srgbClr val="FF0000"/>
              </a:solidFill>
              <a:latin typeface="Tahoma"/>
              <a:ea typeface="Tahoma"/>
              <a:cs typeface="Tahoma"/>
            </a:rPr>
            <a:pPr algn="l"/>
            <a:t>3" x 3"</a:t>
          </a:fld>
          <a:endParaRPr lang="th-TH" sz="2390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 editAs="oneCell">
    <xdr:from>
      <xdr:col>1</xdr:col>
      <xdr:colOff>450272</xdr:colOff>
      <xdr:row>6</xdr:row>
      <xdr:rowOff>42597</xdr:rowOff>
    </xdr:from>
    <xdr:to>
      <xdr:col>3</xdr:col>
      <xdr:colOff>521539</xdr:colOff>
      <xdr:row>17</xdr:row>
      <xdr:rowOff>100449</xdr:rowOff>
    </xdr:to>
    <xdr:pic>
      <xdr:nvPicPr>
        <xdr:cNvPr id="18" name="รูปภาพ 17">
          <a:extLst>
            <a:ext uri="{FF2B5EF4-FFF2-40B4-BE49-F238E27FC236}">
              <a16:creationId xmlns:a16="http://schemas.microsoft.com/office/drawing/2014/main" id="{976105AA-5475-27B6-FC1C-13447C306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8136" y="2848142"/>
          <a:ext cx="3708085" cy="3660034"/>
        </a:xfrm>
        <a:prstGeom prst="rect">
          <a:avLst/>
        </a:prstGeom>
        <a:ln w="57150">
          <a:solidFill>
            <a:schemeClr val="accent2">
              <a:lumMod val="75000"/>
            </a:schemeClr>
          </a:solidFill>
        </a:ln>
      </xdr:spPr>
    </xdr:pic>
    <xdr:clientData/>
  </xdr:twoCellAnchor>
  <xdr:twoCellAnchor editAs="oneCell">
    <xdr:from>
      <xdr:col>26</xdr:col>
      <xdr:colOff>13855</xdr:colOff>
      <xdr:row>29</xdr:row>
      <xdr:rowOff>369113</xdr:rowOff>
    </xdr:from>
    <xdr:to>
      <xdr:col>32</xdr:col>
      <xdr:colOff>0</xdr:colOff>
      <xdr:row>35</xdr:row>
      <xdr:rowOff>1</xdr:rowOff>
    </xdr:to>
    <xdr:pic>
      <xdr:nvPicPr>
        <xdr:cNvPr id="19" name="รูปภาพ 18">
          <a:extLst>
            <a:ext uri="{FF2B5EF4-FFF2-40B4-BE49-F238E27FC236}">
              <a16:creationId xmlns:a16="http://schemas.microsoft.com/office/drawing/2014/main" id="{703DE69D-FF2A-2729-EFA5-21761DBEF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08582" y="13375068"/>
          <a:ext cx="8610600" cy="257497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10</xdr:col>
      <xdr:colOff>435725</xdr:colOff>
      <xdr:row>15</xdr:row>
      <xdr:rowOff>285404</xdr:rowOff>
    </xdr:from>
    <xdr:to>
      <xdr:col>12</xdr:col>
      <xdr:colOff>980971</xdr:colOff>
      <xdr:row>16</xdr:row>
      <xdr:rowOff>187578</xdr:rowOff>
    </xdr:to>
    <xdr:sp macro="" textlink="$E$33">
      <xdr:nvSpPr>
        <xdr:cNvPr id="20" name="TextBox 64">
          <a:extLst>
            <a:ext uri="{FF2B5EF4-FFF2-40B4-BE49-F238E27FC236}">
              <a16:creationId xmlns:a16="http://schemas.microsoft.com/office/drawing/2014/main" id="{39037513-BE17-4B10-8B46-05352DF860BA}"/>
            </a:ext>
          </a:extLst>
        </xdr:cNvPr>
        <xdr:cNvSpPr txBox="1"/>
      </xdr:nvSpPr>
      <xdr:spPr>
        <a:xfrm>
          <a:off x="13164589" y="5861859"/>
          <a:ext cx="2623427" cy="3004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F82278FF-DD15-4FF9-80F1-B1D9C8CD6026}" type="TxLink">
            <a:rPr lang="en-US" sz="4800" b="0" i="0" u="none" strike="noStrike">
              <a:ln>
                <a:noFill/>
              </a:ln>
              <a:solidFill>
                <a:srgbClr val="FF0000"/>
              </a:solidFill>
              <a:latin typeface="Angsana New"/>
              <a:ea typeface="Tahoma"/>
              <a:cs typeface="Angsana New"/>
            </a:rPr>
            <a:pPr algn="l"/>
            <a:t>B1</a:t>
          </a:fld>
          <a:endParaRPr lang="th-TH" sz="2000">
            <a:ln>
              <a:noFill/>
            </a:ln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27</xdr:col>
      <xdr:colOff>678180</xdr:colOff>
      <xdr:row>35</xdr:row>
      <xdr:rowOff>119151</xdr:rowOff>
    </xdr:from>
    <xdr:to>
      <xdr:col>29</xdr:col>
      <xdr:colOff>731589</xdr:colOff>
      <xdr:row>35</xdr:row>
      <xdr:rowOff>423106</xdr:rowOff>
    </xdr:to>
    <xdr:sp macro="" textlink="$E$33">
      <xdr:nvSpPr>
        <xdr:cNvPr id="21" name="TextBox 64">
          <a:extLst>
            <a:ext uri="{FF2B5EF4-FFF2-40B4-BE49-F238E27FC236}">
              <a16:creationId xmlns:a16="http://schemas.microsoft.com/office/drawing/2014/main" id="{4849C5AE-DFFE-4860-B718-AB093291B2F7}"/>
            </a:ext>
          </a:extLst>
        </xdr:cNvPr>
        <xdr:cNvSpPr txBox="1"/>
      </xdr:nvSpPr>
      <xdr:spPr>
        <a:xfrm>
          <a:off x="16943416" y="15941042"/>
          <a:ext cx="2561082" cy="30395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n-US" sz="54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1</a:t>
          </a:r>
          <a:endParaRPr lang="th-TH" sz="540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29</xdr:col>
      <xdr:colOff>304110</xdr:colOff>
      <xdr:row>35</xdr:row>
      <xdr:rowOff>133004</xdr:rowOff>
    </xdr:from>
    <xdr:to>
      <xdr:col>31</xdr:col>
      <xdr:colOff>288246</xdr:colOff>
      <xdr:row>35</xdr:row>
      <xdr:rowOff>436959</xdr:rowOff>
    </xdr:to>
    <xdr:sp macro="" textlink="$E$33">
      <xdr:nvSpPr>
        <xdr:cNvPr id="23" name="TextBox 64">
          <a:extLst>
            <a:ext uri="{FF2B5EF4-FFF2-40B4-BE49-F238E27FC236}">
              <a16:creationId xmlns:a16="http://schemas.microsoft.com/office/drawing/2014/main" id="{01B534BA-B50E-4278-8335-E78D2D1DD143}"/>
            </a:ext>
          </a:extLst>
        </xdr:cNvPr>
        <xdr:cNvSpPr txBox="1"/>
      </xdr:nvSpPr>
      <xdr:spPr>
        <a:xfrm>
          <a:off x="19077019" y="15954895"/>
          <a:ext cx="2561082" cy="30395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n-US" sz="54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3</a:t>
          </a:r>
          <a:endParaRPr lang="th-TH" sz="540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30</xdr:col>
      <xdr:colOff>82435</xdr:colOff>
      <xdr:row>35</xdr:row>
      <xdr:rowOff>146857</xdr:rowOff>
    </xdr:from>
    <xdr:to>
      <xdr:col>31</xdr:col>
      <xdr:colOff>1368898</xdr:colOff>
      <xdr:row>35</xdr:row>
      <xdr:rowOff>450812</xdr:rowOff>
    </xdr:to>
    <xdr:sp macro="" textlink="$E$33">
      <xdr:nvSpPr>
        <xdr:cNvPr id="24" name="TextBox 64">
          <a:extLst>
            <a:ext uri="{FF2B5EF4-FFF2-40B4-BE49-F238E27FC236}">
              <a16:creationId xmlns:a16="http://schemas.microsoft.com/office/drawing/2014/main" id="{BDBD3850-B6A3-47B6-974C-7BB2F7142E8D}"/>
            </a:ext>
          </a:extLst>
        </xdr:cNvPr>
        <xdr:cNvSpPr txBox="1"/>
      </xdr:nvSpPr>
      <xdr:spPr>
        <a:xfrm>
          <a:off x="20157671" y="15968748"/>
          <a:ext cx="2561082" cy="30395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n-US" sz="54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4</a:t>
          </a:r>
          <a:endParaRPr lang="th-TH" sz="540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30</xdr:col>
      <xdr:colOff>1135381</xdr:colOff>
      <xdr:row>35</xdr:row>
      <xdr:rowOff>133005</xdr:rowOff>
    </xdr:from>
    <xdr:to>
      <xdr:col>34</xdr:col>
      <xdr:colOff>690026</xdr:colOff>
      <xdr:row>35</xdr:row>
      <xdr:rowOff>436960</xdr:rowOff>
    </xdr:to>
    <xdr:sp macro="" textlink="$E$33">
      <xdr:nvSpPr>
        <xdr:cNvPr id="25" name="TextBox 64">
          <a:extLst>
            <a:ext uri="{FF2B5EF4-FFF2-40B4-BE49-F238E27FC236}">
              <a16:creationId xmlns:a16="http://schemas.microsoft.com/office/drawing/2014/main" id="{B455B795-27C5-4F40-BF81-EC6F8216FBB4}"/>
            </a:ext>
          </a:extLst>
        </xdr:cNvPr>
        <xdr:cNvSpPr txBox="1"/>
      </xdr:nvSpPr>
      <xdr:spPr>
        <a:xfrm>
          <a:off x="21210617" y="15954896"/>
          <a:ext cx="2561082" cy="30395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n-US" sz="54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5</a:t>
          </a:r>
          <a:endParaRPr lang="th-TH" sz="540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31</xdr:col>
      <xdr:colOff>913708</xdr:colOff>
      <xdr:row>35</xdr:row>
      <xdr:rowOff>133004</xdr:rowOff>
    </xdr:from>
    <xdr:to>
      <xdr:col>35</xdr:col>
      <xdr:colOff>856281</xdr:colOff>
      <xdr:row>35</xdr:row>
      <xdr:rowOff>436959</xdr:rowOff>
    </xdr:to>
    <xdr:sp macro="" textlink="$E$33">
      <xdr:nvSpPr>
        <xdr:cNvPr id="26" name="TextBox 64">
          <a:extLst>
            <a:ext uri="{FF2B5EF4-FFF2-40B4-BE49-F238E27FC236}">
              <a16:creationId xmlns:a16="http://schemas.microsoft.com/office/drawing/2014/main" id="{AC4839CA-5AA2-425F-86A9-96F3FEC7DEDE}"/>
            </a:ext>
          </a:extLst>
        </xdr:cNvPr>
        <xdr:cNvSpPr txBox="1"/>
      </xdr:nvSpPr>
      <xdr:spPr>
        <a:xfrm>
          <a:off x="22263563" y="15954895"/>
          <a:ext cx="2561082" cy="30395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n-US" sz="54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6</a:t>
          </a:r>
          <a:endParaRPr lang="th-TH" sz="540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28</xdr:col>
      <xdr:colOff>622764</xdr:colOff>
      <xdr:row>35</xdr:row>
      <xdr:rowOff>119149</xdr:rowOff>
    </xdr:from>
    <xdr:to>
      <xdr:col>29</xdr:col>
      <xdr:colOff>401781</xdr:colOff>
      <xdr:row>35</xdr:row>
      <xdr:rowOff>457199</xdr:rowOff>
    </xdr:to>
    <xdr:sp macro="" textlink="$E$33">
      <xdr:nvSpPr>
        <xdr:cNvPr id="27" name="TextBox 64">
          <a:extLst>
            <a:ext uri="{FF2B5EF4-FFF2-40B4-BE49-F238E27FC236}">
              <a16:creationId xmlns:a16="http://schemas.microsoft.com/office/drawing/2014/main" id="{E2150AA8-0319-44CC-B62E-96155F3D8E47}"/>
            </a:ext>
          </a:extLst>
        </xdr:cNvPr>
        <xdr:cNvSpPr txBox="1"/>
      </xdr:nvSpPr>
      <xdr:spPr>
        <a:xfrm>
          <a:off x="18107200" y="15941040"/>
          <a:ext cx="1067490" cy="3380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n-US" sz="54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2</a:t>
          </a:r>
          <a:endParaRPr lang="th-TH" sz="5400">
            <a:ln>
              <a:noFill/>
            </a:ln>
            <a:solidFill>
              <a:srgbClr val="FF0000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27</xdr:col>
      <xdr:colOff>546562</xdr:colOff>
      <xdr:row>36</xdr:row>
      <xdr:rowOff>406632</xdr:rowOff>
    </xdr:from>
    <xdr:to>
      <xdr:col>28</xdr:col>
      <xdr:colOff>76200</xdr:colOff>
      <xdr:row>37</xdr:row>
      <xdr:rowOff>161059</xdr:rowOff>
    </xdr:to>
    <xdr:sp macro="" textlink="$E$33">
      <xdr:nvSpPr>
        <xdr:cNvPr id="28" name="TextBox 64">
          <a:extLst>
            <a:ext uri="{FF2B5EF4-FFF2-40B4-BE49-F238E27FC236}">
              <a16:creationId xmlns:a16="http://schemas.microsoft.com/office/drawing/2014/main" id="{0A7CD617-9375-4496-972E-5877A3518F42}"/>
            </a:ext>
          </a:extLst>
        </xdr:cNvPr>
        <xdr:cNvSpPr txBox="1"/>
      </xdr:nvSpPr>
      <xdr:spPr>
        <a:xfrm>
          <a:off x="17726198" y="16876223"/>
          <a:ext cx="776547" cy="25665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th-TH" sz="36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0.65</a:t>
          </a:r>
        </a:p>
      </xdr:txBody>
    </xdr:sp>
    <xdr:clientData/>
  </xdr:twoCellAnchor>
  <xdr:twoCellAnchor>
    <xdr:from>
      <xdr:col>28</xdr:col>
      <xdr:colOff>408017</xdr:colOff>
      <xdr:row>36</xdr:row>
      <xdr:rowOff>406632</xdr:rowOff>
    </xdr:from>
    <xdr:to>
      <xdr:col>28</xdr:col>
      <xdr:colOff>1156855</xdr:colOff>
      <xdr:row>37</xdr:row>
      <xdr:rowOff>161059</xdr:rowOff>
    </xdr:to>
    <xdr:sp macro="" textlink="$E$33">
      <xdr:nvSpPr>
        <xdr:cNvPr id="29" name="TextBox 64">
          <a:extLst>
            <a:ext uri="{FF2B5EF4-FFF2-40B4-BE49-F238E27FC236}">
              <a16:creationId xmlns:a16="http://schemas.microsoft.com/office/drawing/2014/main" id="{F8FD10C4-DD60-4AE5-B0F6-C489C8690023}"/>
            </a:ext>
          </a:extLst>
        </xdr:cNvPr>
        <xdr:cNvSpPr txBox="1"/>
      </xdr:nvSpPr>
      <xdr:spPr>
        <a:xfrm>
          <a:off x="18834562" y="16876223"/>
          <a:ext cx="748838" cy="25665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th-TH" sz="36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0.80</a:t>
          </a:r>
        </a:p>
      </xdr:txBody>
    </xdr:sp>
    <xdr:clientData/>
  </xdr:twoCellAnchor>
  <xdr:twoCellAnchor>
    <xdr:from>
      <xdr:col>29</xdr:col>
      <xdr:colOff>227908</xdr:colOff>
      <xdr:row>36</xdr:row>
      <xdr:rowOff>420486</xdr:rowOff>
    </xdr:from>
    <xdr:to>
      <xdr:col>29</xdr:col>
      <xdr:colOff>976746</xdr:colOff>
      <xdr:row>37</xdr:row>
      <xdr:rowOff>165388</xdr:rowOff>
    </xdr:to>
    <xdr:sp macro="" textlink="$E$33">
      <xdr:nvSpPr>
        <xdr:cNvPr id="30" name="TextBox 64">
          <a:extLst>
            <a:ext uri="{FF2B5EF4-FFF2-40B4-BE49-F238E27FC236}">
              <a16:creationId xmlns:a16="http://schemas.microsoft.com/office/drawing/2014/main" id="{2BE07CD6-5B98-4ACE-B82D-6DF5813DEDF4}"/>
            </a:ext>
          </a:extLst>
        </xdr:cNvPr>
        <xdr:cNvSpPr txBox="1"/>
      </xdr:nvSpPr>
      <xdr:spPr>
        <a:xfrm>
          <a:off x="19970635" y="16890077"/>
          <a:ext cx="748838" cy="24712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th-TH" sz="36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1.2</a:t>
          </a:r>
        </a:p>
      </xdr:txBody>
    </xdr:sp>
    <xdr:clientData/>
  </xdr:twoCellAnchor>
  <xdr:twoCellAnchor>
    <xdr:from>
      <xdr:col>30</xdr:col>
      <xdr:colOff>130926</xdr:colOff>
      <xdr:row>36</xdr:row>
      <xdr:rowOff>406632</xdr:rowOff>
    </xdr:from>
    <xdr:to>
      <xdr:col>30</xdr:col>
      <xdr:colOff>879764</xdr:colOff>
      <xdr:row>37</xdr:row>
      <xdr:rowOff>161059</xdr:rowOff>
    </xdr:to>
    <xdr:sp macro="" textlink="$E$33">
      <xdr:nvSpPr>
        <xdr:cNvPr id="31" name="TextBox 64">
          <a:extLst>
            <a:ext uri="{FF2B5EF4-FFF2-40B4-BE49-F238E27FC236}">
              <a16:creationId xmlns:a16="http://schemas.microsoft.com/office/drawing/2014/main" id="{7542E396-C6C0-4973-9F44-C86126D14277}"/>
            </a:ext>
          </a:extLst>
        </xdr:cNvPr>
        <xdr:cNvSpPr txBox="1"/>
      </xdr:nvSpPr>
      <xdr:spPr>
        <a:xfrm>
          <a:off x="21189835" y="16876223"/>
          <a:ext cx="748838" cy="25665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th-TH" sz="36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1</a:t>
          </a:r>
        </a:p>
      </xdr:txBody>
    </xdr:sp>
    <xdr:clientData/>
  </xdr:twoCellAnchor>
  <xdr:twoCellAnchor>
    <xdr:from>
      <xdr:col>30</xdr:col>
      <xdr:colOff>976054</xdr:colOff>
      <xdr:row>36</xdr:row>
      <xdr:rowOff>420486</xdr:rowOff>
    </xdr:from>
    <xdr:to>
      <xdr:col>31</xdr:col>
      <xdr:colOff>450273</xdr:colOff>
      <xdr:row>37</xdr:row>
      <xdr:rowOff>165388</xdr:rowOff>
    </xdr:to>
    <xdr:sp macro="" textlink="$E$33">
      <xdr:nvSpPr>
        <xdr:cNvPr id="32" name="TextBox 64">
          <a:extLst>
            <a:ext uri="{FF2B5EF4-FFF2-40B4-BE49-F238E27FC236}">
              <a16:creationId xmlns:a16="http://schemas.microsoft.com/office/drawing/2014/main" id="{293248DF-D2C8-4C23-BB0C-05A0AF760C10}"/>
            </a:ext>
          </a:extLst>
        </xdr:cNvPr>
        <xdr:cNvSpPr txBox="1"/>
      </xdr:nvSpPr>
      <xdr:spPr>
        <a:xfrm>
          <a:off x="22034963" y="16890077"/>
          <a:ext cx="773083" cy="24712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th-TH" sz="36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2.1</a:t>
          </a:r>
        </a:p>
      </xdr:txBody>
    </xdr:sp>
    <xdr:clientData/>
  </xdr:twoCellAnchor>
  <xdr:twoCellAnchor>
    <xdr:from>
      <xdr:col>31</xdr:col>
      <xdr:colOff>934490</xdr:colOff>
      <xdr:row>36</xdr:row>
      <xdr:rowOff>434341</xdr:rowOff>
    </xdr:from>
    <xdr:to>
      <xdr:col>31</xdr:col>
      <xdr:colOff>1683328</xdr:colOff>
      <xdr:row>37</xdr:row>
      <xdr:rowOff>160193</xdr:rowOff>
    </xdr:to>
    <xdr:sp macro="" textlink="$E$33">
      <xdr:nvSpPr>
        <xdr:cNvPr id="33" name="TextBox 64">
          <a:extLst>
            <a:ext uri="{FF2B5EF4-FFF2-40B4-BE49-F238E27FC236}">
              <a16:creationId xmlns:a16="http://schemas.microsoft.com/office/drawing/2014/main" id="{EEA28169-2665-4D18-9679-9D856531B0BD}"/>
            </a:ext>
          </a:extLst>
        </xdr:cNvPr>
        <xdr:cNvSpPr txBox="1"/>
      </xdr:nvSpPr>
      <xdr:spPr>
        <a:xfrm>
          <a:off x="23292263" y="16903932"/>
          <a:ext cx="748838" cy="22807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th-TH" sz="3600">
              <a:ln>
                <a:noFill/>
              </a:ln>
              <a:solidFill>
                <a:srgbClr val="FF0000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2</a:t>
          </a:r>
        </a:p>
      </xdr:txBody>
    </xdr:sp>
    <xdr:clientData/>
  </xdr:twoCellAnchor>
  <xdr:twoCellAnchor editAs="oneCell">
    <xdr:from>
      <xdr:col>3</xdr:col>
      <xdr:colOff>361802</xdr:colOff>
      <xdr:row>71</xdr:row>
      <xdr:rowOff>32325</xdr:rowOff>
    </xdr:from>
    <xdr:to>
      <xdr:col>9</xdr:col>
      <xdr:colOff>332509</xdr:colOff>
      <xdr:row>84</xdr:row>
      <xdr:rowOff>235527</xdr:rowOff>
    </xdr:to>
    <xdr:pic>
      <xdr:nvPicPr>
        <xdr:cNvPr id="35" name="รูปภาพ 34">
          <a:extLst>
            <a:ext uri="{FF2B5EF4-FFF2-40B4-BE49-F238E27FC236}">
              <a16:creationId xmlns:a16="http://schemas.microsoft.com/office/drawing/2014/main" id="{54963DCC-043E-A480-6518-CE996BDC6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9111" y="34530143"/>
          <a:ext cx="6648598" cy="4304148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1</xdr:col>
      <xdr:colOff>519549</xdr:colOff>
      <xdr:row>2</xdr:row>
      <xdr:rowOff>387928</xdr:rowOff>
    </xdr:from>
    <xdr:to>
      <xdr:col>3</xdr:col>
      <xdr:colOff>381000</xdr:colOff>
      <xdr:row>5</xdr:row>
      <xdr:rowOff>17319</xdr:rowOff>
    </xdr:to>
    <xdr:sp macro="" textlink="">
      <xdr:nvSpPr>
        <xdr:cNvPr id="2" name="TextBox 64">
          <a:extLst>
            <a:ext uri="{FF2B5EF4-FFF2-40B4-BE49-F238E27FC236}">
              <a16:creationId xmlns:a16="http://schemas.microsoft.com/office/drawing/2014/main" id="{57E188BF-67A0-4E6D-A84B-03617AF4AA53}"/>
            </a:ext>
          </a:extLst>
        </xdr:cNvPr>
        <xdr:cNvSpPr txBox="1"/>
      </xdr:nvSpPr>
      <xdr:spPr>
        <a:xfrm>
          <a:off x="1437413" y="1842655"/>
          <a:ext cx="3498269" cy="668482"/>
        </a:xfrm>
        <a:prstGeom prst="rect">
          <a:avLst/>
        </a:prstGeom>
        <a:ln w="381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th-TH" sz="4400" b="0" i="0" u="none" strike="noStrike">
              <a:ln>
                <a:noFill/>
              </a:ln>
              <a:solidFill>
                <a:schemeClr val="accent1"/>
              </a:solidFill>
              <a:latin typeface="Tahoma"/>
              <a:ea typeface="Tahoma"/>
              <a:cs typeface="Tahoma"/>
            </a:rPr>
            <a:t>หน้าตัดเสาไม้</a:t>
          </a:r>
          <a:endParaRPr lang="en-US" sz="4400" b="0" i="0" u="none" strike="noStrike">
            <a:ln>
              <a:noFill/>
            </a:ln>
            <a:solidFill>
              <a:schemeClr val="accent1"/>
            </a:solidFill>
            <a:latin typeface="Tahoma"/>
            <a:ea typeface="Tahoma"/>
            <a:cs typeface="Tahom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21BD3-D3B5-4790-879E-E219039DF339}">
  <sheetPr>
    <tabColor rgb="FF92D050"/>
    <pageSetUpPr fitToPage="1"/>
  </sheetPr>
  <dimension ref="A1:AJ101"/>
  <sheetViews>
    <sheetView showGridLines="0" tabSelected="1" topLeftCell="A9" zoomScale="55" zoomScaleNormal="55" workbookViewId="0">
      <selection activeCell="I33" sqref="I33:J33"/>
    </sheetView>
  </sheetViews>
  <sheetFormatPr defaultColWidth="10.6640625" defaultRowHeight="15"/>
  <cols>
    <col min="2" max="2" width="15" customWidth="1"/>
    <col min="3" max="3" width="30.6640625" customWidth="1"/>
    <col min="4" max="4" width="10.88671875" customWidth="1"/>
    <col min="5" max="5" width="11" customWidth="1"/>
    <col min="6" max="6" width="8" customWidth="1"/>
    <col min="7" max="7" width="13.33203125" customWidth="1"/>
    <col min="8" max="8" width="12.6640625" customWidth="1"/>
    <col min="9" max="9" width="15.5546875" customWidth="1"/>
    <col min="10" max="10" width="17.44140625" customWidth="1"/>
    <col min="11" max="11" width="11.77734375" customWidth="1"/>
    <col min="12" max="12" width="10.109375" customWidth="1"/>
    <col min="13" max="13" width="20.33203125" customWidth="1"/>
    <col min="14" max="14" width="0.109375" hidden="1" customWidth="1"/>
    <col min="15" max="15" width="11.21875" hidden="1" customWidth="1"/>
    <col min="16" max="16" width="16.88671875" hidden="1" customWidth="1"/>
    <col min="17" max="17" width="15.44140625" hidden="1" customWidth="1"/>
    <col min="18" max="18" width="14.6640625" hidden="1" customWidth="1"/>
    <col min="19" max="19" width="13.88671875" hidden="1" customWidth="1"/>
    <col min="20" max="20" width="15.88671875" hidden="1" customWidth="1"/>
    <col min="21" max="21" width="18.6640625" hidden="1" customWidth="1"/>
    <col min="22" max="22" width="3.44140625" hidden="1" customWidth="1"/>
    <col min="23" max="24" width="9" hidden="1" customWidth="1"/>
    <col min="25" max="25" width="0.21875" customWidth="1"/>
    <col min="26" max="26" width="2" customWidth="1"/>
    <col min="27" max="27" width="19.33203125" customWidth="1"/>
    <col min="28" max="28" width="14.5546875" customWidth="1"/>
    <col min="29" max="29" width="15.33203125" customWidth="1"/>
    <col min="30" max="30" width="15.44140625" customWidth="1"/>
    <col min="31" max="31" width="15.21875" customWidth="1"/>
    <col min="32" max="32" width="20.88671875" customWidth="1"/>
    <col min="33" max="33" width="10.44140625" customWidth="1"/>
    <col min="34" max="34" width="7.88671875" customWidth="1"/>
    <col min="35" max="35" width="2.5546875" customWidth="1"/>
    <col min="36" max="36" width="7.6640625" customWidth="1"/>
  </cols>
  <sheetData>
    <row r="1" spans="2:25" ht="21" thickBot="1">
      <c r="P1" s="1" t="s">
        <v>0</v>
      </c>
      <c r="Q1" s="2">
        <v>22</v>
      </c>
    </row>
    <row r="2" spans="2:25" ht="93.75" customHeight="1" thickBot="1">
      <c r="B2" s="249" t="s">
        <v>128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1"/>
      <c r="P2" s="1" t="s">
        <v>1</v>
      </c>
      <c r="Q2" s="2">
        <v>10</v>
      </c>
      <c r="R2" s="3" t="s">
        <v>2</v>
      </c>
      <c r="S2" s="3"/>
      <c r="Y2">
        <f>C27</f>
        <v>5</v>
      </c>
    </row>
    <row r="3" spans="2:25" ht="32.25" customHeight="1">
      <c r="B3" s="353"/>
      <c r="C3" s="354"/>
      <c r="D3" s="354"/>
      <c r="E3" s="355"/>
      <c r="F3" s="354"/>
      <c r="G3" s="354"/>
      <c r="H3" s="354"/>
      <c r="I3" s="354"/>
      <c r="J3" s="354"/>
      <c r="K3" s="354"/>
      <c r="L3" s="354"/>
      <c r="M3" s="355"/>
      <c r="P3" s="1" t="s">
        <v>3</v>
      </c>
      <c r="Q3" s="4">
        <v>1</v>
      </c>
      <c r="R3" s="3" t="s">
        <v>2</v>
      </c>
      <c r="S3" s="3" t="s">
        <v>170</v>
      </c>
    </row>
    <row r="4" spans="2:25" ht="24">
      <c r="B4" s="27"/>
      <c r="C4" s="342"/>
      <c r="D4" s="342"/>
      <c r="E4" s="26"/>
      <c r="F4" s="342"/>
      <c r="G4" s="342"/>
      <c r="H4" s="342"/>
      <c r="I4" s="342"/>
      <c r="J4" s="342"/>
      <c r="K4" s="342"/>
      <c r="L4" s="342"/>
      <c r="M4" s="26"/>
      <c r="P4" s="1" t="s">
        <v>4</v>
      </c>
      <c r="Q4" s="4">
        <v>0.92</v>
      </c>
      <c r="R4" s="3" t="s">
        <v>2</v>
      </c>
      <c r="S4" s="3" t="s">
        <v>170</v>
      </c>
    </row>
    <row r="5" spans="2:25" ht="24">
      <c r="B5" s="27"/>
      <c r="C5" s="342"/>
      <c r="D5" s="342"/>
      <c r="E5" s="26"/>
      <c r="F5" s="342"/>
      <c r="G5" s="342"/>
      <c r="H5" s="342"/>
      <c r="I5" s="342"/>
      <c r="J5" s="342"/>
      <c r="K5" s="342"/>
      <c r="L5" s="342"/>
      <c r="M5" s="26"/>
      <c r="P5" s="1" t="s">
        <v>5</v>
      </c>
      <c r="Q5" s="2">
        <v>0.09</v>
      </c>
      <c r="R5" s="3" t="s">
        <v>2</v>
      </c>
      <c r="S5" s="3" t="str">
        <f>ROUNDUP(E55,0)&amp;" Kg"</f>
        <v>145 Kg</v>
      </c>
      <c r="T5" t="str">
        <f>""&amp;E33&amp;""" x "&amp;E33&amp;""""</f>
        <v>3" x 3"</v>
      </c>
    </row>
    <row r="6" spans="2:25" ht="24">
      <c r="B6" s="27"/>
      <c r="C6" s="342"/>
      <c r="D6" s="342"/>
      <c r="E6" s="26"/>
      <c r="F6" s="342"/>
      <c r="G6" s="342"/>
      <c r="H6" s="342"/>
      <c r="I6" s="342"/>
      <c r="J6" s="342"/>
      <c r="K6" s="342"/>
      <c r="L6" s="342"/>
      <c r="M6" s="26"/>
      <c r="P6" s="1" t="s">
        <v>6</v>
      </c>
      <c r="Q6" s="4">
        <v>0.05</v>
      </c>
      <c r="R6" s="3" t="s">
        <v>2</v>
      </c>
      <c r="S6" s="3" t="str">
        <f>ROUNDUP(E54,0)&amp;" Kg-m"</f>
        <v>109 Kg-m</v>
      </c>
    </row>
    <row r="7" spans="2:25" ht="24">
      <c r="B7" s="27"/>
      <c r="C7" s="342"/>
      <c r="D7" s="342"/>
      <c r="E7" s="26"/>
      <c r="F7" s="342"/>
      <c r="G7" s="342"/>
      <c r="H7" s="342"/>
      <c r="I7" s="342"/>
      <c r="J7" s="342"/>
      <c r="K7" s="342"/>
      <c r="L7" s="342"/>
      <c r="M7" s="26"/>
      <c r="P7" s="1" t="s">
        <v>7</v>
      </c>
      <c r="Q7" s="4">
        <v>0.7</v>
      </c>
      <c r="R7" s="3" t="s">
        <v>2</v>
      </c>
      <c r="S7" s="3" t="str">
        <f>ROUNDUP(E29,0)&amp;"   m"</f>
        <v>3   m</v>
      </c>
    </row>
    <row r="8" spans="2:25" ht="24">
      <c r="B8" s="27"/>
      <c r="C8" s="342"/>
      <c r="D8" s="342"/>
      <c r="E8" s="26"/>
      <c r="F8" s="342"/>
      <c r="G8" s="342"/>
      <c r="H8" s="342"/>
      <c r="I8" s="342"/>
      <c r="J8" s="342"/>
      <c r="K8" s="342"/>
      <c r="L8" s="342"/>
      <c r="M8" s="26"/>
      <c r="P8" s="3" t="str">
        <f>ROUNDUP(E31,0)&amp;"   m"</f>
        <v>1   m</v>
      </c>
      <c r="S8" s="3" t="str">
        <f>ROUNDUP(E28,2)&amp;"   m"</f>
        <v>4   m</v>
      </c>
      <c r="U8" s="3" t="str">
        <f>ROUNDUP(E33,2)&amp;"   m"</f>
        <v>3   m</v>
      </c>
    </row>
    <row r="9" spans="2:25" ht="24">
      <c r="B9" s="27"/>
      <c r="C9" s="342"/>
      <c r="D9" s="342"/>
      <c r="E9" s="26"/>
      <c r="F9" s="342"/>
      <c r="G9" s="342"/>
      <c r="H9" s="342"/>
      <c r="I9" s="342"/>
      <c r="J9" s="342"/>
      <c r="K9" s="342"/>
      <c r="L9" s="342"/>
      <c r="M9" s="26"/>
      <c r="P9" s="5" t="s">
        <v>8</v>
      </c>
      <c r="Q9" s="5" t="s">
        <v>9</v>
      </c>
      <c r="R9" s="5" t="s">
        <v>10</v>
      </c>
      <c r="S9" s="5" t="s">
        <v>11</v>
      </c>
    </row>
    <row r="10" spans="2:25" ht="24">
      <c r="B10" s="27"/>
      <c r="C10" s="342"/>
      <c r="D10" s="342"/>
      <c r="E10" s="26"/>
      <c r="F10" s="342"/>
      <c r="G10" s="342"/>
      <c r="H10" s="342"/>
      <c r="I10" s="342"/>
      <c r="J10" s="342"/>
      <c r="K10" s="342"/>
      <c r="L10" s="342"/>
      <c r="M10" s="26"/>
      <c r="N10" s="3"/>
      <c r="O10" s="3" t="s">
        <v>171</v>
      </c>
      <c r="P10" s="5" t="s">
        <v>12</v>
      </c>
      <c r="Q10" s="5">
        <v>2400</v>
      </c>
      <c r="R10" s="5">
        <v>1200</v>
      </c>
      <c r="S10" s="5">
        <v>2.5000000000000001E-3</v>
      </c>
      <c r="T10">
        <f>14/Q10</f>
        <v>5.8333333333333336E-3</v>
      </c>
    </row>
    <row r="11" spans="2:25" ht="24">
      <c r="B11" s="27"/>
      <c r="C11" s="342"/>
      <c r="D11" s="342"/>
      <c r="E11" s="26"/>
      <c r="F11" s="342"/>
      <c r="G11" s="342"/>
      <c r="H11" s="342"/>
      <c r="I11" s="342"/>
      <c r="J11" s="342"/>
      <c r="K11" s="342"/>
      <c r="L11" s="342"/>
      <c r="M11" s="26"/>
      <c r="N11" s="3"/>
      <c r="O11" s="3"/>
      <c r="P11" s="5" t="s">
        <v>13</v>
      </c>
      <c r="Q11" s="5">
        <v>4000</v>
      </c>
      <c r="R11" s="5">
        <v>1700</v>
      </c>
      <c r="S11" s="5">
        <v>1.8E-3</v>
      </c>
      <c r="T11">
        <f>14/Q11</f>
        <v>3.5000000000000001E-3</v>
      </c>
    </row>
    <row r="12" spans="2:25" ht="24">
      <c r="B12" s="27"/>
      <c r="C12" s="342"/>
      <c r="D12" s="342"/>
      <c r="E12" s="26"/>
      <c r="F12" s="342"/>
      <c r="G12" s="342"/>
      <c r="H12" s="342"/>
      <c r="I12" s="342"/>
      <c r="J12" s="342"/>
      <c r="K12" s="342"/>
      <c r="L12" s="342"/>
      <c r="M12" s="26"/>
      <c r="N12" s="3"/>
      <c r="O12" s="3"/>
      <c r="P12" s="5" t="s">
        <v>14</v>
      </c>
      <c r="Q12" s="5">
        <v>3000</v>
      </c>
      <c r="R12" s="5">
        <v>1500</v>
      </c>
      <c r="S12" s="5">
        <f>(0.0018*4000)/Q12</f>
        <v>2.4000000000000002E-3</v>
      </c>
      <c r="T12">
        <f>14/Q12</f>
        <v>4.6666666666666671E-3</v>
      </c>
    </row>
    <row r="13" spans="2:25" ht="24">
      <c r="B13" s="27"/>
      <c r="C13" s="342"/>
      <c r="D13" s="342"/>
      <c r="E13" s="26"/>
      <c r="F13" s="342"/>
      <c r="G13" s="342"/>
      <c r="H13" s="342"/>
      <c r="I13" s="342"/>
      <c r="J13" s="342"/>
      <c r="K13" s="342"/>
      <c r="L13" s="342"/>
      <c r="M13" s="26"/>
      <c r="N13" s="3"/>
      <c r="O13" s="3"/>
      <c r="P13" s="3" t="s">
        <v>172</v>
      </c>
      <c r="Q13" s="3"/>
      <c r="R13" s="3"/>
      <c r="S13" s="3"/>
    </row>
    <row r="14" spans="2:25" ht="21.75" customHeight="1">
      <c r="B14" s="27"/>
      <c r="C14" s="342"/>
      <c r="D14" s="342"/>
      <c r="E14" s="26"/>
      <c r="F14" s="342"/>
      <c r="G14" s="342"/>
      <c r="H14" s="342"/>
      <c r="I14" s="342"/>
      <c r="J14" s="342"/>
      <c r="K14" s="342"/>
      <c r="L14" s="342"/>
      <c r="M14" s="26"/>
      <c r="N14" s="3"/>
      <c r="O14" s="3"/>
      <c r="P14" s="3"/>
      <c r="Q14" s="3"/>
      <c r="R14" s="5" t="s">
        <v>15</v>
      </c>
      <c r="S14" s="5" t="s">
        <v>16</v>
      </c>
      <c r="T14" s="6" t="s">
        <v>17</v>
      </c>
    </row>
    <row r="15" spans="2:25" ht="24">
      <c r="B15" s="27"/>
      <c r="C15" s="342"/>
      <c r="D15" s="342"/>
      <c r="E15" s="26"/>
      <c r="F15" s="342"/>
      <c r="G15" s="342"/>
      <c r="H15" s="342"/>
      <c r="I15" s="342"/>
      <c r="J15" s="342"/>
      <c r="K15" s="342"/>
      <c r="L15" s="342"/>
      <c r="M15" s="26"/>
      <c r="N15" s="3"/>
      <c r="O15" s="3"/>
      <c r="P15" s="247" t="s">
        <v>18</v>
      </c>
      <c r="Q15" s="248"/>
      <c r="R15" s="8" t="e">
        <f>IF(ROUNDDOWN(($E$29/H65),2)&gt;=0.81,"Error",ROUNDDOWN(($E$29/H65),2))</f>
        <v>#DIV/0!</v>
      </c>
      <c r="S15" s="9" t="e">
        <f>VLOOKUP(R15,P21:R100,2,0)</f>
        <v>#DIV/0!</v>
      </c>
      <c r="T15" s="9" t="s">
        <v>92</v>
      </c>
    </row>
    <row r="16" spans="2:25" ht="31.5" customHeight="1">
      <c r="B16" s="27"/>
      <c r="C16" s="342"/>
      <c r="D16" s="342"/>
      <c r="E16" s="26"/>
      <c r="F16" s="342"/>
      <c r="G16" s="342"/>
      <c r="H16" s="342"/>
      <c r="I16" s="342"/>
      <c r="J16" s="342"/>
      <c r="K16" s="342"/>
      <c r="L16" s="342"/>
      <c r="M16" s="26"/>
      <c r="N16" s="3"/>
      <c r="O16" s="3"/>
      <c r="P16" s="10"/>
      <c r="Q16" s="10" t="s">
        <v>19</v>
      </c>
      <c r="R16" s="8">
        <v>0.5</v>
      </c>
      <c r="S16" s="11">
        <f>IF(R16=0,0,(VLOOKUP(R16,P22:R80,2,0)))</f>
        <v>0.5</v>
      </c>
      <c r="T16" s="9" t="s">
        <v>173</v>
      </c>
    </row>
    <row r="17" spans="2:35" ht="34.5" customHeight="1">
      <c r="B17" s="27"/>
      <c r="C17" s="342"/>
      <c r="D17" s="342"/>
      <c r="E17" s="26"/>
      <c r="F17" s="342"/>
      <c r="G17" s="342"/>
      <c r="H17" s="342"/>
      <c r="I17" s="342"/>
      <c r="J17" s="342"/>
      <c r="K17" s="342"/>
      <c r="L17" s="342"/>
      <c r="M17" s="26"/>
      <c r="N17" s="3"/>
      <c r="O17" s="3" t="s">
        <v>12</v>
      </c>
      <c r="P17" s="247" t="s">
        <v>20</v>
      </c>
      <c r="Q17" s="248"/>
      <c r="R17" s="8">
        <v>0.37</v>
      </c>
      <c r="S17" s="12">
        <f>VLOOKUP(R17,P22:R79,2,0)</f>
        <v>0.35</v>
      </c>
      <c r="T17" s="9" t="s">
        <v>173</v>
      </c>
    </row>
    <row r="18" spans="2:35" ht="24" customHeight="1">
      <c r="B18" s="27"/>
      <c r="C18" s="342"/>
      <c r="D18" s="342"/>
      <c r="E18" s="26"/>
      <c r="F18" s="342"/>
      <c r="G18" s="342"/>
      <c r="H18" s="342"/>
      <c r="I18" s="342"/>
      <c r="J18" s="342"/>
      <c r="K18" s="342"/>
      <c r="L18" s="342"/>
      <c r="M18" s="26"/>
      <c r="N18" s="3"/>
      <c r="O18" s="3" t="s">
        <v>12</v>
      </c>
      <c r="P18" s="247" t="s">
        <v>18</v>
      </c>
      <c r="Q18" s="248"/>
      <c r="R18" s="8" t="e">
        <f>IF(ROUNDDOWN(($E$29/H71),2)&gt;=0.81,"Error",ROUNDDOWN(($E$29/H71),2))</f>
        <v>#DIV/0!</v>
      </c>
      <c r="S18" s="9" t="e">
        <f>VLOOKUP(R18,P22:R102,2,0)</f>
        <v>#DIV/0!</v>
      </c>
      <c r="T18" s="9" t="s">
        <v>174</v>
      </c>
    </row>
    <row r="19" spans="2:35" ht="24">
      <c r="B19" s="27"/>
      <c r="C19" s="342"/>
      <c r="D19" s="342"/>
      <c r="E19" s="26"/>
      <c r="F19" s="342"/>
      <c r="G19" s="342"/>
      <c r="H19" s="342"/>
      <c r="I19" s="342"/>
      <c r="J19" s="342"/>
      <c r="K19" s="342"/>
      <c r="L19" s="342"/>
      <c r="M19" s="26"/>
      <c r="N19" s="3"/>
      <c r="O19" s="3" t="s">
        <v>21</v>
      </c>
      <c r="P19" s="3"/>
      <c r="Q19" s="3"/>
      <c r="R19" s="3"/>
      <c r="S19" s="3"/>
    </row>
    <row r="20" spans="2:35" ht="24.75" thickBot="1">
      <c r="B20" s="343"/>
      <c r="C20" s="344"/>
      <c r="D20" s="344"/>
      <c r="E20" s="345"/>
      <c r="F20" s="344"/>
      <c r="G20" s="344"/>
      <c r="H20" s="344"/>
      <c r="I20" s="344"/>
      <c r="J20" s="344"/>
      <c r="K20" s="344"/>
      <c r="L20" s="344"/>
      <c r="M20" s="345"/>
      <c r="N20" s="3"/>
      <c r="O20" s="3" t="s">
        <v>22</v>
      </c>
      <c r="P20" s="3"/>
      <c r="Q20" s="3"/>
      <c r="R20" s="3"/>
      <c r="S20" s="3"/>
    </row>
    <row r="21" spans="2:35" ht="69.75" thickBot="1">
      <c r="B21" s="339" t="s">
        <v>95</v>
      </c>
      <c r="C21" s="340"/>
      <c r="D21" s="341"/>
      <c r="E21" s="61"/>
      <c r="F21" s="61"/>
      <c r="G21" s="61"/>
      <c r="H21" s="61"/>
      <c r="I21" s="61"/>
      <c r="J21" s="61"/>
      <c r="K21" s="61"/>
      <c r="L21" s="61"/>
      <c r="M21" s="25"/>
      <c r="N21" s="3"/>
      <c r="O21" s="3" t="s">
        <v>23</v>
      </c>
      <c r="P21" s="10" t="s">
        <v>15</v>
      </c>
      <c r="Q21" s="10" t="s">
        <v>16</v>
      </c>
      <c r="R21" s="10"/>
      <c r="S21" s="3"/>
      <c r="T21" s="1"/>
      <c r="U21" s="9" t="s">
        <v>24</v>
      </c>
      <c r="W21" s="9" t="s">
        <v>25</v>
      </c>
      <c r="X21" s="9" t="s">
        <v>26</v>
      </c>
      <c r="AA21" s="243" t="s">
        <v>78</v>
      </c>
      <c r="AB21" s="236" t="s">
        <v>79</v>
      </c>
      <c r="AC21" s="238" t="s">
        <v>80</v>
      </c>
      <c r="AD21" s="240" t="s">
        <v>81</v>
      </c>
      <c r="AE21" s="240"/>
      <c r="AF21" s="241" t="s">
        <v>84</v>
      </c>
    </row>
    <row r="22" spans="2:35" ht="41.25" thickBot="1">
      <c r="B22" s="166">
        <v>1</v>
      </c>
      <c r="C22" s="359" t="s">
        <v>85</v>
      </c>
      <c r="D22" s="360"/>
      <c r="E22" s="61"/>
      <c r="F22" s="61"/>
      <c r="G22" s="61"/>
      <c r="H22" s="61"/>
      <c r="I22" s="61"/>
      <c r="J22" s="61"/>
      <c r="K22" s="61"/>
      <c r="L22" s="61"/>
      <c r="M22" s="25"/>
      <c r="N22" s="3"/>
      <c r="O22" s="3"/>
      <c r="P22" s="10">
        <v>0</v>
      </c>
      <c r="Q22" s="10">
        <v>0</v>
      </c>
      <c r="R22" s="10" t="s">
        <v>30</v>
      </c>
      <c r="S22" s="3"/>
      <c r="T22" s="9" t="s">
        <v>31</v>
      </c>
      <c r="U22" s="9">
        <v>0.222</v>
      </c>
      <c r="W22" s="9">
        <v>6</v>
      </c>
      <c r="X22" s="9">
        <v>10</v>
      </c>
      <c r="AA22" s="244"/>
      <c r="AB22" s="237"/>
      <c r="AC22" s="239"/>
      <c r="AD22" s="109" t="s">
        <v>82</v>
      </c>
      <c r="AE22" s="109" t="s">
        <v>83</v>
      </c>
      <c r="AF22" s="242"/>
    </row>
    <row r="23" spans="2:35" ht="41.25" thickBot="1">
      <c r="B23" s="29">
        <v>2</v>
      </c>
      <c r="C23" s="361" t="s">
        <v>86</v>
      </c>
      <c r="D23" s="362"/>
      <c r="E23" s="61"/>
      <c r="F23" s="61"/>
      <c r="G23" s="61"/>
      <c r="H23" s="61"/>
      <c r="I23" s="61"/>
      <c r="J23" s="61"/>
      <c r="K23" s="61"/>
      <c r="L23" s="61"/>
      <c r="M23" s="25"/>
      <c r="N23" s="3"/>
      <c r="O23" s="3" t="e">
        <v>#DIV/0!</v>
      </c>
      <c r="P23" s="10">
        <v>0.03</v>
      </c>
      <c r="Q23" s="10">
        <v>0.03</v>
      </c>
      <c r="R23" s="10" t="s">
        <v>33</v>
      </c>
      <c r="S23" s="3"/>
      <c r="T23" s="9" t="s">
        <v>34</v>
      </c>
      <c r="U23" s="9">
        <v>0.499</v>
      </c>
      <c r="W23" s="9">
        <v>9</v>
      </c>
      <c r="X23" s="9">
        <v>12</v>
      </c>
      <c r="AA23" s="245"/>
      <c r="AB23" s="106" t="s">
        <v>90</v>
      </c>
      <c r="AC23" s="107" t="s">
        <v>91</v>
      </c>
      <c r="AD23" s="107" t="s">
        <v>93</v>
      </c>
      <c r="AE23" s="105" t="s">
        <v>94</v>
      </c>
      <c r="AF23" s="108" t="s">
        <v>92</v>
      </c>
    </row>
    <row r="24" spans="2:35" ht="39.75">
      <c r="B24" s="29">
        <v>3</v>
      </c>
      <c r="C24" s="361" t="s">
        <v>87</v>
      </c>
      <c r="D24" s="362"/>
      <c r="E24" s="61"/>
      <c r="F24" s="61"/>
      <c r="G24" s="61"/>
      <c r="H24" s="61"/>
      <c r="I24" s="61"/>
      <c r="J24" s="61"/>
      <c r="K24" s="61"/>
      <c r="L24" s="61"/>
      <c r="M24" s="25"/>
      <c r="N24" s="3"/>
      <c r="O24" s="3"/>
      <c r="P24" s="10">
        <v>0.04</v>
      </c>
      <c r="Q24" s="10">
        <v>0.04</v>
      </c>
      <c r="R24" s="10" t="s">
        <v>35</v>
      </c>
      <c r="S24" s="3"/>
      <c r="T24" s="9" t="s">
        <v>36</v>
      </c>
      <c r="U24" s="9">
        <v>0.88800000000000001</v>
      </c>
      <c r="W24" s="9">
        <v>12</v>
      </c>
      <c r="X24" s="9">
        <v>16</v>
      </c>
      <c r="AA24" s="103">
        <v>1</v>
      </c>
      <c r="AB24" s="174">
        <v>78900</v>
      </c>
      <c r="AC24" s="174">
        <v>60</v>
      </c>
      <c r="AD24" s="174">
        <v>45</v>
      </c>
      <c r="AE24" s="174">
        <v>12</v>
      </c>
      <c r="AF24" s="175">
        <v>6</v>
      </c>
    </row>
    <row r="25" spans="2:35" ht="39.75">
      <c r="B25" s="29">
        <v>4</v>
      </c>
      <c r="C25" s="361" t="s">
        <v>88</v>
      </c>
      <c r="D25" s="362"/>
      <c r="E25" s="61"/>
      <c r="F25" s="61"/>
      <c r="G25" s="61"/>
      <c r="H25" s="61"/>
      <c r="I25" s="61"/>
      <c r="J25" s="61"/>
      <c r="K25" s="61"/>
      <c r="L25" s="61"/>
      <c r="M25" s="25"/>
      <c r="N25" s="3"/>
      <c r="O25" s="3"/>
      <c r="P25" s="10">
        <v>0.05</v>
      </c>
      <c r="Q25" s="10">
        <v>0.05</v>
      </c>
      <c r="R25" s="10" t="s">
        <v>37</v>
      </c>
      <c r="S25" s="3"/>
      <c r="T25" s="9" t="s">
        <v>38</v>
      </c>
      <c r="U25" s="9">
        <v>1.387</v>
      </c>
      <c r="W25" s="9">
        <v>16</v>
      </c>
      <c r="X25" s="9">
        <v>20</v>
      </c>
      <c r="AA25" s="34">
        <v>2</v>
      </c>
      <c r="AB25" s="176">
        <v>94100</v>
      </c>
      <c r="AC25" s="176">
        <v>80</v>
      </c>
      <c r="AD25" s="176">
        <v>60</v>
      </c>
      <c r="AE25" s="176">
        <v>16</v>
      </c>
      <c r="AF25" s="177">
        <v>8</v>
      </c>
    </row>
    <row r="26" spans="2:35" ht="40.5" thickBot="1">
      <c r="B26" s="31">
        <v>5</v>
      </c>
      <c r="C26" s="363" t="s">
        <v>89</v>
      </c>
      <c r="D26" s="364"/>
      <c r="E26" s="28"/>
      <c r="F26" s="28"/>
      <c r="G26" s="28"/>
      <c r="H26" s="61"/>
      <c r="I26" s="61"/>
      <c r="J26" s="61"/>
      <c r="K26" s="61"/>
      <c r="L26" s="61"/>
      <c r="M26" s="25"/>
      <c r="N26" s="3"/>
      <c r="O26" s="3" t="b">
        <f>IF(C27=1,E28/20,IF(C27=2,E28/24,IF(C27=3,E28/28)))</f>
        <v>0</v>
      </c>
      <c r="P26" s="10">
        <v>0.06</v>
      </c>
      <c r="Q26" s="10">
        <v>0.06</v>
      </c>
      <c r="R26" s="10" t="s">
        <v>37</v>
      </c>
      <c r="S26" s="3"/>
      <c r="T26" s="9" t="s">
        <v>39</v>
      </c>
      <c r="U26" s="9">
        <v>0.88800000000000001</v>
      </c>
      <c r="W26" s="9">
        <v>20</v>
      </c>
      <c r="X26" s="9">
        <v>25</v>
      </c>
      <c r="AA26" s="34">
        <v>3</v>
      </c>
      <c r="AB26" s="176">
        <v>112300</v>
      </c>
      <c r="AC26" s="176">
        <v>100</v>
      </c>
      <c r="AD26" s="176">
        <v>75</v>
      </c>
      <c r="AE26" s="176">
        <v>22</v>
      </c>
      <c r="AF26" s="177">
        <v>10</v>
      </c>
    </row>
    <row r="27" spans="2:35" ht="79.5" thickBot="1">
      <c r="B27" s="90" t="s">
        <v>95</v>
      </c>
      <c r="C27" s="169">
        <v>5</v>
      </c>
      <c r="D27" s="91"/>
      <c r="E27" s="91"/>
      <c r="F27" s="91"/>
      <c r="G27" s="91"/>
      <c r="H27" s="233"/>
      <c r="I27" s="234"/>
      <c r="J27" s="235"/>
      <c r="K27" s="231" t="s">
        <v>110</v>
      </c>
      <c r="L27" s="231"/>
      <c r="M27" s="232"/>
      <c r="N27" s="144"/>
      <c r="O27" s="145">
        <f>E28/20</f>
        <v>0.2</v>
      </c>
      <c r="P27" s="101">
        <v>7.0000000000000007E-2</v>
      </c>
      <c r="Q27" s="10">
        <v>7.0000000000000007E-2</v>
      </c>
      <c r="R27" s="10" t="s">
        <v>37</v>
      </c>
      <c r="S27" s="3"/>
      <c r="T27" s="9" t="s">
        <v>40</v>
      </c>
      <c r="U27" s="9">
        <v>1.5780000000000001</v>
      </c>
      <c r="W27" s="9">
        <v>25</v>
      </c>
      <c r="X27" s="9">
        <v>28</v>
      </c>
      <c r="AA27" s="34">
        <v>4</v>
      </c>
      <c r="AB27" s="176">
        <v>136300</v>
      </c>
      <c r="AC27" s="176">
        <v>120</v>
      </c>
      <c r="AD27" s="176">
        <v>90</v>
      </c>
      <c r="AE27" s="176">
        <v>30</v>
      </c>
      <c r="AF27" s="177">
        <v>12</v>
      </c>
    </row>
    <row r="28" spans="2:35" ht="52.5" thickBot="1">
      <c r="B28" s="38" t="s">
        <v>27</v>
      </c>
      <c r="C28" s="114"/>
      <c r="D28" s="115" t="s">
        <v>28</v>
      </c>
      <c r="E28" s="170">
        <v>4</v>
      </c>
      <c r="F28" s="114" t="s">
        <v>29</v>
      </c>
      <c r="G28" s="117"/>
      <c r="H28" s="189" t="s">
        <v>106</v>
      </c>
      <c r="I28" s="190"/>
      <c r="J28" s="190"/>
      <c r="K28" s="260">
        <v>1.5</v>
      </c>
      <c r="L28" s="260"/>
      <c r="M28" s="261"/>
      <c r="N28" s="3"/>
      <c r="O28" s="146">
        <f>ROUNDUP(O27,2)</f>
        <v>0.2</v>
      </c>
      <c r="P28" s="101">
        <v>0.08</v>
      </c>
      <c r="Q28" s="10">
        <v>0.08</v>
      </c>
      <c r="R28" s="10" t="s">
        <v>37</v>
      </c>
      <c r="S28" s="3"/>
      <c r="T28" s="9" t="s">
        <v>42</v>
      </c>
      <c r="U28" s="9">
        <v>2.4660000000000002</v>
      </c>
      <c r="X28" s="9">
        <v>32</v>
      </c>
      <c r="AA28" s="35">
        <v>5</v>
      </c>
      <c r="AB28" s="178">
        <v>189000</v>
      </c>
      <c r="AC28" s="178">
        <v>150</v>
      </c>
      <c r="AD28" s="178">
        <v>110</v>
      </c>
      <c r="AE28" s="178">
        <v>40</v>
      </c>
      <c r="AF28" s="179">
        <v>15</v>
      </c>
    </row>
    <row r="29" spans="2:35" ht="52.5" thickBot="1">
      <c r="B29" s="38" t="s">
        <v>32</v>
      </c>
      <c r="C29" s="114"/>
      <c r="D29" s="115" t="s">
        <v>28</v>
      </c>
      <c r="E29" s="170">
        <v>3</v>
      </c>
      <c r="F29" s="114" t="s">
        <v>29</v>
      </c>
      <c r="G29" s="117"/>
      <c r="H29" s="191" t="s">
        <v>107</v>
      </c>
      <c r="I29" s="192"/>
      <c r="J29" s="192"/>
      <c r="K29" s="262">
        <f>E57</f>
        <v>5</v>
      </c>
      <c r="L29" s="262"/>
      <c r="M29" s="263"/>
      <c r="N29" s="3"/>
      <c r="O29" s="146" t="e">
        <f>E33-E32-((K28*0.0001)/2)</f>
        <v>#VALUE!</v>
      </c>
      <c r="P29" s="101">
        <v>0.09</v>
      </c>
      <c r="Q29" s="10">
        <v>0.09</v>
      </c>
      <c r="R29" s="10" t="s">
        <v>37</v>
      </c>
      <c r="S29" s="3"/>
      <c r="T29" s="9" t="s">
        <v>43</v>
      </c>
      <c r="U29" s="9">
        <v>3.8530000000000002</v>
      </c>
      <c r="W29" s="13"/>
      <c r="X29" s="13">
        <v>0</v>
      </c>
    </row>
    <row r="30" spans="2:35" ht="57.75" thickBot="1">
      <c r="B30" s="84" t="s">
        <v>136</v>
      </c>
      <c r="D30" s="115" t="s">
        <v>28</v>
      </c>
      <c r="E30" s="170">
        <v>2.5</v>
      </c>
      <c r="F30" s="114" t="s">
        <v>29</v>
      </c>
      <c r="G30" s="62"/>
      <c r="H30" s="193"/>
      <c r="I30" s="194"/>
      <c r="J30" s="63"/>
      <c r="K30" s="118"/>
      <c r="L30" s="118"/>
      <c r="M30" s="33"/>
      <c r="N30" s="3"/>
      <c r="O30" s="146" t="e">
        <f>ROUNDUP(O29,2)</f>
        <v>#VALUE!</v>
      </c>
      <c r="P30" s="101">
        <v>0.1</v>
      </c>
      <c r="Q30" s="10">
        <v>0.1</v>
      </c>
      <c r="R30" s="10" t="s">
        <v>44</v>
      </c>
      <c r="S30" s="3"/>
      <c r="T30" s="9" t="s">
        <v>45</v>
      </c>
      <c r="U30" s="9">
        <v>0.88800000000000001</v>
      </c>
      <c r="W30" s="13"/>
      <c r="X30" s="13"/>
      <c r="AF30" s="267" t="s">
        <v>159</v>
      </c>
      <c r="AG30" s="372"/>
      <c r="AH30" s="372"/>
      <c r="AI30" s="268"/>
    </row>
    <row r="31" spans="2:35" ht="43.9" customHeight="1">
      <c r="B31" s="38" t="s">
        <v>96</v>
      </c>
      <c r="C31" s="114"/>
      <c r="D31" s="115" t="s">
        <v>28</v>
      </c>
      <c r="E31" s="170">
        <v>0.5</v>
      </c>
      <c r="F31" s="114" t="s">
        <v>29</v>
      </c>
      <c r="G31" s="62"/>
      <c r="H31" s="39"/>
      <c r="I31" s="269" t="str">
        <f>B52</f>
        <v>สมมุติน้ำหนักตงไม้</v>
      </c>
      <c r="J31" s="270"/>
      <c r="K31" s="137" t="s">
        <v>28</v>
      </c>
      <c r="L31" s="275" t="str">
        <f>C58</f>
        <v>OK</v>
      </c>
      <c r="M31" s="276"/>
      <c r="N31" s="150"/>
      <c r="O31" s="150"/>
      <c r="P31" s="101">
        <v>0.11</v>
      </c>
      <c r="Q31" s="10">
        <v>0.1</v>
      </c>
      <c r="R31" s="10" t="s">
        <v>44</v>
      </c>
      <c r="S31" s="3"/>
      <c r="T31" s="9" t="s">
        <v>47</v>
      </c>
      <c r="U31" s="9">
        <v>1.5780000000000001</v>
      </c>
      <c r="W31" s="13"/>
    </row>
    <row r="32" spans="2:35" ht="37.5" customHeight="1">
      <c r="B32" s="38" t="s">
        <v>97</v>
      </c>
      <c r="C32" s="114"/>
      <c r="D32" s="115" t="s">
        <v>28</v>
      </c>
      <c r="E32" s="170" t="s">
        <v>99</v>
      </c>
      <c r="F32" s="114" t="s">
        <v>29</v>
      </c>
      <c r="G32" s="62"/>
      <c r="H32" s="119"/>
      <c r="I32" s="271" t="str">
        <f>B62</f>
        <v>น้ำหนักจริงตงไม้</v>
      </c>
      <c r="J32" s="272"/>
      <c r="K32" s="137" t="s">
        <v>28</v>
      </c>
      <c r="L32" s="277" t="str">
        <f>D66</f>
        <v xml:space="preserve"> OK</v>
      </c>
      <c r="M32" s="278"/>
      <c r="N32" s="151"/>
      <c r="O32" s="151"/>
      <c r="P32" s="101">
        <v>0.12</v>
      </c>
      <c r="Q32" s="10">
        <v>0.12</v>
      </c>
      <c r="R32" s="10" t="s">
        <v>48</v>
      </c>
      <c r="S32" s="3"/>
      <c r="T32" s="9" t="s">
        <v>49</v>
      </c>
      <c r="U32" s="9">
        <v>2.4660000000000002</v>
      </c>
      <c r="W32" s="13"/>
      <c r="AB32" s="139"/>
    </row>
    <row r="33" spans="2:21" ht="38.25" customHeight="1">
      <c r="B33" s="38" t="s">
        <v>98</v>
      </c>
      <c r="C33" s="114"/>
      <c r="D33" s="115" t="s">
        <v>28</v>
      </c>
      <c r="E33" s="370">
        <f>'TIMBER เสาไม้ '!E34</f>
        <v>3</v>
      </c>
      <c r="F33" s="65" t="s">
        <v>109</v>
      </c>
      <c r="G33" s="62"/>
      <c r="H33" s="119"/>
      <c r="I33" s="271" t="str">
        <f>H62</f>
        <v>ความต้านทานแรงเฉือน</v>
      </c>
      <c r="J33" s="272"/>
      <c r="K33" s="137" t="s">
        <v>28</v>
      </c>
      <c r="L33" s="279" t="str">
        <f>J66</f>
        <v xml:space="preserve"> OK</v>
      </c>
      <c r="M33" s="280"/>
      <c r="N33" s="152"/>
      <c r="O33" s="152"/>
      <c r="P33" s="101">
        <v>0.13</v>
      </c>
      <c r="Q33" s="10">
        <v>0.12</v>
      </c>
      <c r="R33" s="10" t="s">
        <v>48</v>
      </c>
      <c r="S33" s="3"/>
      <c r="T33" s="9" t="s">
        <v>50</v>
      </c>
      <c r="U33" s="9">
        <v>3.8530000000000002</v>
      </c>
    </row>
    <row r="34" spans="2:21" ht="38.25">
      <c r="B34" s="38" t="s">
        <v>153</v>
      </c>
      <c r="D34" s="115" t="s">
        <v>28</v>
      </c>
      <c r="E34" s="171">
        <v>2.5</v>
      </c>
      <c r="F34" s="114" t="s">
        <v>29</v>
      </c>
      <c r="G34" s="62"/>
      <c r="H34" s="147"/>
      <c r="I34" s="271" t="str">
        <f>B68</f>
        <v>ความต้านแรงกด</v>
      </c>
      <c r="J34" s="272"/>
      <c r="K34" s="137" t="s">
        <v>28</v>
      </c>
      <c r="L34" s="277" t="str">
        <f>D75</f>
        <v xml:space="preserve"> OK</v>
      </c>
      <c r="M34" s="278"/>
      <c r="N34" s="151"/>
      <c r="O34" s="151"/>
      <c r="P34" s="101">
        <v>0.14000000000000001</v>
      </c>
      <c r="Q34" s="10">
        <v>0.12</v>
      </c>
      <c r="R34" s="10" t="s">
        <v>48</v>
      </c>
      <c r="S34" s="3"/>
      <c r="T34" s="9" t="s">
        <v>51</v>
      </c>
      <c r="U34" s="9">
        <v>0</v>
      </c>
    </row>
    <row r="35" spans="2:21" ht="40.5" thickBot="1">
      <c r="B35" s="38" t="s">
        <v>146</v>
      </c>
      <c r="C35" s="62"/>
      <c r="D35" s="63" t="s">
        <v>28</v>
      </c>
      <c r="E35" s="171">
        <v>2</v>
      </c>
      <c r="F35" s="65" t="s">
        <v>109</v>
      </c>
      <c r="G35" s="117"/>
      <c r="H35" s="119"/>
      <c r="I35" s="273" t="str">
        <f>H68</f>
        <v>น้ำหนักจริงตงไม้</v>
      </c>
      <c r="J35" s="274"/>
      <c r="K35" s="137" t="s">
        <v>28</v>
      </c>
      <c r="L35" s="225" t="str">
        <f>J73</f>
        <v xml:space="preserve"> OK</v>
      </c>
      <c r="M35" s="226"/>
      <c r="N35" s="152"/>
      <c r="O35" s="152"/>
      <c r="P35" s="101">
        <v>0.15</v>
      </c>
      <c r="Q35" s="10">
        <v>0.15</v>
      </c>
      <c r="R35" s="10" t="s">
        <v>52</v>
      </c>
      <c r="S35" s="3"/>
      <c r="T35" s="9" t="s">
        <v>53</v>
      </c>
      <c r="U35" s="9">
        <v>0</v>
      </c>
    </row>
    <row r="36" spans="2:21" ht="40.5" thickBot="1">
      <c r="B36" s="38" t="s">
        <v>129</v>
      </c>
      <c r="C36" s="117"/>
      <c r="D36" s="64" t="s">
        <v>28</v>
      </c>
      <c r="E36" s="172">
        <v>1</v>
      </c>
      <c r="F36" s="65" t="s">
        <v>109</v>
      </c>
      <c r="G36" s="117"/>
      <c r="H36" s="127"/>
      <c r="I36" s="112"/>
      <c r="J36" s="112"/>
      <c r="K36" s="112"/>
      <c r="L36" s="112"/>
      <c r="M36" s="128"/>
      <c r="N36" s="3"/>
      <c r="O36" s="146">
        <v>0</v>
      </c>
      <c r="P36" s="101">
        <v>0.16</v>
      </c>
      <c r="Q36" s="10">
        <v>0.15</v>
      </c>
      <c r="R36" s="10" t="s">
        <v>52</v>
      </c>
      <c r="S36" s="3"/>
      <c r="T36" s="1"/>
      <c r="U36" s="1"/>
    </row>
    <row r="37" spans="2:21" ht="42" customHeight="1" thickBot="1">
      <c r="B37" s="38" t="s">
        <v>130</v>
      </c>
      <c r="C37" s="117"/>
      <c r="D37" s="66" t="s">
        <v>28</v>
      </c>
      <c r="E37" s="173">
        <v>4</v>
      </c>
      <c r="F37" s="65" t="s">
        <v>109</v>
      </c>
      <c r="G37" s="62"/>
      <c r="H37" s="39"/>
      <c r="I37" s="219" t="s">
        <v>124</v>
      </c>
      <c r="J37" s="220"/>
      <c r="K37" s="346" t="str">
        <f>""&amp;K28&amp;""" x "&amp;K29&amp; """ @ "&amp;E31&amp;" m."</f>
        <v>1.5" x 5" @ 0.5 m.</v>
      </c>
      <c r="L37" s="346"/>
      <c r="M37" s="347"/>
      <c r="N37" s="3"/>
      <c r="O37" s="146">
        <f>IF(O36&lt;=11, O36," 11")</f>
        <v>0</v>
      </c>
      <c r="P37" s="101">
        <v>0.17</v>
      </c>
      <c r="Q37" s="10">
        <v>0.15</v>
      </c>
      <c r="R37" s="10" t="s">
        <v>52</v>
      </c>
      <c r="S37" s="3"/>
      <c r="T37" s="14"/>
      <c r="U37" s="9" t="s">
        <v>54</v>
      </c>
    </row>
    <row r="38" spans="2:21" ht="52.5" thickBot="1">
      <c r="B38" s="264" t="s">
        <v>41</v>
      </c>
      <c r="C38" s="265"/>
      <c r="D38" s="265"/>
      <c r="E38" s="265"/>
      <c r="F38" s="266"/>
      <c r="G38" s="62"/>
      <c r="H38" s="41"/>
      <c r="I38" s="221"/>
      <c r="J38" s="222"/>
      <c r="K38" s="348"/>
      <c r="L38" s="348"/>
      <c r="M38" s="349"/>
      <c r="N38" s="148"/>
      <c r="O38" s="149">
        <v>0</v>
      </c>
      <c r="P38" s="101">
        <v>0.18</v>
      </c>
      <c r="Q38" s="10">
        <v>0.15</v>
      </c>
      <c r="R38" s="10" t="s">
        <v>52</v>
      </c>
      <c r="S38" s="3"/>
      <c r="T38" s="14" t="s">
        <v>55</v>
      </c>
      <c r="U38" s="15" t="e">
        <f>E28*(E32/S15)</f>
        <v>#VALUE!</v>
      </c>
    </row>
    <row r="39" spans="2:21" ht="40.5">
      <c r="B39" s="156" t="s">
        <v>90</v>
      </c>
      <c r="C39" s="157" t="s">
        <v>28</v>
      </c>
      <c r="D39" s="252">
        <f>IF(C27=1,VLOOKUP(Y2,AA24:AF28,2),IF(C27=2,VLOOKUP(Y2,AA24:AF28,2),IF(C27=3,VLOOKUP(Y2,AA24:AF28,2),IF(C27=4,VLOOKUP(Y2,AA24:AF28,2),IF(C27=5,VLOOKUP(Y2,AA24:AF28,2))))))</f>
        <v>189000</v>
      </c>
      <c r="E39" s="253"/>
      <c r="F39" s="158" t="s">
        <v>46</v>
      </c>
      <c r="G39" s="62"/>
      <c r="H39" s="62"/>
      <c r="I39" s="62"/>
      <c r="J39" s="62"/>
      <c r="K39" s="62"/>
      <c r="L39" s="62"/>
      <c r="M39" s="42"/>
      <c r="N39" s="3"/>
      <c r="O39" s="3"/>
      <c r="P39" s="10">
        <v>0.19</v>
      </c>
      <c r="Q39" s="10">
        <v>0.15</v>
      </c>
      <c r="R39" s="10" t="s">
        <v>52</v>
      </c>
      <c r="S39" s="3"/>
      <c r="T39" s="14" t="s">
        <v>56</v>
      </c>
      <c r="U39" s="15" t="e">
        <f>IF(S16=0,0,E28*(E32/S16))</f>
        <v>#VALUE!</v>
      </c>
    </row>
    <row r="40" spans="2:21" ht="40.5">
      <c r="B40" s="43" t="s">
        <v>91</v>
      </c>
      <c r="C40" s="44" t="s">
        <v>28</v>
      </c>
      <c r="D40" s="254">
        <f>IF(C27=1,VLOOKUP(Y2,AA24:AF28,3),IF(C27=2,VLOOKUP(Y2,AA24:AF28,3),IF(C27=3,VLOOKUP(Y2,AA24:AF28,3),IF(C27=4,VLOOKUP(Y2,AA24:AF28,3),IF(C27=5,VLOOKUP(Y2,AA24:AF28,3))))))</f>
        <v>150</v>
      </c>
      <c r="E40" s="255"/>
      <c r="F40" s="36" t="s">
        <v>46</v>
      </c>
      <c r="G40" s="62"/>
      <c r="H40" s="62"/>
      <c r="I40" s="62"/>
      <c r="J40" s="62"/>
      <c r="K40" s="62"/>
      <c r="L40" s="62"/>
      <c r="M40" s="42"/>
      <c r="N40" s="3"/>
      <c r="O40" s="3"/>
      <c r="P40" s="10">
        <v>0.2</v>
      </c>
      <c r="Q40" s="10">
        <v>0.2</v>
      </c>
      <c r="R40" s="10" t="s">
        <v>57</v>
      </c>
      <c r="S40" s="3"/>
      <c r="T40" s="14" t="s">
        <v>58</v>
      </c>
      <c r="U40" s="14" t="e">
        <f>ROUNDUP(E28*2*(E32/S17),2)</f>
        <v>#VALUE!</v>
      </c>
    </row>
    <row r="41" spans="2:21" ht="40.5">
      <c r="B41" s="43" t="s">
        <v>93</v>
      </c>
      <c r="C41" s="44" t="s">
        <v>28</v>
      </c>
      <c r="D41" s="256">
        <f>IF(C27=1,VLOOKUP(Y2,AA24:AF28,4),IF(C27=2,VLOOKUP(Y2,AA24:AF28,4),IF(C27=3,VLOOKUP(Y2,AA24:AF28,4),IF(C27=4,VLOOKUP(Y2,AA24:AF28,4),IF(C27=5,VLOOKUP(Y2,AA24:AF28,4))))))</f>
        <v>110</v>
      </c>
      <c r="E41" s="257"/>
      <c r="F41" s="36" t="s">
        <v>46</v>
      </c>
      <c r="G41" s="62"/>
      <c r="H41" s="62"/>
      <c r="I41" s="62"/>
      <c r="J41" s="62"/>
      <c r="K41" s="62"/>
      <c r="L41" s="64"/>
      <c r="M41" s="42"/>
      <c r="N41" s="3"/>
      <c r="O41" s="3"/>
      <c r="P41" s="10">
        <v>0.21</v>
      </c>
      <c r="Q41" s="10">
        <v>0.2</v>
      </c>
      <c r="R41" s="10" t="s">
        <v>57</v>
      </c>
      <c r="S41" s="3"/>
    </row>
    <row r="42" spans="2:21" ht="40.5">
      <c r="B42" s="83" t="s">
        <v>94</v>
      </c>
      <c r="C42" s="44" t="s">
        <v>28</v>
      </c>
      <c r="D42" s="254">
        <f>IF(C27=1,VLOOKUP(Y2,AA24:AF28,5),IF(C27=2,VLOOKUP(Y2,AA24:AF28,5),IF(C27=3,VLOOKUP(Y2,AA24:AF28,5),IF(C27=4,VLOOKUP(Y2,AA24:AF28,5),IF(C27=5,VLOOKUP(Y2,AA24:AF28,5))))))</f>
        <v>40</v>
      </c>
      <c r="E42" s="255"/>
      <c r="F42" s="36" t="s">
        <v>46</v>
      </c>
      <c r="G42" s="62"/>
      <c r="H42" s="62"/>
      <c r="I42" s="62"/>
      <c r="J42" s="62"/>
      <c r="K42" s="62"/>
      <c r="L42" s="121"/>
      <c r="M42" s="42"/>
      <c r="N42" s="3"/>
      <c r="O42" s="16" t="s">
        <v>59</v>
      </c>
      <c r="P42" s="10">
        <v>0.22</v>
      </c>
      <c r="Q42" s="10">
        <v>0.2</v>
      </c>
      <c r="R42" s="10" t="s">
        <v>57</v>
      </c>
      <c r="S42" s="3"/>
    </row>
    <row r="43" spans="2:21" ht="41.25" thickBot="1">
      <c r="B43" s="45" t="s">
        <v>92</v>
      </c>
      <c r="C43" s="46" t="s">
        <v>28</v>
      </c>
      <c r="D43" s="258">
        <f>IF(C27=1,VLOOKUP(Y2,AA24:AF28,6),IF(C27=2,VLOOKUP(Y2,AA24:AF28,6),IF(C27=3,VLOOKUP(Y2,AA24:AF28,6),IF(C27=4,VLOOKUP(Y2,AA24:AF28,6),IF(C27=5,VLOOKUP(Y2,AA24:AF28,6))))))</f>
        <v>15</v>
      </c>
      <c r="E43" s="259"/>
      <c r="F43" s="37" t="s">
        <v>46</v>
      </c>
      <c r="G43" s="58"/>
      <c r="H43" s="58"/>
      <c r="I43" s="58"/>
      <c r="J43" s="58"/>
      <c r="K43" s="58"/>
      <c r="L43" s="92"/>
      <c r="M43" s="59"/>
      <c r="N43" s="3"/>
      <c r="O43" s="17" t="s">
        <v>60</v>
      </c>
      <c r="P43" s="10">
        <v>0.23</v>
      </c>
      <c r="Q43" s="10">
        <v>0.2</v>
      </c>
      <c r="R43" s="10" t="s">
        <v>57</v>
      </c>
      <c r="S43" s="3"/>
    </row>
    <row r="44" spans="2:21" ht="51.75">
      <c r="B44" s="85" t="s">
        <v>125</v>
      </c>
      <c r="C44" s="86"/>
      <c r="D44" s="87"/>
      <c r="E44" s="63"/>
      <c r="F44" s="62"/>
      <c r="G44" s="62"/>
      <c r="H44" s="88"/>
      <c r="I44" s="82"/>
      <c r="J44" s="89"/>
      <c r="K44" s="62"/>
      <c r="L44" s="62"/>
      <c r="M44" s="42"/>
      <c r="N44" s="3"/>
      <c r="O44" s="3"/>
      <c r="P44" s="10">
        <v>0.24</v>
      </c>
      <c r="Q44" s="10">
        <v>0.2</v>
      </c>
      <c r="R44" s="10" t="s">
        <v>57</v>
      </c>
      <c r="S44" s="3"/>
      <c r="T44">
        <f>(6*E54*100)/(K28*2.54*D40)</f>
        <v>113.8937007874016</v>
      </c>
    </row>
    <row r="45" spans="2:21" ht="45">
      <c r="B45" s="55" t="s">
        <v>167</v>
      </c>
      <c r="C45" s="65"/>
      <c r="D45" s="64" t="s">
        <v>28</v>
      </c>
      <c r="E45" s="172">
        <v>900</v>
      </c>
      <c r="F45" s="65" t="s">
        <v>126</v>
      </c>
      <c r="G45" s="62"/>
      <c r="M45" s="42"/>
      <c r="N45" s="3"/>
      <c r="O45" s="3"/>
      <c r="P45" s="10">
        <v>0.25</v>
      </c>
      <c r="Q45" s="10">
        <v>0.25</v>
      </c>
      <c r="R45" s="10" t="s">
        <v>63</v>
      </c>
      <c r="S45" s="3"/>
      <c r="T45">
        <f>SQRT(T44)/2.54</f>
        <v>4.2016138481737118</v>
      </c>
    </row>
    <row r="46" spans="2:21" ht="45">
      <c r="B46" s="55" t="s">
        <v>132</v>
      </c>
      <c r="C46" s="65"/>
      <c r="D46" s="64" t="s">
        <v>28</v>
      </c>
      <c r="E46" s="172">
        <v>1100</v>
      </c>
      <c r="F46" s="65" t="s">
        <v>126</v>
      </c>
      <c r="G46" s="62"/>
      <c r="M46" s="42"/>
      <c r="N46" s="3"/>
      <c r="O46" s="3"/>
      <c r="P46" s="10">
        <v>0.26</v>
      </c>
      <c r="Q46" s="10">
        <v>0.25</v>
      </c>
      <c r="R46" s="10" t="s">
        <v>63</v>
      </c>
      <c r="S46" s="3"/>
    </row>
    <row r="47" spans="2:21" ht="45">
      <c r="B47" s="55" t="s">
        <v>114</v>
      </c>
      <c r="C47" s="65"/>
      <c r="D47" s="64" t="s">
        <v>28</v>
      </c>
      <c r="E47" s="180">
        <v>20</v>
      </c>
      <c r="F47" s="65" t="s">
        <v>126</v>
      </c>
      <c r="G47" s="62"/>
      <c r="M47" s="42"/>
      <c r="N47" s="3"/>
      <c r="O47" s="3"/>
      <c r="P47" s="10">
        <v>0.27</v>
      </c>
      <c r="Q47" s="10">
        <v>0.25</v>
      </c>
      <c r="R47" s="10" t="s">
        <v>63</v>
      </c>
      <c r="S47" s="3"/>
    </row>
    <row r="48" spans="2:21" ht="45">
      <c r="B48" s="55" t="s">
        <v>101</v>
      </c>
      <c r="C48" s="65"/>
      <c r="D48" s="64" t="s">
        <v>28</v>
      </c>
      <c r="E48" s="67">
        <f>(E36*2.54*E45)/100</f>
        <v>22.86</v>
      </c>
      <c r="F48" s="65" t="s">
        <v>126</v>
      </c>
      <c r="G48" s="62"/>
      <c r="M48" s="42"/>
      <c r="N48" s="3"/>
      <c r="O48" s="3"/>
      <c r="P48" s="10">
        <v>0.28000000000000003</v>
      </c>
      <c r="Q48" s="10">
        <v>0.25</v>
      </c>
      <c r="R48" s="10" t="s">
        <v>63</v>
      </c>
      <c r="S48" s="3"/>
    </row>
    <row r="49" spans="1:19" ht="45">
      <c r="B49" s="55" t="s">
        <v>61</v>
      </c>
      <c r="C49" s="65"/>
      <c r="D49" s="64" t="s">
        <v>28</v>
      </c>
      <c r="E49" s="180">
        <v>150</v>
      </c>
      <c r="F49" s="65" t="s">
        <v>126</v>
      </c>
      <c r="G49" s="62"/>
      <c r="M49" s="42"/>
      <c r="N49" s="3"/>
      <c r="P49" s="10">
        <v>0.28999999999999998</v>
      </c>
      <c r="Q49" s="10">
        <v>0.25</v>
      </c>
      <c r="R49" s="10" t="s">
        <v>63</v>
      </c>
      <c r="S49" s="3"/>
    </row>
    <row r="50" spans="1:19" ht="45">
      <c r="B50" s="55" t="s">
        <v>105</v>
      </c>
      <c r="C50" s="65"/>
      <c r="D50" s="64" t="s">
        <v>28</v>
      </c>
      <c r="E50" s="67">
        <f>E48+E49</f>
        <v>172.86</v>
      </c>
      <c r="F50" s="65" t="s">
        <v>126</v>
      </c>
      <c r="G50" s="62"/>
      <c r="M50" s="42"/>
      <c r="N50" s="3"/>
      <c r="O50" s="3" t="e">
        <f>ROUND(#REF!*100*X29,2)</f>
        <v>#REF!</v>
      </c>
      <c r="P50" s="10">
        <v>0.3</v>
      </c>
      <c r="Q50" s="10">
        <v>0.3</v>
      </c>
      <c r="R50" s="10" t="s">
        <v>66</v>
      </c>
      <c r="S50" s="3"/>
    </row>
    <row r="51" spans="1:19" ht="39.75">
      <c r="B51" s="55" t="s">
        <v>103</v>
      </c>
      <c r="C51" s="65"/>
      <c r="D51" s="64" t="s">
        <v>28</v>
      </c>
      <c r="E51" s="68">
        <f>E50*E31</f>
        <v>86.43</v>
      </c>
      <c r="F51" s="65" t="s">
        <v>62</v>
      </c>
      <c r="G51" s="62"/>
      <c r="H51" s="62"/>
      <c r="I51" s="62"/>
      <c r="J51" s="62"/>
      <c r="K51" s="62"/>
      <c r="L51" s="62"/>
      <c r="M51" s="42"/>
      <c r="N51" s="3"/>
      <c r="O51" s="3" t="e">
        <v>#REF!</v>
      </c>
      <c r="P51" s="10">
        <v>0.31</v>
      </c>
      <c r="Q51" s="10">
        <v>0.3</v>
      </c>
      <c r="R51" s="10" t="s">
        <v>66</v>
      </c>
      <c r="S51" s="3"/>
    </row>
    <row r="52" spans="1:19" ht="40.5">
      <c r="B52" s="80" t="s">
        <v>102</v>
      </c>
      <c r="C52" s="81"/>
      <c r="D52" s="64" t="s">
        <v>28</v>
      </c>
      <c r="E52" s="181">
        <v>10</v>
      </c>
      <c r="F52" s="65" t="s">
        <v>62</v>
      </c>
      <c r="G52" s="69"/>
      <c r="H52" s="70"/>
      <c r="I52" s="62"/>
      <c r="J52" s="62"/>
      <c r="K52" s="62"/>
      <c r="L52" s="62"/>
      <c r="M52" s="42"/>
      <c r="N52" s="3"/>
      <c r="O52" s="3" t="e">
        <v>#REF!</v>
      </c>
      <c r="P52" s="10">
        <v>0.32</v>
      </c>
      <c r="Q52" s="10">
        <v>0.3</v>
      </c>
      <c r="R52" s="10" t="s">
        <v>66</v>
      </c>
      <c r="S52" s="3"/>
    </row>
    <row r="53" spans="1:19" ht="39.75">
      <c r="B53" s="55" t="s">
        <v>104</v>
      </c>
      <c r="C53" s="65"/>
      <c r="D53" s="64" t="s">
        <v>28</v>
      </c>
      <c r="E53" s="67">
        <f>E51+E52</f>
        <v>96.43</v>
      </c>
      <c r="F53" s="65" t="s">
        <v>62</v>
      </c>
      <c r="G53" s="62"/>
      <c r="H53" s="62"/>
      <c r="I53" s="62"/>
      <c r="J53" s="62"/>
      <c r="K53" s="62"/>
      <c r="L53" s="62"/>
      <c r="M53" s="42"/>
      <c r="N53" s="3"/>
      <c r="O53" s="3"/>
      <c r="P53" s="10">
        <v>0.33</v>
      </c>
      <c r="Q53" s="10">
        <v>0.3</v>
      </c>
      <c r="R53" s="10" t="s">
        <v>66</v>
      </c>
      <c r="S53" s="3"/>
    </row>
    <row r="54" spans="1:19" ht="39.75">
      <c r="B54" s="55" t="s">
        <v>64</v>
      </c>
      <c r="C54" s="65"/>
      <c r="D54" s="64" t="s">
        <v>28</v>
      </c>
      <c r="E54" s="71">
        <f>E53*E29^2/8</f>
        <v>108.48375000000001</v>
      </c>
      <c r="F54" s="65" t="s">
        <v>65</v>
      </c>
      <c r="G54" s="72"/>
      <c r="H54" s="62"/>
      <c r="I54" s="62"/>
      <c r="J54" s="62"/>
      <c r="K54" s="62"/>
      <c r="L54" s="62"/>
      <c r="M54" s="42"/>
      <c r="N54" s="3"/>
      <c r="O54" s="3"/>
      <c r="P54" s="10">
        <v>0.34</v>
      </c>
      <c r="Q54" s="10">
        <v>0.3</v>
      </c>
      <c r="R54" s="10" t="s">
        <v>66</v>
      </c>
      <c r="S54" s="3"/>
    </row>
    <row r="55" spans="1:19" ht="42.75">
      <c r="B55" s="55" t="s">
        <v>127</v>
      </c>
      <c r="C55" s="65"/>
      <c r="D55" s="64" t="s">
        <v>28</v>
      </c>
      <c r="E55" s="67">
        <f>(E53*E29)/2</f>
        <v>144.64500000000001</v>
      </c>
      <c r="F55" s="65" t="s">
        <v>72</v>
      </c>
      <c r="G55" s="74"/>
      <c r="H55" s="62"/>
      <c r="I55" s="62"/>
      <c r="J55" s="62"/>
      <c r="K55" s="62"/>
      <c r="L55" s="62"/>
      <c r="M55" s="42"/>
      <c r="N55" s="3"/>
      <c r="O55" s="3"/>
      <c r="P55" s="10">
        <v>0.35</v>
      </c>
      <c r="Q55" s="10">
        <v>0.35</v>
      </c>
      <c r="R55" s="10" t="s">
        <v>68</v>
      </c>
      <c r="S55" s="3"/>
    </row>
    <row r="56" spans="1:19" ht="39.75">
      <c r="B56" s="56" t="s">
        <v>108</v>
      </c>
      <c r="C56" s="73"/>
      <c r="D56" s="64" t="s">
        <v>28</v>
      </c>
      <c r="E56" s="67">
        <f>T45</f>
        <v>4.2016138481737118</v>
      </c>
      <c r="F56" s="65" t="s">
        <v>109</v>
      </c>
      <c r="G56" s="62"/>
      <c r="H56" s="62"/>
      <c r="I56" s="62"/>
      <c r="J56" s="62"/>
      <c r="K56" s="62"/>
      <c r="L56" s="62"/>
      <c r="M56" s="42"/>
      <c r="N56" s="3"/>
      <c r="O56" s="3"/>
      <c r="P56" s="10">
        <v>0.36</v>
      </c>
      <c r="Q56" s="10">
        <v>0.35</v>
      </c>
      <c r="R56" s="10" t="s">
        <v>68</v>
      </c>
      <c r="S56" s="3"/>
    </row>
    <row r="57" spans="1:19" ht="41.25" thickBot="1">
      <c r="A57" s="7"/>
      <c r="B57" s="57" t="s">
        <v>111</v>
      </c>
      <c r="C57" s="75"/>
      <c r="D57" s="66" t="s">
        <v>28</v>
      </c>
      <c r="E57" s="76">
        <f>ROUNDUP(E56,0)</f>
        <v>5</v>
      </c>
      <c r="F57" s="65" t="s">
        <v>109</v>
      </c>
      <c r="G57" s="62"/>
      <c r="H57" s="62"/>
      <c r="I57" s="62"/>
      <c r="J57" s="62"/>
      <c r="K57" s="62"/>
      <c r="L57" s="62"/>
      <c r="M57" s="42"/>
      <c r="N57" s="3"/>
      <c r="O57" s="3"/>
      <c r="P57" s="10">
        <v>0.37</v>
      </c>
      <c r="Q57" s="10">
        <v>0.35</v>
      </c>
      <c r="R57" s="10" t="s">
        <v>68</v>
      </c>
      <c r="S57" s="3"/>
    </row>
    <row r="58" spans="1:19" ht="34.5" customHeight="1">
      <c r="A58" s="7"/>
      <c r="B58" s="39" t="s">
        <v>67</v>
      </c>
      <c r="C58" s="201" t="str">
        <f>IF(E64&gt;E63,"OK","NOT OK สมมุติน้ำหนักตงไม้ใหม่")</f>
        <v>OK</v>
      </c>
      <c r="D58" s="202"/>
      <c r="E58" s="202"/>
      <c r="F58" s="203"/>
      <c r="G58" s="62"/>
      <c r="H58" s="62"/>
      <c r="I58" s="62"/>
      <c r="J58" s="62"/>
      <c r="K58" s="62"/>
      <c r="L58" s="62"/>
      <c r="M58" s="42"/>
      <c r="N58" s="3"/>
      <c r="O58" s="3"/>
      <c r="P58" s="10">
        <v>0.38</v>
      </c>
      <c r="Q58" s="10">
        <v>0.35</v>
      </c>
      <c r="R58" s="10" t="s">
        <v>68</v>
      </c>
      <c r="S58" s="3"/>
    </row>
    <row r="59" spans="1:19" ht="35.25" customHeight="1" thickBot="1">
      <c r="A59" s="7"/>
      <c r="B59" s="39"/>
      <c r="C59" s="204"/>
      <c r="D59" s="205"/>
      <c r="E59" s="205"/>
      <c r="F59" s="206"/>
      <c r="G59" s="62"/>
      <c r="H59" s="62"/>
      <c r="I59" s="62"/>
      <c r="J59" s="62"/>
      <c r="K59" s="62"/>
      <c r="L59" s="62"/>
      <c r="M59" s="42"/>
      <c r="N59" s="3"/>
      <c r="O59" s="3"/>
      <c r="P59" s="10">
        <v>0.39</v>
      </c>
      <c r="Q59" s="10">
        <v>0.35</v>
      </c>
      <c r="R59" s="10" t="s">
        <v>68</v>
      </c>
      <c r="S59" s="3"/>
    </row>
    <row r="60" spans="1:19" ht="25.5" customHeight="1" thickBot="1">
      <c r="A60" s="7"/>
      <c r="B60" s="41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9"/>
      <c r="N60" s="3"/>
      <c r="O60" s="3"/>
      <c r="P60" s="10">
        <v>0.4</v>
      </c>
      <c r="Q60" s="10">
        <v>0.4</v>
      </c>
      <c r="R60" s="10" t="s">
        <v>69</v>
      </c>
      <c r="S60" s="3"/>
    </row>
    <row r="61" spans="1:19" ht="58.15" customHeight="1" thickBot="1">
      <c r="A61" s="18"/>
      <c r="B61" s="207" t="s">
        <v>112</v>
      </c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9"/>
      <c r="N61" s="3"/>
      <c r="O61" s="3"/>
      <c r="P61" s="10">
        <v>0.41</v>
      </c>
      <c r="Q61" s="10">
        <v>0.4</v>
      </c>
      <c r="R61" s="10" t="s">
        <v>69</v>
      </c>
      <c r="S61" s="3"/>
    </row>
    <row r="62" spans="1:19" ht="52.5" thickBot="1">
      <c r="A62" s="19"/>
      <c r="B62" s="210" t="s">
        <v>113</v>
      </c>
      <c r="C62" s="211"/>
      <c r="D62" s="211"/>
      <c r="E62" s="211"/>
      <c r="F62" s="211"/>
      <c r="G62" s="211"/>
      <c r="H62" s="210" t="s">
        <v>116</v>
      </c>
      <c r="I62" s="211"/>
      <c r="J62" s="211"/>
      <c r="K62" s="211"/>
      <c r="L62" s="211"/>
      <c r="M62" s="212"/>
      <c r="N62" s="3"/>
      <c r="O62" s="3"/>
      <c r="P62" s="10">
        <v>0.42</v>
      </c>
      <c r="Q62" s="10">
        <v>0.4</v>
      </c>
      <c r="R62" s="10" t="s">
        <v>69</v>
      </c>
      <c r="S62" s="3"/>
    </row>
    <row r="63" spans="1:19" ht="40.9" customHeight="1">
      <c r="A63" s="19"/>
      <c r="B63" s="39" t="s">
        <v>113</v>
      </c>
      <c r="C63" s="62"/>
      <c r="D63" s="63" t="s">
        <v>28</v>
      </c>
      <c r="E63" s="63">
        <f>(K28*2.54*2.54*E46*K29)/(100*100)</f>
        <v>5.3225700000000007</v>
      </c>
      <c r="F63" s="62" t="s">
        <v>100</v>
      </c>
      <c r="G63" s="62"/>
      <c r="H63" s="39" t="s">
        <v>117</v>
      </c>
      <c r="I63" s="62"/>
      <c r="J63" s="63" t="s">
        <v>28</v>
      </c>
      <c r="K63" s="63">
        <f>(3*E55)/(2*K28*K29*2.54*2.54)</f>
        <v>4.4840039680079364</v>
      </c>
      <c r="L63" s="62" t="s">
        <v>100</v>
      </c>
      <c r="M63" s="42"/>
      <c r="N63" s="3"/>
      <c r="O63" s="3"/>
      <c r="P63" s="10">
        <v>0.43</v>
      </c>
      <c r="Q63" s="10">
        <v>0.4</v>
      </c>
      <c r="R63" s="10" t="s">
        <v>69</v>
      </c>
      <c r="S63" s="3"/>
    </row>
    <row r="64" spans="1:19" ht="39">
      <c r="B64" s="39" t="s">
        <v>102</v>
      </c>
      <c r="C64" s="62"/>
      <c r="D64" s="63" t="s">
        <v>28</v>
      </c>
      <c r="E64" s="63">
        <f>E52</f>
        <v>10</v>
      </c>
      <c r="F64" s="62" t="s">
        <v>100</v>
      </c>
      <c r="G64" s="62"/>
      <c r="H64" s="60" t="s">
        <v>92</v>
      </c>
      <c r="I64" s="62"/>
      <c r="J64" s="63" t="s">
        <v>28</v>
      </c>
      <c r="K64" s="77">
        <f>D43</f>
        <v>15</v>
      </c>
      <c r="L64" s="62" t="s">
        <v>100</v>
      </c>
      <c r="M64" s="42"/>
      <c r="N64" s="3"/>
      <c r="O64" s="3"/>
      <c r="P64" s="10">
        <v>0.44</v>
      </c>
      <c r="Q64" s="10">
        <v>0.4</v>
      </c>
      <c r="R64" s="10" t="s">
        <v>69</v>
      </c>
      <c r="S64" s="3"/>
    </row>
    <row r="65" spans="2:20" ht="35.25" thickBot="1">
      <c r="B65" s="39"/>
      <c r="C65" s="62"/>
      <c r="D65" s="63"/>
      <c r="E65" s="63"/>
      <c r="F65" s="62"/>
      <c r="G65" s="62"/>
      <c r="H65" s="39"/>
      <c r="I65" s="62"/>
      <c r="J65" s="63"/>
      <c r="K65" s="63"/>
      <c r="L65" s="62"/>
      <c r="M65" s="42"/>
      <c r="N65" s="3"/>
      <c r="O65" s="3"/>
      <c r="P65" s="10">
        <v>0.45</v>
      </c>
      <c r="Q65" s="10">
        <v>0.45</v>
      </c>
      <c r="R65" s="10" t="s">
        <v>70</v>
      </c>
      <c r="S65" s="3"/>
    </row>
    <row r="66" spans="2:20" ht="34.5">
      <c r="B66" s="39" t="s">
        <v>67</v>
      </c>
      <c r="C66" s="62"/>
      <c r="D66" s="195" t="str">
        <f>IF(E64&gt;E63," OK"," Not OK")</f>
        <v xml:space="preserve"> OK</v>
      </c>
      <c r="E66" s="196"/>
      <c r="F66" s="197"/>
      <c r="G66" s="62"/>
      <c r="H66" s="39" t="s">
        <v>67</v>
      </c>
      <c r="I66" s="62"/>
      <c r="J66" s="213" t="str">
        <f>IF(K64&gt;K63," OK"," Not OK")</f>
        <v xml:space="preserve"> OK</v>
      </c>
      <c r="K66" s="214"/>
      <c r="L66" s="215"/>
      <c r="M66" s="42"/>
      <c r="N66" s="3"/>
      <c r="O66" s="3"/>
      <c r="P66" s="10">
        <v>0.46</v>
      </c>
      <c r="Q66" s="10">
        <v>0.45</v>
      </c>
      <c r="R66" s="10" t="s">
        <v>70</v>
      </c>
      <c r="S66" s="3"/>
    </row>
    <row r="67" spans="2:20" ht="35.25" thickBot="1">
      <c r="B67" s="39"/>
      <c r="C67" s="62"/>
      <c r="D67" s="198"/>
      <c r="E67" s="199"/>
      <c r="F67" s="200"/>
      <c r="G67" s="62"/>
      <c r="H67" s="41"/>
      <c r="I67" s="58"/>
      <c r="J67" s="216"/>
      <c r="K67" s="217"/>
      <c r="L67" s="218"/>
      <c r="M67" s="59"/>
      <c r="N67" s="3"/>
      <c r="O67" s="3"/>
      <c r="P67" s="10">
        <v>0.47</v>
      </c>
      <c r="Q67" s="10">
        <v>0.45</v>
      </c>
      <c r="R67" s="10" t="s">
        <v>70</v>
      </c>
      <c r="S67" s="3"/>
    </row>
    <row r="68" spans="2:20" ht="52.5" thickBot="1">
      <c r="B68" s="210" t="s">
        <v>118</v>
      </c>
      <c r="C68" s="211"/>
      <c r="D68" s="211"/>
      <c r="E68" s="211"/>
      <c r="F68" s="211"/>
      <c r="G68" s="212"/>
      <c r="H68" s="210" t="s">
        <v>113</v>
      </c>
      <c r="I68" s="211"/>
      <c r="J68" s="211"/>
      <c r="K68" s="211"/>
      <c r="L68" s="211"/>
      <c r="M68" s="212"/>
      <c r="N68" s="3"/>
      <c r="O68" s="3"/>
      <c r="P68" s="10">
        <v>0.48</v>
      </c>
      <c r="Q68" s="10">
        <v>0.45</v>
      </c>
      <c r="R68" s="10" t="s">
        <v>70</v>
      </c>
      <c r="S68" s="3"/>
    </row>
    <row r="69" spans="2:20" ht="37.5">
      <c r="B69" s="111" t="s">
        <v>119</v>
      </c>
      <c r="C69" s="50"/>
      <c r="D69" s="49" t="s">
        <v>28</v>
      </c>
      <c r="E69" s="142">
        <f>E35</f>
        <v>2</v>
      </c>
      <c r="F69" s="50" t="s">
        <v>109</v>
      </c>
      <c r="G69" s="54"/>
      <c r="H69" s="50" t="s">
        <v>121</v>
      </c>
      <c r="I69" s="50"/>
      <c r="J69" s="49" t="s">
        <v>28</v>
      </c>
      <c r="K69" s="49">
        <f>((5*E53*(E29^4)*(100^4))/100)/(384*D39*((K28*(2.54^4)*(K29^3))/12))</f>
        <v>0.82740714891100031</v>
      </c>
      <c r="L69" s="50" t="s">
        <v>115</v>
      </c>
      <c r="M69" s="54"/>
      <c r="O69" s="3"/>
      <c r="P69" s="10">
        <v>0.49</v>
      </c>
      <c r="Q69" s="10">
        <v>0.45</v>
      </c>
      <c r="R69" s="10" t="s">
        <v>70</v>
      </c>
      <c r="S69" s="3"/>
    </row>
    <row r="70" spans="2:20" ht="39.75">
      <c r="B70" s="143" t="s">
        <v>164</v>
      </c>
      <c r="G70" s="125"/>
      <c r="H70" s="65" t="s">
        <v>123</v>
      </c>
      <c r="I70" s="62"/>
      <c r="J70" s="63" t="s">
        <v>28</v>
      </c>
      <c r="K70" s="63">
        <f>(E29*100)/300</f>
        <v>1</v>
      </c>
      <c r="L70" s="62" t="s">
        <v>115</v>
      </c>
      <c r="M70" s="42"/>
      <c r="O70" s="3"/>
      <c r="P70" s="10">
        <v>0.5</v>
      </c>
      <c r="Q70" s="10">
        <v>0.5</v>
      </c>
      <c r="R70" s="10" t="s">
        <v>71</v>
      </c>
      <c r="S70" s="30">
        <f>E29^4*(100^4)</f>
        <v>8100000000</v>
      </c>
      <c r="T70">
        <v>15</v>
      </c>
    </row>
    <row r="71" spans="2:20" ht="34.5">
      <c r="B71" s="119"/>
      <c r="G71" s="125"/>
      <c r="H71" s="62"/>
      <c r="I71" s="62"/>
      <c r="J71" s="63"/>
      <c r="K71" s="63"/>
      <c r="L71" s="62"/>
      <c r="M71" s="42"/>
      <c r="O71" s="3"/>
      <c r="P71" s="10">
        <v>0.51</v>
      </c>
      <c r="Q71" s="10">
        <v>0.5</v>
      </c>
      <c r="R71" s="10" t="s">
        <v>71</v>
      </c>
      <c r="S71" s="3" t="s">
        <v>122</v>
      </c>
      <c r="T71">
        <f>E69*2.54</f>
        <v>5.08</v>
      </c>
    </row>
    <row r="72" spans="2:20" ht="29.25" customHeight="1" thickBot="1">
      <c r="B72" s="39" t="s">
        <v>120</v>
      </c>
      <c r="C72" s="62"/>
      <c r="D72" s="63" t="s">
        <v>28</v>
      </c>
      <c r="E72" s="63">
        <f>(E55)/(K28*2.54*2.54*E69)</f>
        <v>7.4733399466798938</v>
      </c>
      <c r="F72" s="62" t="s">
        <v>100</v>
      </c>
      <c r="G72" s="42"/>
      <c r="H72" s="62" t="s">
        <v>67</v>
      </c>
      <c r="I72" s="62"/>
      <c r="J72" s="62"/>
      <c r="K72" s="78"/>
      <c r="L72" s="78"/>
      <c r="M72" s="42"/>
      <c r="O72" s="3"/>
      <c r="P72" s="10">
        <v>0.52</v>
      </c>
      <c r="Q72" s="10">
        <v>0.5</v>
      </c>
      <c r="R72" s="10" t="s">
        <v>71</v>
      </c>
      <c r="S72" s="3"/>
      <c r="T72" t="str">
        <f>IF(T71&lt;T70,"&lt;","&gt;")</f>
        <v>&lt;</v>
      </c>
    </row>
    <row r="73" spans="2:20" ht="30" customHeight="1">
      <c r="B73" s="39" t="s">
        <v>138</v>
      </c>
      <c r="C73" s="62"/>
      <c r="D73" s="63" t="s">
        <v>28</v>
      </c>
      <c r="E73" s="77">
        <f>IF(T72="&lt;",T73,D42)</f>
        <v>47.480314960629926</v>
      </c>
      <c r="F73" s="62" t="s">
        <v>100</v>
      </c>
      <c r="G73" s="42"/>
      <c r="H73" s="62"/>
      <c r="I73" s="62"/>
      <c r="J73" s="195" t="str">
        <f>IF(K70&gt;K69," OK"," Not OK")</f>
        <v xml:space="preserve"> OK</v>
      </c>
      <c r="K73" s="196"/>
      <c r="L73" s="197"/>
      <c r="M73" s="42"/>
      <c r="O73" s="3"/>
      <c r="P73" s="10">
        <v>0.53</v>
      </c>
      <c r="Q73" s="10">
        <v>0.5</v>
      </c>
      <c r="R73" s="10" t="s">
        <v>71</v>
      </c>
      <c r="S73" s="3"/>
      <c r="T73">
        <f>(((E69*2.54)+0.95)/(E69*2.54))*D42</f>
        <v>47.480314960629926</v>
      </c>
    </row>
    <row r="74" spans="2:20" ht="24" customHeight="1" thickBot="1">
      <c r="B74" s="39"/>
      <c r="C74" s="62"/>
      <c r="D74" s="63"/>
      <c r="E74" s="63"/>
      <c r="F74" s="62"/>
      <c r="G74" s="42"/>
      <c r="H74" s="58"/>
      <c r="I74" s="58"/>
      <c r="J74" s="198"/>
      <c r="K74" s="199"/>
      <c r="L74" s="200"/>
      <c r="M74" s="59"/>
      <c r="O74" s="3"/>
      <c r="P74" s="10">
        <v>0.54</v>
      </c>
      <c r="Q74" s="10">
        <v>0.5</v>
      </c>
      <c r="R74" s="10" t="s">
        <v>71</v>
      </c>
      <c r="S74" s="3"/>
    </row>
    <row r="75" spans="2:20" ht="24" customHeight="1">
      <c r="B75" s="39" t="s">
        <v>67</v>
      </c>
      <c r="C75" s="62"/>
      <c r="D75" s="195" t="str">
        <f>IF(E73&gt;E72," OK"," Not OK")</f>
        <v xml:space="preserve"> OK</v>
      </c>
      <c r="E75" s="196"/>
      <c r="F75" s="197"/>
      <c r="G75" s="42"/>
      <c r="N75" s="20"/>
      <c r="O75" s="3"/>
      <c r="P75" s="10">
        <v>0.55000000000000004</v>
      </c>
      <c r="Q75" s="10">
        <v>0.55000000000000004</v>
      </c>
      <c r="R75" s="10" t="s">
        <v>73</v>
      </c>
      <c r="S75" s="3"/>
    </row>
    <row r="76" spans="2:20" ht="24" customHeight="1" thickBot="1">
      <c r="B76" s="41"/>
      <c r="C76" s="58"/>
      <c r="D76" s="198"/>
      <c r="E76" s="199"/>
      <c r="F76" s="200"/>
      <c r="G76" s="59"/>
      <c r="N76" s="20"/>
      <c r="O76" s="3"/>
      <c r="P76" s="10">
        <v>0.56000000000000005</v>
      </c>
      <c r="Q76" s="10">
        <v>0.55000000000000004</v>
      </c>
      <c r="R76" s="10" t="s">
        <v>73</v>
      </c>
      <c r="S76" s="3"/>
    </row>
    <row r="77" spans="2:20" ht="24" customHeight="1">
      <c r="N77" s="20"/>
      <c r="O77" s="3"/>
      <c r="P77" s="10">
        <v>0.56999999999999995</v>
      </c>
      <c r="Q77" s="10">
        <v>0.55000000000000004</v>
      </c>
      <c r="R77" s="10" t="s">
        <v>73</v>
      </c>
      <c r="S77" s="3"/>
    </row>
    <row r="78" spans="2:20" ht="24" customHeight="1">
      <c r="N78" s="20"/>
      <c r="O78" s="3"/>
      <c r="P78" s="10">
        <v>0.57999999999999996</v>
      </c>
      <c r="Q78" s="10">
        <v>0.55000000000000004</v>
      </c>
      <c r="R78" s="10" t="s">
        <v>73</v>
      </c>
      <c r="S78" s="3"/>
    </row>
    <row r="79" spans="2:20" ht="24" customHeight="1">
      <c r="B79" s="21"/>
      <c r="C79" s="21"/>
      <c r="D79" s="22"/>
      <c r="E79" s="22"/>
      <c r="F79" s="22"/>
      <c r="G79" s="22"/>
      <c r="H79" s="22"/>
      <c r="I79" s="21"/>
      <c r="J79" s="21"/>
      <c r="K79" s="21"/>
      <c r="L79" s="21"/>
      <c r="M79" s="21"/>
      <c r="N79" s="21"/>
      <c r="O79" s="3"/>
      <c r="P79" s="10">
        <v>0.59</v>
      </c>
      <c r="Q79" s="10">
        <v>0.55000000000000004</v>
      </c>
      <c r="R79" s="10" t="s">
        <v>73</v>
      </c>
      <c r="S79" s="3"/>
    </row>
    <row r="80" spans="2:20" ht="24" customHeight="1">
      <c r="B80" s="21"/>
      <c r="C80" s="21"/>
      <c r="D80" s="23"/>
      <c r="E80" s="23"/>
      <c r="F80" s="23"/>
      <c r="G80" s="23"/>
      <c r="H80" s="23"/>
      <c r="I80" s="21"/>
      <c r="J80" s="21"/>
      <c r="K80" s="21"/>
      <c r="L80" s="21"/>
      <c r="M80" s="21"/>
      <c r="N80" s="21"/>
      <c r="O80" s="3"/>
      <c r="P80" s="24">
        <v>0.6</v>
      </c>
      <c r="Q80" s="10">
        <v>0.6</v>
      </c>
      <c r="R80" s="10" t="s">
        <v>74</v>
      </c>
      <c r="S80" s="3"/>
    </row>
    <row r="81" spans="8:18" ht="24" customHeight="1">
      <c r="P81" s="10">
        <v>0.61</v>
      </c>
      <c r="Q81" s="10">
        <v>0.6</v>
      </c>
      <c r="R81" s="10" t="s">
        <v>74</v>
      </c>
    </row>
    <row r="82" spans="8:18" ht="24" customHeight="1">
      <c r="P82" s="10">
        <v>0.62</v>
      </c>
      <c r="Q82" s="10">
        <v>0.6</v>
      </c>
      <c r="R82" s="10" t="s">
        <v>74</v>
      </c>
    </row>
    <row r="83" spans="8:18" ht="24" customHeight="1">
      <c r="P83" s="10">
        <v>0.63</v>
      </c>
      <c r="Q83" s="10">
        <v>0.6</v>
      </c>
      <c r="R83" s="10" t="s">
        <v>74</v>
      </c>
    </row>
    <row r="84" spans="8:18" ht="24" customHeight="1">
      <c r="P84" s="10">
        <v>0.64</v>
      </c>
      <c r="Q84" s="10">
        <v>0.65</v>
      </c>
      <c r="R84" s="10" t="s">
        <v>74</v>
      </c>
    </row>
    <row r="85" spans="8:18" ht="24" customHeight="1"/>
    <row r="86" spans="8:18" ht="24" customHeight="1"/>
    <row r="87" spans="8:18" ht="24" customHeight="1"/>
    <row r="88" spans="8:18" ht="24" customHeight="1"/>
    <row r="89" spans="8:18" ht="24" customHeight="1"/>
    <row r="90" spans="8:18" ht="24" customHeight="1"/>
    <row r="91" spans="8:18" ht="24" customHeight="1"/>
    <row r="92" spans="8:18" ht="24" customHeight="1">
      <c r="H92" s="246"/>
      <c r="I92" s="246"/>
      <c r="J92" s="246"/>
      <c r="K92" s="246"/>
      <c r="L92" s="246"/>
      <c r="M92" s="246"/>
      <c r="N92" s="246"/>
      <c r="P92" s="10">
        <v>0.72</v>
      </c>
      <c r="Q92" s="10">
        <v>0.72</v>
      </c>
      <c r="R92" s="10" t="s">
        <v>75</v>
      </c>
    </row>
    <row r="93" spans="8:18" ht="24" customHeight="1">
      <c r="P93" s="10">
        <v>0.73</v>
      </c>
      <c r="Q93" s="10">
        <v>0.73</v>
      </c>
      <c r="R93" s="10" t="s">
        <v>75</v>
      </c>
    </row>
    <row r="94" spans="8:18" ht="24" customHeight="1">
      <c r="P94" s="10">
        <v>0.74</v>
      </c>
      <c r="Q94" s="10">
        <v>0.74</v>
      </c>
      <c r="R94" s="10" t="s">
        <v>75</v>
      </c>
    </row>
    <row r="95" spans="8:18" ht="24" customHeight="1">
      <c r="P95" s="10">
        <v>0.75</v>
      </c>
      <c r="Q95" s="10">
        <v>0.75</v>
      </c>
      <c r="R95" s="10" t="s">
        <v>76</v>
      </c>
    </row>
    <row r="96" spans="8:18" ht="24" customHeight="1">
      <c r="P96" s="10">
        <v>0.76</v>
      </c>
      <c r="Q96" s="10">
        <v>0.76</v>
      </c>
      <c r="R96" s="10" t="s">
        <v>76</v>
      </c>
    </row>
    <row r="97" spans="16:18" ht="24" customHeight="1">
      <c r="P97" s="10">
        <v>0.77</v>
      </c>
      <c r="Q97" s="10">
        <v>0.77</v>
      </c>
      <c r="R97" s="10" t="s">
        <v>76</v>
      </c>
    </row>
    <row r="98" spans="16:18" ht="24" customHeight="1">
      <c r="P98" s="10">
        <v>0.78</v>
      </c>
      <c r="Q98" s="10">
        <v>0.78</v>
      </c>
      <c r="R98" s="10" t="s">
        <v>76</v>
      </c>
    </row>
    <row r="99" spans="16:18" ht="24" customHeight="1">
      <c r="P99" s="10">
        <v>0.79</v>
      </c>
      <c r="Q99" s="10">
        <v>0.79</v>
      </c>
      <c r="R99" s="10" t="s">
        <v>76</v>
      </c>
    </row>
    <row r="100" spans="16:18" ht="24" customHeight="1">
      <c r="P100" s="10">
        <v>0.8</v>
      </c>
      <c r="Q100" s="10">
        <v>0.8</v>
      </c>
      <c r="R100" s="10" t="s">
        <v>77</v>
      </c>
    </row>
    <row r="101" spans="16:18" ht="24" customHeight="1"/>
  </sheetData>
  <sheetProtection algorithmName="SHA-512" hashValue="R2nIKUyx8IoKRFjxrHj6sF3xqp7Gl3stpWonNXsLer0qmxJ7t+gCpyFvup5y1btBfNap6aDbcnjXe25KuWvn8A==" saltValue="jgMddv4DmI52y7VfTCfqrA==" spinCount="100000" sheet="1" objects="1" scenarios="1"/>
  <mergeCells count="52">
    <mergeCell ref="D75:F76"/>
    <mergeCell ref="I31:J31"/>
    <mergeCell ref="I32:J32"/>
    <mergeCell ref="I33:J33"/>
    <mergeCell ref="I34:J34"/>
    <mergeCell ref="I35:J35"/>
    <mergeCell ref="L31:M31"/>
    <mergeCell ref="L32:M32"/>
    <mergeCell ref="L33:M33"/>
    <mergeCell ref="L34:M34"/>
    <mergeCell ref="AF30:AI30"/>
    <mergeCell ref="H92:N92"/>
    <mergeCell ref="P17:Q17"/>
    <mergeCell ref="P18:Q18"/>
    <mergeCell ref="B2:M2"/>
    <mergeCell ref="P15:Q15"/>
    <mergeCell ref="B21:D21"/>
    <mergeCell ref="D39:E39"/>
    <mergeCell ref="D40:E40"/>
    <mergeCell ref="D41:E41"/>
    <mergeCell ref="D42:E42"/>
    <mergeCell ref="D43:E43"/>
    <mergeCell ref="K28:M28"/>
    <mergeCell ref="K29:M29"/>
    <mergeCell ref="B38:F38"/>
    <mergeCell ref="C22:D22"/>
    <mergeCell ref="C23:D23"/>
    <mergeCell ref="AB21:AB22"/>
    <mergeCell ref="AC21:AC22"/>
    <mergeCell ref="AD21:AE21"/>
    <mergeCell ref="AF21:AF22"/>
    <mergeCell ref="AA21:AA23"/>
    <mergeCell ref="C25:D25"/>
    <mergeCell ref="C24:D24"/>
    <mergeCell ref="C26:D26"/>
    <mergeCell ref="K27:M27"/>
    <mergeCell ref="H27:J27"/>
    <mergeCell ref="H28:J28"/>
    <mergeCell ref="H29:J29"/>
    <mergeCell ref="H30:I30"/>
    <mergeCell ref="J73:L74"/>
    <mergeCell ref="C58:F59"/>
    <mergeCell ref="B61:M61"/>
    <mergeCell ref="D66:F67"/>
    <mergeCell ref="H62:M62"/>
    <mergeCell ref="J66:L67"/>
    <mergeCell ref="B68:G68"/>
    <mergeCell ref="H68:M68"/>
    <mergeCell ref="B62:G62"/>
    <mergeCell ref="I37:J38"/>
    <mergeCell ref="K37:M38"/>
    <mergeCell ref="L35:M35"/>
  </mergeCells>
  <conditionalFormatting sqref="C58">
    <cfRule type="containsText" dxfId="127" priority="67" operator="containsText" text="OK">
      <formula>NOT(ISERROR(SEARCH("OK",C58)))</formula>
    </cfRule>
    <cfRule type="containsText" dxfId="126" priority="68" operator="containsText" text="NOT OK">
      <formula>NOT(ISERROR(SEARCH("NOT OK",C58)))</formula>
    </cfRule>
    <cfRule type="cellIs" dxfId="125" priority="69" operator="equal">
      <formula>"M &lt; Mc , ไม่ต้องคำนวณเหล็กรับแรงอัด"</formula>
    </cfRule>
    <cfRule type="containsText" dxfId="124" priority="70" operator="containsText" text="≧">
      <formula>NOT(ISERROR(SEARCH("≧",C58)))</formula>
    </cfRule>
  </conditionalFormatting>
  <conditionalFormatting sqref="C58:F59">
    <cfRule type="containsText" dxfId="123" priority="47" operator="containsText" text="NOT OK สมมุติน้ำหนักตงไม้ใหม่">
      <formula>NOT(ISERROR(SEARCH("NOT OK สมมุติน้ำหนักตงไม้ใหม่",C58)))</formula>
    </cfRule>
  </conditionalFormatting>
  <conditionalFormatting sqref="D66">
    <cfRule type="cellIs" dxfId="122" priority="58" operator="equal">
      <formula>"A &lt; As, Not OK"</formula>
    </cfRule>
    <cfRule type="cellIs" dxfId="121" priority="59" operator="equal">
      <formula>"A &gt; As, OK"</formula>
    </cfRule>
  </conditionalFormatting>
  <conditionalFormatting sqref="D75">
    <cfRule type="containsText" dxfId="120" priority="30" operator="containsText" text="Not OK">
      <formula>NOT(ISERROR(SEARCH("Not OK",D75)))</formula>
    </cfRule>
    <cfRule type="containsText" dxfId="119" priority="37" operator="containsText" text="ok">
      <formula>NOT(ISERROR(SEARCH("ok",D75)))</formula>
    </cfRule>
    <cfRule type="containsText" dxfId="118" priority="38" operator="containsText" text="Not OK">
      <formula>NOT(ISERROR(SEARCH("Not OK",D75)))</formula>
    </cfRule>
    <cfRule type="cellIs" dxfId="117" priority="39" operator="equal">
      <formula>"A &lt; As, Not OK"</formula>
    </cfRule>
    <cfRule type="cellIs" dxfId="116" priority="40" operator="equal">
      <formula>"A &gt; As, OK"</formula>
    </cfRule>
  </conditionalFormatting>
  <conditionalFormatting sqref="D66:F67 K72:L72 J73">
    <cfRule type="containsText" dxfId="115" priority="46" operator="containsText" text="Not OK">
      <formula>NOT(ISERROR(SEARCH("Not OK",D66)))</formula>
    </cfRule>
  </conditionalFormatting>
  <conditionalFormatting sqref="D66:F67">
    <cfRule type="containsText" dxfId="114" priority="32" operator="containsText" text="Not OK">
      <formula>NOT(ISERROR(SEARCH("Not OK",D66)))</formula>
    </cfRule>
  </conditionalFormatting>
  <conditionalFormatting sqref="J66">
    <cfRule type="cellIs" dxfId="113" priority="43" operator="equal">
      <formula>"A &lt; As, Not OK"</formula>
    </cfRule>
    <cfRule type="cellIs" dxfId="112" priority="44" operator="equal">
      <formula>"A &gt; As, OK"</formula>
    </cfRule>
  </conditionalFormatting>
  <conditionalFormatting sqref="J73 D66:F67 K72:L72">
    <cfRule type="containsText" dxfId="111" priority="45" operator="containsText" text="ok">
      <formula>NOT(ISERROR(SEARCH("ok",D66)))</formula>
    </cfRule>
  </conditionalFormatting>
  <conditionalFormatting sqref="J73">
    <cfRule type="cellIs" dxfId="110" priority="35" operator="equal">
      <formula>"A &lt; As, Not OK"</formula>
    </cfRule>
    <cfRule type="cellIs" dxfId="109" priority="36" operator="equal">
      <formula>"A &gt; As, OK"</formula>
    </cfRule>
  </conditionalFormatting>
  <conditionalFormatting sqref="J66:L67">
    <cfRule type="containsText" dxfId="108" priority="31" operator="containsText" text="Not OK">
      <formula>NOT(ISERROR(SEARCH("Not OK",J66)))</formula>
    </cfRule>
    <cfRule type="containsText" dxfId="107" priority="41" operator="containsText" text="ok">
      <formula>NOT(ISERROR(SEARCH("ok",J66)))</formula>
    </cfRule>
    <cfRule type="containsText" dxfId="106" priority="42" operator="containsText" text="Not OK">
      <formula>NOT(ISERROR(SEARCH("Not OK",J66)))</formula>
    </cfRule>
  </conditionalFormatting>
  <conditionalFormatting sqref="J73:L74">
    <cfRule type="containsText" dxfId="105" priority="29" operator="containsText" text="Not OK">
      <formula>NOT(ISERROR(SEARCH("Not OK",J73)))</formula>
    </cfRule>
  </conditionalFormatting>
  <conditionalFormatting sqref="K30">
    <cfRule type="cellIs" dxfId="104" priority="80" operator="equal">
      <formula>"NOT OK"</formula>
    </cfRule>
    <cfRule type="cellIs" dxfId="103" priority="81" operator="equal">
      <formula>"OK"</formula>
    </cfRule>
  </conditionalFormatting>
  <conditionalFormatting sqref="L31">
    <cfRule type="containsText" dxfId="102" priority="17" operator="containsText" text="NOT OK เพิ่มความยาวฐานราก">
      <formula>NOT(ISERROR(SEARCH("NOT OK เพิ่มความยาวฐานราก",L31)))</formula>
    </cfRule>
    <cfRule type="containsText" dxfId="101" priority="18" operator="containsText" text="ok">
      <formula>NOT(ISERROR(SEARCH("ok",L31)))</formula>
    </cfRule>
    <cfRule type="containsText" dxfId="100" priority="19" operator="containsText" text="NOT OK เพิ่มความยาวฐานราก">
      <formula>NOT(ISERROR(SEARCH("NOT OK เพิ่มความยาวฐานราก",L31)))</formula>
    </cfRule>
    <cfRule type="containsText" dxfId="99" priority="20" operator="containsText" text="ok">
      <formula>NOT(ISERROR(SEARCH("ok",L31)))</formula>
    </cfRule>
  </conditionalFormatting>
  <conditionalFormatting sqref="L31:L33 N31:O33">
    <cfRule type="containsText" dxfId="98" priority="5" operator="containsText" text="Not OK">
      <formula>NOT(ISERROR(SEARCH("Not OK",L31)))</formula>
    </cfRule>
  </conditionalFormatting>
  <conditionalFormatting sqref="L32 N32:O32">
    <cfRule type="containsText" dxfId="97" priority="8" operator="containsText" text="ok">
      <formula>NOT(ISERROR(SEARCH("ok",L32)))</formula>
    </cfRule>
  </conditionalFormatting>
  <conditionalFormatting sqref="L32">
    <cfRule type="containsText" dxfId="96" priority="27" operator="containsText" text="&lt; ">
      <formula>NOT(ISERROR(SEARCH("&lt; ",L32)))</formula>
    </cfRule>
    <cfRule type="containsText" dxfId="95" priority="28" operator="containsText" text="≧">
      <formula>NOT(ISERROR(SEARCH("≧",L32)))</formula>
    </cfRule>
  </conditionalFormatting>
  <conditionalFormatting sqref="L32:L33 N33:O33">
    <cfRule type="containsText" dxfId="94" priority="24" operator="containsText" text="Vc &gt; V , OK">
      <formula>NOT(ISERROR(SEARCH("Vc &gt; V , OK",L32)))</formula>
    </cfRule>
  </conditionalFormatting>
  <conditionalFormatting sqref="L32:L35 N35:O35">
    <cfRule type="containsText" dxfId="93" priority="9" operator="containsText" text="Vc &lt; V ,เพิ่มความหนาฐานราก">
      <formula>NOT(ISERROR(SEARCH("Vc &lt; V ,เพิ่มความหนาฐานราก",L32)))</formula>
    </cfRule>
  </conditionalFormatting>
  <conditionalFormatting sqref="L33 N33:O33">
    <cfRule type="containsText" dxfId="92" priority="4" operator="containsText" text="OK">
      <formula>NOT(ISERROR(SEARCH("OK",L33)))</formula>
    </cfRule>
  </conditionalFormatting>
  <conditionalFormatting sqref="L33">
    <cfRule type="containsText" dxfId="91" priority="25" operator="containsText" text="&lt;">
      <formula>NOT(ISERROR(SEARCH("&lt;",L33)))</formula>
    </cfRule>
    <cfRule type="containsText" dxfId="90" priority="26" operator="containsText" text="&gt;">
      <formula>NOT(ISERROR(SEARCH("&gt;",L33)))</formula>
    </cfRule>
  </conditionalFormatting>
  <conditionalFormatting sqref="L33:L35 N35:O35">
    <cfRule type="containsText" dxfId="89" priority="12" operator="containsText" text="Vc &gt; V , OK">
      <formula>NOT(ISERROR(SEARCH("Vc &gt; V , OK",L33)))</formula>
    </cfRule>
  </conditionalFormatting>
  <conditionalFormatting sqref="L34">
    <cfRule type="containsText" dxfId="88" priority="15" operator="containsText" text="&lt; ">
      <formula>NOT(ISERROR(SEARCH("&lt; ",L34)))</formula>
    </cfRule>
    <cfRule type="containsText" dxfId="87" priority="16" operator="containsText" text="≧">
      <formula>NOT(ISERROR(SEARCH("≧",L34)))</formula>
    </cfRule>
  </conditionalFormatting>
  <conditionalFormatting sqref="L34:L35 N34:O35">
    <cfRule type="containsText" dxfId="86" priority="1" operator="containsText" text="ok">
      <formula>NOT(ISERROR(SEARCH("ok",L34)))</formula>
    </cfRule>
  </conditionalFormatting>
  <conditionalFormatting sqref="L34:L35 N35:O35">
    <cfRule type="containsText" dxfId="85" priority="11" operator="containsText" text="Vc &lt; V ,เพิ่มขนาดเสาตอม่อ">
      <formula>NOT(ISERROR(SEARCH("Vc &lt; V ,เพิ่มขนาดเสาตอม่อ",L34)))</formula>
    </cfRule>
  </conditionalFormatting>
  <conditionalFormatting sqref="L35 N35:O35">
    <cfRule type="containsText" dxfId="84" priority="2" operator="containsText" text="ok">
      <formula>NOT(ISERROR(SEARCH("ok",L35)))</formula>
    </cfRule>
    <cfRule type="containsText" dxfId="83" priority="10" operator="containsText" text="Vc &gt; V , OK">
      <formula>NOT(ISERROR(SEARCH("Vc &gt; V , OK",L35)))</formula>
    </cfRule>
  </conditionalFormatting>
  <conditionalFormatting sqref="L35">
    <cfRule type="containsText" dxfId="82" priority="13" operator="containsText" text="&lt;">
      <formula>NOT(ISERROR(SEARCH("&lt;",L35)))</formula>
    </cfRule>
    <cfRule type="containsText" dxfId="81" priority="14" operator="containsText" text="&gt;">
      <formula>NOT(ISERROR(SEARCH("&gt;",L35)))</formula>
    </cfRule>
  </conditionalFormatting>
  <conditionalFormatting sqref="N33:O33 L32:L33">
    <cfRule type="containsText" dxfId="80" priority="23" operator="containsText" text="Vc &lt; V ,เพิ่มขนาดเสาตอม่อ">
      <formula>NOT(ISERROR(SEARCH("Vc &lt; V ,เพิ่มขนาดเสาตอม่อ",L32)))</formula>
    </cfRule>
  </conditionalFormatting>
  <conditionalFormatting sqref="N33:O33">
    <cfRule type="containsText" dxfId="79" priority="21" operator="containsText" text="Vc &lt; V ,เพิ่มความหนาฐานราก">
      <formula>NOT(ISERROR(SEARCH("Vc &lt; V ,เพิ่มความหนาฐานราก",N33)))</formula>
    </cfRule>
    <cfRule type="containsText" dxfId="78" priority="22" operator="containsText" text="Vc &gt; V , OK">
      <formula>NOT(ISERROR(SEARCH("Vc &gt; V , OK",N33)))</formula>
    </cfRule>
  </conditionalFormatting>
  <conditionalFormatting sqref="R15:T18">
    <cfRule type="cellIs" dxfId="77" priority="82" operator="equal">
      <formula>"Error"</formula>
    </cfRule>
  </conditionalFormatting>
  <dataValidations count="1">
    <dataValidation type="list" allowBlank="1" showInputMessage="1" showErrorMessage="1" sqref="C27" xr:uid="{63D04E70-4222-4C30-AAB9-302298CD1C7D}">
      <formula1>$B$22:$B$26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42B3B-A29E-4754-93B3-FE6432BE1D5B}">
  <sheetPr>
    <tabColor rgb="FF92D050"/>
    <pageSetUpPr fitToPage="1"/>
  </sheetPr>
  <dimension ref="A1:AG101"/>
  <sheetViews>
    <sheetView showGridLines="0" topLeftCell="A9" zoomScale="55" zoomScaleNormal="55" workbookViewId="0">
      <selection activeCell="H23" sqref="H23"/>
    </sheetView>
  </sheetViews>
  <sheetFormatPr defaultColWidth="10.6640625" defaultRowHeight="15"/>
  <cols>
    <col min="2" max="2" width="15" customWidth="1"/>
    <col min="3" max="3" width="27.44140625" customWidth="1"/>
    <col min="4" max="4" width="10.88671875" customWidth="1"/>
    <col min="5" max="5" width="11" customWidth="1"/>
    <col min="6" max="6" width="8" customWidth="1"/>
    <col min="7" max="7" width="13.33203125" customWidth="1"/>
    <col min="8" max="8" width="12.6640625" customWidth="1"/>
    <col min="9" max="10" width="15.5546875" customWidth="1"/>
    <col min="11" max="11" width="13.21875" customWidth="1"/>
    <col min="12" max="12" width="11.109375" customWidth="1"/>
    <col min="13" max="13" width="20.21875" customWidth="1"/>
    <col min="14" max="14" width="7.21875" hidden="1" customWidth="1"/>
    <col min="15" max="15" width="15.21875" hidden="1" customWidth="1"/>
    <col min="16" max="16" width="16.88671875" hidden="1" customWidth="1"/>
    <col min="17" max="17" width="0.77734375" hidden="1" customWidth="1"/>
    <col min="18" max="18" width="9.109375" hidden="1" customWidth="1"/>
    <col min="19" max="19" width="14.5546875" hidden="1" customWidth="1"/>
    <col min="20" max="20" width="16.44140625" hidden="1" customWidth="1"/>
    <col min="21" max="21" width="19.33203125" hidden="1" customWidth="1"/>
    <col min="22" max="22" width="2.6640625" hidden="1" customWidth="1"/>
    <col min="23" max="24" width="9" hidden="1" customWidth="1"/>
    <col min="25" max="25" width="2.109375" hidden="1" customWidth="1"/>
    <col min="26" max="26" width="1.77734375" customWidth="1"/>
    <col min="27" max="27" width="19.33203125" customWidth="1"/>
    <col min="28" max="28" width="14.5546875" customWidth="1"/>
    <col min="29" max="29" width="15.33203125" customWidth="1"/>
    <col min="30" max="30" width="15.44140625" customWidth="1"/>
    <col min="31" max="31" width="15.21875" customWidth="1"/>
    <col min="32" max="32" width="18.109375" customWidth="1"/>
    <col min="33" max="33" width="6.33203125" hidden="1" customWidth="1"/>
    <col min="34" max="34" width="1.33203125" customWidth="1"/>
  </cols>
  <sheetData>
    <row r="1" spans="2:25" ht="21" thickBot="1">
      <c r="P1" s="1" t="s">
        <v>0</v>
      </c>
      <c r="Q1" s="2">
        <v>22</v>
      </c>
    </row>
    <row r="2" spans="2:25" ht="93.75" customHeight="1" thickBot="1">
      <c r="B2" s="249" t="s">
        <v>180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1"/>
      <c r="P2" s="1" t="s">
        <v>1</v>
      </c>
      <c r="Q2" s="2">
        <v>10</v>
      </c>
      <c r="R2" s="3" t="s">
        <v>2</v>
      </c>
      <c r="S2" s="3"/>
      <c r="Y2">
        <f>C27</f>
        <v>5</v>
      </c>
    </row>
    <row r="3" spans="2:25" ht="32.25" customHeight="1">
      <c r="B3" s="353"/>
      <c r="C3" s="354"/>
      <c r="D3" s="354"/>
      <c r="E3" s="355"/>
      <c r="F3" s="354"/>
      <c r="G3" s="354"/>
      <c r="H3" s="354"/>
      <c r="I3" s="354"/>
      <c r="J3" s="354"/>
      <c r="K3" s="354"/>
      <c r="L3" s="354"/>
      <c r="M3" s="355"/>
      <c r="P3" s="1" t="s">
        <v>3</v>
      </c>
      <c r="Q3" s="4">
        <v>1</v>
      </c>
      <c r="R3" s="3" t="s">
        <v>2</v>
      </c>
      <c r="S3" s="3" t="s">
        <v>170</v>
      </c>
    </row>
    <row r="4" spans="2:25" ht="24">
      <c r="B4" s="27"/>
      <c r="C4" s="342"/>
      <c r="D4" s="342"/>
      <c r="E4" s="26"/>
      <c r="F4" s="342"/>
      <c r="G4" s="342"/>
      <c r="H4" s="342"/>
      <c r="I4" s="342"/>
      <c r="J4" s="342"/>
      <c r="K4" s="342"/>
      <c r="L4" s="342"/>
      <c r="M4" s="26"/>
      <c r="P4" s="1" t="s">
        <v>4</v>
      </c>
      <c r="Q4" s="4">
        <v>0.92</v>
      </c>
      <c r="R4" s="3" t="s">
        <v>2</v>
      </c>
      <c r="S4" s="3" t="s">
        <v>170</v>
      </c>
    </row>
    <row r="5" spans="2:25" ht="24">
      <c r="B5" s="27"/>
      <c r="C5" s="342"/>
      <c r="D5" s="342"/>
      <c r="E5" s="26"/>
      <c r="F5" s="342"/>
      <c r="G5" s="342"/>
      <c r="H5" s="342"/>
      <c r="I5" s="342"/>
      <c r="J5" s="342"/>
      <c r="K5" s="342"/>
      <c r="L5" s="342"/>
      <c r="M5" s="26"/>
      <c r="P5" s="1" t="s">
        <v>5</v>
      </c>
      <c r="Q5" s="2">
        <v>0.09</v>
      </c>
      <c r="R5" s="3" t="s">
        <v>2</v>
      </c>
      <c r="S5" s="3" t="str">
        <f>ROUNDUP(E57,0)&amp;" Kg"</f>
        <v>681 Kg</v>
      </c>
    </row>
    <row r="6" spans="2:25" ht="24">
      <c r="B6" s="27"/>
      <c r="C6" s="342"/>
      <c r="D6" s="342"/>
      <c r="E6" s="26"/>
      <c r="F6" s="342"/>
      <c r="G6" s="342"/>
      <c r="H6" s="342"/>
      <c r="I6" s="342"/>
      <c r="J6" s="342"/>
      <c r="K6" s="342"/>
      <c r="L6" s="342"/>
      <c r="M6" s="26"/>
      <c r="P6" s="1" t="s">
        <v>6</v>
      </c>
      <c r="Q6" s="4">
        <v>0.05</v>
      </c>
      <c r="R6" s="3" t="s">
        <v>2</v>
      </c>
      <c r="S6" s="3" t="str">
        <f>ROUNDUP(E56,0)&amp;" Kg-m"</f>
        <v>681 Kg-m</v>
      </c>
    </row>
    <row r="7" spans="2:25" ht="24">
      <c r="B7" s="27"/>
      <c r="C7" s="342"/>
      <c r="D7" s="342"/>
      <c r="E7" s="26"/>
      <c r="F7" s="342"/>
      <c r="G7" s="342"/>
      <c r="H7" s="342"/>
      <c r="I7" s="342"/>
      <c r="J7" s="342"/>
      <c r="K7" s="342"/>
      <c r="L7" s="342"/>
      <c r="M7" s="26"/>
      <c r="P7" s="1" t="s">
        <v>7</v>
      </c>
      <c r="Q7" s="4">
        <v>0.7</v>
      </c>
      <c r="R7" s="3" t="s">
        <v>2</v>
      </c>
      <c r="S7" s="3" t="str">
        <f>ROUNDUP(E29,0)&amp;"   m"</f>
        <v>3   m</v>
      </c>
    </row>
    <row r="8" spans="2:25" ht="24">
      <c r="B8" s="27"/>
      <c r="C8" s="342"/>
      <c r="D8" s="342"/>
      <c r="E8" s="26"/>
      <c r="F8" s="342"/>
      <c r="G8" s="342"/>
      <c r="H8" s="342"/>
      <c r="I8" s="342"/>
      <c r="J8" s="342"/>
      <c r="K8" s="342"/>
      <c r="L8" s="342"/>
      <c r="M8" s="26"/>
      <c r="P8" s="3" t="str">
        <f>ROUNDUP(E31,0)&amp;"   m"</f>
        <v>1   m</v>
      </c>
      <c r="S8" s="3" t="str">
        <f>ROUNDUP(E28,2)&amp;"   m"</f>
        <v>4   m</v>
      </c>
      <c r="U8" s="3" t="str">
        <f>ROUNDUP(E33,2)&amp;"   m"</f>
        <v>3   m</v>
      </c>
    </row>
    <row r="9" spans="2:25" ht="24">
      <c r="B9" s="27"/>
      <c r="C9" s="342"/>
      <c r="D9" s="342"/>
      <c r="E9" s="26"/>
      <c r="F9" s="342"/>
      <c r="G9" s="342"/>
      <c r="H9" s="342"/>
      <c r="I9" s="342"/>
      <c r="J9" s="342"/>
      <c r="K9" s="342"/>
      <c r="L9" s="342"/>
      <c r="M9" s="26"/>
      <c r="P9" s="5" t="s">
        <v>8</v>
      </c>
      <c r="Q9" s="5" t="s">
        <v>9</v>
      </c>
      <c r="R9" s="5" t="s">
        <v>10</v>
      </c>
      <c r="S9" s="5" t="s">
        <v>11</v>
      </c>
    </row>
    <row r="10" spans="2:25" ht="24">
      <c r="B10" s="27"/>
      <c r="C10" s="342"/>
      <c r="D10" s="342"/>
      <c r="E10" s="26"/>
      <c r="F10" s="342"/>
      <c r="G10" s="342"/>
      <c r="H10" s="342"/>
      <c r="I10" s="342"/>
      <c r="J10" s="342"/>
      <c r="K10" s="342"/>
      <c r="L10" s="342"/>
      <c r="M10" s="26"/>
      <c r="N10" s="3"/>
      <c r="O10" s="3" t="s">
        <v>175</v>
      </c>
      <c r="P10" s="5" t="s">
        <v>12</v>
      </c>
      <c r="Q10" s="5">
        <v>2400</v>
      </c>
      <c r="R10" s="5">
        <v>1200</v>
      </c>
      <c r="S10" s="5">
        <v>2.5000000000000001E-3</v>
      </c>
      <c r="T10">
        <f>14/Q10</f>
        <v>5.8333333333333336E-3</v>
      </c>
    </row>
    <row r="11" spans="2:25" ht="24">
      <c r="B11" s="27"/>
      <c r="C11" s="342"/>
      <c r="D11" s="342"/>
      <c r="E11" s="26"/>
      <c r="F11" s="342"/>
      <c r="G11" s="342"/>
      <c r="H11" s="342"/>
      <c r="I11" s="342"/>
      <c r="J11" s="342"/>
      <c r="K11" s="342"/>
      <c r="L11" s="342"/>
      <c r="M11" s="26"/>
      <c r="N11" s="3"/>
      <c r="O11" s="3"/>
      <c r="P11" s="5" t="s">
        <v>13</v>
      </c>
      <c r="Q11" s="5">
        <v>4000</v>
      </c>
      <c r="R11" s="5">
        <v>1700</v>
      </c>
      <c r="S11" s="5">
        <v>1.8E-3</v>
      </c>
      <c r="T11">
        <f>14/Q11</f>
        <v>3.5000000000000001E-3</v>
      </c>
    </row>
    <row r="12" spans="2:25" ht="24">
      <c r="B12" s="27"/>
      <c r="C12" s="342"/>
      <c r="D12" s="342"/>
      <c r="E12" s="26"/>
      <c r="F12" s="342"/>
      <c r="G12" s="342"/>
      <c r="H12" s="342"/>
      <c r="I12" s="342"/>
      <c r="J12" s="342"/>
      <c r="K12" s="342"/>
      <c r="L12" s="342"/>
      <c r="M12" s="26"/>
      <c r="N12" s="3"/>
      <c r="O12" s="3"/>
      <c r="P12" s="5" t="s">
        <v>14</v>
      </c>
      <c r="Q12" s="5">
        <v>3000</v>
      </c>
      <c r="R12" s="5">
        <v>1500</v>
      </c>
      <c r="S12" s="5">
        <f>(0.0018*4000)/Q12</f>
        <v>2.4000000000000002E-3</v>
      </c>
      <c r="T12">
        <f>14/Q12</f>
        <v>4.6666666666666671E-3</v>
      </c>
    </row>
    <row r="13" spans="2:25" ht="24">
      <c r="B13" s="27"/>
      <c r="C13" s="342"/>
      <c r="D13" s="342"/>
      <c r="E13" s="26"/>
      <c r="F13" s="342"/>
      <c r="G13" s="342"/>
      <c r="H13" s="342"/>
      <c r="I13" s="342"/>
      <c r="J13" s="342"/>
      <c r="K13" s="342"/>
      <c r="L13" s="342"/>
      <c r="M13" s="26"/>
      <c r="N13" s="3"/>
      <c r="O13" s="3"/>
      <c r="P13" s="3" t="s">
        <v>176</v>
      </c>
      <c r="Q13" s="3"/>
      <c r="R13" s="3"/>
      <c r="S13" s="3"/>
    </row>
    <row r="14" spans="2:25" ht="21.75" customHeight="1">
      <c r="B14" s="27"/>
      <c r="C14" s="342"/>
      <c r="D14" s="342"/>
      <c r="E14" s="26"/>
      <c r="F14" s="342"/>
      <c r="G14" s="342"/>
      <c r="H14" s="342"/>
      <c r="I14" s="342"/>
      <c r="J14" s="342"/>
      <c r="K14" s="342"/>
      <c r="L14" s="342"/>
      <c r="M14" s="26"/>
      <c r="N14" s="3"/>
      <c r="O14" s="3"/>
      <c r="P14" s="3"/>
      <c r="Q14" s="3"/>
      <c r="R14" s="5" t="s">
        <v>15</v>
      </c>
      <c r="S14" s="5" t="s">
        <v>16</v>
      </c>
      <c r="T14" s="6" t="s">
        <v>17</v>
      </c>
    </row>
    <row r="15" spans="2:25" ht="24">
      <c r="B15" s="27"/>
      <c r="C15" s="342"/>
      <c r="D15" s="342"/>
      <c r="E15" s="26"/>
      <c r="F15" s="342"/>
      <c r="G15" s="342"/>
      <c r="H15" s="342"/>
      <c r="I15" s="342"/>
      <c r="J15" s="342"/>
      <c r="K15" s="342"/>
      <c r="L15" s="342"/>
      <c r="M15" s="26"/>
      <c r="N15" s="3"/>
      <c r="O15" s="3"/>
      <c r="P15" s="247" t="s">
        <v>18</v>
      </c>
      <c r="Q15" s="248"/>
      <c r="R15" s="8" t="e">
        <f>IF(ROUNDDOWN(($E$29/H67),2)&gt;=0.81,"Error",ROUNDDOWN(($E$29/H67),2))</f>
        <v>#DIV/0!</v>
      </c>
      <c r="S15" s="9" t="e">
        <f>VLOOKUP(R15,P21:R81,2,0)</f>
        <v>#DIV/0!</v>
      </c>
      <c r="T15" s="9" t="s">
        <v>92</v>
      </c>
    </row>
    <row r="16" spans="2:25" ht="31.5" customHeight="1">
      <c r="B16" s="27"/>
      <c r="C16" s="342"/>
      <c r="D16" s="342"/>
      <c r="E16" s="26"/>
      <c r="F16" s="342"/>
      <c r="G16" s="342"/>
      <c r="H16" s="342"/>
      <c r="I16" s="342"/>
      <c r="J16" s="342"/>
      <c r="K16" s="342"/>
      <c r="L16" s="342"/>
      <c r="M16" s="26"/>
      <c r="N16" s="3"/>
      <c r="O16" s="3"/>
      <c r="P16" s="10"/>
      <c r="Q16" s="10" t="s">
        <v>19</v>
      </c>
      <c r="R16" s="8">
        <v>0.5</v>
      </c>
      <c r="S16" s="11">
        <f>IF(R16=0,0,(VLOOKUP(R16,P22:R80,2,0)))</f>
        <v>0.5</v>
      </c>
      <c r="T16" s="9" t="s">
        <v>173</v>
      </c>
    </row>
    <row r="17" spans="2:33" ht="34.5" customHeight="1">
      <c r="B17" s="27"/>
      <c r="C17" s="342"/>
      <c r="D17" s="342"/>
      <c r="E17" s="26"/>
      <c r="F17" s="342"/>
      <c r="G17" s="342"/>
      <c r="H17" s="342"/>
      <c r="I17" s="342"/>
      <c r="J17" s="342"/>
      <c r="K17" s="342"/>
      <c r="L17" s="342"/>
      <c r="M17" s="26"/>
      <c r="N17" s="3"/>
      <c r="O17" s="3" t="s">
        <v>12</v>
      </c>
      <c r="P17" s="247" t="s">
        <v>20</v>
      </c>
      <c r="Q17" s="248"/>
      <c r="R17" s="8">
        <v>0.37</v>
      </c>
      <c r="S17" s="12">
        <f>VLOOKUP(R17,P22:R79,2,0)</f>
        <v>0.35</v>
      </c>
      <c r="T17" s="9" t="s">
        <v>173</v>
      </c>
    </row>
    <row r="18" spans="2:33" ht="24" customHeight="1">
      <c r="B18" s="27"/>
      <c r="C18" s="342"/>
      <c r="D18" s="342"/>
      <c r="E18" s="26"/>
      <c r="F18" s="342"/>
      <c r="G18" s="342"/>
      <c r="H18" s="342"/>
      <c r="I18" s="342"/>
      <c r="J18" s="342"/>
      <c r="K18" s="342"/>
      <c r="L18" s="342"/>
      <c r="M18" s="26"/>
      <c r="N18" s="3"/>
      <c r="O18" s="3" t="s">
        <v>12</v>
      </c>
      <c r="P18" s="247" t="s">
        <v>18</v>
      </c>
      <c r="Q18" s="248"/>
      <c r="R18" s="8" t="e">
        <f>IF(ROUNDDOWN(($E$29/H73),2)&gt;=0.81,"Error",ROUNDDOWN(($E$29/H73),2))</f>
        <v>#DIV/0!</v>
      </c>
      <c r="S18" s="9" t="e">
        <f>VLOOKUP(R18,P22:R81,2,0)</f>
        <v>#DIV/0!</v>
      </c>
      <c r="T18" s="9" t="s">
        <v>174</v>
      </c>
    </row>
    <row r="19" spans="2:33" ht="24">
      <c r="B19" s="27"/>
      <c r="C19" s="342"/>
      <c r="D19" s="342"/>
      <c r="E19" s="26"/>
      <c r="F19" s="342"/>
      <c r="G19" s="342"/>
      <c r="H19" s="342"/>
      <c r="I19" s="342"/>
      <c r="J19" s="342"/>
      <c r="K19" s="342"/>
      <c r="L19" s="342"/>
      <c r="M19" s="26"/>
      <c r="N19" s="3"/>
      <c r="O19" s="3" t="s">
        <v>21</v>
      </c>
      <c r="P19" s="3"/>
      <c r="Q19" s="3"/>
      <c r="R19" s="3"/>
      <c r="S19" s="3"/>
    </row>
    <row r="20" spans="2:33" ht="24.75" thickBot="1">
      <c r="B20" s="343"/>
      <c r="C20" s="344"/>
      <c r="D20" s="344"/>
      <c r="E20" s="345"/>
      <c r="F20" s="344"/>
      <c r="G20" s="344"/>
      <c r="H20" s="344"/>
      <c r="I20" s="344"/>
      <c r="J20" s="344"/>
      <c r="K20" s="344"/>
      <c r="L20" s="344"/>
      <c r="M20" s="345"/>
      <c r="N20" s="3"/>
      <c r="O20" s="3" t="s">
        <v>22</v>
      </c>
      <c r="P20" s="3"/>
      <c r="Q20" s="3"/>
      <c r="R20" s="3"/>
      <c r="S20" s="3"/>
    </row>
    <row r="21" spans="2:33" ht="69">
      <c r="B21" s="350" t="s">
        <v>95</v>
      </c>
      <c r="C21" s="351"/>
      <c r="D21" s="352"/>
      <c r="E21" s="61"/>
      <c r="F21" s="61"/>
      <c r="G21" s="61"/>
      <c r="H21" s="61"/>
      <c r="I21" s="61"/>
      <c r="J21" s="61"/>
      <c r="K21" s="61"/>
      <c r="L21" s="61"/>
      <c r="M21" s="25"/>
      <c r="N21" s="3"/>
      <c r="O21" s="3" t="s">
        <v>23</v>
      </c>
      <c r="P21" s="10" t="s">
        <v>15</v>
      </c>
      <c r="Q21" s="10" t="s">
        <v>16</v>
      </c>
      <c r="R21" s="10"/>
      <c r="S21" s="3"/>
      <c r="T21" s="1"/>
      <c r="U21" s="9" t="s">
        <v>24</v>
      </c>
      <c r="W21" s="9" t="s">
        <v>25</v>
      </c>
      <c r="X21" s="9" t="s">
        <v>26</v>
      </c>
      <c r="AA21" s="243" t="s">
        <v>78</v>
      </c>
      <c r="AB21" s="236" t="s">
        <v>79</v>
      </c>
      <c r="AC21" s="238" t="s">
        <v>80</v>
      </c>
      <c r="AD21" s="240" t="s">
        <v>81</v>
      </c>
      <c r="AE21" s="240"/>
      <c r="AF21" s="241" t="s">
        <v>84</v>
      </c>
    </row>
    <row r="22" spans="2:33" ht="41.25" thickBot="1">
      <c r="B22" s="29">
        <v>1</v>
      </c>
      <c r="C22" s="227" t="s">
        <v>85</v>
      </c>
      <c r="D22" s="228"/>
      <c r="E22" s="61"/>
      <c r="F22" s="61"/>
      <c r="G22" s="61"/>
      <c r="H22" s="61"/>
      <c r="I22" s="61"/>
      <c r="J22" s="61"/>
      <c r="K22" s="61"/>
      <c r="L22" s="61"/>
      <c r="M22" s="25"/>
      <c r="N22" s="3"/>
      <c r="O22" s="3"/>
      <c r="P22" s="10">
        <v>0</v>
      </c>
      <c r="Q22" s="10">
        <v>0</v>
      </c>
      <c r="R22" s="10" t="s">
        <v>30</v>
      </c>
      <c r="S22" s="3"/>
      <c r="T22" s="9" t="s">
        <v>31</v>
      </c>
      <c r="U22" s="9">
        <v>0.222</v>
      </c>
      <c r="W22" s="9">
        <v>6</v>
      </c>
      <c r="X22" s="9">
        <v>10</v>
      </c>
      <c r="AA22" s="244"/>
      <c r="AB22" s="237"/>
      <c r="AC22" s="239"/>
      <c r="AD22" s="109" t="s">
        <v>82</v>
      </c>
      <c r="AE22" s="109" t="s">
        <v>83</v>
      </c>
      <c r="AF22" s="242"/>
    </row>
    <row r="23" spans="2:33" ht="41.25" thickBot="1">
      <c r="B23" s="29">
        <v>2</v>
      </c>
      <c r="C23" s="227" t="s">
        <v>86</v>
      </c>
      <c r="D23" s="228"/>
      <c r="E23" s="61"/>
      <c r="F23" s="61"/>
      <c r="G23" s="61"/>
      <c r="H23" s="61"/>
      <c r="I23" s="61"/>
      <c r="J23" s="61"/>
      <c r="K23" s="61"/>
      <c r="L23" s="61"/>
      <c r="M23" s="25"/>
      <c r="N23" s="3"/>
      <c r="O23" s="3" t="e">
        <v>#DIV/0!</v>
      </c>
      <c r="P23" s="10">
        <v>0.03</v>
      </c>
      <c r="Q23" s="10">
        <v>0.03</v>
      </c>
      <c r="R23" s="10" t="s">
        <v>33</v>
      </c>
      <c r="S23" s="3"/>
      <c r="T23" s="9" t="s">
        <v>34</v>
      </c>
      <c r="U23" s="9">
        <v>0.499</v>
      </c>
      <c r="W23" s="9">
        <v>9</v>
      </c>
      <c r="X23" s="9">
        <v>12</v>
      </c>
      <c r="AA23" s="245"/>
      <c r="AB23" s="106" t="s">
        <v>90</v>
      </c>
      <c r="AC23" s="107" t="s">
        <v>91</v>
      </c>
      <c r="AD23" s="107" t="s">
        <v>93</v>
      </c>
      <c r="AE23" s="105" t="s">
        <v>94</v>
      </c>
      <c r="AF23" s="108" t="s">
        <v>92</v>
      </c>
    </row>
    <row r="24" spans="2:33" ht="39.75">
      <c r="B24" s="29">
        <v>3</v>
      </c>
      <c r="C24" s="227" t="s">
        <v>87</v>
      </c>
      <c r="D24" s="228"/>
      <c r="E24" s="61"/>
      <c r="F24" s="61"/>
      <c r="G24" s="61"/>
      <c r="H24" s="61"/>
      <c r="I24" s="61"/>
      <c r="J24" s="61"/>
      <c r="K24" s="61"/>
      <c r="L24" s="61"/>
      <c r="M24" s="25"/>
      <c r="N24" s="3"/>
      <c r="O24" s="3"/>
      <c r="P24" s="10">
        <v>0.04</v>
      </c>
      <c r="Q24" s="10">
        <v>0.04</v>
      </c>
      <c r="R24" s="10" t="s">
        <v>35</v>
      </c>
      <c r="S24" s="3"/>
      <c r="T24" s="9" t="s">
        <v>36</v>
      </c>
      <c r="U24" s="9">
        <v>0.88800000000000001</v>
      </c>
      <c r="W24" s="9">
        <v>12</v>
      </c>
      <c r="X24" s="9">
        <v>16</v>
      </c>
      <c r="AA24" s="34">
        <v>1</v>
      </c>
      <c r="AB24" s="104">
        <f>'TIMBER ตงไม้ '!AB24</f>
        <v>78900</v>
      </c>
      <c r="AC24" s="104">
        <f>'TIMBER ตงไม้ '!AC24</f>
        <v>60</v>
      </c>
      <c r="AD24" s="104">
        <f>'TIMBER ตงไม้ '!AD24</f>
        <v>45</v>
      </c>
      <c r="AE24" s="104">
        <f>'TIMBER ตงไม้ '!AE24</f>
        <v>12</v>
      </c>
      <c r="AF24" s="162">
        <f>'TIMBER ตงไม้ '!AF24</f>
        <v>6</v>
      </c>
    </row>
    <row r="25" spans="2:33" ht="39.75">
      <c r="B25" s="29">
        <v>4</v>
      </c>
      <c r="C25" s="227" t="s">
        <v>88</v>
      </c>
      <c r="D25" s="228"/>
      <c r="E25" s="61"/>
      <c r="F25" s="61"/>
      <c r="G25" s="61"/>
      <c r="H25" s="61"/>
      <c r="I25" s="61"/>
      <c r="J25" s="61"/>
      <c r="K25" s="61"/>
      <c r="L25" s="61"/>
      <c r="M25" s="25"/>
      <c r="N25" s="3"/>
      <c r="O25" s="3"/>
      <c r="P25" s="10">
        <v>0.05</v>
      </c>
      <c r="Q25" s="10">
        <v>0.05</v>
      </c>
      <c r="R25" s="10" t="s">
        <v>37</v>
      </c>
      <c r="S25" s="3"/>
      <c r="T25" s="9" t="s">
        <v>38</v>
      </c>
      <c r="U25" s="9">
        <v>1.387</v>
      </c>
      <c r="W25" s="9">
        <v>16</v>
      </c>
      <c r="X25" s="9">
        <v>20</v>
      </c>
      <c r="AA25" s="34">
        <v>2</v>
      </c>
      <c r="AB25" s="104">
        <f>'TIMBER ตงไม้ '!AB25</f>
        <v>94100</v>
      </c>
      <c r="AC25" s="104">
        <f>'TIMBER ตงไม้ '!AC25</f>
        <v>80</v>
      </c>
      <c r="AD25" s="104">
        <f>'TIMBER ตงไม้ '!AD25</f>
        <v>60</v>
      </c>
      <c r="AE25" s="104">
        <f>'TIMBER ตงไม้ '!AE25</f>
        <v>16</v>
      </c>
      <c r="AF25" s="162">
        <f>'TIMBER ตงไม้ '!AF25</f>
        <v>8</v>
      </c>
    </row>
    <row r="26" spans="2:33" ht="40.5" thickBot="1">
      <c r="B26" s="31">
        <v>5</v>
      </c>
      <c r="C26" s="229" t="s">
        <v>89</v>
      </c>
      <c r="D26" s="230"/>
      <c r="E26" s="28"/>
      <c r="F26" s="28"/>
      <c r="G26" s="28"/>
      <c r="H26" s="28"/>
      <c r="I26" s="28"/>
      <c r="J26" s="28"/>
      <c r="K26" s="28"/>
      <c r="L26" s="28"/>
      <c r="M26" s="32"/>
      <c r="N26" s="3"/>
      <c r="O26" s="3" t="b">
        <f>IF(C27=1,E28/20,IF(C27=2,E28/24,IF(C27=3,E28/28)))</f>
        <v>0</v>
      </c>
      <c r="P26" s="10">
        <v>0.06</v>
      </c>
      <c r="Q26" s="10">
        <v>0.06</v>
      </c>
      <c r="R26" s="10" t="s">
        <v>37</v>
      </c>
      <c r="S26" s="3"/>
      <c r="T26" s="9" t="s">
        <v>39</v>
      </c>
      <c r="U26" s="9">
        <v>0.88800000000000001</v>
      </c>
      <c r="W26" s="9">
        <v>20</v>
      </c>
      <c r="X26" s="9">
        <v>25</v>
      </c>
      <c r="AA26" s="34">
        <v>3</v>
      </c>
      <c r="AB26" s="104">
        <f>'TIMBER ตงไม้ '!AB26</f>
        <v>112300</v>
      </c>
      <c r="AC26" s="104">
        <f>'TIMBER ตงไม้ '!AC26</f>
        <v>100</v>
      </c>
      <c r="AD26" s="104">
        <f>'TIMBER ตงไม้ '!AD26</f>
        <v>75</v>
      </c>
      <c r="AE26" s="104">
        <f>'TIMBER ตงไม้ '!AE26</f>
        <v>22</v>
      </c>
      <c r="AF26" s="162">
        <f>'TIMBER ตงไม้ '!AF26</f>
        <v>10</v>
      </c>
    </row>
    <row r="27" spans="2:33" ht="69.75" thickBot="1">
      <c r="B27" s="90" t="s">
        <v>95</v>
      </c>
      <c r="C27" s="113">
        <f>'TIMBER ตงไม้ '!C27</f>
        <v>5</v>
      </c>
      <c r="D27" s="91"/>
      <c r="E27" s="91"/>
      <c r="F27" s="91"/>
      <c r="G27" s="91"/>
      <c r="H27" s="233"/>
      <c r="I27" s="234"/>
      <c r="J27" s="235"/>
      <c r="K27" s="231" t="s">
        <v>110</v>
      </c>
      <c r="L27" s="231"/>
      <c r="M27" s="232"/>
      <c r="N27" s="3"/>
      <c r="O27" s="3">
        <f>E28/20</f>
        <v>0.2</v>
      </c>
      <c r="P27" s="10">
        <v>7.0000000000000007E-2</v>
      </c>
      <c r="Q27" s="10">
        <v>7.0000000000000007E-2</v>
      </c>
      <c r="R27" s="10" t="s">
        <v>37</v>
      </c>
      <c r="S27" s="3"/>
      <c r="T27" s="9" t="s">
        <v>40</v>
      </c>
      <c r="U27" s="9">
        <v>1.5780000000000001</v>
      </c>
      <c r="W27" s="9">
        <v>25</v>
      </c>
      <c r="X27" s="9">
        <v>28</v>
      </c>
      <c r="AA27" s="34">
        <v>4</v>
      </c>
      <c r="AB27" s="104">
        <f>'TIMBER ตงไม้ '!AB27</f>
        <v>136300</v>
      </c>
      <c r="AC27" s="104">
        <f>'TIMBER ตงไม้ '!AC27</f>
        <v>120</v>
      </c>
      <c r="AD27" s="104">
        <f>'TIMBER ตงไม้ '!AD27</f>
        <v>90</v>
      </c>
      <c r="AE27" s="104">
        <f>'TIMBER ตงไม้ '!AE27</f>
        <v>30</v>
      </c>
      <c r="AF27" s="162">
        <f>'TIMBER ตงไม้ '!AF27</f>
        <v>12</v>
      </c>
    </row>
    <row r="28" spans="2:33" ht="52.5" thickBot="1">
      <c r="B28" s="38" t="s">
        <v>27</v>
      </c>
      <c r="C28" s="114"/>
      <c r="D28" s="115" t="s">
        <v>28</v>
      </c>
      <c r="E28" s="116">
        <f>'TIMBER ตงไม้ '!E28</f>
        <v>4</v>
      </c>
      <c r="F28" s="114" t="s">
        <v>29</v>
      </c>
      <c r="G28" s="117"/>
      <c r="H28" s="189" t="s">
        <v>162</v>
      </c>
      <c r="I28" s="190"/>
      <c r="J28" s="190"/>
      <c r="K28" s="281">
        <f>'TIMBER ตงไม้ '!E69</f>
        <v>2</v>
      </c>
      <c r="L28" s="281"/>
      <c r="M28" s="282"/>
      <c r="N28" s="3"/>
      <c r="O28" s="3">
        <f>ROUNDUP(O27,2)</f>
        <v>0.2</v>
      </c>
      <c r="P28" s="10">
        <v>0.08</v>
      </c>
      <c r="Q28" s="10">
        <v>0.08</v>
      </c>
      <c r="R28" s="10" t="s">
        <v>37</v>
      </c>
      <c r="S28" s="3"/>
      <c r="T28" s="9" t="s">
        <v>42</v>
      </c>
      <c r="U28" s="9">
        <v>2.4660000000000002</v>
      </c>
      <c r="X28" s="9">
        <v>32</v>
      </c>
      <c r="AA28" s="35">
        <v>5</v>
      </c>
      <c r="AB28" s="163">
        <f>'TIMBER ตงไม้ '!AB28</f>
        <v>189000</v>
      </c>
      <c r="AC28" s="163">
        <f>'TIMBER ตงไม้ '!AC28</f>
        <v>150</v>
      </c>
      <c r="AD28" s="163">
        <f>'TIMBER ตงไม้ '!AD28</f>
        <v>110</v>
      </c>
      <c r="AE28" s="163">
        <f>'TIMBER ตงไม้ '!AE28</f>
        <v>40</v>
      </c>
      <c r="AF28" s="164">
        <f>'TIMBER ตงไม้ '!AF28</f>
        <v>15</v>
      </c>
    </row>
    <row r="29" spans="2:33" ht="52.5" thickBot="1">
      <c r="B29" s="38" t="s">
        <v>32</v>
      </c>
      <c r="C29" s="114"/>
      <c r="D29" s="115" t="s">
        <v>28</v>
      </c>
      <c r="E29" s="116">
        <f>'TIMBER ตงไม้ '!E29</f>
        <v>3</v>
      </c>
      <c r="F29" s="114" t="s">
        <v>29</v>
      </c>
      <c r="G29" s="117"/>
      <c r="H29" s="191" t="s">
        <v>163</v>
      </c>
      <c r="I29" s="192"/>
      <c r="J29" s="192"/>
      <c r="K29" s="262">
        <f>E59</f>
        <v>10</v>
      </c>
      <c r="L29" s="262"/>
      <c r="M29" s="263"/>
      <c r="N29" s="3"/>
      <c r="O29" s="3" t="e">
        <f>E33-E32-((K28*0.0001)/2)</f>
        <v>#VALUE!</v>
      </c>
      <c r="P29" s="10">
        <v>0.09</v>
      </c>
      <c r="Q29" s="10">
        <v>0.09</v>
      </c>
      <c r="R29" s="10" t="s">
        <v>37</v>
      </c>
      <c r="S29" s="3"/>
      <c r="T29" s="9" t="s">
        <v>43</v>
      </c>
      <c r="U29" s="9">
        <v>3.8530000000000002</v>
      </c>
      <c r="W29" s="13"/>
      <c r="X29" s="13" t="e">
        <f>#REF!*100</f>
        <v>#REF!</v>
      </c>
      <c r="AG29" t="str">
        <f>""&amp;E33&amp;""" x "&amp;E33&amp;""""</f>
        <v>3" x 3"</v>
      </c>
    </row>
    <row r="30" spans="2:33" ht="38.25" thickBot="1">
      <c r="B30" s="84" t="s">
        <v>136</v>
      </c>
      <c r="D30" s="115" t="s">
        <v>28</v>
      </c>
      <c r="E30" s="116">
        <f>'TIMBER ตงไม้ '!E30</f>
        <v>2.5</v>
      </c>
      <c r="F30" s="114" t="s">
        <v>29</v>
      </c>
      <c r="G30" s="62"/>
      <c r="H30" s="193"/>
      <c r="I30" s="194"/>
      <c r="J30" s="63"/>
      <c r="K30" s="118"/>
      <c r="L30" s="118"/>
      <c r="M30" s="33"/>
      <c r="N30" s="3"/>
      <c r="O30" s="3" t="e">
        <f>ROUNDUP(O29,2)</f>
        <v>#VALUE!</v>
      </c>
      <c r="P30" s="10">
        <v>0.1</v>
      </c>
      <c r="Q30" s="10">
        <v>0.1</v>
      </c>
      <c r="R30" s="10" t="s">
        <v>44</v>
      </c>
      <c r="S30" s="3"/>
      <c r="T30" s="9" t="s">
        <v>45</v>
      </c>
      <c r="U30" s="9">
        <v>0.88800000000000001</v>
      </c>
      <c r="W30" s="13"/>
      <c r="X30" s="13"/>
    </row>
    <row r="31" spans="2:33" ht="38.25">
      <c r="B31" s="38" t="s">
        <v>96</v>
      </c>
      <c r="C31" s="114"/>
      <c r="D31" s="115" t="s">
        <v>28</v>
      </c>
      <c r="E31" s="116">
        <f>'TIMBER ตงไม้ '!E31</f>
        <v>0.5</v>
      </c>
      <c r="F31" s="114" t="s">
        <v>29</v>
      </c>
      <c r="G31" s="62"/>
      <c r="H31" s="39"/>
      <c r="I31" s="269" t="str">
        <f>B54</f>
        <v>สมมุติน้ำหนักคานไม้</v>
      </c>
      <c r="J31" s="270"/>
      <c r="K31" s="137" t="s">
        <v>28</v>
      </c>
      <c r="L31" s="275" t="str">
        <f>C61</f>
        <v>OK</v>
      </c>
      <c r="M31" s="276"/>
      <c r="N31" s="3"/>
      <c r="O31" s="3" t="b">
        <f>IF(C27=1,"",IF(C27=2,E52*E28^2/9,IF(C27=3,E52*E28^2/9)))</f>
        <v>0</v>
      </c>
      <c r="P31" s="10">
        <v>0.11</v>
      </c>
      <c r="Q31" s="10">
        <v>0.1</v>
      </c>
      <c r="R31" s="10" t="s">
        <v>44</v>
      </c>
      <c r="S31" s="3"/>
      <c r="T31" s="9" t="s">
        <v>47</v>
      </c>
      <c r="U31" s="9">
        <v>1.5780000000000001</v>
      </c>
      <c r="W31" s="13"/>
    </row>
    <row r="32" spans="2:33" ht="38.25">
      <c r="B32" s="38" t="s">
        <v>97</v>
      </c>
      <c r="C32" s="114"/>
      <c r="D32" s="115" t="s">
        <v>28</v>
      </c>
      <c r="E32" s="116" t="str">
        <f>'TIMBER ตงไม้ '!E32</f>
        <v>B1</v>
      </c>
      <c r="F32" s="114" t="s">
        <v>29</v>
      </c>
      <c r="G32" s="62"/>
      <c r="H32" s="39"/>
      <c r="I32" s="271" t="str">
        <f>B64</f>
        <v>น้ำหนักจริงคานไม้</v>
      </c>
      <c r="J32" s="272"/>
      <c r="K32" s="137" t="s">
        <v>28</v>
      </c>
      <c r="L32" s="277" t="str">
        <f>D68</f>
        <v xml:space="preserve"> OK</v>
      </c>
      <c r="M32" s="278"/>
      <c r="N32" s="3"/>
      <c r="O32" s="3"/>
      <c r="P32" s="10">
        <v>0.12</v>
      </c>
      <c r="Q32" s="10">
        <v>0.12</v>
      </c>
      <c r="R32" s="10" t="s">
        <v>48</v>
      </c>
      <c r="S32" s="3"/>
      <c r="T32" s="9" t="s">
        <v>49</v>
      </c>
      <c r="U32" s="9">
        <v>2.4660000000000002</v>
      </c>
      <c r="W32" s="13"/>
    </row>
    <row r="33" spans="2:21" ht="39.75">
      <c r="B33" s="38" t="s">
        <v>98</v>
      </c>
      <c r="C33" s="114"/>
      <c r="D33" s="115" t="s">
        <v>28</v>
      </c>
      <c r="E33" s="110">
        <f>'TIMBER ตงไม้ '!E33</f>
        <v>3</v>
      </c>
      <c r="F33" s="65" t="s">
        <v>109</v>
      </c>
      <c r="G33" s="62"/>
      <c r="H33" s="39"/>
      <c r="I33" s="271" t="str">
        <f>H64</f>
        <v>ความต้านทานแรงเฉือน</v>
      </c>
      <c r="J33" s="272"/>
      <c r="K33" s="137" t="s">
        <v>28</v>
      </c>
      <c r="L33" s="279" t="str">
        <f>J68</f>
        <v xml:space="preserve"> OK</v>
      </c>
      <c r="M33" s="280"/>
      <c r="N33" s="3"/>
      <c r="O33" s="3"/>
      <c r="P33" s="10">
        <v>0.13</v>
      </c>
      <c r="Q33" s="10">
        <v>0.12</v>
      </c>
      <c r="R33" s="10" t="s">
        <v>48</v>
      </c>
      <c r="S33" s="3"/>
      <c r="T33" s="9" t="s">
        <v>50</v>
      </c>
      <c r="U33" s="9">
        <v>3.8530000000000002</v>
      </c>
    </row>
    <row r="34" spans="2:21" ht="38.25">
      <c r="B34" s="38" t="s">
        <v>153</v>
      </c>
      <c r="D34" s="115" t="s">
        <v>28</v>
      </c>
      <c r="E34" s="110">
        <f>'TIMBER ตงไม้ '!E34</f>
        <v>2.5</v>
      </c>
      <c r="F34" s="114" t="s">
        <v>29</v>
      </c>
      <c r="G34" s="62"/>
      <c r="H34" s="147"/>
      <c r="I34" s="271" t="str">
        <f>B70</f>
        <v>ความต้านแรงกด</v>
      </c>
      <c r="J34" s="272"/>
      <c r="K34" s="137" t="s">
        <v>28</v>
      </c>
      <c r="L34" s="277" t="str">
        <f>D77</f>
        <v xml:space="preserve"> OK</v>
      </c>
      <c r="M34" s="278"/>
      <c r="N34" s="3"/>
      <c r="O34" s="3"/>
      <c r="P34" s="10">
        <v>0.14000000000000001</v>
      </c>
      <c r="Q34" s="10">
        <v>0.12</v>
      </c>
      <c r="R34" s="10" t="s">
        <v>48</v>
      </c>
      <c r="S34" s="3"/>
      <c r="T34" s="9" t="s">
        <v>51</v>
      </c>
      <c r="U34" s="9">
        <v>0</v>
      </c>
    </row>
    <row r="35" spans="2:21" ht="40.5" thickBot="1">
      <c r="B35" s="39" t="s">
        <v>146</v>
      </c>
      <c r="C35" s="62"/>
      <c r="D35" s="63" t="s">
        <v>28</v>
      </c>
      <c r="E35" s="110">
        <f>'TIMBER ตงไม้ '!E35</f>
        <v>2</v>
      </c>
      <c r="F35" s="65" t="s">
        <v>109</v>
      </c>
      <c r="G35" s="117"/>
      <c r="H35" s="147"/>
      <c r="I35" s="273" t="str">
        <f>H70</f>
        <v>น้ำหนักจริงตงไม้</v>
      </c>
      <c r="J35" s="274"/>
      <c r="K35" s="137" t="s">
        <v>28</v>
      </c>
      <c r="L35" s="225" t="str">
        <f>J75</f>
        <v xml:space="preserve"> OK</v>
      </c>
      <c r="M35" s="226"/>
      <c r="N35" s="3"/>
      <c r="O35" s="3" t="s">
        <v>177</v>
      </c>
      <c r="P35" s="10">
        <v>0.15</v>
      </c>
      <c r="Q35" s="10">
        <v>0.15</v>
      </c>
      <c r="R35" s="10" t="s">
        <v>52</v>
      </c>
      <c r="S35" s="3"/>
      <c r="T35" s="9" t="s">
        <v>53</v>
      </c>
      <c r="U35" s="9">
        <v>0</v>
      </c>
    </row>
    <row r="36" spans="2:21" ht="40.5" thickBot="1">
      <c r="B36" s="38" t="s">
        <v>129</v>
      </c>
      <c r="C36" s="117"/>
      <c r="D36" s="64" t="s">
        <v>28</v>
      </c>
      <c r="E36" s="100">
        <f>'TIMBER ตงไม้ '!E36</f>
        <v>1</v>
      </c>
      <c r="F36" s="65" t="s">
        <v>109</v>
      </c>
      <c r="G36" s="117"/>
      <c r="H36" s="153"/>
      <c r="I36" s="154"/>
      <c r="J36" s="154"/>
      <c r="K36" s="154"/>
      <c r="L36" s="154"/>
      <c r="M36" s="155"/>
      <c r="N36" s="3"/>
      <c r="O36" s="3">
        <v>0</v>
      </c>
      <c r="P36" s="10">
        <v>0.16</v>
      </c>
      <c r="Q36" s="10">
        <v>0.15</v>
      </c>
      <c r="R36" s="10" t="s">
        <v>52</v>
      </c>
      <c r="S36" s="3"/>
      <c r="T36" s="1"/>
      <c r="U36" s="1"/>
    </row>
    <row r="37" spans="2:21" ht="40.5" thickBot="1">
      <c r="B37" s="38" t="s">
        <v>130</v>
      </c>
      <c r="C37" s="117"/>
      <c r="D37" s="66" t="s">
        <v>28</v>
      </c>
      <c r="E37" s="120">
        <f>'TIMBER ตงไม้ '!E37</f>
        <v>4</v>
      </c>
      <c r="F37" s="65" t="s">
        <v>109</v>
      </c>
      <c r="G37" s="62"/>
      <c r="H37" s="39"/>
      <c r="I37" s="219" t="s">
        <v>139</v>
      </c>
      <c r="J37" s="220"/>
      <c r="K37" s="346" t="str">
        <f>""&amp;K28&amp;""" x "&amp;K29&amp; """ @ "&amp;E31&amp;" m."</f>
        <v>2" x 10" @ 0.5 m.</v>
      </c>
      <c r="L37" s="346"/>
      <c r="M37" s="347"/>
      <c r="N37" s="3"/>
      <c r="O37" s="3">
        <f>IF(O36&lt;=11, O36," 11")</f>
        <v>0</v>
      </c>
      <c r="P37" s="10">
        <v>0.17</v>
      </c>
      <c r="Q37" s="10">
        <v>0.15</v>
      </c>
      <c r="R37" s="10" t="s">
        <v>52</v>
      </c>
      <c r="S37" s="3"/>
      <c r="T37" s="14"/>
      <c r="U37" s="9" t="s">
        <v>54</v>
      </c>
    </row>
    <row r="38" spans="2:21" ht="52.5" thickBot="1">
      <c r="B38" s="286" t="s">
        <v>41</v>
      </c>
      <c r="C38" s="287"/>
      <c r="D38" s="287"/>
      <c r="E38" s="287"/>
      <c r="F38" s="288"/>
      <c r="G38" s="62"/>
      <c r="H38" s="41"/>
      <c r="I38" s="221"/>
      <c r="J38" s="222"/>
      <c r="K38" s="348"/>
      <c r="L38" s="348"/>
      <c r="M38" s="349"/>
      <c r="N38" s="3"/>
      <c r="O38" s="3">
        <v>0</v>
      </c>
      <c r="P38" s="10">
        <v>0.18</v>
      </c>
      <c r="Q38" s="10">
        <v>0.15</v>
      </c>
      <c r="R38" s="10" t="s">
        <v>52</v>
      </c>
      <c r="S38" s="3"/>
      <c r="T38" s="14" t="s">
        <v>55</v>
      </c>
      <c r="U38" s="15" t="e">
        <f>E28*(E32/S15)</f>
        <v>#VALUE!</v>
      </c>
    </row>
    <row r="39" spans="2:21" ht="40.5">
      <c r="B39" s="43" t="s">
        <v>90</v>
      </c>
      <c r="C39" s="44" t="s">
        <v>28</v>
      </c>
      <c r="D39" s="254">
        <f>IF(C27=1,VLOOKUP(Y2,AA24:AF28,2),IF(C27=2,VLOOKUP(Y2,AA24:AF28,2),IF(C27=3,VLOOKUP(Y2,AA24:AF28,2),IF(C27=4,VLOOKUP(Y2,AA24:AF28,2),IF(C27=5,VLOOKUP(Y2,AA24:AF28,2))))))</f>
        <v>189000</v>
      </c>
      <c r="E39" s="255"/>
      <c r="F39" s="36" t="s">
        <v>46</v>
      </c>
      <c r="G39" s="62"/>
      <c r="H39" s="62"/>
      <c r="I39" s="62"/>
      <c r="J39" s="62"/>
      <c r="K39" s="62"/>
      <c r="L39" s="62"/>
      <c r="M39" s="42"/>
      <c r="N39" s="3"/>
      <c r="O39" s="3"/>
      <c r="P39" s="10">
        <v>0.19</v>
      </c>
      <c r="Q39" s="10">
        <v>0.15</v>
      </c>
      <c r="R39" s="10" t="s">
        <v>52</v>
      </c>
      <c r="S39" s="3"/>
      <c r="T39" s="14" t="s">
        <v>56</v>
      </c>
      <c r="U39" s="15" t="e">
        <f>IF(S16=0,0,E28*(E32/S16))</f>
        <v>#VALUE!</v>
      </c>
    </row>
    <row r="40" spans="2:21" ht="40.5">
      <c r="B40" s="43" t="s">
        <v>91</v>
      </c>
      <c r="C40" s="44" t="s">
        <v>28</v>
      </c>
      <c r="D40" s="254">
        <f>IF(C27=1,VLOOKUP(Y2,AA24:AF28,3),IF(C27=2,VLOOKUP(Y2,AA24:AF28,3),IF(C27=3,VLOOKUP(Y2,AA24:AF28,3),IF(C27=4,VLOOKUP(Y2,AA24:AF28,3),IF(C27=5,VLOOKUP(Y2,AA24:AF28,3))))))</f>
        <v>150</v>
      </c>
      <c r="E40" s="255"/>
      <c r="F40" s="36" t="s">
        <v>46</v>
      </c>
      <c r="G40" s="62"/>
      <c r="H40" s="62"/>
      <c r="I40" s="62"/>
      <c r="J40" s="62"/>
      <c r="K40" s="62"/>
      <c r="L40" s="62"/>
      <c r="M40" s="42"/>
      <c r="N40" s="3"/>
      <c r="O40" s="3"/>
      <c r="P40" s="10">
        <v>0.2</v>
      </c>
      <c r="Q40" s="10">
        <v>0.2</v>
      </c>
      <c r="R40" s="10" t="s">
        <v>57</v>
      </c>
      <c r="S40" s="3"/>
      <c r="T40" s="14" t="s">
        <v>58</v>
      </c>
      <c r="U40" s="14" t="e">
        <f>ROUNDUP(E28*2*(E32/S17),2)</f>
        <v>#VALUE!</v>
      </c>
    </row>
    <row r="41" spans="2:21" ht="40.5">
      <c r="B41" s="43" t="s">
        <v>93</v>
      </c>
      <c r="C41" s="44" t="s">
        <v>28</v>
      </c>
      <c r="D41" s="256">
        <f>IF(C27=1,VLOOKUP(Y2,AA24:AF28,4),IF(C27=2,VLOOKUP(Y2,AA24:AF28,4),IF(C27=3,VLOOKUP(Y2,AA24:AF28,4),IF(C27=4,VLOOKUP(Y2,AA24:AF28,4),IF(C27=5,VLOOKUP(Y2,AA24:AF28,4))))))</f>
        <v>110</v>
      </c>
      <c r="E41" s="257"/>
      <c r="F41" s="36" t="s">
        <v>46</v>
      </c>
      <c r="G41" s="62"/>
      <c r="H41" s="62"/>
      <c r="I41" s="62"/>
      <c r="J41" s="62"/>
      <c r="K41" s="62"/>
      <c r="L41" s="62"/>
      <c r="M41" s="42"/>
      <c r="N41" s="3"/>
      <c r="O41" s="3"/>
      <c r="P41" s="10">
        <v>0.21</v>
      </c>
      <c r="Q41" s="10">
        <v>0.2</v>
      </c>
      <c r="R41" s="10" t="s">
        <v>57</v>
      </c>
      <c r="S41" s="3"/>
    </row>
    <row r="42" spans="2:21" ht="39.75">
      <c r="B42" s="83" t="s">
        <v>94</v>
      </c>
      <c r="C42" s="44" t="s">
        <v>28</v>
      </c>
      <c r="D42" s="254">
        <f>IF(C27=1,VLOOKUP(Y2,AA24:AF28,5),IF(C27=2,VLOOKUP(Y2,AA24:AF28,5),IF(C27=3,VLOOKUP(Y2,AA24:AF28,5),IF(C27=4,VLOOKUP(Y2,AA24:AF28,5),IF(C27=5,VLOOKUP(Y2,AA24:AF28,5))))))</f>
        <v>40</v>
      </c>
      <c r="E42" s="255"/>
      <c r="F42" s="36" t="s">
        <v>46</v>
      </c>
      <c r="G42" s="62"/>
      <c r="H42" s="62"/>
      <c r="I42" s="62"/>
      <c r="J42" s="62"/>
      <c r="K42" s="62"/>
      <c r="L42" s="62"/>
      <c r="M42" s="42"/>
      <c r="N42" s="3"/>
      <c r="O42" s="16" t="s">
        <v>59</v>
      </c>
      <c r="P42" s="10">
        <v>0.22</v>
      </c>
      <c r="Q42" s="10">
        <v>0.2</v>
      </c>
      <c r="R42" s="10" t="s">
        <v>57</v>
      </c>
      <c r="S42" s="3"/>
    </row>
    <row r="43" spans="2:21" ht="41.25" thickBot="1">
      <c r="B43" s="45" t="s">
        <v>92</v>
      </c>
      <c r="C43" s="46" t="s">
        <v>28</v>
      </c>
      <c r="D43" s="258">
        <f>IF(C27=1,VLOOKUP(Y2,AA24:AF28,6),IF(C27=2,VLOOKUP(Y2,AA24:AF28,6),IF(C27=3,VLOOKUP(Y2,AA24:AF28,6),IF(C27=4,VLOOKUP(Y2,AA24:AF28,6),IF(C27=5,VLOOKUP(Y2,AA24:AF28,6))))))</f>
        <v>15</v>
      </c>
      <c r="E43" s="259"/>
      <c r="F43" s="37" t="s">
        <v>46</v>
      </c>
      <c r="G43" s="58"/>
      <c r="H43" s="58"/>
      <c r="I43" s="58"/>
      <c r="J43" s="58"/>
      <c r="K43" s="58"/>
      <c r="L43" s="58"/>
      <c r="M43" s="59"/>
      <c r="N43" s="3"/>
      <c r="O43" s="17" t="s">
        <v>60</v>
      </c>
      <c r="P43" s="10">
        <v>0.23</v>
      </c>
      <c r="Q43" s="10">
        <v>0.2</v>
      </c>
      <c r="R43" s="10" t="s">
        <v>57</v>
      </c>
      <c r="S43" s="3"/>
    </row>
    <row r="44" spans="2:21" ht="51.75">
      <c r="B44" s="79" t="s">
        <v>125</v>
      </c>
      <c r="C44" s="47"/>
      <c r="D44" s="48"/>
      <c r="E44" s="49"/>
      <c r="F44" s="50"/>
      <c r="G44" s="50"/>
      <c r="H44" s="51"/>
      <c r="I44" s="52"/>
      <c r="J44" s="53"/>
      <c r="K44" s="50"/>
      <c r="L44" s="50"/>
      <c r="M44" s="54"/>
      <c r="N44" s="3"/>
      <c r="O44" s="3"/>
      <c r="P44" s="10">
        <v>0.24</v>
      </c>
      <c r="Q44" s="10">
        <v>0.2</v>
      </c>
      <c r="R44" s="10" t="s">
        <v>57</v>
      </c>
      <c r="S44" s="3"/>
      <c r="T44">
        <f>(6*E56*100)/(K28*2.54*D40)</f>
        <v>535.8389133858268</v>
      </c>
    </row>
    <row r="45" spans="2:21" ht="45">
      <c r="B45" s="55" t="s">
        <v>167</v>
      </c>
      <c r="D45" s="64" t="s">
        <v>28</v>
      </c>
      <c r="E45" s="100">
        <f>'TIMBER ตงไม้ '!E45</f>
        <v>900</v>
      </c>
      <c r="F45" s="65" t="s">
        <v>168</v>
      </c>
      <c r="G45" s="62"/>
      <c r="L45" s="62"/>
      <c r="M45" s="42"/>
      <c r="N45" s="3"/>
      <c r="O45" s="3"/>
      <c r="P45" s="10">
        <v>0.25</v>
      </c>
      <c r="Q45" s="10">
        <v>0.25</v>
      </c>
      <c r="R45" s="10" t="s">
        <v>63</v>
      </c>
      <c r="S45" s="3"/>
      <c r="T45">
        <f>SQRT(T44)/2.54</f>
        <v>9.1134624421894959</v>
      </c>
    </row>
    <row r="46" spans="2:21" ht="45">
      <c r="B46" s="55" t="s">
        <v>131</v>
      </c>
      <c r="C46" s="65"/>
      <c r="D46" s="64" t="s">
        <v>28</v>
      </c>
      <c r="E46" s="100">
        <f>'TIMBER ตงไม้ '!E46</f>
        <v>1100</v>
      </c>
      <c r="F46" s="65" t="s">
        <v>126</v>
      </c>
      <c r="G46" s="62"/>
      <c r="L46" s="62"/>
      <c r="M46" s="42"/>
      <c r="N46" s="3"/>
      <c r="O46" s="3"/>
      <c r="P46" s="10">
        <v>0.26</v>
      </c>
      <c r="Q46" s="10">
        <v>0.25</v>
      </c>
      <c r="R46" s="10" t="s">
        <v>63</v>
      </c>
      <c r="S46" s="3"/>
    </row>
    <row r="47" spans="2:21" ht="45">
      <c r="B47" s="55" t="s">
        <v>114</v>
      </c>
      <c r="C47" s="65"/>
      <c r="D47" s="64" t="s">
        <v>28</v>
      </c>
      <c r="E47" s="68">
        <f>'TIMBER ตงไม้ '!E47</f>
        <v>20</v>
      </c>
      <c r="F47" s="65" t="s">
        <v>126</v>
      </c>
      <c r="G47" s="62"/>
      <c r="L47" s="62"/>
      <c r="M47" s="42"/>
      <c r="N47" s="3"/>
      <c r="O47" s="3"/>
      <c r="P47" s="10">
        <v>0.27</v>
      </c>
      <c r="Q47" s="10">
        <v>0.25</v>
      </c>
      <c r="R47" s="10" t="s">
        <v>63</v>
      </c>
      <c r="S47" s="3"/>
    </row>
    <row r="48" spans="2:21" ht="45">
      <c r="B48" s="102" t="s">
        <v>135</v>
      </c>
      <c r="C48" s="167"/>
      <c r="D48" s="64" t="s">
        <v>28</v>
      </c>
      <c r="E48" s="68">
        <f>E47*E30</f>
        <v>50</v>
      </c>
      <c r="F48" s="65" t="s">
        <v>126</v>
      </c>
      <c r="G48" s="62"/>
      <c r="L48" s="62"/>
      <c r="M48" s="42"/>
      <c r="N48" s="3"/>
      <c r="O48" s="3"/>
      <c r="P48" s="10">
        <v>0.28000000000000003</v>
      </c>
      <c r="Q48" s="10">
        <v>0.25</v>
      </c>
      <c r="R48" s="10" t="s">
        <v>63</v>
      </c>
      <c r="S48" s="3"/>
    </row>
    <row r="49" spans="1:19" ht="45">
      <c r="B49" s="55" t="s">
        <v>101</v>
      </c>
      <c r="C49" s="65"/>
      <c r="D49" s="64" t="s">
        <v>28</v>
      </c>
      <c r="E49" s="67">
        <f>(E36*2.54*E45)/100</f>
        <v>22.86</v>
      </c>
      <c r="F49" s="65" t="s">
        <v>126</v>
      </c>
      <c r="G49" s="62"/>
      <c r="L49" s="62"/>
      <c r="M49" s="42"/>
      <c r="N49" s="3"/>
      <c r="P49" s="10">
        <v>0.28999999999999998</v>
      </c>
      <c r="Q49" s="10">
        <v>0.25</v>
      </c>
      <c r="R49" s="10" t="s">
        <v>63</v>
      </c>
      <c r="S49" s="3"/>
    </row>
    <row r="50" spans="1:19" ht="45">
      <c r="B50" s="55" t="s">
        <v>133</v>
      </c>
      <c r="D50" s="64" t="s">
        <v>28</v>
      </c>
      <c r="E50" s="67">
        <f>('TIMBER ตงไม้ '!E63)/E31</f>
        <v>10.645140000000001</v>
      </c>
      <c r="F50" s="65" t="s">
        <v>126</v>
      </c>
      <c r="G50" s="62"/>
      <c r="H50" s="62"/>
      <c r="I50" s="62"/>
      <c r="J50" s="62"/>
      <c r="K50" s="62"/>
      <c r="L50" s="62"/>
      <c r="M50" s="42"/>
      <c r="N50" s="3"/>
      <c r="O50" s="3" t="e">
        <f>ROUND(#REF!*100*X29,2)</f>
        <v>#REF!</v>
      </c>
      <c r="P50" s="10">
        <v>0.3</v>
      </c>
      <c r="Q50" s="10">
        <v>0.3</v>
      </c>
      <c r="R50" s="10" t="s">
        <v>66</v>
      </c>
      <c r="S50" s="3"/>
    </row>
    <row r="51" spans="1:19" ht="45">
      <c r="B51" s="55" t="s">
        <v>61</v>
      </c>
      <c r="C51" s="65"/>
      <c r="D51" s="64" t="s">
        <v>28</v>
      </c>
      <c r="E51" s="68">
        <f>'TIMBER ตงไม้ '!E49</f>
        <v>150</v>
      </c>
      <c r="F51" s="65" t="s">
        <v>126</v>
      </c>
      <c r="G51" s="62"/>
      <c r="H51" s="62"/>
      <c r="I51" s="62"/>
      <c r="J51" s="62"/>
      <c r="K51" s="62"/>
      <c r="L51" s="62"/>
      <c r="M51" s="42"/>
      <c r="N51" s="3"/>
      <c r="O51" s="3" t="e">
        <v>#REF!</v>
      </c>
      <c r="P51" s="10">
        <v>0.31</v>
      </c>
      <c r="Q51" s="10">
        <v>0.3</v>
      </c>
      <c r="R51" s="10" t="s">
        <v>66</v>
      </c>
      <c r="S51" s="3"/>
    </row>
    <row r="52" spans="1:19" ht="45">
      <c r="B52" s="55" t="s">
        <v>105</v>
      </c>
      <c r="C52" s="65"/>
      <c r="D52" s="64" t="s">
        <v>28</v>
      </c>
      <c r="E52" s="67">
        <f>E49+E51+E50</f>
        <v>183.50514000000001</v>
      </c>
      <c r="F52" s="65" t="s">
        <v>126</v>
      </c>
      <c r="G52" s="69"/>
      <c r="H52" s="70"/>
      <c r="I52" s="62"/>
      <c r="J52" s="62"/>
      <c r="K52" s="62"/>
      <c r="L52" s="62"/>
      <c r="M52" s="42"/>
      <c r="N52" s="3"/>
      <c r="O52" s="3" t="e">
        <v>#REF!</v>
      </c>
      <c r="P52" s="10">
        <v>0.32</v>
      </c>
      <c r="Q52" s="10">
        <v>0.3</v>
      </c>
      <c r="R52" s="10" t="s">
        <v>66</v>
      </c>
      <c r="S52" s="3"/>
    </row>
    <row r="53" spans="1:19" ht="39.75">
      <c r="B53" s="55" t="s">
        <v>134</v>
      </c>
      <c r="C53" s="65"/>
      <c r="D53" s="64" t="s">
        <v>28</v>
      </c>
      <c r="E53" s="68">
        <f>E52*(E29/2)</f>
        <v>275.25771000000003</v>
      </c>
      <c r="F53" s="65" t="s">
        <v>62</v>
      </c>
      <c r="G53" s="62"/>
      <c r="H53" s="62"/>
      <c r="I53" s="62"/>
      <c r="J53" s="62"/>
      <c r="K53" s="62"/>
      <c r="L53" s="62"/>
      <c r="M53" s="42"/>
      <c r="N53" s="3"/>
      <c r="O53" s="3"/>
      <c r="P53" s="10">
        <v>0.33</v>
      </c>
      <c r="Q53" s="10">
        <v>0.3</v>
      </c>
      <c r="R53" s="10" t="s">
        <v>66</v>
      </c>
      <c r="S53" s="3"/>
    </row>
    <row r="54" spans="1:19" ht="40.5">
      <c r="B54" s="80" t="s">
        <v>141</v>
      </c>
      <c r="C54" s="81"/>
      <c r="D54" s="64" t="s">
        <v>28</v>
      </c>
      <c r="E54" s="181">
        <v>15</v>
      </c>
      <c r="F54" s="65" t="s">
        <v>62</v>
      </c>
      <c r="G54" s="72"/>
      <c r="H54" s="62"/>
      <c r="I54" s="62"/>
      <c r="J54" s="62"/>
      <c r="K54" s="62"/>
      <c r="L54" s="62"/>
      <c r="M54" s="42"/>
      <c r="N54" s="3"/>
      <c r="O54" s="3"/>
      <c r="P54" s="10">
        <v>0.34</v>
      </c>
      <c r="Q54" s="10">
        <v>0.3</v>
      </c>
      <c r="R54" s="10" t="s">
        <v>66</v>
      </c>
      <c r="S54" s="3"/>
    </row>
    <row r="55" spans="1:19" ht="39.75">
      <c r="B55" s="55" t="s">
        <v>104</v>
      </c>
      <c r="C55" s="65"/>
      <c r="D55" s="64" t="s">
        <v>28</v>
      </c>
      <c r="E55" s="67">
        <f>E53+E54+E48</f>
        <v>340.25771000000003</v>
      </c>
      <c r="F55" s="65" t="s">
        <v>62</v>
      </c>
      <c r="G55" s="74"/>
      <c r="H55" s="62"/>
      <c r="I55" s="62"/>
      <c r="J55" s="62"/>
      <c r="K55" s="62"/>
      <c r="L55" s="62"/>
      <c r="M55" s="42"/>
      <c r="N55" s="3"/>
      <c r="O55" s="3"/>
      <c r="P55" s="10">
        <v>0.35</v>
      </c>
      <c r="Q55" s="10">
        <v>0.35</v>
      </c>
      <c r="R55" s="10" t="s">
        <v>68</v>
      </c>
      <c r="S55" s="3"/>
    </row>
    <row r="56" spans="1:19" ht="39.75">
      <c r="B56" s="55" t="s">
        <v>64</v>
      </c>
      <c r="C56" s="65"/>
      <c r="D56" s="64" t="s">
        <v>28</v>
      </c>
      <c r="E56" s="71">
        <f>E55*E28^2/8</f>
        <v>680.51542000000006</v>
      </c>
      <c r="F56" s="65" t="s">
        <v>65</v>
      </c>
      <c r="G56" s="62"/>
      <c r="H56" s="62"/>
      <c r="I56" s="62"/>
      <c r="J56" s="62"/>
      <c r="K56" s="62"/>
      <c r="L56" s="62"/>
      <c r="M56" s="42"/>
      <c r="N56" s="3"/>
      <c r="O56" s="3"/>
      <c r="P56" s="10">
        <v>0.36</v>
      </c>
      <c r="Q56" s="10">
        <v>0.35</v>
      </c>
      <c r="R56" s="10" t="s">
        <v>68</v>
      </c>
      <c r="S56" s="3"/>
    </row>
    <row r="57" spans="1:19" ht="42.75">
      <c r="A57" s="7"/>
      <c r="B57" s="55" t="s">
        <v>127</v>
      </c>
      <c r="C57" s="65"/>
      <c r="D57" s="64" t="s">
        <v>28</v>
      </c>
      <c r="E57" s="67">
        <f>(E55*E28)/2</f>
        <v>680.51542000000006</v>
      </c>
      <c r="F57" s="65" t="s">
        <v>72</v>
      </c>
      <c r="G57" s="62"/>
      <c r="H57" s="62"/>
      <c r="I57" s="62"/>
      <c r="J57" s="62"/>
      <c r="K57" s="62"/>
      <c r="L57" s="62"/>
      <c r="M57" s="42"/>
      <c r="N57" s="3"/>
      <c r="O57" s="3"/>
      <c r="P57" s="10">
        <v>0.37</v>
      </c>
      <c r="Q57" s="10">
        <v>0.35</v>
      </c>
      <c r="R57" s="10" t="s">
        <v>68</v>
      </c>
      <c r="S57" s="3"/>
    </row>
    <row r="58" spans="1:19" ht="39.75">
      <c r="A58" s="7"/>
      <c r="B58" s="56" t="s">
        <v>165</v>
      </c>
      <c r="C58" s="73"/>
      <c r="D58" s="64" t="s">
        <v>28</v>
      </c>
      <c r="E58" s="67">
        <f>T45</f>
        <v>9.1134624421894959</v>
      </c>
      <c r="F58" s="65" t="s">
        <v>109</v>
      </c>
      <c r="G58" s="62"/>
      <c r="H58" s="62"/>
      <c r="I58" s="62"/>
      <c r="J58" s="62"/>
      <c r="K58" s="62"/>
      <c r="L58" s="62"/>
      <c r="M58" s="42"/>
      <c r="N58" s="3"/>
      <c r="O58" s="3"/>
      <c r="P58" s="10">
        <v>0.38</v>
      </c>
      <c r="Q58" s="10">
        <v>0.35</v>
      </c>
      <c r="R58" s="10" t="s">
        <v>68</v>
      </c>
      <c r="S58" s="3"/>
    </row>
    <row r="59" spans="1:19" ht="50.25" customHeight="1">
      <c r="A59" s="7"/>
      <c r="B59" s="57" t="s">
        <v>166</v>
      </c>
      <c r="C59" s="75"/>
      <c r="D59" s="66" t="s">
        <v>28</v>
      </c>
      <c r="E59" s="76">
        <f>ROUNDUP(E58,0)</f>
        <v>10</v>
      </c>
      <c r="F59" s="65" t="s">
        <v>109</v>
      </c>
      <c r="M59" s="125"/>
      <c r="N59" s="3"/>
      <c r="O59" s="3"/>
      <c r="P59" s="10">
        <v>0.39</v>
      </c>
      <c r="Q59" s="10">
        <v>0.35</v>
      </c>
      <c r="R59" s="10" t="s">
        <v>68</v>
      </c>
      <c r="S59" s="3"/>
    </row>
    <row r="60" spans="1:19" ht="25.5" customHeight="1" thickBot="1">
      <c r="A60" s="7"/>
      <c r="B60" s="119"/>
      <c r="M60" s="125"/>
      <c r="N60" s="3"/>
      <c r="O60" s="3"/>
      <c r="P60" s="10">
        <v>0.4</v>
      </c>
      <c r="Q60" s="10">
        <v>0.4</v>
      </c>
      <c r="R60" s="10" t="s">
        <v>69</v>
      </c>
      <c r="S60" s="3"/>
    </row>
    <row r="61" spans="1:19" ht="45.6" customHeight="1">
      <c r="A61" s="18"/>
      <c r="B61" s="39" t="s">
        <v>67</v>
      </c>
      <c r="C61" s="201" t="str">
        <f>IF(E66&gt;E65,"OK","NOT OK สมมุติน้ำหนักตงไม้ใหม่")</f>
        <v>OK</v>
      </c>
      <c r="D61" s="202"/>
      <c r="E61" s="202"/>
      <c r="F61" s="203"/>
      <c r="G61" s="62"/>
      <c r="H61" s="62"/>
      <c r="I61" s="62"/>
      <c r="J61" s="62"/>
      <c r="K61" s="62"/>
      <c r="L61" s="62"/>
      <c r="M61" s="42"/>
      <c r="N61" s="3"/>
      <c r="O61" s="3"/>
      <c r="P61" s="10">
        <v>0.41</v>
      </c>
      <c r="Q61" s="10">
        <v>0.4</v>
      </c>
      <c r="R61" s="10" t="s">
        <v>69</v>
      </c>
      <c r="S61" s="3"/>
    </row>
    <row r="62" spans="1:19" ht="35.25" thickBot="1">
      <c r="A62" s="19"/>
      <c r="B62" s="41"/>
      <c r="C62" s="204"/>
      <c r="D62" s="205"/>
      <c r="E62" s="205"/>
      <c r="F62" s="206"/>
      <c r="G62" s="58"/>
      <c r="H62" s="58"/>
      <c r="I62" s="58"/>
      <c r="J62" s="58"/>
      <c r="K62" s="58"/>
      <c r="L62" s="58"/>
      <c r="M62" s="59"/>
      <c r="N62" s="3"/>
      <c r="O62" s="3"/>
      <c r="P62" s="10">
        <v>0.42</v>
      </c>
      <c r="Q62" s="10">
        <v>0.4</v>
      </c>
      <c r="R62" s="10" t="s">
        <v>69</v>
      </c>
      <c r="S62" s="3"/>
    </row>
    <row r="63" spans="1:19" ht="63" customHeight="1" thickBot="1">
      <c r="A63" s="19"/>
      <c r="B63" s="207" t="s">
        <v>112</v>
      </c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9"/>
      <c r="N63" s="3"/>
      <c r="O63" s="3"/>
      <c r="P63" s="10">
        <v>0.43</v>
      </c>
      <c r="Q63" s="10">
        <v>0.4</v>
      </c>
      <c r="R63" s="10" t="s">
        <v>69</v>
      </c>
      <c r="S63" s="3"/>
    </row>
    <row r="64" spans="1:19" ht="52.5" thickBot="1">
      <c r="B64" s="283" t="s">
        <v>160</v>
      </c>
      <c r="C64" s="284"/>
      <c r="D64" s="284"/>
      <c r="E64" s="284"/>
      <c r="F64" s="284"/>
      <c r="G64" s="285"/>
      <c r="H64" s="210" t="s">
        <v>116</v>
      </c>
      <c r="I64" s="211"/>
      <c r="J64" s="211"/>
      <c r="K64" s="211"/>
      <c r="L64" s="211"/>
      <c r="M64" s="212"/>
      <c r="N64" s="3"/>
      <c r="O64" s="3"/>
      <c r="P64" s="10">
        <v>0.44</v>
      </c>
      <c r="Q64" s="10">
        <v>0.4</v>
      </c>
      <c r="R64" s="10" t="s">
        <v>69</v>
      </c>
      <c r="S64" s="3"/>
    </row>
    <row r="65" spans="2:20" ht="39">
      <c r="B65" s="39" t="s">
        <v>160</v>
      </c>
      <c r="C65" s="62"/>
      <c r="D65" s="63" t="s">
        <v>28</v>
      </c>
      <c r="E65" s="63">
        <f>(K28*2.54*2.54*E46*K29)/(100*100)</f>
        <v>14.193520000000001</v>
      </c>
      <c r="F65" s="62" t="s">
        <v>100</v>
      </c>
      <c r="G65" s="62"/>
      <c r="H65" s="39" t="s">
        <v>117</v>
      </c>
      <c r="I65" s="62"/>
      <c r="J65" s="63" t="s">
        <v>28</v>
      </c>
      <c r="K65" s="63">
        <f>(3*E57)/(2*K28*K29*2.54*2.54)</f>
        <v>7.91100757951516</v>
      </c>
      <c r="L65" s="62" t="s">
        <v>100</v>
      </c>
      <c r="M65" s="42"/>
      <c r="N65" s="3"/>
      <c r="O65" s="3"/>
      <c r="P65" s="10">
        <v>0.45</v>
      </c>
      <c r="Q65" s="10">
        <v>0.45</v>
      </c>
      <c r="R65" s="10" t="s">
        <v>70</v>
      </c>
      <c r="S65" s="3"/>
    </row>
    <row r="66" spans="2:20" ht="34.5" customHeight="1">
      <c r="B66" s="39" t="s">
        <v>141</v>
      </c>
      <c r="C66" s="62"/>
      <c r="D66" s="63" t="s">
        <v>28</v>
      </c>
      <c r="E66" s="63">
        <f>E54</f>
        <v>15</v>
      </c>
      <c r="F66" s="62" t="s">
        <v>100</v>
      </c>
      <c r="G66" s="62"/>
      <c r="H66" s="60" t="s">
        <v>92</v>
      </c>
      <c r="I66" s="62"/>
      <c r="J66" s="63" t="s">
        <v>28</v>
      </c>
      <c r="K66" s="77">
        <f>D43</f>
        <v>15</v>
      </c>
      <c r="L66" s="62" t="s">
        <v>100</v>
      </c>
      <c r="M66" s="42"/>
      <c r="N66" s="3"/>
      <c r="O66" s="3"/>
      <c r="P66" s="10">
        <v>0.46</v>
      </c>
      <c r="Q66" s="10">
        <v>0.45</v>
      </c>
      <c r="R66" s="10" t="s">
        <v>70</v>
      </c>
      <c r="S66" s="3"/>
    </row>
    <row r="67" spans="2:20" ht="35.25" customHeight="1" thickBot="1">
      <c r="B67" s="39"/>
      <c r="C67" s="62"/>
      <c r="D67" s="63"/>
      <c r="E67" s="63"/>
      <c r="F67" s="62"/>
      <c r="G67" s="62"/>
      <c r="H67" s="39"/>
      <c r="I67" s="62"/>
      <c r="J67" s="63"/>
      <c r="K67" s="63"/>
      <c r="L67" s="62"/>
      <c r="M67" s="42"/>
      <c r="N67" s="3"/>
      <c r="O67" s="3"/>
      <c r="P67" s="10">
        <v>0.47</v>
      </c>
      <c r="Q67" s="10">
        <v>0.45</v>
      </c>
      <c r="R67" s="10" t="s">
        <v>70</v>
      </c>
      <c r="S67" s="3"/>
    </row>
    <row r="68" spans="2:20" ht="72.75" customHeight="1">
      <c r="B68" s="39" t="s">
        <v>67</v>
      </c>
      <c r="C68" s="62"/>
      <c r="D68" s="195" t="str">
        <f>IF(E66&gt;E65," OK"," Not OK")</f>
        <v xml:space="preserve"> OK</v>
      </c>
      <c r="E68" s="196"/>
      <c r="F68" s="197"/>
      <c r="G68" s="62"/>
      <c r="H68" s="39" t="s">
        <v>67</v>
      </c>
      <c r="I68" s="62"/>
      <c r="J68" s="213" t="str">
        <f>IF(K66&gt;K65," OK"," Not OK")</f>
        <v xml:space="preserve"> OK</v>
      </c>
      <c r="K68" s="214"/>
      <c r="L68" s="215"/>
      <c r="M68" s="42"/>
      <c r="N68" s="3"/>
      <c r="O68" s="3"/>
      <c r="P68" s="10">
        <v>0.48</v>
      </c>
      <c r="Q68" s="10">
        <v>0.45</v>
      </c>
      <c r="R68" s="10" t="s">
        <v>70</v>
      </c>
      <c r="S68" s="3"/>
    </row>
    <row r="69" spans="2:20" ht="12" customHeight="1" thickBot="1">
      <c r="B69" s="39"/>
      <c r="C69" s="62"/>
      <c r="D69" s="198"/>
      <c r="E69" s="199"/>
      <c r="F69" s="200"/>
      <c r="G69" s="62"/>
      <c r="H69" s="41"/>
      <c r="I69" s="58"/>
      <c r="J69" s="216"/>
      <c r="K69" s="217"/>
      <c r="L69" s="218"/>
      <c r="M69" s="59"/>
      <c r="O69" s="3"/>
      <c r="P69" s="10">
        <v>0.49</v>
      </c>
      <c r="Q69" s="10">
        <v>0.45</v>
      </c>
      <c r="R69" s="10" t="s">
        <v>70</v>
      </c>
      <c r="S69" s="3"/>
    </row>
    <row r="70" spans="2:20" ht="66" customHeight="1" thickBot="1">
      <c r="B70" s="210" t="s">
        <v>118</v>
      </c>
      <c r="C70" s="211"/>
      <c r="D70" s="211"/>
      <c r="E70" s="211"/>
      <c r="F70" s="211"/>
      <c r="G70" s="212"/>
      <c r="H70" s="210" t="s">
        <v>113</v>
      </c>
      <c r="I70" s="211"/>
      <c r="J70" s="211"/>
      <c r="K70" s="211"/>
      <c r="L70" s="211"/>
      <c r="M70" s="212"/>
      <c r="O70" s="3"/>
      <c r="P70" s="10">
        <v>0.5</v>
      </c>
      <c r="Q70" s="10">
        <v>0.5</v>
      </c>
      <c r="R70" s="10" t="s">
        <v>71</v>
      </c>
      <c r="S70" s="30">
        <f>E29^4*(100^4)</f>
        <v>8100000000</v>
      </c>
      <c r="T70">
        <v>15</v>
      </c>
    </row>
    <row r="71" spans="2:20" ht="37.5">
      <c r="B71" s="111" t="s">
        <v>137</v>
      </c>
      <c r="C71" s="50"/>
      <c r="D71" s="49" t="s">
        <v>28</v>
      </c>
      <c r="E71" s="142">
        <f>'TIMBER ตงไม้ '!E33</f>
        <v>3</v>
      </c>
      <c r="F71" s="50" t="s">
        <v>109</v>
      </c>
      <c r="G71" s="54"/>
      <c r="H71" s="62" t="s">
        <v>121</v>
      </c>
      <c r="I71" s="62"/>
      <c r="J71" s="63" t="s">
        <v>28</v>
      </c>
      <c r="K71" s="63">
        <f>((5*E55*(E28^4)*(100^4))/100)/(384*D39*((K28*(2.54^4)*(K29^3))/12))</f>
        <v>0.86505017794857442</v>
      </c>
      <c r="L71" s="62" t="s">
        <v>115</v>
      </c>
      <c r="M71" s="42"/>
      <c r="O71" s="3"/>
      <c r="P71" s="10">
        <v>0.51</v>
      </c>
      <c r="Q71" s="10">
        <v>0.5</v>
      </c>
      <c r="R71" s="10" t="s">
        <v>71</v>
      </c>
      <c r="S71" s="3" t="s">
        <v>122</v>
      </c>
      <c r="T71">
        <f>E71*2.54</f>
        <v>7.62</v>
      </c>
    </row>
    <row r="72" spans="2:20" ht="29.25" customHeight="1">
      <c r="B72" s="143" t="s">
        <v>164</v>
      </c>
      <c r="G72" s="125"/>
      <c r="H72" s="62" t="s">
        <v>123</v>
      </c>
      <c r="I72" s="62"/>
      <c r="J72" s="63" t="s">
        <v>28</v>
      </c>
      <c r="K72" s="63">
        <f>(E28*100)/300</f>
        <v>1.3333333333333333</v>
      </c>
      <c r="L72" s="62" t="s">
        <v>115</v>
      </c>
      <c r="M72" s="42"/>
      <c r="O72" s="3"/>
      <c r="P72" s="10">
        <v>0.52</v>
      </c>
      <c r="Q72" s="10">
        <v>0.5</v>
      </c>
      <c r="R72" s="10" t="s">
        <v>71</v>
      </c>
      <c r="S72" s="3"/>
      <c r="T72" t="str">
        <f>IF(T71&lt;T70,"&lt;","&gt;")</f>
        <v>&lt;</v>
      </c>
    </row>
    <row r="73" spans="2:20" ht="30" customHeight="1">
      <c r="B73" s="119"/>
      <c r="G73" s="125"/>
      <c r="H73" s="62"/>
      <c r="I73" s="62"/>
      <c r="J73" s="63"/>
      <c r="K73" s="63"/>
      <c r="L73" s="62"/>
      <c r="M73" s="42"/>
      <c r="O73" s="3"/>
      <c r="P73" s="10">
        <v>0.53</v>
      </c>
      <c r="Q73" s="10">
        <v>0.5</v>
      </c>
      <c r="R73" s="10" t="s">
        <v>71</v>
      </c>
      <c r="S73" s="3"/>
      <c r="T73">
        <f>(((E71*2.54)+0.95)/(E71*2.54))*D42</f>
        <v>44.98687664041995</v>
      </c>
    </row>
    <row r="74" spans="2:20" ht="24" customHeight="1" thickBot="1">
      <c r="B74" s="39" t="s">
        <v>120</v>
      </c>
      <c r="C74" s="62"/>
      <c r="D74" s="63" t="s">
        <v>28</v>
      </c>
      <c r="E74" s="63">
        <f>(E57)/(K28*2.54*2.54*E71)</f>
        <v>17.580016843367019</v>
      </c>
      <c r="F74" s="62" t="s">
        <v>100</v>
      </c>
      <c r="G74" s="42"/>
      <c r="H74" s="62" t="s">
        <v>67</v>
      </c>
      <c r="I74" s="62"/>
      <c r="J74" s="62"/>
      <c r="K74" s="78"/>
      <c r="L74" s="78"/>
      <c r="M74" s="42"/>
      <c r="O74" s="3"/>
      <c r="P74" s="10">
        <v>0.54</v>
      </c>
      <c r="Q74" s="10">
        <v>0.5</v>
      </c>
      <c r="R74" s="10" t="s">
        <v>71</v>
      </c>
      <c r="S74" s="3"/>
    </row>
    <row r="75" spans="2:20" ht="24" customHeight="1">
      <c r="B75" s="39" t="s">
        <v>138</v>
      </c>
      <c r="C75" s="62"/>
      <c r="D75" s="63" t="s">
        <v>28</v>
      </c>
      <c r="E75" s="77">
        <f>IF(T72="&lt;",T73,D42)</f>
        <v>44.98687664041995</v>
      </c>
      <c r="F75" s="62" t="s">
        <v>100</v>
      </c>
      <c r="G75" s="42"/>
      <c r="H75" s="62"/>
      <c r="I75" s="62"/>
      <c r="J75" s="195" t="str">
        <f>IF(K72&gt;K71," OK"," Not OK")</f>
        <v xml:space="preserve"> OK</v>
      </c>
      <c r="K75" s="196"/>
      <c r="L75" s="197"/>
      <c r="M75" s="42"/>
      <c r="N75" s="20"/>
      <c r="O75" s="3"/>
      <c r="P75" s="10">
        <v>0.55000000000000004</v>
      </c>
      <c r="Q75" s="10">
        <v>0.55000000000000004</v>
      </c>
      <c r="R75" s="10" t="s">
        <v>73</v>
      </c>
      <c r="S75" s="3"/>
    </row>
    <row r="76" spans="2:20" ht="33.75" customHeight="1" thickBot="1">
      <c r="B76" s="39"/>
      <c r="C76" s="62"/>
      <c r="D76" s="63"/>
      <c r="E76" s="63"/>
      <c r="F76" s="62"/>
      <c r="G76" s="42"/>
      <c r="H76" s="58"/>
      <c r="I76" s="58"/>
      <c r="J76" s="198"/>
      <c r="K76" s="199"/>
      <c r="L76" s="200"/>
      <c r="M76" s="59"/>
      <c r="N76" s="20"/>
      <c r="O76" s="3"/>
      <c r="P76" s="10">
        <v>0.56000000000000005</v>
      </c>
      <c r="Q76" s="10">
        <v>0.55000000000000004</v>
      </c>
      <c r="R76" s="10" t="s">
        <v>73</v>
      </c>
      <c r="S76" s="3"/>
    </row>
    <row r="77" spans="2:20" ht="24" customHeight="1">
      <c r="B77" s="39" t="s">
        <v>67</v>
      </c>
      <c r="C77" s="62"/>
      <c r="D77" s="195" t="str">
        <f>IF(E75&gt;E74," OK"," Not OK")</f>
        <v xml:space="preserve"> OK</v>
      </c>
      <c r="E77" s="196"/>
      <c r="F77" s="197"/>
      <c r="G77" s="42"/>
      <c r="N77" s="20"/>
      <c r="O77" s="3"/>
      <c r="P77" s="10">
        <v>0.56999999999999995</v>
      </c>
      <c r="Q77" s="10">
        <v>0.55000000000000004</v>
      </c>
      <c r="R77" s="10" t="s">
        <v>73</v>
      </c>
      <c r="S77" s="3"/>
    </row>
    <row r="78" spans="2:20" ht="35.25" customHeight="1" thickBot="1">
      <c r="B78" s="41"/>
      <c r="C78" s="58"/>
      <c r="D78" s="198"/>
      <c r="E78" s="199"/>
      <c r="F78" s="200"/>
      <c r="G78" s="59"/>
      <c r="N78" s="20"/>
      <c r="O78" s="3"/>
      <c r="P78" s="10">
        <v>0.57999999999999996</v>
      </c>
      <c r="Q78" s="10">
        <v>0.55000000000000004</v>
      </c>
      <c r="R78" s="10" t="s">
        <v>73</v>
      </c>
      <c r="S78" s="3"/>
    </row>
    <row r="79" spans="2:20" ht="24" customHeight="1">
      <c r="B79" s="21"/>
      <c r="C79" s="21"/>
      <c r="D79" s="22"/>
      <c r="E79" s="22"/>
      <c r="F79" s="22"/>
      <c r="G79" s="22"/>
      <c r="H79" s="22"/>
      <c r="I79" s="21"/>
      <c r="J79" s="21"/>
      <c r="K79" s="21"/>
      <c r="L79" s="21"/>
      <c r="M79" s="21"/>
      <c r="N79" s="21"/>
      <c r="O79" s="3"/>
      <c r="P79" s="10">
        <v>0.59</v>
      </c>
      <c r="Q79" s="10">
        <v>0.55000000000000004</v>
      </c>
      <c r="R79" s="10" t="s">
        <v>73</v>
      </c>
      <c r="S79" s="3"/>
    </row>
    <row r="80" spans="2:20" ht="24" customHeight="1">
      <c r="B80" s="21"/>
      <c r="C80" s="21"/>
      <c r="D80" s="23"/>
      <c r="E80" s="23"/>
      <c r="F80" s="23"/>
      <c r="G80" s="23"/>
      <c r="H80" s="23"/>
      <c r="I80" s="21"/>
      <c r="J80" s="21"/>
      <c r="K80" s="21"/>
      <c r="L80" s="21"/>
      <c r="M80" s="21"/>
      <c r="N80" s="21"/>
      <c r="O80" s="3"/>
      <c r="P80" s="24">
        <v>0.6</v>
      </c>
      <c r="Q80" s="10">
        <v>0.6</v>
      </c>
      <c r="R80" s="10" t="s">
        <v>74</v>
      </c>
      <c r="S80" s="3"/>
    </row>
    <row r="81" spans="16:18" ht="24" customHeight="1">
      <c r="P81" s="10">
        <v>0.61</v>
      </c>
      <c r="Q81" s="10">
        <v>0.6</v>
      </c>
      <c r="R81" s="10" t="s">
        <v>74</v>
      </c>
    </row>
    <row r="82" spans="16:18" ht="24" customHeight="1"/>
    <row r="83" spans="16:18" ht="24" customHeight="1"/>
    <row r="84" spans="16:18" ht="24" customHeight="1"/>
    <row r="85" spans="16:18" ht="24" customHeight="1"/>
    <row r="86" spans="16:18" ht="24" customHeight="1"/>
    <row r="87" spans="16:18" ht="24" customHeight="1"/>
    <row r="88" spans="16:18" ht="24" customHeight="1"/>
    <row r="89" spans="16:18" ht="24" customHeight="1"/>
    <row r="90" spans="16:18" ht="24" customHeight="1"/>
    <row r="91" spans="16:18" ht="24" customHeight="1"/>
    <row r="92" spans="16:18" ht="24" customHeight="1"/>
    <row r="93" spans="16:18" ht="24" customHeight="1"/>
    <row r="94" spans="16:18" ht="24" customHeight="1"/>
    <row r="95" spans="16:18" ht="24" customHeight="1"/>
    <row r="96" spans="16:18" ht="24" customHeight="1"/>
    <row r="97" ht="24" customHeight="1"/>
    <row r="98" ht="24" customHeight="1"/>
    <row r="99" ht="24" customHeight="1"/>
    <row r="100" ht="24" customHeight="1"/>
    <row r="101" ht="24" customHeight="1"/>
  </sheetData>
  <sheetProtection algorithmName="SHA-512" hashValue="e1OWa+rLpEkARcV5ZyL5nZOOZDinQ9ArWOVKFsf3fV3lLaHcXEKW6wKE9SD+tv+uB6xwa/IvfzO53nkLjJLzBw==" saltValue="hDrnNwBpzvOLrw1B0RPzQA==" spinCount="100000" sheet="1" objects="1" scenarios="1"/>
  <mergeCells count="50">
    <mergeCell ref="B70:G70"/>
    <mergeCell ref="H70:M70"/>
    <mergeCell ref="D77:F78"/>
    <mergeCell ref="J75:L76"/>
    <mergeCell ref="H30:I30"/>
    <mergeCell ref="I37:J38"/>
    <mergeCell ref="K37:M38"/>
    <mergeCell ref="I31:J31"/>
    <mergeCell ref="L31:M31"/>
    <mergeCell ref="I32:J32"/>
    <mergeCell ref="L32:M32"/>
    <mergeCell ref="I33:J33"/>
    <mergeCell ref="L33:M33"/>
    <mergeCell ref="I34:J34"/>
    <mergeCell ref="L34:M34"/>
    <mergeCell ref="I35:J35"/>
    <mergeCell ref="L35:M35"/>
    <mergeCell ref="D39:E39"/>
    <mergeCell ref="D40:E40"/>
    <mergeCell ref="D41:E41"/>
    <mergeCell ref="D42:E42"/>
    <mergeCell ref="B38:F38"/>
    <mergeCell ref="D43:E43"/>
    <mergeCell ref="B63:M63"/>
    <mergeCell ref="B64:G64"/>
    <mergeCell ref="H64:M64"/>
    <mergeCell ref="J68:L69"/>
    <mergeCell ref="D68:F69"/>
    <mergeCell ref="C61:F62"/>
    <mergeCell ref="C24:D24"/>
    <mergeCell ref="C25:D25"/>
    <mergeCell ref="C26:D26"/>
    <mergeCell ref="H27:J27"/>
    <mergeCell ref="H29:J29"/>
    <mergeCell ref="K27:M27"/>
    <mergeCell ref="H28:J28"/>
    <mergeCell ref="K28:M28"/>
    <mergeCell ref="K29:M29"/>
    <mergeCell ref="AB21:AB22"/>
    <mergeCell ref="AC21:AC22"/>
    <mergeCell ref="AD21:AE21"/>
    <mergeCell ref="AF21:AF22"/>
    <mergeCell ref="C22:D22"/>
    <mergeCell ref="AA21:AA23"/>
    <mergeCell ref="C23:D23"/>
    <mergeCell ref="B2:M2"/>
    <mergeCell ref="P15:Q15"/>
    <mergeCell ref="P17:Q17"/>
    <mergeCell ref="P18:Q18"/>
    <mergeCell ref="B21:D21"/>
  </mergeCells>
  <phoneticPr fontId="58" type="noConversion"/>
  <conditionalFormatting sqref="C61">
    <cfRule type="containsText" dxfId="76" priority="45" operator="containsText" text="NOT OK สมมุติน้ำหนักตงไม้ใหม่">
      <formula>NOT(ISERROR(SEARCH("NOT OK สมมุติน้ำหนักตงไม้ใหม่",C61)))</formula>
    </cfRule>
    <cfRule type="containsText" dxfId="75" priority="48" operator="containsText" text="OK">
      <formula>NOT(ISERROR(SEARCH("OK",C61)))</formula>
    </cfRule>
    <cfRule type="containsText" dxfId="74" priority="49" operator="containsText" text="NOT OK">
      <formula>NOT(ISERROR(SEARCH("NOT OK",C61)))</formula>
    </cfRule>
    <cfRule type="cellIs" dxfId="73" priority="50" operator="equal">
      <formula>"M &lt; Mc , ไม่ต้องคำนวณเหล็กรับแรงอัด"</formula>
    </cfRule>
    <cfRule type="containsText" dxfId="72" priority="51" operator="containsText" text="≧">
      <formula>NOT(ISERROR(SEARCH("≧",C61)))</formula>
    </cfRule>
  </conditionalFormatting>
  <conditionalFormatting sqref="D68 K74:L74 J75">
    <cfRule type="containsText" dxfId="71" priority="44" operator="containsText" text="Not OK">
      <formula>NOT(ISERROR(SEARCH("Not OK",D68)))</formula>
    </cfRule>
  </conditionalFormatting>
  <conditionalFormatting sqref="D68">
    <cfRule type="containsText" dxfId="70" priority="32" operator="containsText" text="Not OK">
      <formula>NOT(ISERROR(SEARCH("Not OK",D68)))</formula>
    </cfRule>
    <cfRule type="cellIs" dxfId="69" priority="46" operator="equal">
      <formula>"A &lt; As, Not OK"</formula>
    </cfRule>
    <cfRule type="cellIs" dxfId="68" priority="47" operator="equal">
      <formula>"A &gt; As, OK"</formula>
    </cfRule>
  </conditionalFormatting>
  <conditionalFormatting sqref="D77">
    <cfRule type="containsText" dxfId="67" priority="30" operator="containsText" text="Not OK">
      <formula>NOT(ISERROR(SEARCH("Not OK",D77)))</formula>
    </cfRule>
    <cfRule type="containsText" dxfId="66" priority="35" operator="containsText" text="ok">
      <formula>NOT(ISERROR(SEARCH("ok",D77)))</formula>
    </cfRule>
    <cfRule type="containsText" dxfId="65" priority="36" operator="containsText" text="Not OK">
      <formula>NOT(ISERROR(SEARCH("Not OK",D77)))</formula>
    </cfRule>
    <cfRule type="cellIs" dxfId="64" priority="37" operator="equal">
      <formula>"A &lt; As, Not OK"</formula>
    </cfRule>
    <cfRule type="cellIs" dxfId="63" priority="38" operator="equal">
      <formula>"A &gt; As, OK"</formula>
    </cfRule>
  </conditionalFormatting>
  <conditionalFormatting sqref="J68">
    <cfRule type="containsText" dxfId="62" priority="31" operator="containsText" text="Not OK">
      <formula>NOT(ISERROR(SEARCH("Not OK",J68)))</formula>
    </cfRule>
    <cfRule type="containsText" dxfId="61" priority="39" operator="containsText" text="ok">
      <formula>NOT(ISERROR(SEARCH("ok",J68)))</formula>
    </cfRule>
    <cfRule type="containsText" dxfId="60" priority="40" operator="containsText" text="Not OK">
      <formula>NOT(ISERROR(SEARCH("Not OK",J68)))</formula>
    </cfRule>
    <cfRule type="cellIs" dxfId="59" priority="41" operator="equal">
      <formula>"A &lt; As, Not OK"</formula>
    </cfRule>
    <cfRule type="cellIs" dxfId="58" priority="42" operator="equal">
      <formula>"A &gt; As, OK"</formula>
    </cfRule>
  </conditionalFormatting>
  <conditionalFormatting sqref="J75 D68 K74:L74">
    <cfRule type="containsText" dxfId="57" priority="43" operator="containsText" text="ok">
      <formula>NOT(ISERROR(SEARCH("ok",D68)))</formula>
    </cfRule>
  </conditionalFormatting>
  <conditionalFormatting sqref="J75">
    <cfRule type="containsText" dxfId="56" priority="29" operator="containsText" text="Not OK">
      <formula>NOT(ISERROR(SEARCH("Not OK",J75)))</formula>
    </cfRule>
    <cfRule type="cellIs" dxfId="55" priority="33" operator="equal">
      <formula>"A &lt; As, Not OK"</formula>
    </cfRule>
    <cfRule type="cellIs" dxfId="54" priority="34" operator="equal">
      <formula>"A &gt; As, OK"</formula>
    </cfRule>
  </conditionalFormatting>
  <conditionalFormatting sqref="K30">
    <cfRule type="cellIs" dxfId="53" priority="52" operator="equal">
      <formula>"NOT OK"</formula>
    </cfRule>
    <cfRule type="cellIs" dxfId="52" priority="53" operator="equal">
      <formula>"OK"</formula>
    </cfRule>
  </conditionalFormatting>
  <conditionalFormatting sqref="L31">
    <cfRule type="containsText" dxfId="51" priority="17" operator="containsText" text="NOT OK เพิ่มความยาวฐานราก">
      <formula>NOT(ISERROR(SEARCH("NOT OK เพิ่มความยาวฐานราก",L31)))</formula>
    </cfRule>
    <cfRule type="containsText" dxfId="50" priority="18" operator="containsText" text="ok">
      <formula>NOT(ISERROR(SEARCH("ok",L31)))</formula>
    </cfRule>
    <cfRule type="containsText" dxfId="49" priority="19" operator="containsText" text="NOT OK เพิ่มความยาวฐานราก">
      <formula>NOT(ISERROR(SEARCH("NOT OK เพิ่มความยาวฐานราก",L31)))</formula>
    </cfRule>
    <cfRule type="containsText" dxfId="48" priority="20" operator="containsText" text="ok">
      <formula>NOT(ISERROR(SEARCH("ok",L31)))</formula>
    </cfRule>
  </conditionalFormatting>
  <conditionalFormatting sqref="L31:L33">
    <cfRule type="containsText" dxfId="47" priority="5" operator="containsText" text="Not OK">
      <formula>NOT(ISERROR(SEARCH("Not OK",L31)))</formula>
    </cfRule>
  </conditionalFormatting>
  <conditionalFormatting sqref="L32">
    <cfRule type="containsText" dxfId="46" priority="8" operator="containsText" text="ok">
      <formula>NOT(ISERROR(SEARCH("ok",L32)))</formula>
    </cfRule>
    <cfRule type="containsText" dxfId="45" priority="27" operator="containsText" text="&lt; ">
      <formula>NOT(ISERROR(SEARCH("&lt; ",L32)))</formula>
    </cfRule>
    <cfRule type="containsText" dxfId="44" priority="28" operator="containsText" text="≧">
      <formula>NOT(ISERROR(SEARCH("≧",L32)))</formula>
    </cfRule>
  </conditionalFormatting>
  <conditionalFormatting sqref="L32:L33">
    <cfRule type="containsText" dxfId="43" priority="23" operator="containsText" text="Vc &lt; V ,เพิ่มขนาดเสาตอม่อ">
      <formula>NOT(ISERROR(SEARCH("Vc &lt; V ,เพิ่มขนาดเสาตอม่อ",L32)))</formula>
    </cfRule>
    <cfRule type="containsText" dxfId="42" priority="24" operator="containsText" text="Vc &gt; V , OK">
      <formula>NOT(ISERROR(SEARCH("Vc &gt; V , OK",L32)))</formula>
    </cfRule>
  </conditionalFormatting>
  <conditionalFormatting sqref="L32:L35">
    <cfRule type="containsText" dxfId="41" priority="9" operator="containsText" text="Vc &lt; V ,เพิ่มความหนาฐานราก">
      <formula>NOT(ISERROR(SEARCH("Vc &lt; V ,เพิ่มความหนาฐานราก",L32)))</formula>
    </cfRule>
  </conditionalFormatting>
  <conditionalFormatting sqref="L33">
    <cfRule type="containsText" dxfId="40" priority="4" operator="containsText" text="OK">
      <formula>NOT(ISERROR(SEARCH("OK",L33)))</formula>
    </cfRule>
    <cfRule type="containsText" dxfId="39" priority="25" operator="containsText" text="&lt;">
      <formula>NOT(ISERROR(SEARCH("&lt;",L33)))</formula>
    </cfRule>
    <cfRule type="containsText" dxfId="38" priority="26" operator="containsText" text="&gt;">
      <formula>NOT(ISERROR(SEARCH("&gt;",L33)))</formula>
    </cfRule>
  </conditionalFormatting>
  <conditionalFormatting sqref="L33:L35">
    <cfRule type="containsText" dxfId="37" priority="12" operator="containsText" text="Vc &gt; V , OK">
      <formula>NOT(ISERROR(SEARCH("Vc &gt; V , OK",L33)))</formula>
    </cfRule>
  </conditionalFormatting>
  <conditionalFormatting sqref="L34">
    <cfRule type="containsText" dxfId="36" priority="15" operator="containsText" text="&lt; ">
      <formula>NOT(ISERROR(SEARCH("&lt; ",L34)))</formula>
    </cfRule>
    <cfRule type="containsText" dxfId="35" priority="16" operator="containsText" text="≧">
      <formula>NOT(ISERROR(SEARCH("≧",L34)))</formula>
    </cfRule>
  </conditionalFormatting>
  <conditionalFormatting sqref="L34:L35">
    <cfRule type="containsText" dxfId="34" priority="1" operator="containsText" text="ok">
      <formula>NOT(ISERROR(SEARCH("ok",L34)))</formula>
    </cfRule>
    <cfRule type="containsText" dxfId="33" priority="11" operator="containsText" text="Vc &lt; V ,เพิ่มขนาดเสาตอม่อ">
      <formula>NOT(ISERROR(SEARCH("Vc &lt; V ,เพิ่มขนาดเสาตอม่อ",L34)))</formula>
    </cfRule>
  </conditionalFormatting>
  <conditionalFormatting sqref="L35">
    <cfRule type="containsText" dxfId="32" priority="2" operator="containsText" text="ok">
      <formula>NOT(ISERROR(SEARCH("ok",L35)))</formula>
    </cfRule>
    <cfRule type="containsText" dxfId="31" priority="10" operator="containsText" text="Vc &gt; V , OK">
      <formula>NOT(ISERROR(SEARCH("Vc &gt; V , OK",L35)))</formula>
    </cfRule>
    <cfRule type="containsText" dxfId="30" priority="13" operator="containsText" text="&lt;">
      <formula>NOT(ISERROR(SEARCH("&lt;",L35)))</formula>
    </cfRule>
    <cfRule type="containsText" dxfId="29" priority="14" operator="containsText" text="&gt;">
      <formula>NOT(ISERROR(SEARCH("&gt;",L35)))</formula>
    </cfRule>
  </conditionalFormatting>
  <conditionalFormatting sqref="R15:T18">
    <cfRule type="cellIs" dxfId="28" priority="54" operator="equal">
      <formula>"Error"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26D3-8978-43AB-AC4A-A9CC52BE4993}">
  <sheetPr>
    <tabColor rgb="FF92D050"/>
    <pageSetUpPr fitToPage="1"/>
  </sheetPr>
  <dimension ref="A1:AN102"/>
  <sheetViews>
    <sheetView showGridLines="0" zoomScale="55" zoomScaleNormal="55" workbookViewId="0">
      <selection activeCell="D38" sqref="D38"/>
    </sheetView>
  </sheetViews>
  <sheetFormatPr defaultColWidth="10.6640625" defaultRowHeight="15"/>
  <cols>
    <col min="2" max="2" width="15" customWidth="1"/>
    <col min="3" max="3" width="27.44140625" customWidth="1"/>
    <col min="4" max="4" width="17.5546875" customWidth="1"/>
    <col min="5" max="5" width="11" customWidth="1"/>
    <col min="6" max="6" width="9.6640625" customWidth="1"/>
    <col min="7" max="7" width="13.33203125" customWidth="1"/>
    <col min="8" max="8" width="12.6640625" customWidth="1"/>
    <col min="9" max="10" width="15.5546875" customWidth="1"/>
    <col min="11" max="11" width="13.21875" customWidth="1"/>
    <col min="12" max="12" width="11.109375" customWidth="1"/>
    <col min="13" max="13" width="20.6640625" customWidth="1"/>
    <col min="14" max="14" width="2.109375" hidden="1" customWidth="1"/>
    <col min="15" max="15" width="15.21875" hidden="1" customWidth="1"/>
    <col min="16" max="16" width="16.88671875" hidden="1" customWidth="1"/>
    <col min="17" max="17" width="0.77734375" hidden="1" customWidth="1"/>
    <col min="18" max="18" width="14.77734375" hidden="1" customWidth="1"/>
    <col min="19" max="19" width="13.77734375" hidden="1" customWidth="1"/>
    <col min="20" max="20" width="16.44140625" hidden="1" customWidth="1"/>
    <col min="21" max="21" width="19.33203125" hidden="1" customWidth="1"/>
    <col min="22" max="22" width="2.77734375" hidden="1" customWidth="1"/>
    <col min="23" max="24" width="9" hidden="1" customWidth="1"/>
    <col min="25" max="25" width="8.33203125" hidden="1" customWidth="1"/>
    <col min="26" max="26" width="1.33203125" customWidth="1"/>
    <col min="27" max="27" width="19.33203125" customWidth="1"/>
    <col min="28" max="28" width="14.5546875" customWidth="1"/>
    <col min="29" max="29" width="15.33203125" customWidth="1"/>
    <col min="30" max="30" width="15.44140625" customWidth="1"/>
    <col min="31" max="31" width="15.21875" customWidth="1"/>
    <col min="32" max="32" width="20.77734375" customWidth="1"/>
    <col min="33" max="33" width="6.33203125" hidden="1" customWidth="1"/>
    <col min="34" max="34" width="8.21875" hidden="1" customWidth="1"/>
    <col min="35" max="35" width="10.6640625" customWidth="1"/>
    <col min="37" max="37" width="0.77734375" customWidth="1"/>
    <col min="38" max="40" width="10.6640625" hidden="1" customWidth="1"/>
  </cols>
  <sheetData>
    <row r="1" spans="2:25" ht="21" thickBot="1">
      <c r="P1" s="1" t="s">
        <v>0</v>
      </c>
      <c r="Q1" s="2">
        <v>22</v>
      </c>
    </row>
    <row r="2" spans="2:25" ht="93.75" customHeight="1" thickBot="1">
      <c r="B2" s="249" t="s">
        <v>181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1"/>
      <c r="P2" s="1" t="s">
        <v>1</v>
      </c>
      <c r="Q2" s="2">
        <v>10</v>
      </c>
      <c r="R2" s="3" t="s">
        <v>2</v>
      </c>
      <c r="S2" s="3"/>
      <c r="Y2">
        <f>D28</f>
        <v>4</v>
      </c>
    </row>
    <row r="3" spans="2:25" ht="32.25" customHeight="1">
      <c r="B3" s="353"/>
      <c r="C3" s="354"/>
      <c r="D3" s="354"/>
      <c r="E3" s="355"/>
      <c r="F3" s="354"/>
      <c r="G3" s="354"/>
      <c r="H3" s="354"/>
      <c r="I3" s="354"/>
      <c r="J3" s="354"/>
      <c r="K3" s="354"/>
      <c r="L3" s="354"/>
      <c r="M3" s="355"/>
      <c r="P3" s="1" t="s">
        <v>3</v>
      </c>
      <c r="Q3" s="4">
        <v>1</v>
      </c>
      <c r="R3" s="3" t="s">
        <v>2</v>
      </c>
      <c r="S3" s="3" t="s">
        <v>170</v>
      </c>
    </row>
    <row r="4" spans="2:25" ht="24">
      <c r="B4" s="27"/>
      <c r="C4" s="342"/>
      <c r="D4" s="342"/>
      <c r="E4" s="26"/>
      <c r="F4" s="342"/>
      <c r="G4" s="342"/>
      <c r="H4" s="342"/>
      <c r="I4" s="342"/>
      <c r="J4" s="342"/>
      <c r="K4" s="342"/>
      <c r="L4" s="342"/>
      <c r="M4" s="26"/>
      <c r="P4" s="1" t="s">
        <v>4</v>
      </c>
      <c r="Q4" s="4">
        <v>0.92</v>
      </c>
      <c r="R4" s="3" t="s">
        <v>2</v>
      </c>
      <c r="S4" s="3" t="s">
        <v>170</v>
      </c>
    </row>
    <row r="5" spans="2:25" ht="24">
      <c r="B5" s="27"/>
      <c r="C5" s="342"/>
      <c r="D5" s="342"/>
      <c r="E5" s="26"/>
      <c r="F5" s="342"/>
      <c r="G5" s="342"/>
      <c r="H5" s="342"/>
      <c r="I5" s="342"/>
      <c r="J5" s="342"/>
      <c r="K5" s="342"/>
      <c r="L5" s="342"/>
      <c r="M5" s="26"/>
      <c r="P5" s="1" t="s">
        <v>5</v>
      </c>
      <c r="Q5" s="2">
        <v>0.09</v>
      </c>
      <c r="R5" s="3" t="s">
        <v>2</v>
      </c>
      <c r="S5" s="3" t="str">
        <f>ROUNDUP(E59,0)&amp;" Kg"</f>
        <v>681 Kg</v>
      </c>
    </row>
    <row r="6" spans="2:25" ht="24">
      <c r="B6" s="27"/>
      <c r="C6" s="342"/>
      <c r="D6" s="342"/>
      <c r="E6" s="26"/>
      <c r="F6" s="342"/>
      <c r="G6" s="342"/>
      <c r="H6" s="342"/>
      <c r="I6" s="342"/>
      <c r="J6" s="342"/>
      <c r="K6" s="342"/>
      <c r="L6" s="342"/>
      <c r="M6" s="26"/>
      <c r="P6" s="1" t="s">
        <v>6</v>
      </c>
      <c r="Q6" s="4">
        <v>0.05</v>
      </c>
      <c r="R6" s="3" t="s">
        <v>2</v>
      </c>
      <c r="S6" s="3" t="str">
        <f>ROUNDUP(E58,0)&amp;" Kg-m"</f>
        <v>681 Kg-m</v>
      </c>
    </row>
    <row r="7" spans="2:25" ht="24">
      <c r="B7" s="27"/>
      <c r="C7" s="342"/>
      <c r="D7" s="342"/>
      <c r="E7" s="26"/>
      <c r="F7" s="342"/>
      <c r="G7" s="342"/>
      <c r="H7" s="342"/>
      <c r="I7" s="342"/>
      <c r="J7" s="342"/>
      <c r="K7" s="342"/>
      <c r="L7" s="342"/>
      <c r="M7" s="26"/>
      <c r="P7" s="1" t="s">
        <v>7</v>
      </c>
      <c r="Q7" s="4">
        <v>0.7</v>
      </c>
      <c r="R7" s="3" t="s">
        <v>2</v>
      </c>
      <c r="S7" s="3" t="str">
        <f>ROUNDUP(E30,0)&amp;"   m"</f>
        <v>3   m</v>
      </c>
    </row>
    <row r="8" spans="2:25" ht="24">
      <c r="B8" s="27"/>
      <c r="C8" s="342"/>
      <c r="D8" s="342"/>
      <c r="E8" s="26"/>
      <c r="F8" s="342"/>
      <c r="G8" s="342"/>
      <c r="H8" s="342"/>
      <c r="I8" s="342"/>
      <c r="J8" s="342"/>
      <c r="K8" s="342"/>
      <c r="L8" s="342"/>
      <c r="M8" s="26"/>
      <c r="P8" s="3" t="str">
        <f>ROUNDUP(E32,0)&amp;"   m"</f>
        <v>1   m</v>
      </c>
      <c r="S8" s="3" t="str">
        <f>ROUNDUP(E29,2)&amp;"   m"</f>
        <v>4   m</v>
      </c>
      <c r="U8" s="3" t="str">
        <f>ROUNDUP(E34,2)&amp;"   m"</f>
        <v>3   m</v>
      </c>
    </row>
    <row r="9" spans="2:25" ht="24">
      <c r="B9" s="27"/>
      <c r="C9" s="342"/>
      <c r="D9" s="342"/>
      <c r="E9" s="26"/>
      <c r="F9" s="342"/>
      <c r="G9" s="342"/>
      <c r="H9" s="342"/>
      <c r="I9" s="342"/>
      <c r="J9" s="342"/>
      <c r="K9" s="342"/>
      <c r="L9" s="342"/>
      <c r="M9" s="26"/>
      <c r="P9" s="5" t="s">
        <v>8</v>
      </c>
      <c r="Q9" s="5" t="s">
        <v>9</v>
      </c>
      <c r="R9" s="5" t="s">
        <v>10</v>
      </c>
      <c r="S9" s="5" t="s">
        <v>11</v>
      </c>
    </row>
    <row r="10" spans="2:25" ht="24">
      <c r="B10" s="27"/>
      <c r="C10" s="342"/>
      <c r="D10" s="342"/>
      <c r="E10" s="26"/>
      <c r="F10" s="342"/>
      <c r="G10" s="342"/>
      <c r="H10" s="342"/>
      <c r="I10" s="342"/>
      <c r="J10" s="342"/>
      <c r="K10" s="342"/>
      <c r="L10" s="342"/>
      <c r="M10" s="26"/>
      <c r="N10" s="3"/>
      <c r="O10" s="3" t="s">
        <v>178</v>
      </c>
      <c r="P10" s="5" t="s">
        <v>12</v>
      </c>
      <c r="Q10" s="5">
        <v>2400</v>
      </c>
      <c r="R10" s="5">
        <v>1200</v>
      </c>
      <c r="S10" s="5">
        <v>2.5000000000000001E-3</v>
      </c>
      <c r="T10">
        <f>14/Q10</f>
        <v>5.8333333333333336E-3</v>
      </c>
    </row>
    <row r="11" spans="2:25" ht="24">
      <c r="B11" s="27"/>
      <c r="C11" s="342"/>
      <c r="D11" s="342"/>
      <c r="E11" s="26"/>
      <c r="F11" s="342"/>
      <c r="G11" s="342"/>
      <c r="H11" s="342"/>
      <c r="I11" s="342"/>
      <c r="J11" s="342"/>
      <c r="K11" s="342"/>
      <c r="L11" s="342"/>
      <c r="M11" s="26"/>
      <c r="N11" s="3"/>
      <c r="O11" s="3"/>
      <c r="P11" s="5" t="s">
        <v>13</v>
      </c>
      <c r="Q11" s="5">
        <v>4000</v>
      </c>
      <c r="R11" s="5">
        <v>1700</v>
      </c>
      <c r="S11" s="5">
        <v>1.8E-3</v>
      </c>
      <c r="T11">
        <f>14/Q11</f>
        <v>3.5000000000000001E-3</v>
      </c>
    </row>
    <row r="12" spans="2:25" ht="24">
      <c r="B12" s="27"/>
      <c r="C12" s="342"/>
      <c r="D12" s="342"/>
      <c r="E12" s="26"/>
      <c r="F12" s="342"/>
      <c r="G12" s="342"/>
      <c r="H12" s="342"/>
      <c r="I12" s="342"/>
      <c r="J12" s="342"/>
      <c r="K12" s="342"/>
      <c r="L12" s="342"/>
      <c r="M12" s="26"/>
      <c r="N12" s="3"/>
      <c r="O12" s="3"/>
      <c r="P12" s="5" t="s">
        <v>14</v>
      </c>
      <c r="Q12" s="5">
        <v>3000</v>
      </c>
      <c r="R12" s="5">
        <v>1500</v>
      </c>
      <c r="S12" s="5">
        <f>(0.0018*4000)/Q12</f>
        <v>2.4000000000000002E-3</v>
      </c>
      <c r="T12">
        <f>14/Q12</f>
        <v>4.6666666666666671E-3</v>
      </c>
    </row>
    <row r="13" spans="2:25" ht="24">
      <c r="B13" s="27"/>
      <c r="C13" s="342"/>
      <c r="D13" s="342"/>
      <c r="E13" s="26"/>
      <c r="F13" s="342"/>
      <c r="G13" s="342"/>
      <c r="H13" s="342"/>
      <c r="I13" s="342"/>
      <c r="J13" s="342"/>
      <c r="K13" s="342"/>
      <c r="L13" s="342"/>
      <c r="M13" s="26"/>
      <c r="N13" s="3"/>
      <c r="O13" s="3"/>
      <c r="P13" s="3" t="s">
        <v>179</v>
      </c>
      <c r="Q13" s="3"/>
      <c r="R13" s="3"/>
      <c r="S13" s="3"/>
    </row>
    <row r="14" spans="2:25" ht="21.75" customHeight="1">
      <c r="B14" s="27"/>
      <c r="C14" s="342"/>
      <c r="D14" s="342"/>
      <c r="E14" s="26"/>
      <c r="F14" s="342"/>
      <c r="G14" s="342"/>
      <c r="H14" s="342"/>
      <c r="I14" s="342"/>
      <c r="J14" s="342"/>
      <c r="K14" s="342"/>
      <c r="L14" s="342"/>
      <c r="M14" s="26"/>
      <c r="N14" s="3"/>
      <c r="O14" s="3"/>
      <c r="P14" s="3"/>
      <c r="Q14" s="3"/>
      <c r="R14" s="5" t="s">
        <v>15</v>
      </c>
      <c r="S14" s="5" t="s">
        <v>16</v>
      </c>
      <c r="T14" s="6" t="s">
        <v>17</v>
      </c>
    </row>
    <row r="15" spans="2:25" ht="24">
      <c r="B15" s="27"/>
      <c r="C15" s="342"/>
      <c r="D15" s="342"/>
      <c r="E15" s="26"/>
      <c r="F15" s="342"/>
      <c r="G15" s="342"/>
      <c r="H15" s="342"/>
      <c r="I15" s="342"/>
      <c r="J15" s="342"/>
      <c r="K15" s="342"/>
      <c r="L15" s="342"/>
      <c r="M15" s="26"/>
      <c r="N15" s="3"/>
      <c r="O15" s="3"/>
      <c r="P15" s="247" t="s">
        <v>18</v>
      </c>
      <c r="Q15" s="248"/>
      <c r="R15" s="8" t="e">
        <v>#DIV/0!</v>
      </c>
      <c r="S15" s="9" t="e">
        <f>VLOOKUP(R15,P21:R81,2,0)</f>
        <v>#DIV/0!</v>
      </c>
      <c r="T15" s="9" t="s">
        <v>174</v>
      </c>
    </row>
    <row r="16" spans="2:25" ht="31.5" customHeight="1">
      <c r="B16" s="27"/>
      <c r="C16" s="342"/>
      <c r="D16" s="342"/>
      <c r="E16" s="26"/>
      <c r="F16" s="342"/>
      <c r="G16" s="342"/>
      <c r="H16" s="342"/>
      <c r="I16" s="342"/>
      <c r="J16" s="342"/>
      <c r="K16" s="342"/>
      <c r="L16" s="342"/>
      <c r="M16" s="26"/>
      <c r="N16" s="3"/>
      <c r="O16" s="3"/>
      <c r="P16" s="10"/>
      <c r="Q16" s="10" t="s">
        <v>19</v>
      </c>
      <c r="R16" s="8">
        <v>0.5</v>
      </c>
      <c r="S16" s="11">
        <f>IF(R16=0,0,(VLOOKUP(R16,P22:R80,2,0)))</f>
        <v>0.5</v>
      </c>
      <c r="T16" s="9" t="s">
        <v>173</v>
      </c>
    </row>
    <row r="17" spans="2:33" ht="34.5" customHeight="1">
      <c r="B17" s="27"/>
      <c r="C17" s="342"/>
      <c r="D17" s="342"/>
      <c r="E17" s="26"/>
      <c r="F17" s="342"/>
      <c r="G17" s="342"/>
      <c r="H17" s="342"/>
      <c r="I17" s="342"/>
      <c r="J17" s="342"/>
      <c r="K17" s="342"/>
      <c r="L17" s="342"/>
      <c r="M17" s="26"/>
      <c r="N17" s="3"/>
      <c r="O17" s="3" t="s">
        <v>12</v>
      </c>
      <c r="P17" s="247" t="s">
        <v>20</v>
      </c>
      <c r="Q17" s="248"/>
      <c r="R17" s="8">
        <v>0.37</v>
      </c>
      <c r="S17" s="12">
        <f>VLOOKUP(R17,P22:R79,2,0)</f>
        <v>0.35</v>
      </c>
      <c r="T17" s="9" t="s">
        <v>173</v>
      </c>
    </row>
    <row r="18" spans="2:33" ht="24" customHeight="1">
      <c r="B18" s="27"/>
      <c r="C18" s="342"/>
      <c r="D18" s="342"/>
      <c r="E18" s="26"/>
      <c r="F18" s="342"/>
      <c r="G18" s="342"/>
      <c r="H18" s="342"/>
      <c r="I18" s="342"/>
      <c r="J18" s="342"/>
      <c r="K18" s="342"/>
      <c r="L18" s="342"/>
      <c r="M18" s="26"/>
      <c r="N18" s="3"/>
      <c r="O18" s="3" t="s">
        <v>12</v>
      </c>
      <c r="P18" s="247" t="s">
        <v>18</v>
      </c>
      <c r="Q18" s="248"/>
      <c r="R18" s="8" t="e">
        <v>#DIV/0!</v>
      </c>
      <c r="S18" s="9" t="e">
        <f>VLOOKUP(R18,P22:R81,2,0)</f>
        <v>#DIV/0!</v>
      </c>
      <c r="T18" s="9" t="s">
        <v>174</v>
      </c>
    </row>
    <row r="19" spans="2:33" ht="24">
      <c r="B19" s="27"/>
      <c r="C19" s="342"/>
      <c r="D19" s="342"/>
      <c r="E19" s="26"/>
      <c r="F19" s="342"/>
      <c r="G19" s="342"/>
      <c r="H19" s="342"/>
      <c r="I19" s="342"/>
      <c r="J19" s="342"/>
      <c r="K19" s="342"/>
      <c r="L19" s="342"/>
      <c r="M19" s="26"/>
      <c r="N19" s="3"/>
      <c r="O19" s="3" t="s">
        <v>21</v>
      </c>
      <c r="P19" s="3"/>
      <c r="Q19" s="3"/>
      <c r="R19" s="3"/>
      <c r="S19" s="3"/>
    </row>
    <row r="20" spans="2:33" ht="24.75" thickBot="1">
      <c r="B20" s="343"/>
      <c r="C20" s="344"/>
      <c r="D20" s="344"/>
      <c r="E20" s="345"/>
      <c r="F20" s="344"/>
      <c r="G20" s="344"/>
      <c r="H20" s="344"/>
      <c r="I20" s="344"/>
      <c r="J20" s="344"/>
      <c r="K20" s="344"/>
      <c r="L20" s="344"/>
      <c r="M20" s="345"/>
      <c r="N20" s="3"/>
      <c r="O20" s="3" t="s">
        <v>22</v>
      </c>
      <c r="P20" s="3"/>
      <c r="Q20" s="3"/>
      <c r="R20" s="3"/>
      <c r="S20" s="3"/>
    </row>
    <row r="21" spans="2:33" ht="69">
      <c r="B21" s="356" t="s">
        <v>95</v>
      </c>
      <c r="C21" s="357"/>
      <c r="D21" s="358"/>
      <c r="E21" s="61"/>
      <c r="F21" s="61"/>
      <c r="G21" s="61"/>
      <c r="H21" s="61"/>
      <c r="I21" s="61"/>
      <c r="J21" s="61"/>
      <c r="K21" s="61"/>
      <c r="L21" s="61"/>
      <c r="M21" s="25"/>
      <c r="N21" s="3"/>
      <c r="O21" s="3" t="s">
        <v>23</v>
      </c>
      <c r="P21" s="10" t="s">
        <v>15</v>
      </c>
      <c r="Q21" s="10" t="s">
        <v>16</v>
      </c>
      <c r="R21" s="10"/>
      <c r="S21" s="3"/>
      <c r="T21" s="1"/>
      <c r="U21" s="9" t="s">
        <v>24</v>
      </c>
      <c r="W21" s="9" t="s">
        <v>25</v>
      </c>
      <c r="X21" s="9" t="s">
        <v>26</v>
      </c>
      <c r="AA21" s="243" t="s">
        <v>78</v>
      </c>
      <c r="AB21" s="236" t="s">
        <v>79</v>
      </c>
      <c r="AC21" s="238" t="s">
        <v>80</v>
      </c>
      <c r="AD21" s="240" t="s">
        <v>81</v>
      </c>
      <c r="AE21" s="240"/>
      <c r="AF21" s="241" t="s">
        <v>84</v>
      </c>
    </row>
    <row r="22" spans="2:33" ht="41.25" thickBot="1">
      <c r="B22" s="29">
        <v>1</v>
      </c>
      <c r="C22" s="227" t="s">
        <v>85</v>
      </c>
      <c r="D22" s="228"/>
      <c r="E22" s="61"/>
      <c r="F22" s="61"/>
      <c r="G22" s="61"/>
      <c r="H22" s="61"/>
      <c r="I22" s="61"/>
      <c r="J22" s="61"/>
      <c r="K22" s="61"/>
      <c r="L22" s="61"/>
      <c r="M22" s="25"/>
      <c r="N22" s="3"/>
      <c r="O22" s="3"/>
      <c r="P22" s="10">
        <v>0</v>
      </c>
      <c r="Q22" s="10">
        <v>0</v>
      </c>
      <c r="R22" s="10" t="s">
        <v>30</v>
      </c>
      <c r="S22" s="3"/>
      <c r="T22" s="9" t="s">
        <v>31</v>
      </c>
      <c r="U22" s="9">
        <v>0.222</v>
      </c>
      <c r="W22" s="9">
        <v>6</v>
      </c>
      <c r="X22" s="9">
        <v>10</v>
      </c>
      <c r="AA22" s="244"/>
      <c r="AB22" s="237"/>
      <c r="AC22" s="239"/>
      <c r="AD22" s="109" t="s">
        <v>82</v>
      </c>
      <c r="AE22" s="109" t="s">
        <v>83</v>
      </c>
      <c r="AF22" s="242"/>
    </row>
    <row r="23" spans="2:33" ht="41.25" thickBot="1">
      <c r="B23" s="29">
        <v>2</v>
      </c>
      <c r="C23" s="227" t="s">
        <v>86</v>
      </c>
      <c r="D23" s="228"/>
      <c r="E23" s="61"/>
      <c r="F23" s="61"/>
      <c r="G23" s="61"/>
      <c r="H23" s="61"/>
      <c r="I23" s="61"/>
      <c r="J23" s="61"/>
      <c r="K23" s="61"/>
      <c r="L23" s="61"/>
      <c r="M23" s="25"/>
      <c r="N23" s="3"/>
      <c r="O23" s="3" t="e">
        <v>#DIV/0!</v>
      </c>
      <c r="P23" s="10">
        <v>0.03</v>
      </c>
      <c r="Q23" s="10">
        <v>0.03</v>
      </c>
      <c r="R23" s="10" t="s">
        <v>33</v>
      </c>
      <c r="S23" s="3"/>
      <c r="T23" s="9" t="s">
        <v>34</v>
      </c>
      <c r="U23" s="9">
        <v>0.499</v>
      </c>
      <c r="W23" s="9">
        <v>9</v>
      </c>
      <c r="X23" s="9">
        <v>12</v>
      </c>
      <c r="AA23" s="245"/>
      <c r="AB23" s="106" t="s">
        <v>90</v>
      </c>
      <c r="AC23" s="107" t="s">
        <v>91</v>
      </c>
      <c r="AD23" s="107" t="s">
        <v>93</v>
      </c>
      <c r="AE23" s="105" t="s">
        <v>94</v>
      </c>
      <c r="AF23" s="108" t="s">
        <v>92</v>
      </c>
    </row>
    <row r="24" spans="2:33" ht="39.75">
      <c r="B24" s="29">
        <v>3</v>
      </c>
      <c r="C24" s="227" t="s">
        <v>87</v>
      </c>
      <c r="D24" s="228"/>
      <c r="E24" s="61"/>
      <c r="F24" s="61"/>
      <c r="G24" s="61"/>
      <c r="H24" s="61"/>
      <c r="I24" s="61"/>
      <c r="J24" s="61"/>
      <c r="K24" s="61"/>
      <c r="L24" s="61"/>
      <c r="M24" s="25"/>
      <c r="N24" s="3"/>
      <c r="O24" s="3"/>
      <c r="P24" s="10">
        <v>0.04</v>
      </c>
      <c r="Q24" s="10">
        <v>0.04</v>
      </c>
      <c r="R24" s="10" t="s">
        <v>35</v>
      </c>
      <c r="S24" s="3"/>
      <c r="T24" s="9" t="s">
        <v>36</v>
      </c>
      <c r="U24" s="9">
        <v>0.88800000000000001</v>
      </c>
      <c r="W24" s="9">
        <v>12</v>
      </c>
      <c r="X24" s="9">
        <v>16</v>
      </c>
      <c r="AA24" s="34">
        <v>1</v>
      </c>
      <c r="AB24" s="104">
        <f>'TIMBER ตงไม้ '!AB24</f>
        <v>78900</v>
      </c>
      <c r="AC24" s="104">
        <f>'TIMBER ตงไม้ '!AC24</f>
        <v>60</v>
      </c>
      <c r="AD24" s="104">
        <f>'TIMBER ตงไม้ '!AD24</f>
        <v>45</v>
      </c>
      <c r="AE24" s="104">
        <f>'TIMBER ตงไม้ '!AE24</f>
        <v>12</v>
      </c>
      <c r="AF24" s="162">
        <f>'TIMBER ตงไม้ '!AF24</f>
        <v>6</v>
      </c>
    </row>
    <row r="25" spans="2:33" ht="39.75">
      <c r="B25" s="29">
        <v>4</v>
      </c>
      <c r="C25" s="227" t="s">
        <v>88</v>
      </c>
      <c r="D25" s="228"/>
      <c r="E25" s="61"/>
      <c r="F25" s="61"/>
      <c r="G25" s="61"/>
      <c r="H25" s="61"/>
      <c r="I25" s="61"/>
      <c r="J25" s="61"/>
      <c r="K25" s="61"/>
      <c r="L25" s="61"/>
      <c r="M25" s="25"/>
      <c r="N25" s="3"/>
      <c r="O25" s="3"/>
      <c r="P25" s="10">
        <v>0.05</v>
      </c>
      <c r="Q25" s="10">
        <v>0.05</v>
      </c>
      <c r="R25" s="10" t="s">
        <v>37</v>
      </c>
      <c r="S25" s="3"/>
      <c r="T25" s="9" t="s">
        <v>38</v>
      </c>
      <c r="U25" s="9">
        <v>1.387</v>
      </c>
      <c r="W25" s="9">
        <v>16</v>
      </c>
      <c r="X25" s="9">
        <v>20</v>
      </c>
      <c r="AA25" s="34">
        <v>2</v>
      </c>
      <c r="AB25" s="104">
        <f>'TIMBER ตงไม้ '!AB25</f>
        <v>94100</v>
      </c>
      <c r="AC25" s="104">
        <f>'TIMBER ตงไม้ '!AC25</f>
        <v>80</v>
      </c>
      <c r="AD25" s="104">
        <f>'TIMBER ตงไม้ '!AD25</f>
        <v>60</v>
      </c>
      <c r="AE25" s="104">
        <f>'TIMBER ตงไม้ '!AE25</f>
        <v>16</v>
      </c>
      <c r="AF25" s="162">
        <f>'TIMBER ตงไม้ '!AF25</f>
        <v>8</v>
      </c>
    </row>
    <row r="26" spans="2:33" ht="40.5" thickBot="1">
      <c r="B26" s="31">
        <v>5</v>
      </c>
      <c r="C26" s="229" t="s">
        <v>89</v>
      </c>
      <c r="D26" s="230"/>
      <c r="E26" s="28"/>
      <c r="F26" s="28"/>
      <c r="G26" s="28"/>
      <c r="H26" s="28"/>
      <c r="I26" s="28"/>
      <c r="J26" s="28"/>
      <c r="K26" s="28"/>
      <c r="L26" s="28"/>
      <c r="M26" s="32"/>
      <c r="N26" s="3"/>
      <c r="O26" s="3" t="b">
        <f>IF(C27=1,E29/20,IF(C27=2,E29/24,IF(C27=3,E29/28)))</f>
        <v>0</v>
      </c>
      <c r="P26" s="10">
        <v>0.06</v>
      </c>
      <c r="Q26" s="10">
        <v>0.06</v>
      </c>
      <c r="R26" s="10" t="s">
        <v>37</v>
      </c>
      <c r="S26" s="3"/>
      <c r="T26" s="9" t="s">
        <v>39</v>
      </c>
      <c r="U26" s="9">
        <v>0.88800000000000001</v>
      </c>
      <c r="W26" s="9">
        <v>20</v>
      </c>
      <c r="X26" s="9">
        <v>25</v>
      </c>
      <c r="AA26" s="34">
        <v>3</v>
      </c>
      <c r="AB26" s="104">
        <f>'TIMBER ตงไม้ '!AB26</f>
        <v>112300</v>
      </c>
      <c r="AC26" s="104">
        <f>'TIMBER ตงไม้ '!AC26</f>
        <v>100</v>
      </c>
      <c r="AD26" s="104">
        <f>'TIMBER ตงไม้ '!AD26</f>
        <v>75</v>
      </c>
      <c r="AE26" s="104">
        <f>'TIMBER ตงไม้ '!AE26</f>
        <v>22</v>
      </c>
      <c r="AF26" s="162">
        <f>'TIMBER ตงไม้ '!AF26</f>
        <v>10</v>
      </c>
    </row>
    <row r="27" spans="2:33" ht="69.75" thickBot="1">
      <c r="B27" s="90" t="s">
        <v>95</v>
      </c>
      <c r="C27" s="113">
        <f>'TIMBER ตงไม้ '!C27</f>
        <v>5</v>
      </c>
      <c r="D27" s="91"/>
      <c r="E27" s="91"/>
      <c r="F27" s="91"/>
      <c r="G27" s="91"/>
      <c r="H27" s="303"/>
      <c r="I27" s="304"/>
      <c r="J27" s="305"/>
      <c r="K27" s="291" t="s">
        <v>110</v>
      </c>
      <c r="L27" s="291"/>
      <c r="M27" s="292"/>
      <c r="N27" s="3"/>
      <c r="O27" s="3">
        <f>E29/20</f>
        <v>0.2</v>
      </c>
      <c r="P27" s="10">
        <v>7.0000000000000007E-2</v>
      </c>
      <c r="Q27" s="10">
        <v>7.0000000000000007E-2</v>
      </c>
      <c r="R27" s="10" t="s">
        <v>37</v>
      </c>
      <c r="S27" s="3"/>
      <c r="T27" s="9" t="s">
        <v>40</v>
      </c>
      <c r="U27" s="9">
        <v>1.5780000000000001</v>
      </c>
      <c r="W27" s="9">
        <v>25</v>
      </c>
      <c r="X27" s="9">
        <v>28</v>
      </c>
      <c r="AA27" s="34">
        <v>4</v>
      </c>
      <c r="AB27" s="104">
        <f>'TIMBER ตงไม้ '!AB27</f>
        <v>136300</v>
      </c>
      <c r="AC27" s="104">
        <f>'TIMBER ตงไม้ '!AC27</f>
        <v>120</v>
      </c>
      <c r="AD27" s="104">
        <f>'TIMBER ตงไม้ '!AD27</f>
        <v>90</v>
      </c>
      <c r="AE27" s="104">
        <f>'TIMBER ตงไม้ '!AE27</f>
        <v>30</v>
      </c>
      <c r="AF27" s="162">
        <f>'TIMBER ตงไม้ '!AF27</f>
        <v>12</v>
      </c>
    </row>
    <row r="28" spans="2:33" ht="52.5" thickBot="1">
      <c r="B28" s="299" t="s">
        <v>143</v>
      </c>
      <c r="C28" s="300"/>
      <c r="D28" s="182">
        <v>4</v>
      </c>
      <c r="E28" s="141" t="s">
        <v>144</v>
      </c>
      <c r="F28" s="141">
        <f>IF(D28=1,VLOOKUP(Y2,AL35:AM40,2),IF(D28=2,VLOOKUP(Y2,AL35:AM40,2),IF(D28=3,VLOOKUP(Y2,AL35:AM40,2),IF(D28=4,VLOOKUP(Y2,AL35:AM40,2),IF(D28=5,VLOOKUP(Y2,AL35:AM40,2),IF(D28=6,VLOOKUP(Y2,AL35:AM40,2)))))))</f>
        <v>1</v>
      </c>
      <c r="G28" s="117"/>
      <c r="H28" s="293" t="s">
        <v>98</v>
      </c>
      <c r="I28" s="294"/>
      <c r="J28" s="294"/>
      <c r="K28" s="295">
        <f>E34</f>
        <v>3</v>
      </c>
      <c r="L28" s="295"/>
      <c r="M28" s="296"/>
      <c r="N28" s="3"/>
      <c r="O28" s="3">
        <f>ROUNDUP(O27,2)</f>
        <v>0.2</v>
      </c>
      <c r="P28" s="10">
        <v>0.08</v>
      </c>
      <c r="Q28" s="10">
        <v>0.08</v>
      </c>
      <c r="R28" s="10" t="s">
        <v>37</v>
      </c>
      <c r="S28" s="3"/>
      <c r="T28" s="9" t="s">
        <v>42</v>
      </c>
      <c r="U28" s="9">
        <v>2.4660000000000002</v>
      </c>
      <c r="X28" s="9">
        <v>32</v>
      </c>
      <c r="AA28" s="35">
        <v>5</v>
      </c>
      <c r="AB28" s="163">
        <f>'TIMBER ตงไม้ '!AB28</f>
        <v>189000</v>
      </c>
      <c r="AC28" s="163">
        <f>'TIMBER ตงไม้ '!AC28</f>
        <v>150</v>
      </c>
      <c r="AD28" s="163">
        <f>'TIMBER ตงไม้ '!AD28</f>
        <v>110</v>
      </c>
      <c r="AE28" s="163">
        <f>'TIMBER ตงไม้ '!AE28</f>
        <v>40</v>
      </c>
      <c r="AF28" s="164">
        <f>'TIMBER ตงไม้ '!AF28</f>
        <v>15</v>
      </c>
    </row>
    <row r="29" spans="2:33" ht="51.75">
      <c r="B29" s="38" t="s">
        <v>27</v>
      </c>
      <c r="C29" s="114"/>
      <c r="D29" s="115" t="s">
        <v>28</v>
      </c>
      <c r="E29" s="116">
        <f>'TIMBER ตงไม้ '!E28</f>
        <v>4</v>
      </c>
      <c r="F29" s="114" t="s">
        <v>29</v>
      </c>
      <c r="G29" s="117"/>
      <c r="H29" s="301"/>
      <c r="I29" s="302"/>
      <c r="J29" s="302"/>
      <c r="K29" s="297"/>
      <c r="L29" s="297"/>
      <c r="M29" s="298"/>
      <c r="N29" s="3"/>
      <c r="O29" s="3" t="e">
        <f>E34-E33-((K28*0.0001)/2)</f>
        <v>#VALUE!</v>
      </c>
      <c r="P29" s="10">
        <v>0.09</v>
      </c>
      <c r="Q29" s="10">
        <v>0.09</v>
      </c>
      <c r="R29" s="10" t="s">
        <v>37</v>
      </c>
      <c r="S29" s="3"/>
      <c r="T29" s="9" t="s">
        <v>43</v>
      </c>
      <c r="U29" s="9">
        <v>3.8530000000000002</v>
      </c>
      <c r="W29" s="13"/>
      <c r="X29" s="13" t="e">
        <f>#REF!*100</f>
        <v>#REF!</v>
      </c>
      <c r="AG29" t="str">
        <f>""&amp;E34&amp;""" x "&amp;E34&amp;""""</f>
        <v>3" x 3"</v>
      </c>
    </row>
    <row r="30" spans="2:33" ht="38.25">
      <c r="B30" s="38" t="s">
        <v>32</v>
      </c>
      <c r="C30" s="114"/>
      <c r="D30" s="115" t="s">
        <v>28</v>
      </c>
      <c r="E30" s="116">
        <f>'TIMBER ตงไม้ '!E29</f>
        <v>3</v>
      </c>
      <c r="F30" s="114" t="s">
        <v>29</v>
      </c>
      <c r="G30" s="62"/>
      <c r="H30" s="140"/>
      <c r="I30" s="271" t="str">
        <f>B65</f>
        <v>เช็คขนาดหน้าตัดเสา</v>
      </c>
      <c r="J30" s="272"/>
      <c r="K30" s="137" t="s">
        <v>28</v>
      </c>
      <c r="L30" s="277" t="str">
        <f>F69</f>
        <v xml:space="preserve"> OK</v>
      </c>
      <c r="M30" s="278"/>
      <c r="N30" s="3"/>
      <c r="O30" s="3" t="e">
        <f>ROUNDUP(O29,2)</f>
        <v>#VALUE!</v>
      </c>
      <c r="P30" s="10">
        <v>0.1</v>
      </c>
      <c r="Q30" s="10">
        <v>0.1</v>
      </c>
      <c r="R30" s="10" t="s">
        <v>44</v>
      </c>
      <c r="S30" s="3"/>
      <c r="T30" s="9" t="s">
        <v>45</v>
      </c>
      <c r="U30" s="9">
        <v>0.88800000000000001</v>
      </c>
      <c r="W30" s="13"/>
      <c r="X30" s="13"/>
    </row>
    <row r="31" spans="2:33" ht="39" thickBot="1">
      <c r="B31" s="84" t="s">
        <v>136</v>
      </c>
      <c r="D31" s="115" t="s">
        <v>28</v>
      </c>
      <c r="E31" s="116">
        <f>'TIMBER ตงไม้ '!E30</f>
        <v>2.5</v>
      </c>
      <c r="F31" s="114" t="s">
        <v>29</v>
      </c>
      <c r="G31" s="62"/>
      <c r="H31" s="39"/>
      <c r="I31" s="273" t="str">
        <f>B91</f>
        <v>เช็คว่าเสารับแรงได้ไหม</v>
      </c>
      <c r="J31" s="274"/>
      <c r="K31" s="137" t="s">
        <v>28</v>
      </c>
      <c r="L31" s="225" t="str">
        <f>F100</f>
        <v xml:space="preserve"> OK</v>
      </c>
      <c r="M31" s="226"/>
      <c r="N31" s="3"/>
      <c r="O31" s="3" t="b">
        <f>IF(C27=1,"",IF(C27=2,E54*E29^2/9,IF(C27=3,E54*E29^2/9)))</f>
        <v>0</v>
      </c>
      <c r="P31" s="10">
        <v>0.11</v>
      </c>
      <c r="Q31" s="10">
        <v>0.1</v>
      </c>
      <c r="R31" s="10" t="s">
        <v>44</v>
      </c>
      <c r="S31" s="3"/>
      <c r="T31" s="9" t="s">
        <v>47</v>
      </c>
      <c r="U31" s="9">
        <v>1.5780000000000001</v>
      </c>
      <c r="W31" s="13"/>
    </row>
    <row r="32" spans="2:33" ht="37.5">
      <c r="B32" s="38" t="s">
        <v>96</v>
      </c>
      <c r="C32" s="114"/>
      <c r="D32" s="115" t="s">
        <v>28</v>
      </c>
      <c r="E32" s="116">
        <f>'TIMBER ตงไม้ '!E31</f>
        <v>0.5</v>
      </c>
      <c r="F32" s="114" t="s">
        <v>29</v>
      </c>
      <c r="G32" s="62"/>
      <c r="H32" s="111"/>
      <c r="I32" s="219" t="s">
        <v>161</v>
      </c>
      <c r="J32" s="220"/>
      <c r="K32" s="220" t="str">
        <f>""&amp;E34&amp;""" x "&amp;E34&amp;""""</f>
        <v>3" x 3"</v>
      </c>
      <c r="L32" s="220"/>
      <c r="M32" s="223"/>
      <c r="N32" s="3"/>
      <c r="O32" s="3"/>
      <c r="P32" s="10">
        <v>0.12</v>
      </c>
      <c r="Q32" s="10">
        <v>0.12</v>
      </c>
      <c r="R32" s="10" t="s">
        <v>48</v>
      </c>
      <c r="S32" s="3"/>
      <c r="T32" s="9" t="s">
        <v>49</v>
      </c>
      <c r="U32" s="9">
        <v>2.4660000000000002</v>
      </c>
      <c r="W32" s="13"/>
    </row>
    <row r="33" spans="2:39" ht="38.25" thickBot="1">
      <c r="B33" s="38" t="s">
        <v>97</v>
      </c>
      <c r="C33" s="114"/>
      <c r="D33" s="115" t="s">
        <v>28</v>
      </c>
      <c r="E33" s="116" t="str">
        <f>'TIMBER ตงไม้ '!E32</f>
        <v>B1</v>
      </c>
      <c r="F33" s="114" t="s">
        <v>29</v>
      </c>
      <c r="G33" s="62"/>
      <c r="H33" s="41"/>
      <c r="I33" s="221"/>
      <c r="J33" s="222"/>
      <c r="K33" s="222"/>
      <c r="L33" s="222"/>
      <c r="M33" s="224"/>
      <c r="N33" s="3"/>
      <c r="O33" s="3"/>
      <c r="P33" s="10">
        <v>0.13</v>
      </c>
      <c r="Q33" s="10">
        <v>0.12</v>
      </c>
      <c r="R33" s="10" t="s">
        <v>48</v>
      </c>
      <c r="S33" s="3"/>
      <c r="T33" s="9" t="s">
        <v>50</v>
      </c>
      <c r="U33" s="9">
        <v>3.8530000000000002</v>
      </c>
    </row>
    <row r="34" spans="2:39" ht="39.75">
      <c r="B34" s="38" t="s">
        <v>98</v>
      </c>
      <c r="C34" s="114"/>
      <c r="D34" s="115" t="s">
        <v>28</v>
      </c>
      <c r="E34" s="365">
        <v>3</v>
      </c>
      <c r="F34" s="65" t="s">
        <v>109</v>
      </c>
      <c r="G34" s="62"/>
      <c r="H34" s="117"/>
      <c r="I34" s="62"/>
      <c r="J34" s="62"/>
      <c r="K34" s="62"/>
      <c r="L34" s="62"/>
      <c r="M34" s="42"/>
      <c r="N34" s="3"/>
      <c r="O34" s="3"/>
      <c r="P34" s="10">
        <v>0.14000000000000001</v>
      </c>
      <c r="Q34" s="10">
        <v>0.12</v>
      </c>
      <c r="R34" s="10" t="s">
        <v>48</v>
      </c>
      <c r="S34" s="3"/>
      <c r="T34" s="9" t="s">
        <v>51</v>
      </c>
      <c r="U34" s="9">
        <v>0</v>
      </c>
    </row>
    <row r="35" spans="2:39" ht="38.25" thickBot="1">
      <c r="B35" s="38" t="s">
        <v>153</v>
      </c>
      <c r="D35" s="115" t="s">
        <v>28</v>
      </c>
      <c r="E35" s="110">
        <f>'TIMBER ตงไม้ '!E34</f>
        <v>2.5</v>
      </c>
      <c r="F35" s="114" t="s">
        <v>29</v>
      </c>
      <c r="G35" s="117"/>
      <c r="H35" s="117"/>
      <c r="I35" s="117"/>
      <c r="J35" s="117"/>
      <c r="K35" s="117"/>
      <c r="L35" s="117"/>
      <c r="M35" s="40"/>
      <c r="N35" s="3"/>
      <c r="O35" s="3" t="s">
        <v>177</v>
      </c>
      <c r="P35" s="10">
        <v>0.15</v>
      </c>
      <c r="Q35" s="10">
        <v>0.15</v>
      </c>
      <c r="R35" s="10" t="s">
        <v>52</v>
      </c>
      <c r="S35" s="3"/>
      <c r="T35" s="9" t="s">
        <v>53</v>
      </c>
      <c r="U35" s="9">
        <v>0</v>
      </c>
      <c r="AL35">
        <v>1</v>
      </c>
      <c r="AM35">
        <v>0.65</v>
      </c>
    </row>
    <row r="36" spans="2:39" ht="40.5" thickBot="1">
      <c r="B36" s="39" t="s">
        <v>146</v>
      </c>
      <c r="C36" s="62"/>
      <c r="D36" s="63" t="s">
        <v>28</v>
      </c>
      <c r="E36" s="134">
        <f>'TIMBER ตงไม้ '!E35</f>
        <v>2</v>
      </c>
      <c r="F36" s="65" t="s">
        <v>109</v>
      </c>
      <c r="G36" s="117"/>
      <c r="H36" s="117"/>
      <c r="I36" s="117"/>
      <c r="J36" s="117"/>
      <c r="K36" s="117"/>
      <c r="L36" s="117"/>
      <c r="M36" s="40"/>
      <c r="N36" s="3"/>
      <c r="O36" s="3">
        <v>0</v>
      </c>
      <c r="P36" s="10">
        <v>0.16</v>
      </c>
      <c r="Q36" s="10">
        <v>0.15</v>
      </c>
      <c r="R36" s="10" t="s">
        <v>52</v>
      </c>
      <c r="S36" s="3"/>
      <c r="T36" s="1"/>
      <c r="U36" s="1"/>
      <c r="AA36" s="165" t="s">
        <v>95</v>
      </c>
      <c r="AB36" s="132"/>
      <c r="AC36" s="132"/>
      <c r="AD36" s="132"/>
      <c r="AE36" s="132"/>
      <c r="AF36" s="133"/>
      <c r="AL36">
        <v>2</v>
      </c>
      <c r="AM36">
        <v>0.8</v>
      </c>
    </row>
    <row r="37" spans="2:39" ht="39.75">
      <c r="B37" s="38" t="s">
        <v>129</v>
      </c>
      <c r="C37" s="117"/>
      <c r="D37" s="64" t="s">
        <v>28</v>
      </c>
      <c r="E37" s="100">
        <f>'TIMBER ตงไม้ '!E36</f>
        <v>1</v>
      </c>
      <c r="F37" s="65" t="s">
        <v>109</v>
      </c>
      <c r="G37" s="62"/>
      <c r="H37" s="62"/>
      <c r="I37" s="62"/>
      <c r="J37" s="62"/>
      <c r="K37" s="62"/>
      <c r="L37" s="62"/>
      <c r="M37" s="42"/>
      <c r="N37" s="3"/>
      <c r="O37" s="3">
        <f>IF(O36&lt;=11, O36," 11")</f>
        <v>0</v>
      </c>
      <c r="P37" s="10">
        <v>0.17</v>
      </c>
      <c r="Q37" s="10">
        <v>0.15</v>
      </c>
      <c r="R37" s="10" t="s">
        <v>52</v>
      </c>
      <c r="S37" s="3"/>
      <c r="T37" s="14"/>
      <c r="U37" s="9" t="s">
        <v>54</v>
      </c>
      <c r="AA37" s="289" t="s">
        <v>142</v>
      </c>
      <c r="AF37" s="125"/>
      <c r="AL37">
        <v>3</v>
      </c>
      <c r="AM37">
        <v>1.2</v>
      </c>
    </row>
    <row r="38" spans="2:39" ht="37.5" customHeight="1" thickBot="1">
      <c r="B38" s="38" t="s">
        <v>130</v>
      </c>
      <c r="C38" s="117"/>
      <c r="D38" s="66" t="s">
        <v>28</v>
      </c>
      <c r="E38" s="120">
        <f>'TIMBER ตงไม้ '!E37</f>
        <v>4</v>
      </c>
      <c r="F38" s="65" t="s">
        <v>109</v>
      </c>
      <c r="M38" s="125"/>
      <c r="N38" s="3"/>
      <c r="O38" s="3">
        <v>0</v>
      </c>
      <c r="P38" s="10">
        <v>0.18</v>
      </c>
      <c r="Q38" s="10">
        <v>0.15</v>
      </c>
      <c r="R38" s="10" t="s">
        <v>52</v>
      </c>
      <c r="S38" s="3"/>
      <c r="T38" s="14" t="s">
        <v>55</v>
      </c>
      <c r="U38" s="15" t="e">
        <f>E29*(E33/S15)</f>
        <v>#VALUE!</v>
      </c>
      <c r="AA38" s="290"/>
      <c r="AB38" s="130"/>
      <c r="AC38" s="130"/>
      <c r="AD38" s="130"/>
      <c r="AE38" s="130"/>
      <c r="AF38" s="131"/>
      <c r="AL38">
        <v>4</v>
      </c>
      <c r="AM38">
        <v>1</v>
      </c>
    </row>
    <row r="39" spans="2:39" ht="35.25" customHeight="1" thickBot="1">
      <c r="B39" s="38"/>
      <c r="C39" s="114"/>
      <c r="D39" s="115"/>
      <c r="E39" s="110"/>
      <c r="F39" s="114"/>
      <c r="M39" s="125"/>
      <c r="N39" s="3"/>
      <c r="O39" s="3"/>
      <c r="P39" s="10">
        <v>0.19</v>
      </c>
      <c r="Q39" s="10">
        <v>0.15</v>
      </c>
      <c r="R39" s="10" t="s">
        <v>52</v>
      </c>
      <c r="S39" s="3"/>
      <c r="T39" s="14" t="s">
        <v>56</v>
      </c>
      <c r="U39" s="15" t="e">
        <f>IF(S16=0,0,E29*(E33/S16))</f>
        <v>#VALUE!</v>
      </c>
      <c r="AL39">
        <v>5</v>
      </c>
      <c r="AM39">
        <v>2.1</v>
      </c>
    </row>
    <row r="40" spans="2:39" ht="38.450000000000003" customHeight="1">
      <c r="B40" s="286" t="s">
        <v>41</v>
      </c>
      <c r="C40" s="287"/>
      <c r="D40" s="287"/>
      <c r="E40" s="287"/>
      <c r="F40" s="288"/>
      <c r="G40" s="62"/>
      <c r="H40" s="62"/>
      <c r="I40" s="62"/>
      <c r="J40" s="62"/>
      <c r="K40" s="62"/>
      <c r="L40" s="62"/>
      <c r="M40" s="42"/>
      <c r="N40" s="3"/>
      <c r="O40" s="3"/>
      <c r="P40" s="10">
        <v>0.2</v>
      </c>
      <c r="Q40" s="10">
        <v>0.2</v>
      </c>
      <c r="R40" s="10" t="s">
        <v>57</v>
      </c>
      <c r="S40" s="3"/>
      <c r="T40" s="14" t="s">
        <v>58</v>
      </c>
      <c r="U40" s="14" t="e">
        <f>ROUNDUP(E29*2*(E33/S17),2)</f>
        <v>#VALUE!</v>
      </c>
      <c r="AL40">
        <v>6</v>
      </c>
      <c r="AM40">
        <v>2</v>
      </c>
    </row>
    <row r="41" spans="2:39" ht="40.5">
      <c r="B41" s="43" t="s">
        <v>90</v>
      </c>
      <c r="C41" s="44" t="s">
        <v>28</v>
      </c>
      <c r="D41" s="254">
        <f>'TIMBER ตงไม้ '!D39</f>
        <v>189000</v>
      </c>
      <c r="E41" s="255"/>
      <c r="F41" s="36" t="s">
        <v>46</v>
      </c>
      <c r="G41" s="62"/>
      <c r="H41" s="62"/>
      <c r="I41" s="62"/>
      <c r="J41" s="62"/>
      <c r="K41" s="62"/>
      <c r="L41" s="62"/>
      <c r="M41" s="42"/>
      <c r="N41" s="3"/>
      <c r="O41" s="3"/>
      <c r="P41" s="10">
        <v>0.21</v>
      </c>
      <c r="Q41" s="10">
        <v>0.2</v>
      </c>
      <c r="R41" s="10" t="s">
        <v>57</v>
      </c>
      <c r="S41" s="3"/>
    </row>
    <row r="42" spans="2:39" ht="40.5">
      <c r="B42" s="43" t="s">
        <v>91</v>
      </c>
      <c r="C42" s="44" t="s">
        <v>28</v>
      </c>
      <c r="D42" s="254">
        <f>'TIMBER ตงไม้ '!D40</f>
        <v>150</v>
      </c>
      <c r="E42" s="255"/>
      <c r="F42" s="36" t="s">
        <v>46</v>
      </c>
      <c r="G42" s="62"/>
      <c r="H42" s="62"/>
      <c r="I42" s="62"/>
      <c r="J42" s="62"/>
      <c r="K42" s="62"/>
      <c r="L42" s="62"/>
      <c r="M42" s="42"/>
      <c r="N42" s="3"/>
      <c r="O42" s="16" t="s">
        <v>59</v>
      </c>
      <c r="P42" s="10">
        <v>0.22</v>
      </c>
      <c r="Q42" s="10">
        <v>0.2</v>
      </c>
      <c r="R42" s="10" t="s">
        <v>57</v>
      </c>
      <c r="S42" s="3"/>
    </row>
    <row r="43" spans="2:39" ht="40.5">
      <c r="B43" s="43" t="s">
        <v>93</v>
      </c>
      <c r="C43" s="44" t="s">
        <v>28</v>
      </c>
      <c r="D43" s="254">
        <f>'TIMBER ตงไม้ '!D41</f>
        <v>110</v>
      </c>
      <c r="E43" s="255"/>
      <c r="F43" s="36" t="s">
        <v>46</v>
      </c>
      <c r="G43" s="62"/>
      <c r="H43" s="62"/>
      <c r="I43" s="62"/>
      <c r="J43" s="62"/>
      <c r="K43" s="62"/>
      <c r="L43" s="62"/>
      <c r="M43" s="42"/>
      <c r="N43" s="3"/>
      <c r="O43" s="17" t="s">
        <v>60</v>
      </c>
      <c r="P43" s="10">
        <v>0.23</v>
      </c>
      <c r="Q43" s="10">
        <v>0.2</v>
      </c>
      <c r="R43" s="10" t="s">
        <v>57</v>
      </c>
      <c r="S43" s="3"/>
    </row>
    <row r="44" spans="2:39" ht="39.75">
      <c r="B44" s="83" t="s">
        <v>94</v>
      </c>
      <c r="C44" s="44" t="s">
        <v>28</v>
      </c>
      <c r="D44" s="254">
        <f>'TIMBER ตงไม้ '!D42</f>
        <v>40</v>
      </c>
      <c r="E44" s="255"/>
      <c r="F44" s="36" t="s">
        <v>46</v>
      </c>
      <c r="G44" s="62"/>
      <c r="H44" s="62"/>
      <c r="I44" s="62"/>
      <c r="J44" s="62"/>
      <c r="K44" s="62"/>
      <c r="L44" s="62"/>
      <c r="M44" s="42"/>
      <c r="N44" s="3"/>
      <c r="O44" s="3"/>
      <c r="P44" s="10">
        <v>0.24</v>
      </c>
      <c r="Q44" s="10">
        <v>0.2</v>
      </c>
      <c r="R44" s="10" t="s">
        <v>57</v>
      </c>
      <c r="S44" s="3"/>
      <c r="T44">
        <f>(6*E58*100)/(K28*2.54*D42)</f>
        <v>357.22594225721787</v>
      </c>
    </row>
    <row r="45" spans="2:39" ht="41.25" thickBot="1">
      <c r="B45" s="45" t="s">
        <v>92</v>
      </c>
      <c r="C45" s="46" t="s">
        <v>28</v>
      </c>
      <c r="D45" s="258">
        <f>'TIMBER ตงไม้ '!D43</f>
        <v>15</v>
      </c>
      <c r="E45" s="259"/>
      <c r="F45" s="37" t="s">
        <v>46</v>
      </c>
      <c r="G45" s="58"/>
      <c r="H45" s="58"/>
      <c r="I45" s="58"/>
      <c r="J45" s="58"/>
      <c r="K45" s="58"/>
      <c r="L45" s="58"/>
      <c r="M45" s="59"/>
      <c r="N45" s="3"/>
      <c r="O45" s="3"/>
      <c r="P45" s="10">
        <v>0.25</v>
      </c>
      <c r="Q45" s="10">
        <v>0.25</v>
      </c>
      <c r="R45" s="10" t="s">
        <v>63</v>
      </c>
      <c r="S45" s="3"/>
      <c r="T45">
        <f>SQRT(T44)/2.54</f>
        <v>7.4411109244609674</v>
      </c>
    </row>
    <row r="46" spans="2:39" ht="51.75">
      <c r="B46" s="79" t="s">
        <v>125</v>
      </c>
      <c r="C46" s="47"/>
      <c r="D46" s="48"/>
      <c r="E46" s="49"/>
      <c r="F46" s="50"/>
      <c r="G46" s="50"/>
      <c r="H46" s="51"/>
      <c r="I46" s="52"/>
      <c r="J46" s="53"/>
      <c r="K46" s="50"/>
      <c r="L46" s="50"/>
      <c r="M46" s="54"/>
      <c r="N46" s="3"/>
      <c r="O46" s="3"/>
      <c r="P46" s="10">
        <v>0.26</v>
      </c>
      <c r="Q46" s="10">
        <v>0.25</v>
      </c>
      <c r="R46" s="10" t="s">
        <v>63</v>
      </c>
      <c r="S46" s="3"/>
    </row>
    <row r="47" spans="2:39" ht="45">
      <c r="B47" s="55" t="s">
        <v>167</v>
      </c>
      <c r="D47" s="64" t="s">
        <v>28</v>
      </c>
      <c r="E47" s="100">
        <f>'TIMBER ตงไม้ '!E45</f>
        <v>900</v>
      </c>
      <c r="F47" s="65" t="s">
        <v>168</v>
      </c>
      <c r="G47" s="62"/>
      <c r="M47" s="42"/>
      <c r="N47" s="3"/>
      <c r="O47" s="3"/>
      <c r="P47" s="10">
        <v>0.27</v>
      </c>
      <c r="Q47" s="10">
        <v>0.25</v>
      </c>
      <c r="R47" s="10" t="s">
        <v>63</v>
      </c>
      <c r="S47" s="3"/>
    </row>
    <row r="48" spans="2:39" ht="45">
      <c r="B48" s="55" t="s">
        <v>131</v>
      </c>
      <c r="C48" s="65"/>
      <c r="D48" s="64" t="s">
        <v>28</v>
      </c>
      <c r="E48" s="100">
        <f>'TIMBER ตงไม้ '!E46</f>
        <v>1100</v>
      </c>
      <c r="F48" s="65" t="s">
        <v>126</v>
      </c>
      <c r="G48" s="62"/>
      <c r="M48" s="42"/>
      <c r="N48" s="3"/>
      <c r="O48" s="3"/>
      <c r="P48" s="10">
        <v>0.28000000000000003</v>
      </c>
      <c r="Q48" s="10">
        <v>0.25</v>
      </c>
      <c r="R48" s="10" t="s">
        <v>63</v>
      </c>
      <c r="S48" s="3"/>
    </row>
    <row r="49" spans="1:19" ht="45">
      <c r="B49" s="55" t="s">
        <v>114</v>
      </c>
      <c r="C49" s="65"/>
      <c r="D49" s="64" t="s">
        <v>28</v>
      </c>
      <c r="E49" s="68">
        <f>'TIMBER ตงไม้ '!E47</f>
        <v>20</v>
      </c>
      <c r="F49" s="65" t="s">
        <v>126</v>
      </c>
      <c r="G49" s="62"/>
      <c r="M49" s="42"/>
      <c r="N49" s="3"/>
      <c r="P49" s="10">
        <v>0.28999999999999998</v>
      </c>
      <c r="Q49" s="10">
        <v>0.25</v>
      </c>
      <c r="R49" s="10" t="s">
        <v>63</v>
      </c>
      <c r="S49" s="3"/>
    </row>
    <row r="50" spans="1:19" ht="45">
      <c r="B50" s="102" t="s">
        <v>135</v>
      </c>
      <c r="C50" s="167"/>
      <c r="D50" s="64" t="s">
        <v>28</v>
      </c>
      <c r="E50" s="68">
        <f>E49*E31</f>
        <v>50</v>
      </c>
      <c r="F50" s="65" t="s">
        <v>126</v>
      </c>
      <c r="G50" s="62"/>
      <c r="M50" s="42"/>
      <c r="N50" s="3"/>
      <c r="O50" s="3" t="e">
        <f>ROUND(#REF!*100*X29,2)</f>
        <v>#REF!</v>
      </c>
      <c r="P50" s="10">
        <v>0.3</v>
      </c>
      <c r="Q50" s="10">
        <v>0.3</v>
      </c>
      <c r="R50" s="10" t="s">
        <v>66</v>
      </c>
      <c r="S50" s="3"/>
    </row>
    <row r="51" spans="1:19" ht="45">
      <c r="B51" s="55" t="s">
        <v>101</v>
      </c>
      <c r="C51" s="65"/>
      <c r="D51" s="64" t="s">
        <v>28</v>
      </c>
      <c r="E51" s="67">
        <f>(E37*2.54*E47)/100</f>
        <v>22.86</v>
      </c>
      <c r="F51" s="65" t="s">
        <v>126</v>
      </c>
      <c r="G51" s="62"/>
      <c r="M51" s="42"/>
      <c r="N51" s="3"/>
      <c r="O51" s="3" t="e">
        <v>#REF!</v>
      </c>
      <c r="P51" s="10">
        <v>0.31</v>
      </c>
      <c r="Q51" s="10">
        <v>0.3</v>
      </c>
      <c r="R51" s="10" t="s">
        <v>66</v>
      </c>
      <c r="S51" s="3"/>
    </row>
    <row r="52" spans="1:19" ht="45">
      <c r="B52" s="55" t="s">
        <v>133</v>
      </c>
      <c r="D52" s="64" t="s">
        <v>28</v>
      </c>
      <c r="E52" s="67">
        <f>('TIMBER ตงไม้ '!E63)/E32</f>
        <v>10.645140000000001</v>
      </c>
      <c r="F52" s="65" t="s">
        <v>126</v>
      </c>
      <c r="G52" s="62"/>
      <c r="H52" s="62"/>
      <c r="I52" s="62"/>
      <c r="J52" s="62"/>
      <c r="K52" s="62"/>
      <c r="L52" s="62"/>
      <c r="M52" s="42"/>
      <c r="N52" s="3"/>
      <c r="O52" s="3" t="e">
        <v>#REF!</v>
      </c>
      <c r="P52" s="10">
        <v>0.32</v>
      </c>
      <c r="Q52" s="10">
        <v>0.3</v>
      </c>
      <c r="R52" s="10" t="s">
        <v>66</v>
      </c>
      <c r="S52" s="3"/>
    </row>
    <row r="53" spans="1:19" ht="45">
      <c r="B53" s="55" t="s">
        <v>61</v>
      </c>
      <c r="C53" s="65"/>
      <c r="D53" s="64" t="s">
        <v>28</v>
      </c>
      <c r="E53" s="68">
        <f>'TIMBER ตงไม้ '!E49</f>
        <v>150</v>
      </c>
      <c r="F53" s="65" t="s">
        <v>126</v>
      </c>
      <c r="G53" s="62"/>
      <c r="H53" s="62"/>
      <c r="I53" s="62"/>
      <c r="J53" s="62"/>
      <c r="K53" s="62"/>
      <c r="L53" s="62"/>
      <c r="M53" s="42"/>
      <c r="N53" s="3"/>
      <c r="O53" s="3"/>
      <c r="P53" s="10">
        <v>0.33</v>
      </c>
      <c r="Q53" s="10">
        <v>0.3</v>
      </c>
      <c r="R53" s="10" t="s">
        <v>66</v>
      </c>
      <c r="S53" s="3"/>
    </row>
    <row r="54" spans="1:19" ht="45">
      <c r="B54" s="55" t="s">
        <v>105</v>
      </c>
      <c r="C54" s="65"/>
      <c r="D54" s="64" t="s">
        <v>28</v>
      </c>
      <c r="E54" s="67">
        <f>E51+E53+E52</f>
        <v>183.50514000000001</v>
      </c>
      <c r="F54" s="65" t="s">
        <v>126</v>
      </c>
      <c r="G54" s="69"/>
      <c r="H54" s="70"/>
      <c r="I54" s="62"/>
      <c r="J54" s="62"/>
      <c r="K54" s="62"/>
      <c r="L54" s="62"/>
      <c r="M54" s="42"/>
      <c r="N54" s="3"/>
      <c r="O54" s="3"/>
      <c r="P54" s="10">
        <v>0.34</v>
      </c>
      <c r="Q54" s="10">
        <v>0.3</v>
      </c>
      <c r="R54" s="10" t="s">
        <v>66</v>
      </c>
      <c r="S54" s="3"/>
    </row>
    <row r="55" spans="1:19" ht="39.75">
      <c r="B55" s="55" t="s">
        <v>134</v>
      </c>
      <c r="C55" s="65"/>
      <c r="D55" s="64" t="s">
        <v>28</v>
      </c>
      <c r="E55" s="68">
        <f>E54*(E30/2)</f>
        <v>275.25771000000003</v>
      </c>
      <c r="F55" s="65" t="s">
        <v>62</v>
      </c>
      <c r="G55" s="62"/>
      <c r="H55" s="62"/>
      <c r="I55" s="62"/>
      <c r="J55" s="62"/>
      <c r="K55" s="62"/>
      <c r="L55" s="62"/>
      <c r="M55" s="42"/>
      <c r="N55" s="3"/>
      <c r="O55" s="3"/>
      <c r="P55" s="10">
        <v>0.35</v>
      </c>
      <c r="Q55" s="10">
        <v>0.35</v>
      </c>
      <c r="R55" s="10" t="s">
        <v>68</v>
      </c>
      <c r="S55" s="3"/>
    </row>
    <row r="56" spans="1:19" ht="40.5">
      <c r="B56" s="80" t="s">
        <v>141</v>
      </c>
      <c r="C56" s="81"/>
      <c r="D56" s="64" t="s">
        <v>28</v>
      </c>
      <c r="E56" s="168">
        <f>'TIMBER คานไม้ '!E54</f>
        <v>15</v>
      </c>
      <c r="F56" s="65" t="s">
        <v>62</v>
      </c>
      <c r="G56" s="72"/>
      <c r="H56" s="62"/>
      <c r="I56" s="62"/>
      <c r="J56" s="62"/>
      <c r="K56" s="62"/>
      <c r="L56" s="62"/>
      <c r="M56" s="42"/>
      <c r="N56" s="3"/>
      <c r="O56" s="3"/>
      <c r="P56" s="10">
        <v>0.36</v>
      </c>
      <c r="Q56" s="10">
        <v>0.35</v>
      </c>
      <c r="R56" s="10" t="s">
        <v>68</v>
      </c>
      <c r="S56" s="3"/>
    </row>
    <row r="57" spans="1:19" ht="39.75">
      <c r="A57" s="7"/>
      <c r="B57" s="55" t="s">
        <v>104</v>
      </c>
      <c r="C57" s="65"/>
      <c r="D57" s="64" t="s">
        <v>28</v>
      </c>
      <c r="E57" s="67">
        <f>E55+E56+E50</f>
        <v>340.25771000000003</v>
      </c>
      <c r="F57" s="65" t="s">
        <v>62</v>
      </c>
      <c r="G57" s="74"/>
      <c r="H57" s="62"/>
      <c r="I57" s="62"/>
      <c r="J57" s="62"/>
      <c r="K57" s="62"/>
      <c r="L57" s="62"/>
      <c r="M57" s="42"/>
      <c r="N57" s="3"/>
      <c r="O57" s="3"/>
      <c r="P57" s="10">
        <v>0.37</v>
      </c>
      <c r="Q57" s="10">
        <v>0.35</v>
      </c>
      <c r="R57" s="10" t="s">
        <v>68</v>
      </c>
      <c r="S57" s="3"/>
    </row>
    <row r="58" spans="1:19" ht="39.75">
      <c r="A58" s="7"/>
      <c r="B58" s="55" t="s">
        <v>64</v>
      </c>
      <c r="C58" s="65"/>
      <c r="D58" s="64" t="s">
        <v>28</v>
      </c>
      <c r="E58" s="71">
        <f>E57*E29^2/8</f>
        <v>680.51542000000006</v>
      </c>
      <c r="F58" s="65" t="s">
        <v>65</v>
      </c>
      <c r="G58" s="62"/>
      <c r="H58" s="62"/>
      <c r="I58" s="62"/>
      <c r="J58" s="62"/>
      <c r="K58" s="62"/>
      <c r="L58" s="62"/>
      <c r="M58" s="42"/>
      <c r="N58" s="3"/>
      <c r="O58" s="3"/>
      <c r="P58" s="10">
        <v>0.38</v>
      </c>
      <c r="Q58" s="10">
        <v>0.35</v>
      </c>
      <c r="R58" s="10" t="s">
        <v>68</v>
      </c>
      <c r="S58" s="3"/>
    </row>
    <row r="59" spans="1:19" ht="34.15" customHeight="1">
      <c r="A59" s="7"/>
      <c r="B59" s="55" t="s">
        <v>127</v>
      </c>
      <c r="C59" s="65"/>
      <c r="D59" s="64" t="s">
        <v>28</v>
      </c>
      <c r="E59" s="67">
        <f>(E57*E29)/2</f>
        <v>680.51542000000006</v>
      </c>
      <c r="F59" s="65" t="s">
        <v>72</v>
      </c>
      <c r="G59" s="62"/>
      <c r="H59" s="62"/>
      <c r="I59" s="62"/>
      <c r="J59" s="62"/>
      <c r="K59" s="62"/>
      <c r="L59" s="62"/>
      <c r="M59" s="42"/>
      <c r="N59" s="3"/>
      <c r="O59" s="3"/>
      <c r="P59" s="10">
        <v>0.39</v>
      </c>
      <c r="Q59" s="10">
        <v>0.35</v>
      </c>
      <c r="R59" s="10" t="s">
        <v>68</v>
      </c>
      <c r="S59" s="3"/>
    </row>
    <row r="60" spans="1:19" ht="25.5" customHeight="1">
      <c r="A60" s="7"/>
      <c r="B60" s="56" t="s">
        <v>108</v>
      </c>
      <c r="C60" s="73"/>
      <c r="D60" s="64" t="s">
        <v>28</v>
      </c>
      <c r="E60" s="67">
        <f>T45</f>
        <v>7.4411109244609674</v>
      </c>
      <c r="F60" s="65" t="s">
        <v>109</v>
      </c>
      <c r="G60" s="62"/>
      <c r="H60" s="62"/>
      <c r="I60" s="62"/>
      <c r="J60" s="62"/>
      <c r="K60" s="62"/>
      <c r="L60" s="62"/>
      <c r="M60" s="42"/>
      <c r="N60" s="3"/>
      <c r="O60" s="3"/>
      <c r="P60" s="10">
        <v>0.4</v>
      </c>
      <c r="Q60" s="10">
        <v>0.4</v>
      </c>
      <c r="R60" s="10" t="s">
        <v>69</v>
      </c>
      <c r="S60" s="3"/>
    </row>
    <row r="61" spans="1:19" ht="45.6" customHeight="1" thickBot="1">
      <c r="A61" s="18"/>
      <c r="B61" s="57" t="s">
        <v>111</v>
      </c>
      <c r="C61" s="75"/>
      <c r="D61" s="66" t="s">
        <v>28</v>
      </c>
      <c r="E61" s="76">
        <f>ROUNDUP(E60,0)</f>
        <v>8</v>
      </c>
      <c r="F61" s="65" t="s">
        <v>109</v>
      </c>
      <c r="M61" s="125"/>
      <c r="N61" s="3"/>
      <c r="O61" s="3"/>
      <c r="P61" s="10">
        <v>0.41</v>
      </c>
      <c r="Q61" s="10">
        <v>0.4</v>
      </c>
      <c r="R61" s="10" t="s">
        <v>69</v>
      </c>
      <c r="S61" s="3"/>
    </row>
    <row r="62" spans="1:19" ht="35.25" customHeight="1">
      <c r="A62" s="19"/>
      <c r="B62" s="39" t="s">
        <v>67</v>
      </c>
      <c r="C62" s="201" t="str">
        <f>IF(G67&gt;G66,"OK","NOT OK สมมุติน้ำหนักตงไม้ใหม่")</f>
        <v>OK</v>
      </c>
      <c r="D62" s="202"/>
      <c r="E62" s="202"/>
      <c r="F62" s="203"/>
      <c r="G62" s="62"/>
      <c r="H62" s="62"/>
      <c r="I62" s="62"/>
      <c r="J62" s="62"/>
      <c r="K62" s="62"/>
      <c r="L62" s="62"/>
      <c r="M62" s="42"/>
      <c r="N62" s="3"/>
      <c r="O62" s="3"/>
      <c r="P62" s="10">
        <v>0.42</v>
      </c>
      <c r="Q62" s="10">
        <v>0.4</v>
      </c>
      <c r="R62" s="10" t="s">
        <v>69</v>
      </c>
      <c r="S62" s="3"/>
    </row>
    <row r="63" spans="1:19" ht="66" customHeight="1" thickBot="1">
      <c r="A63" s="19"/>
      <c r="B63" s="41"/>
      <c r="C63" s="204"/>
      <c r="D63" s="205"/>
      <c r="E63" s="205"/>
      <c r="F63" s="206"/>
      <c r="G63" s="58"/>
      <c r="H63" s="58"/>
      <c r="I63" s="58"/>
      <c r="J63" s="58"/>
      <c r="K63" s="58"/>
      <c r="L63" s="58"/>
      <c r="M63" s="59"/>
      <c r="N63" s="3"/>
      <c r="O63" s="3"/>
      <c r="P63" s="10">
        <v>0.43</v>
      </c>
      <c r="Q63" s="10">
        <v>0.4</v>
      </c>
      <c r="R63" s="10" t="s">
        <v>69</v>
      </c>
      <c r="S63" s="3"/>
    </row>
    <row r="64" spans="1:19" ht="69.75" thickBot="1">
      <c r="B64" s="207" t="s">
        <v>145</v>
      </c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9"/>
      <c r="N64" s="3"/>
      <c r="O64" s="3"/>
      <c r="P64" s="10">
        <v>0.44</v>
      </c>
      <c r="Q64" s="10">
        <v>0.4</v>
      </c>
      <c r="R64" s="10" t="s">
        <v>69</v>
      </c>
      <c r="S64" s="3"/>
    </row>
    <row r="65" spans="2:19" ht="52.5" thickBot="1">
      <c r="B65" s="210" t="s">
        <v>147</v>
      </c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2"/>
      <c r="N65" s="3"/>
      <c r="O65" s="3"/>
      <c r="P65" s="10">
        <v>0.45</v>
      </c>
      <c r="Q65" s="10">
        <v>0.45</v>
      </c>
      <c r="R65" s="10" t="s">
        <v>70</v>
      </c>
      <c r="S65" s="3"/>
    </row>
    <row r="66" spans="2:19" ht="34.15" customHeight="1">
      <c r="B66" s="119"/>
      <c r="D66" s="121" t="s">
        <v>149</v>
      </c>
      <c r="E66" s="62"/>
      <c r="F66" s="63"/>
      <c r="G66" s="63"/>
      <c r="H66" s="62"/>
      <c r="I66" s="62"/>
      <c r="M66" s="125"/>
      <c r="N66" s="3"/>
      <c r="O66" s="3"/>
      <c r="P66" s="10">
        <v>0.46</v>
      </c>
      <c r="Q66" s="10">
        <v>0.45</v>
      </c>
      <c r="R66" s="10" t="s">
        <v>70</v>
      </c>
      <c r="S66" s="3"/>
    </row>
    <row r="67" spans="2:19" ht="34.9" customHeight="1">
      <c r="B67" s="119"/>
      <c r="D67" s="115" t="s">
        <v>150</v>
      </c>
      <c r="E67" s="115"/>
      <c r="F67" s="115" t="s">
        <v>28</v>
      </c>
      <c r="G67" s="115">
        <f>SQRT(E59/D43)</f>
        <v>2.4872683446266546</v>
      </c>
      <c r="H67" s="115" t="s">
        <v>109</v>
      </c>
      <c r="I67" s="62"/>
      <c r="M67" s="125"/>
      <c r="N67" s="3"/>
      <c r="O67" s="3"/>
      <c r="P67" s="10">
        <v>0.47</v>
      </c>
      <c r="Q67" s="10">
        <v>0.45</v>
      </c>
      <c r="R67" s="10" t="s">
        <v>70</v>
      </c>
      <c r="S67" s="3"/>
    </row>
    <row r="68" spans="2:19" ht="45.75" customHeight="1" thickBot="1">
      <c r="B68" s="119"/>
      <c r="D68" s="115" t="s">
        <v>151</v>
      </c>
      <c r="E68" s="115"/>
      <c r="F68" s="115" t="s">
        <v>28</v>
      </c>
      <c r="G68" s="115">
        <f>E34</f>
        <v>3</v>
      </c>
      <c r="H68" s="115" t="s">
        <v>109</v>
      </c>
      <c r="I68" s="62"/>
      <c r="M68" s="125"/>
      <c r="N68" s="3"/>
      <c r="O68" s="3"/>
      <c r="P68" s="10">
        <v>0.48</v>
      </c>
      <c r="Q68" s="10">
        <v>0.45</v>
      </c>
      <c r="R68" s="10" t="s">
        <v>70</v>
      </c>
      <c r="S68" s="3"/>
    </row>
    <row r="69" spans="2:19" ht="35.25" customHeight="1">
      <c r="B69" s="119"/>
      <c r="D69" s="63" t="s">
        <v>67</v>
      </c>
      <c r="E69" s="63"/>
      <c r="F69" s="195" t="str">
        <f>IF(G68&gt;G67," OK"," Not OK")</f>
        <v xml:space="preserve"> OK</v>
      </c>
      <c r="G69" s="196"/>
      <c r="H69" s="197"/>
      <c r="I69" s="62"/>
      <c r="M69" s="125"/>
      <c r="O69" s="3"/>
      <c r="P69" s="10">
        <v>0.49</v>
      </c>
      <c r="Q69" s="10">
        <v>0.45</v>
      </c>
      <c r="R69" s="10" t="s">
        <v>70</v>
      </c>
      <c r="S69" s="3"/>
    </row>
    <row r="70" spans="2:19" ht="53.25" customHeight="1" thickBot="1">
      <c r="B70" s="129"/>
      <c r="C70" s="130"/>
      <c r="D70" s="161"/>
      <c r="E70" s="161"/>
      <c r="F70" s="198"/>
      <c r="G70" s="199"/>
      <c r="H70" s="200"/>
      <c r="I70" s="58"/>
      <c r="J70" s="130"/>
      <c r="K70" s="130"/>
      <c r="L70" s="130"/>
      <c r="M70" s="131"/>
      <c r="O70" s="3"/>
      <c r="P70" s="10">
        <v>0.5</v>
      </c>
      <c r="Q70" s="10">
        <v>0.5</v>
      </c>
      <c r="R70" s="10" t="s">
        <v>71</v>
      </c>
      <c r="S70" s="30">
        <f>E30^4*(100^4)</f>
        <v>8100000000</v>
      </c>
    </row>
    <row r="71" spans="2:19" ht="61.9" customHeight="1" thickBot="1">
      <c r="B71" s="210" t="s">
        <v>148</v>
      </c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2"/>
      <c r="O71" s="3"/>
      <c r="P71" s="10">
        <v>0.51</v>
      </c>
      <c r="Q71" s="10">
        <v>0.5</v>
      </c>
      <c r="R71" s="10" t="s">
        <v>71</v>
      </c>
      <c r="S71" s="3" t="s">
        <v>122</v>
      </c>
    </row>
    <row r="72" spans="2:19" ht="29.25" customHeight="1">
      <c r="B72" s="119"/>
      <c r="M72" s="125"/>
      <c r="O72" s="3"/>
      <c r="P72" s="10">
        <v>0.52</v>
      </c>
      <c r="Q72" s="10">
        <v>0.5</v>
      </c>
      <c r="R72" s="10" t="s">
        <v>71</v>
      </c>
      <c r="S72" s="3"/>
    </row>
    <row r="73" spans="2:19" ht="30" customHeight="1">
      <c r="B73" s="119"/>
      <c r="M73" s="125"/>
      <c r="O73" s="3"/>
      <c r="P73" s="10">
        <v>0.53</v>
      </c>
      <c r="Q73" s="10">
        <v>0.5</v>
      </c>
      <c r="R73" s="10" t="s">
        <v>71</v>
      </c>
      <c r="S73" s="3"/>
    </row>
    <row r="74" spans="2:19" ht="24" customHeight="1">
      <c r="B74" s="119"/>
      <c r="M74" s="125"/>
      <c r="O74" s="3"/>
      <c r="P74" s="10">
        <v>0.54</v>
      </c>
      <c r="Q74" s="10">
        <v>0.5</v>
      </c>
      <c r="R74" s="10" t="s">
        <v>71</v>
      </c>
      <c r="S74" s="3"/>
    </row>
    <row r="75" spans="2:19" ht="24" customHeight="1">
      <c r="B75" s="119"/>
      <c r="M75" s="125"/>
      <c r="N75" s="20"/>
      <c r="O75" s="3"/>
      <c r="P75" s="10">
        <v>0.55000000000000004</v>
      </c>
      <c r="Q75" s="10">
        <v>0.55000000000000004</v>
      </c>
      <c r="R75" s="10" t="s">
        <v>73</v>
      </c>
      <c r="S75" s="3"/>
    </row>
    <row r="76" spans="2:19" ht="24" customHeight="1">
      <c r="B76" s="119"/>
      <c r="M76" s="125"/>
      <c r="N76" s="20"/>
      <c r="O76" s="3"/>
      <c r="P76" s="10">
        <v>0.56000000000000005</v>
      </c>
      <c r="Q76" s="10">
        <v>0.55000000000000004</v>
      </c>
      <c r="R76" s="10" t="s">
        <v>73</v>
      </c>
      <c r="S76" s="3"/>
    </row>
    <row r="77" spans="2:19" ht="24" customHeight="1">
      <c r="B77" s="119"/>
      <c r="M77" s="125"/>
      <c r="N77" s="20"/>
      <c r="O77" s="3"/>
      <c r="P77" s="10">
        <v>0.56999999999999995</v>
      </c>
      <c r="Q77" s="10">
        <v>0.55000000000000004</v>
      </c>
      <c r="R77" s="10" t="s">
        <v>73</v>
      </c>
      <c r="S77" s="3"/>
    </row>
    <row r="78" spans="2:19" ht="24" customHeight="1">
      <c r="B78" s="119"/>
      <c r="M78" s="125"/>
      <c r="N78" s="20"/>
      <c r="O78" s="3"/>
      <c r="P78" s="10">
        <v>0.57999999999999996</v>
      </c>
      <c r="Q78" s="10">
        <v>0.55000000000000004</v>
      </c>
      <c r="R78" s="10" t="s">
        <v>73</v>
      </c>
      <c r="S78" s="3"/>
    </row>
    <row r="79" spans="2:19" ht="24" customHeight="1">
      <c r="B79" s="119"/>
      <c r="M79" s="125"/>
      <c r="N79" s="21"/>
      <c r="O79" s="3"/>
      <c r="P79" s="10">
        <v>0.59</v>
      </c>
      <c r="Q79" s="10">
        <v>0.55000000000000004</v>
      </c>
      <c r="R79" s="10" t="s">
        <v>73</v>
      </c>
      <c r="S79" s="3"/>
    </row>
    <row r="80" spans="2:19" ht="24" customHeight="1">
      <c r="B80" s="119"/>
      <c r="M80" s="125"/>
      <c r="N80" s="21"/>
      <c r="O80" s="3"/>
      <c r="P80" s="24">
        <v>0.6</v>
      </c>
      <c r="Q80" s="10">
        <v>0.6</v>
      </c>
      <c r="R80" s="10" t="s">
        <v>74</v>
      </c>
      <c r="S80" s="3"/>
    </row>
    <row r="81" spans="2:21" ht="24" customHeight="1">
      <c r="B81" s="119"/>
      <c r="M81" s="125"/>
      <c r="P81" s="10">
        <v>0.61</v>
      </c>
      <c r="Q81" s="10">
        <v>0.6</v>
      </c>
      <c r="R81" s="10" t="s">
        <v>74</v>
      </c>
    </row>
    <row r="82" spans="2:21" ht="24" customHeight="1">
      <c r="B82" s="119"/>
      <c r="M82" s="125"/>
    </row>
    <row r="83" spans="2:21" ht="24" customHeight="1">
      <c r="B83" s="119"/>
      <c r="M83" s="125"/>
    </row>
    <row r="84" spans="2:21" ht="24" customHeight="1">
      <c r="B84" s="119"/>
      <c r="M84" s="125"/>
    </row>
    <row r="85" spans="2:21" ht="41.45" customHeight="1">
      <c r="B85" s="119"/>
      <c r="M85" s="125"/>
    </row>
    <row r="86" spans="2:21" ht="24" customHeight="1" thickBot="1">
      <c r="B86" s="119"/>
      <c r="M86" s="125"/>
    </row>
    <row r="87" spans="2:21" ht="27" customHeight="1" thickBot="1">
      <c r="B87" s="84"/>
      <c r="C87" s="136"/>
      <c r="D87" s="115" t="s">
        <v>152</v>
      </c>
      <c r="E87" s="115"/>
      <c r="F87" s="115" t="s">
        <v>28</v>
      </c>
      <c r="G87" s="115">
        <f>(F28*E35*100)/(E34*2.54)</f>
        <v>32.808398950131235</v>
      </c>
      <c r="H87" s="115" t="str">
        <f>IF(G87&lt;I87,"&lt;","&gt;")</f>
        <v>&gt;</v>
      </c>
      <c r="I87" s="115">
        <v>12</v>
      </c>
      <c r="J87" s="159" t="str">
        <f>IF(H87="&lt;","เสาสั้น","เสายาว")</f>
        <v>เสายาว</v>
      </c>
      <c r="K87" s="136"/>
      <c r="L87" s="136"/>
      <c r="M87" s="138"/>
    </row>
    <row r="88" spans="2:21" ht="24" customHeight="1">
      <c r="B88" s="84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8"/>
    </row>
    <row r="89" spans="2:21" ht="24" customHeight="1">
      <c r="B89" s="84"/>
      <c r="C89" s="136"/>
      <c r="D89" s="136"/>
      <c r="E89" s="115" t="s">
        <v>154</v>
      </c>
      <c r="F89" s="115" t="s">
        <v>28</v>
      </c>
      <c r="G89" s="115">
        <f>IF(H87="&lt;",U89,U90)</f>
        <v>43.187889013873274</v>
      </c>
      <c r="H89" s="136"/>
      <c r="I89" s="136"/>
      <c r="J89" s="136"/>
      <c r="K89" s="136"/>
      <c r="L89" s="136"/>
      <c r="M89" s="138"/>
      <c r="U89" s="135">
        <f>D43</f>
        <v>110</v>
      </c>
    </row>
    <row r="90" spans="2:21" ht="24" customHeight="1" thickBot="1">
      <c r="B90" s="84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8"/>
      <c r="U90">
        <f>D43*(1.33-((F28*E35*100)/(35*E34*2.54)))</f>
        <v>43.187889013873274</v>
      </c>
    </row>
    <row r="91" spans="2:21" ht="50.45" customHeight="1" thickBot="1">
      <c r="B91" s="306" t="s">
        <v>155</v>
      </c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8"/>
    </row>
    <row r="92" spans="2:21" ht="24" customHeight="1">
      <c r="B92" s="84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8"/>
    </row>
    <row r="93" spans="2:21" ht="24" customHeight="1">
      <c r="B93" s="84"/>
      <c r="C93" s="136"/>
      <c r="D93" s="136"/>
      <c r="E93" s="115" t="s">
        <v>156</v>
      </c>
      <c r="F93" s="115"/>
      <c r="G93" s="136"/>
      <c r="H93" s="136"/>
      <c r="I93" s="136"/>
      <c r="J93" s="136"/>
      <c r="K93" s="136"/>
      <c r="L93" s="136"/>
      <c r="M93" s="138"/>
    </row>
    <row r="94" spans="2:21" ht="24" customHeight="1">
      <c r="B94" s="84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8"/>
    </row>
    <row r="95" spans="2:21" ht="24" customHeight="1">
      <c r="B95" s="84"/>
      <c r="C95" s="136"/>
      <c r="D95" s="136"/>
      <c r="E95" s="115" t="s">
        <v>157</v>
      </c>
      <c r="F95" s="115" t="s">
        <v>28</v>
      </c>
      <c r="G95" s="115">
        <f>G89*E34*E34*2.54*2.54</f>
        <v>2507.6788628571435</v>
      </c>
      <c r="H95" s="115" t="s">
        <v>72</v>
      </c>
      <c r="I95" s="136"/>
      <c r="J95" s="136"/>
      <c r="K95" s="136"/>
      <c r="L95" s="136"/>
      <c r="M95" s="138"/>
    </row>
    <row r="96" spans="2:21" ht="24" customHeight="1">
      <c r="B96" s="84"/>
      <c r="C96" s="136"/>
      <c r="D96" s="136"/>
      <c r="E96" s="115"/>
      <c r="F96" s="115"/>
      <c r="G96" s="115"/>
      <c r="H96" s="115"/>
      <c r="I96" s="136"/>
      <c r="J96" s="136"/>
      <c r="K96" s="136"/>
      <c r="L96" s="136"/>
      <c r="M96" s="138"/>
    </row>
    <row r="97" spans="2:13" ht="24" customHeight="1">
      <c r="B97" s="84"/>
      <c r="C97" s="136"/>
      <c r="D97" s="136"/>
      <c r="E97" s="115" t="s">
        <v>158</v>
      </c>
      <c r="F97" s="115" t="s">
        <v>28</v>
      </c>
      <c r="G97" s="160">
        <f>E59</f>
        <v>680.51542000000006</v>
      </c>
      <c r="H97" s="115" t="s">
        <v>72</v>
      </c>
      <c r="I97" s="136"/>
      <c r="J97" s="136"/>
      <c r="K97" s="136"/>
      <c r="L97" s="136"/>
      <c r="M97" s="138"/>
    </row>
    <row r="98" spans="2:13" ht="24" customHeight="1">
      <c r="B98" s="84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8"/>
    </row>
    <row r="99" spans="2:13" ht="24" customHeight="1" thickBot="1">
      <c r="B99" s="84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8"/>
    </row>
    <row r="100" spans="2:13" ht="24" customHeight="1">
      <c r="B100" s="84"/>
      <c r="C100" s="136"/>
      <c r="D100" s="136"/>
      <c r="E100" s="136"/>
      <c r="F100" s="195" t="str">
        <f>IF(G97&lt;G95," OK"," Not OK")</f>
        <v xml:space="preserve"> OK</v>
      </c>
      <c r="G100" s="196"/>
      <c r="H100" s="197"/>
      <c r="I100" s="136"/>
      <c r="J100" s="136"/>
      <c r="K100" s="136"/>
      <c r="L100" s="136"/>
      <c r="M100" s="138"/>
    </row>
    <row r="101" spans="2:13" ht="24" customHeight="1" thickBot="1">
      <c r="B101" s="84"/>
      <c r="C101" s="136"/>
      <c r="D101" s="136"/>
      <c r="E101" s="136"/>
      <c r="F101" s="198"/>
      <c r="G101" s="199"/>
      <c r="H101" s="200"/>
      <c r="I101" s="136"/>
      <c r="J101" s="136"/>
      <c r="K101" s="136"/>
      <c r="L101" s="136"/>
      <c r="M101" s="138"/>
    </row>
    <row r="102" spans="2:13" ht="15.75" thickBot="1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1"/>
    </row>
  </sheetData>
  <sheetProtection algorithmName="SHA-512" hashValue="UPYP+ge53a8zavfo13eJrwZOLtIRyTQiM6ZacJX318dL94YYsAfcl2YJj9AkNo81fbXKzyi2g58CgOFQdGOMNw==" saltValue="Iotlo1rpCfX1wf0RXqe/+A==" spinCount="100000" sheet="1" objects="1" scenarios="1"/>
  <mergeCells count="42">
    <mergeCell ref="B91:M91"/>
    <mergeCell ref="F100:H101"/>
    <mergeCell ref="D44:E44"/>
    <mergeCell ref="D45:E45"/>
    <mergeCell ref="I30:J30"/>
    <mergeCell ref="L30:M30"/>
    <mergeCell ref="B64:M64"/>
    <mergeCell ref="B71:M71"/>
    <mergeCell ref="D42:E42"/>
    <mergeCell ref="C62:F63"/>
    <mergeCell ref="B65:M65"/>
    <mergeCell ref="F69:H70"/>
    <mergeCell ref="B28:C28"/>
    <mergeCell ref="D43:E43"/>
    <mergeCell ref="D41:E41"/>
    <mergeCell ref="H29:J29"/>
    <mergeCell ref="C24:D24"/>
    <mergeCell ref="C25:D25"/>
    <mergeCell ref="C26:D26"/>
    <mergeCell ref="H27:J27"/>
    <mergeCell ref="K29:M29"/>
    <mergeCell ref="I32:J33"/>
    <mergeCell ref="K32:M33"/>
    <mergeCell ref="B40:F40"/>
    <mergeCell ref="I31:J31"/>
    <mergeCell ref="L31:M31"/>
    <mergeCell ref="AA37:AA38"/>
    <mergeCell ref="AD21:AE21"/>
    <mergeCell ref="AF21:AF22"/>
    <mergeCell ref="B2:M2"/>
    <mergeCell ref="P15:Q15"/>
    <mergeCell ref="P17:Q17"/>
    <mergeCell ref="P18:Q18"/>
    <mergeCell ref="B21:D21"/>
    <mergeCell ref="AA21:AA23"/>
    <mergeCell ref="C22:D22"/>
    <mergeCell ref="C23:D23"/>
    <mergeCell ref="K27:M27"/>
    <mergeCell ref="H28:J28"/>
    <mergeCell ref="K28:M28"/>
    <mergeCell ref="AB21:AB22"/>
    <mergeCell ref="AC21:AC22"/>
  </mergeCells>
  <phoneticPr fontId="58" type="noConversion"/>
  <conditionalFormatting sqref="C62">
    <cfRule type="containsText" dxfId="27" priority="35" operator="containsText" text="NOT OK สมมุติน้ำหนักตงไม้ใหม่">
      <formula>NOT(ISERROR(SEARCH("NOT OK สมมุติน้ำหนักตงไม้ใหม่",C62)))</formula>
    </cfRule>
    <cfRule type="containsText" dxfId="26" priority="38" operator="containsText" text="OK">
      <formula>NOT(ISERROR(SEARCH("OK",C62)))</formula>
    </cfRule>
    <cfRule type="containsText" dxfId="25" priority="39" operator="containsText" text="NOT OK">
      <formula>NOT(ISERROR(SEARCH("NOT OK",C62)))</formula>
    </cfRule>
    <cfRule type="cellIs" dxfId="24" priority="40" operator="equal">
      <formula>"M &lt; Mc , ไม่ต้องคำนวณเหล็กรับแรงอัด"</formula>
    </cfRule>
    <cfRule type="containsText" dxfId="23" priority="41" operator="containsText" text="≧">
      <formula>NOT(ISERROR(SEARCH("≧",C62)))</formula>
    </cfRule>
  </conditionalFormatting>
  <conditionalFormatting sqref="F69">
    <cfRule type="containsText" dxfId="22" priority="22" operator="containsText" text="Not OK">
      <formula>NOT(ISERROR(SEARCH("Not OK",F69)))</formula>
    </cfRule>
    <cfRule type="containsText" dxfId="21" priority="33" operator="containsText" text="ok">
      <formula>NOT(ISERROR(SEARCH("ok",F69)))</formula>
    </cfRule>
    <cfRule type="containsText" dxfId="20" priority="34" operator="containsText" text="Not OK">
      <formula>NOT(ISERROR(SEARCH("Not OK",F69)))</formula>
    </cfRule>
    <cfRule type="cellIs" dxfId="19" priority="36" operator="equal">
      <formula>"A &lt; As, Not OK"</formula>
    </cfRule>
    <cfRule type="cellIs" dxfId="18" priority="37" operator="equal">
      <formula>"A &gt; As, OK"</formula>
    </cfRule>
  </conditionalFormatting>
  <conditionalFormatting sqref="F100">
    <cfRule type="containsText" dxfId="17" priority="14" operator="containsText" text="Not OK">
      <formula>NOT(ISERROR(SEARCH("Not OK",F100)))</formula>
    </cfRule>
    <cfRule type="containsText" dxfId="16" priority="15" operator="containsText" text="ok">
      <formula>NOT(ISERROR(SEARCH("ok",F100)))</formula>
    </cfRule>
    <cfRule type="containsText" dxfId="15" priority="16" operator="containsText" text="Not OK">
      <formula>NOT(ISERROR(SEARCH("Not OK",F100)))</formula>
    </cfRule>
    <cfRule type="cellIs" dxfId="14" priority="17" operator="equal">
      <formula>"A &lt; As, Not OK"</formula>
    </cfRule>
    <cfRule type="cellIs" dxfId="13" priority="18" operator="equal">
      <formula>"A &gt; As, OK"</formula>
    </cfRule>
  </conditionalFormatting>
  <conditionalFormatting sqref="L30">
    <cfRule type="containsText" dxfId="12" priority="12" operator="containsText" text="&lt; ">
      <formula>NOT(ISERROR(SEARCH("&lt; ",L30)))</formula>
    </cfRule>
    <cfRule type="containsText" dxfId="11" priority="13" operator="containsText" text="≧">
      <formula>NOT(ISERROR(SEARCH("≧",L30)))</formula>
    </cfRule>
  </conditionalFormatting>
  <conditionalFormatting sqref="L30:L31">
    <cfRule type="containsText" dxfId="10" priority="3" operator="containsText" text="ok">
      <formula>NOT(ISERROR(SEARCH("ok",L30)))</formula>
    </cfRule>
    <cfRule type="containsText" dxfId="9" priority="6" operator="containsText" text="Vc &lt; V ,เพิ่มความหนาฐานราก">
      <formula>NOT(ISERROR(SEARCH("Vc &lt; V ,เพิ่มความหนาฐานราก",L30)))</formula>
    </cfRule>
    <cfRule type="containsText" dxfId="8" priority="8" operator="containsText" text="Vc &lt; V ,เพิ่มขนาดเสาตอม่อ">
      <formula>NOT(ISERROR(SEARCH("Vc &lt; V ,เพิ่มขนาดเสาตอม่อ",L30)))</formula>
    </cfRule>
    <cfRule type="containsText" dxfId="7" priority="9" operator="containsText" text="Vc &gt; V , OK">
      <formula>NOT(ISERROR(SEARCH("Vc &gt; V , OK",L30)))</formula>
    </cfRule>
  </conditionalFormatting>
  <conditionalFormatting sqref="L31">
    <cfRule type="containsText" dxfId="6" priority="4" operator="containsText" text="ok">
      <formula>NOT(ISERROR(SEARCH("ok",L31)))</formula>
    </cfRule>
    <cfRule type="containsText" dxfId="5" priority="7" operator="containsText" text="Vc &gt; V , OK">
      <formula>NOT(ISERROR(SEARCH("Vc &gt; V , OK",L31)))</formula>
    </cfRule>
    <cfRule type="containsText" dxfId="4" priority="10" operator="containsText" text="&lt;">
      <formula>NOT(ISERROR(SEARCH("&lt;",L31)))</formula>
    </cfRule>
    <cfRule type="containsText" dxfId="3" priority="11" operator="containsText" text="&gt;">
      <formula>NOT(ISERROR(SEARCH("&gt;",L31)))</formula>
    </cfRule>
  </conditionalFormatting>
  <conditionalFormatting sqref="R15:T18">
    <cfRule type="cellIs" dxfId="2" priority="44" operator="equal">
      <formula>"Error"</formula>
    </cfRule>
  </conditionalFormatting>
  <conditionalFormatting sqref="L30:M30">
    <cfRule type="containsText" dxfId="1" priority="2" operator="containsText" text="not ok">
      <formula>NOT(ISERROR(SEARCH("not ok",L30)))</formula>
    </cfRule>
  </conditionalFormatting>
  <conditionalFormatting sqref="L31:M31">
    <cfRule type="containsText" dxfId="0" priority="1" operator="containsText" text="not ok">
      <formula>NOT(ISERROR(SEARCH("not ok",L31)))</formula>
    </cfRule>
  </conditionalFormatting>
  <dataValidations count="1">
    <dataValidation type="list" allowBlank="1" showInputMessage="1" showErrorMessage="1" sqref="D28" xr:uid="{9115736E-6163-4182-8C77-0D0F54F54248}">
      <formula1>$AL$35:$AL$40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BD562-D020-40B9-89DC-95FF71F782E9}">
  <sheetPr>
    <tabColor theme="8" tint="0.59999389629810485"/>
  </sheetPr>
  <dimension ref="B1:I27"/>
  <sheetViews>
    <sheetView showGridLines="0" workbookViewId="0">
      <selection activeCell="K15" sqref="K15"/>
    </sheetView>
  </sheetViews>
  <sheetFormatPr defaultColWidth="8.6640625" defaultRowHeight="15"/>
  <cols>
    <col min="5" max="5" width="13.44140625" customWidth="1"/>
    <col min="6" max="6" width="5.5546875" customWidth="1"/>
    <col min="9" max="9" width="11.21875" customWidth="1"/>
  </cols>
  <sheetData>
    <row r="1" spans="2:9" ht="15.75" thickBot="1"/>
    <row r="2" spans="2:9" ht="29.25">
      <c r="B2" s="183"/>
      <c r="C2" s="184"/>
      <c r="D2" s="184"/>
      <c r="E2" s="184"/>
      <c r="F2" s="93"/>
      <c r="G2" s="311" t="s">
        <v>169</v>
      </c>
      <c r="H2" s="312"/>
      <c r="I2" s="313"/>
    </row>
    <row r="3" spans="2:9" ht="15" customHeight="1">
      <c r="B3" s="185"/>
      <c r="C3" s="186"/>
      <c r="D3" s="186"/>
      <c r="E3" s="186"/>
      <c r="F3" s="122"/>
      <c r="G3" s="314"/>
      <c r="H3" s="315"/>
      <c r="I3" s="316"/>
    </row>
    <row r="4" spans="2:9" ht="15" customHeight="1">
      <c r="B4" s="187"/>
      <c r="C4" s="188"/>
      <c r="D4" s="188"/>
      <c r="E4" s="188"/>
      <c r="F4" s="123"/>
      <c r="G4" s="317"/>
      <c r="H4" s="318"/>
      <c r="I4" s="319"/>
    </row>
    <row r="5" spans="2:9" ht="31.5">
      <c r="B5" s="309"/>
      <c r="C5" s="310"/>
      <c r="D5" s="310"/>
      <c r="E5" s="310"/>
      <c r="F5" s="123"/>
      <c r="G5" s="367" t="s">
        <v>140</v>
      </c>
      <c r="H5" s="368"/>
      <c r="I5" s="369"/>
    </row>
    <row r="6" spans="2:9" ht="29.25">
      <c r="B6" s="309"/>
      <c r="C6" s="310"/>
      <c r="D6" s="310"/>
      <c r="E6" s="310"/>
      <c r="F6" s="123"/>
      <c r="I6" s="125"/>
    </row>
    <row r="7" spans="2:9" ht="29.25">
      <c r="B7" s="94"/>
      <c r="C7" s="126"/>
      <c r="D7" s="126"/>
      <c r="E7" s="126"/>
      <c r="F7" s="123"/>
      <c r="G7" s="310"/>
      <c r="H7" s="332"/>
      <c r="I7" s="333"/>
    </row>
    <row r="8" spans="2:9" ht="24" customHeight="1">
      <c r="B8" s="94"/>
      <c r="C8" s="126"/>
      <c r="D8" s="126"/>
      <c r="E8" s="126"/>
      <c r="F8" s="123"/>
      <c r="G8" s="334"/>
      <c r="H8" s="335"/>
      <c r="I8" s="336"/>
    </row>
    <row r="9" spans="2:9" ht="20.25" customHeight="1">
      <c r="B9" s="94"/>
      <c r="C9" s="126"/>
      <c r="D9" s="126"/>
      <c r="E9" s="126"/>
      <c r="F9" s="123"/>
      <c r="G9" s="310"/>
      <c r="H9" s="332"/>
      <c r="I9" s="333"/>
    </row>
    <row r="10" spans="2:9" ht="26.25" hidden="1" customHeight="1">
      <c r="B10" s="94"/>
      <c r="C10" s="126"/>
      <c r="D10" s="126"/>
      <c r="E10" s="126"/>
      <c r="F10" s="123"/>
      <c r="G10" s="337"/>
      <c r="H10" s="337"/>
      <c r="I10" s="338"/>
    </row>
    <row r="11" spans="2:9" ht="29.25" hidden="1">
      <c r="B11" s="95"/>
      <c r="C11" s="123"/>
      <c r="D11" s="123"/>
      <c r="E11" s="123"/>
      <c r="F11" s="123"/>
      <c r="G11" s="320"/>
      <c r="H11" s="320"/>
      <c r="I11" s="321"/>
    </row>
    <row r="12" spans="2:9" ht="29.25" hidden="1">
      <c r="B12" s="95"/>
      <c r="C12" s="123"/>
      <c r="D12" s="123"/>
      <c r="E12" s="123"/>
      <c r="F12" s="123"/>
      <c r="G12" s="322"/>
      <c r="H12" s="322"/>
      <c r="I12" s="323"/>
    </row>
    <row r="13" spans="2:9" ht="24.75" customHeight="1">
      <c r="B13" s="95"/>
      <c r="C13" s="123"/>
      <c r="D13" s="123"/>
      <c r="E13" s="123"/>
      <c r="F13" s="123"/>
      <c r="G13" s="124"/>
      <c r="H13" s="124"/>
      <c r="I13" s="96"/>
    </row>
    <row r="14" spans="2:9" ht="30" thickBot="1">
      <c r="B14" s="95"/>
      <c r="C14" s="123"/>
      <c r="D14" s="123"/>
      <c r="E14" s="123"/>
      <c r="F14" s="123"/>
      <c r="G14" s="371"/>
      <c r="H14" s="124"/>
      <c r="I14" s="96"/>
    </row>
    <row r="15" spans="2:9" ht="109.5" customHeight="1">
      <c r="B15" s="324" t="s">
        <v>182</v>
      </c>
      <c r="C15" s="325"/>
      <c r="D15" s="325"/>
      <c r="E15" s="326"/>
      <c r="F15" s="123"/>
      <c r="G15" s="124"/>
      <c r="H15" s="124"/>
      <c r="I15" s="96"/>
    </row>
    <row r="16" spans="2:9" ht="29.25">
      <c r="B16" s="327"/>
      <c r="C16" s="366"/>
      <c r="D16" s="366"/>
      <c r="E16" s="328"/>
      <c r="F16" s="123"/>
      <c r="G16" s="124"/>
      <c r="H16" s="124"/>
      <c r="I16" s="96"/>
    </row>
    <row r="17" spans="2:9" ht="33" customHeight="1">
      <c r="B17" s="327"/>
      <c r="C17" s="366"/>
      <c r="D17" s="366"/>
      <c r="E17" s="328"/>
      <c r="F17" s="123"/>
      <c r="G17" s="124"/>
      <c r="H17" s="124"/>
      <c r="I17" s="96"/>
    </row>
    <row r="18" spans="2:9" ht="38.25" customHeight="1" thickBot="1">
      <c r="B18" s="329"/>
      <c r="C18" s="330"/>
      <c r="D18" s="330"/>
      <c r="E18" s="331"/>
      <c r="F18" s="97"/>
      <c r="G18" s="98"/>
      <c r="H18" s="98"/>
      <c r="I18" s="99"/>
    </row>
    <row r="19" spans="2:9" ht="20.25">
      <c r="B19" s="13"/>
      <c r="C19" s="13"/>
      <c r="D19" s="13"/>
      <c r="E19" s="13"/>
      <c r="F19" s="13"/>
    </row>
    <row r="20" spans="2:9" ht="20.25">
      <c r="B20" s="13"/>
      <c r="C20" s="13"/>
      <c r="D20" s="13"/>
      <c r="E20" s="13"/>
      <c r="F20" s="13"/>
    </row>
    <row r="21" spans="2:9" ht="20.25">
      <c r="B21" s="13"/>
      <c r="C21" s="13"/>
      <c r="D21" s="13"/>
      <c r="E21" s="13"/>
      <c r="F21" s="13"/>
    </row>
    <row r="22" spans="2:9" ht="20.25">
      <c r="B22" s="13"/>
      <c r="C22" s="13"/>
      <c r="D22" s="13"/>
      <c r="E22" s="13"/>
      <c r="F22" s="13"/>
    </row>
    <row r="23" spans="2:9" ht="20.25">
      <c r="B23" s="13"/>
      <c r="C23" s="13"/>
      <c r="D23" s="13"/>
      <c r="E23" s="13"/>
      <c r="F23" s="13"/>
    </row>
    <row r="24" spans="2:9" ht="20.25">
      <c r="B24" s="13"/>
      <c r="C24" s="13"/>
      <c r="D24" s="13"/>
      <c r="E24" s="13"/>
      <c r="F24" s="13"/>
    </row>
    <row r="25" spans="2:9" ht="20.25">
      <c r="B25" s="13"/>
      <c r="C25" s="13"/>
      <c r="D25" s="13"/>
      <c r="E25" s="13"/>
      <c r="F25" s="13"/>
    </row>
    <row r="26" spans="2:9" ht="20.25">
      <c r="B26" s="13"/>
      <c r="C26" s="13"/>
      <c r="D26" s="13"/>
      <c r="E26" s="13"/>
      <c r="F26" s="13"/>
    </row>
    <row r="27" spans="2:9" ht="20.25">
      <c r="B27" s="13"/>
      <c r="C27" s="13"/>
      <c r="D27" s="13"/>
      <c r="E27" s="13"/>
      <c r="F27" s="13"/>
    </row>
  </sheetData>
  <sheetProtection algorithmName="SHA-512" hashValue="HK1ElkL6Fgr13Ug9tPtnuBhFJ/XefewjtLeuNO/S8Bjk89CCeBNvXYdadGS/WflIq7TAMUXozeJ44EmvV7m4UA==" saltValue="WVy6eABJhk+jL8vcDLmFRw==" spinCount="100000" sheet="1" objects="1" scenarios="1"/>
  <mergeCells count="11">
    <mergeCell ref="G12:I12"/>
    <mergeCell ref="B15:E18"/>
    <mergeCell ref="G7:I7"/>
    <mergeCell ref="G8:I8"/>
    <mergeCell ref="G9:I9"/>
    <mergeCell ref="G10:I10"/>
    <mergeCell ref="B6:E6"/>
    <mergeCell ref="G2:I4"/>
    <mergeCell ref="B5:E5"/>
    <mergeCell ref="G5:I5"/>
    <mergeCell ref="G11:I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TIMBER ตงไม้ </vt:lpstr>
      <vt:lpstr>TIMBER คานไม้ </vt:lpstr>
      <vt:lpstr>TIMBER เสาไม้ </vt:lpstr>
      <vt:lpstr>รายชื่อคณะผู้จัดทำโปรแกรม</vt:lpstr>
      <vt:lpstr>'TIMBER คานไม้ '!Print_Area</vt:lpstr>
      <vt:lpstr>'TIMBER ตงไม้ '!Print_Area</vt:lpstr>
      <vt:lpstr>'TIMBER เสาไม้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Pongarun Mc</dc:creator>
  <cp:lastModifiedBy>Pongarun Mc</cp:lastModifiedBy>
  <cp:lastPrinted>2025-05-15T14:58:07Z</cp:lastPrinted>
  <dcterms:created xsi:type="dcterms:W3CDTF">2024-12-17T12:07:57Z</dcterms:created>
  <dcterms:modified xsi:type="dcterms:W3CDTF">2025-05-15T15:23:59Z</dcterms:modified>
</cp:coreProperties>
</file>