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3_0.bin" ContentType="application/vnd.openxmlformats-officedocument.oleObject"/>
  <Override PartName="/xl/embeddings/oleObject_13_1.bin" ContentType="application/vnd.openxmlformats-officedocument.oleObject"/>
  <Override PartName="/xl/embeddings/oleObject_13_2.bin" ContentType="application/vnd.openxmlformats-officedocument.oleObject"/>
  <Override PartName="/xl/embeddings/oleObject_13_3.bin" ContentType="application/vnd.openxmlformats-officedocument.oleObject"/>
  <Override PartName="/xl/embeddings/oleObject_13_4.bin" ContentType="application/vnd.openxmlformats-officedocument.oleObject"/>
  <Override PartName="/xl/embeddings/oleObject_13_5.bin" ContentType="application/vnd.openxmlformats-officedocument.oleObject"/>
  <Override PartName="/xl/embeddings/oleObject_13_6.bin" ContentType="application/vnd.openxmlformats-officedocument.oleObject"/>
  <Override PartName="/xl/embeddings/oleObject_13_7.bin" ContentType="application/vnd.openxmlformats-officedocument.oleObject"/>
  <Override PartName="/xl/embeddings/oleObject_13_8.bin" ContentType="application/vnd.openxmlformats-officedocument.oleObject"/>
  <Override PartName="/xl/embeddings/oleObject_13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355" windowHeight="5895" activeTab="2"/>
  </bookViews>
  <sheets>
    <sheet name="MAIN MENU" sheetId="1" r:id="rId1"/>
    <sheet name="wds data" sheetId="2" r:id="rId2"/>
    <sheet name="wds cal" sheetId="3" r:id="rId3"/>
    <sheet name="wds draw" sheetId="4" r:id="rId4"/>
    <sheet name="wdb data" sheetId="5" r:id="rId5"/>
    <sheet name="wdb cal" sheetId="6" r:id="rId6"/>
    <sheet name="wdb SL" sheetId="7" r:id="rId7"/>
    <sheet name="wdb draw " sheetId="8" r:id="rId8"/>
    <sheet name="wsc data" sheetId="9" r:id="rId9"/>
    <sheet name="wsc cal" sheetId="10" r:id="rId10"/>
    <sheet name="wsf data" sheetId="11" r:id="rId11"/>
    <sheet name="Design References" sheetId="12" r:id="rId12"/>
    <sheet name="Symbol" sheetId="13" r:id="rId13"/>
    <sheet name="Design Formula" sheetId="14" r:id="rId14"/>
    <sheet name="Sheet1" sheetId="15" r:id="rId15"/>
  </sheets>
  <definedNames>
    <definedName name="_xlnm.Print_Titles" localSheetId="5">'wdb cal'!$1:$2</definedName>
  </definedNames>
  <calcPr fullCalcOnLoad="1"/>
</workbook>
</file>

<file path=xl/comments12.xml><?xml version="1.0" encoding="utf-8"?>
<comments xmlns="http://schemas.openxmlformats.org/spreadsheetml/2006/main">
  <authors>
    <author>KOBPUK</author>
  </authors>
  <commentList>
    <comment ref="Y7" authorId="0">
      <text>
        <r>
          <rPr>
            <b/>
            <sz val="8"/>
            <rFont val="Tahoma"/>
            <family val="0"/>
          </rPr>
          <t>KOBPUK:</t>
        </r>
        <r>
          <rPr>
            <sz val="8"/>
            <rFont val="Tahoma"/>
            <family val="0"/>
          </rPr>
          <t xml:space="preserve">
      ที่ปลายด้านต่อเนื่อง</t>
        </r>
      </text>
    </comment>
    <comment ref="S6" authorId="0">
      <text>
        <r>
          <rPr>
            <b/>
            <sz val="8"/>
            <rFont val="Tahoma"/>
            <family val="0"/>
          </rPr>
          <t>KOBPUK:</t>
        </r>
        <r>
          <rPr>
            <sz val="8"/>
            <rFont val="Tahoma"/>
            <family val="0"/>
          </rPr>
          <t xml:space="preserve">
            ที่กึ่งกลางคาน</t>
        </r>
      </text>
    </comment>
    <comment ref="S7" authorId="0">
      <text>
        <r>
          <rPr>
            <b/>
            <sz val="8"/>
            <rFont val="Tahoma"/>
            <family val="0"/>
          </rPr>
          <t>KOBPUK:</t>
        </r>
        <r>
          <rPr>
            <sz val="8"/>
            <rFont val="Tahoma"/>
            <family val="0"/>
          </rPr>
          <t xml:space="preserve">
   ที่ระยะ 3/8 L จากด้านไม่ต่อเนื่อง</t>
        </r>
      </text>
    </comment>
    <comment ref="S8" authorId="0">
      <text>
        <r>
          <rPr>
            <b/>
            <sz val="8"/>
            <rFont val="Tahoma"/>
            <family val="0"/>
          </rPr>
          <t>KOBPUK:</t>
        </r>
        <r>
          <rPr>
            <sz val="8"/>
            <rFont val="Tahoma"/>
            <family val="0"/>
          </rPr>
          <t xml:space="preserve">
         ที่กึ่งกลางคาน</t>
        </r>
      </text>
    </comment>
    <comment ref="U8" authorId="0">
      <text>
        <r>
          <rPr>
            <b/>
            <sz val="8"/>
            <rFont val="Tahoma"/>
            <family val="0"/>
          </rPr>
          <t>KOBPUK:</t>
        </r>
        <r>
          <rPr>
            <sz val="8"/>
            <rFont val="Tahoma"/>
            <family val="0"/>
          </rPr>
          <t xml:space="preserve">
        ที่ปลายทั้ง 2 ข้าง</t>
        </r>
      </text>
    </comment>
    <comment ref="U7" authorId="0">
      <text>
        <r>
          <rPr>
            <b/>
            <sz val="8"/>
            <rFont val="Tahoma"/>
            <family val="0"/>
          </rPr>
          <t>KOBPUK:</t>
        </r>
        <r>
          <rPr>
            <sz val="8"/>
            <rFont val="Tahoma"/>
            <family val="0"/>
          </rPr>
          <t xml:space="preserve">
      ที่ปลายด้านต่อเนื่อง</t>
        </r>
      </text>
    </comment>
    <comment ref="Y9" authorId="0">
      <text>
        <r>
          <rPr>
            <b/>
            <sz val="8"/>
            <rFont val="Tahoma"/>
            <family val="0"/>
          </rPr>
          <t>KOBPUK:</t>
        </r>
        <r>
          <rPr>
            <sz val="8"/>
            <rFont val="Tahoma"/>
            <family val="0"/>
          </rPr>
          <t xml:space="preserve">
        ที่ด้าน Fixed End</t>
        </r>
      </text>
    </comment>
    <comment ref="U9" authorId="0">
      <text>
        <r>
          <rPr>
            <b/>
            <sz val="8"/>
            <rFont val="Tahoma"/>
            <family val="0"/>
          </rPr>
          <t>KOBPUK:</t>
        </r>
        <r>
          <rPr>
            <sz val="8"/>
            <rFont val="Tahoma"/>
            <family val="0"/>
          </rPr>
          <t xml:space="preserve">
        ที่ด้าน Fixed End</t>
        </r>
      </text>
    </comment>
  </commentList>
</comments>
</file>

<file path=xl/comments2.xml><?xml version="1.0" encoding="utf-8"?>
<comments xmlns="http://schemas.openxmlformats.org/spreadsheetml/2006/main">
  <authors>
    <author>KOBPUK</author>
  </authors>
  <commentList>
    <comment ref="I6" authorId="0">
      <text>
        <r>
          <rPr>
            <b/>
            <sz val="8"/>
            <rFont val="Tahoma"/>
            <family val="0"/>
          </rPr>
          <t xml:space="preserve">
ระบุจำนวนด้านที่ต่อเนื่อง
0 - 4</t>
        </r>
      </text>
    </comment>
    <comment ref="I9" authorId="0">
      <text>
        <r>
          <rPr>
            <sz val="8"/>
            <rFont val="Tahoma"/>
            <family val="0"/>
          </rPr>
          <t xml:space="preserve">
t &gt;= 0.8 หรือ (S+L)/90
</t>
        </r>
      </text>
    </comment>
    <comment ref="F18" authorId="0">
      <text>
        <r>
          <rPr>
            <b/>
            <sz val="8"/>
            <rFont val="Tahoma"/>
            <family val="0"/>
          </rPr>
          <t>TYPE:
     RB  หรือ  DB</t>
        </r>
        <r>
          <rPr>
            <sz val="8"/>
            <rFont val="Tahoma"/>
            <family val="0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0"/>
          </rPr>
          <t>GRADE:
    RB ใช้    SR24
    DB  ใช้   SD30
                   SD40
                   SD50</t>
        </r>
        <r>
          <rPr>
            <sz val="8"/>
            <rFont val="Tahoma"/>
            <family val="0"/>
          </rPr>
          <t xml:space="preserve">
</t>
        </r>
      </text>
    </comment>
    <comment ref="I19" authorId="0">
      <text>
        <r>
          <rPr>
            <sz val="8"/>
            <rFont val="Tahoma"/>
            <family val="0"/>
          </rPr>
          <t xml:space="preserve">
ระยะห่างไม่เกิน 30 ซม.
</t>
        </r>
      </text>
    </comment>
    <comment ref="I20" authorId="0">
      <text>
        <r>
          <rPr>
            <sz val="8"/>
            <rFont val="Tahoma"/>
            <family val="0"/>
          </rPr>
          <t xml:space="preserve">
ระยะห่างไม่เกิน 30 ซม.
</t>
        </r>
      </text>
    </comment>
  </commentList>
</comments>
</file>

<file path=xl/comments3.xml><?xml version="1.0" encoding="utf-8"?>
<comments xmlns="http://schemas.openxmlformats.org/spreadsheetml/2006/main">
  <authors>
    <author>KOBPUK</author>
  </authors>
  <commentList>
    <comment ref="B9" authorId="0">
      <text>
        <r>
          <rPr>
            <sz val="8"/>
            <rFont val="Tahoma"/>
            <family val="0"/>
          </rPr>
          <t xml:space="preserve">
หน่วยแรงอัดที่ผิว Conc.
Fc = 0.45 fc'</t>
        </r>
      </text>
    </comment>
    <comment ref="F9" authorId="0">
      <text>
        <r>
          <rPr>
            <sz val="8"/>
            <rFont val="Tahoma"/>
            <family val="0"/>
          </rPr>
          <t xml:space="preserve">
n = 134 / SQRT(fc')
</t>
        </r>
      </text>
    </comment>
    <comment ref="F10" authorId="0">
      <text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k = 1 / [1+(fs / n fc)]</t>
        </r>
      </text>
    </comment>
    <comment ref="F11" authorId="0">
      <text>
        <r>
          <rPr>
            <sz val="8"/>
            <rFont val="Tahoma"/>
            <family val="0"/>
          </rPr>
          <t xml:space="preserve">
j = 1 - (k / 3)
</t>
        </r>
      </text>
    </comment>
    <comment ref="F12" authorId="0">
      <text>
        <r>
          <rPr>
            <sz val="8"/>
            <rFont val="Tahoma"/>
            <family val="0"/>
          </rPr>
          <t xml:space="preserve">
R = 0.5 fc k j
</t>
        </r>
      </text>
    </comment>
    <comment ref="C18" authorId="0">
      <text>
        <r>
          <rPr>
            <sz val="8"/>
            <rFont val="Tahoma"/>
            <family val="0"/>
          </rPr>
          <t xml:space="preserve">
DL = 2400 b t
เมื่อ  b = 1.00 m
</t>
        </r>
      </text>
    </comment>
    <comment ref="D36" authorId="0">
      <text>
        <r>
          <rPr>
            <b/>
            <sz val="8"/>
            <rFont val="Tahoma"/>
            <family val="0"/>
          </rPr>
          <t xml:space="preserve">
WS = w.S / 3</t>
        </r>
      </text>
    </comment>
    <comment ref="F36" authorId="0">
      <text>
        <r>
          <rPr>
            <b/>
            <sz val="8"/>
            <rFont val="Tahoma"/>
            <family val="2"/>
          </rPr>
          <t xml:space="preserve">
WL = (w.S / 3).(3 - m^2) / 2
</t>
        </r>
      </text>
    </comment>
    <comment ref="B37" authorId="0">
      <text>
        <r>
          <rPr>
            <b/>
            <u val="single"/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   </t>
        </r>
        <r>
          <rPr>
            <b/>
            <u val="single"/>
            <sz val="8"/>
            <rFont val="Tahoma"/>
            <family val="2"/>
          </rPr>
          <t xml:space="preserve">LOAD ON BEAM
</t>
        </r>
        <r>
          <rPr>
            <b/>
            <sz val="8"/>
            <rFont val="Tahoma"/>
            <family val="2"/>
          </rPr>
          <t xml:space="preserve">       </t>
        </r>
        <r>
          <rPr>
            <sz val="8"/>
            <rFont val="Tahoma"/>
            <family val="0"/>
          </rPr>
          <t>Short Span  WS  =  (w.S)/3
       Long Span   WL  =  [(w.S)/3].[(3 - m^2)/2]</t>
        </r>
      </text>
    </comment>
  </commentList>
</comments>
</file>

<file path=xl/comments5.xml><?xml version="1.0" encoding="utf-8"?>
<comments xmlns="http://schemas.openxmlformats.org/spreadsheetml/2006/main">
  <authors>
    <author>KOBPUK</author>
  </authors>
  <commentList>
    <comment ref="F7" authorId="0">
      <text>
        <r>
          <rPr>
            <b/>
            <sz val="8"/>
            <rFont val="Tahoma"/>
            <family val="0"/>
          </rPr>
          <t>KOBPUK: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ระบุลักษณะคาน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พิมพ์</t>
        </r>
        <r>
          <rPr>
            <sz val="8"/>
            <rFont val="Tahoma"/>
            <family val="0"/>
          </rPr>
          <t xml:space="preserve">
   1 = คานช่วงเดียว
   2 = ปลายคานต่อเนื่องด้านเดียว
   3 = ปลายคานต่อเนื่อง 2 ด้าน
   4 = คานยื่น</t>
        </r>
      </text>
    </comment>
    <comment ref="H31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….TYPE….</t>
        </r>
        <r>
          <rPr>
            <sz val="8"/>
            <rFont val="Tahoma"/>
            <family val="0"/>
          </rPr>
          <t xml:space="preserve">
RB
DB</t>
        </r>
      </text>
    </comment>
    <comment ref="H32" authorId="0">
      <text>
        <r>
          <rPr>
            <b/>
            <sz val="8"/>
            <rFont val="Tahoma"/>
            <family val="0"/>
          </rPr>
          <t xml:space="preserve">
GRADE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RB</t>
        </r>
        <r>
          <rPr>
            <sz val="8"/>
            <rFont val="Tahoma"/>
            <family val="0"/>
          </rPr>
          <t xml:space="preserve">
SR24
</t>
        </r>
        <r>
          <rPr>
            <b/>
            <sz val="8"/>
            <rFont val="Tahoma"/>
            <family val="2"/>
          </rPr>
          <t>DB</t>
        </r>
        <r>
          <rPr>
            <sz val="8"/>
            <rFont val="Tahoma"/>
            <family val="0"/>
          </rPr>
          <t xml:space="preserve">
SD30
SD40
SD50
</t>
        </r>
      </text>
    </comment>
  </commentList>
</comments>
</file>

<file path=xl/comments6.xml><?xml version="1.0" encoding="utf-8"?>
<comments xmlns="http://schemas.openxmlformats.org/spreadsheetml/2006/main">
  <authors>
    <author>KOBPUK</author>
  </authors>
  <commentList>
    <comment ref="D15" authorId="0">
      <text>
        <r>
          <rPr>
            <sz val="8"/>
            <rFont val="Tahoma"/>
            <family val="0"/>
          </rPr>
          <t xml:space="preserve">
n = 134 / SQRT(fc')
</t>
        </r>
      </text>
    </comment>
    <comment ref="E15" authorId="0">
      <text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k = 1 / [1+(fs / n.fc)]</t>
        </r>
      </text>
    </comment>
    <comment ref="F15" authorId="0">
      <text>
        <r>
          <rPr>
            <sz val="8"/>
            <rFont val="Tahoma"/>
            <family val="0"/>
          </rPr>
          <t xml:space="preserve">
j = 1 - (k / 3)
</t>
        </r>
      </text>
    </comment>
    <comment ref="G15" authorId="0">
      <text>
        <r>
          <rPr>
            <sz val="8"/>
            <rFont val="Tahoma"/>
            <family val="0"/>
          </rPr>
          <t xml:space="preserve">
R = 0.5 (fc.k.j)
</t>
        </r>
      </text>
    </comment>
  </commentList>
</comments>
</file>

<file path=xl/comments9.xml><?xml version="1.0" encoding="utf-8"?>
<comments xmlns="http://schemas.openxmlformats.org/spreadsheetml/2006/main">
  <authors>
    <author>KOBPUK</author>
  </authors>
  <commentList>
    <comment ref="H25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….TYPE….</t>
        </r>
        <r>
          <rPr>
            <sz val="8"/>
            <rFont val="Tahoma"/>
            <family val="0"/>
          </rPr>
          <t xml:space="preserve">
RB
DB</t>
        </r>
      </text>
    </comment>
    <comment ref="H26" authorId="0">
      <text>
        <r>
          <rPr>
            <b/>
            <sz val="8"/>
            <rFont val="Tahoma"/>
            <family val="0"/>
          </rPr>
          <t xml:space="preserve">
GRADE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RB</t>
        </r>
        <r>
          <rPr>
            <sz val="8"/>
            <rFont val="Tahoma"/>
            <family val="0"/>
          </rPr>
          <t xml:space="preserve">
SR24
</t>
        </r>
        <r>
          <rPr>
            <b/>
            <sz val="8"/>
            <rFont val="Tahoma"/>
            <family val="2"/>
          </rPr>
          <t>DB</t>
        </r>
        <r>
          <rPr>
            <sz val="8"/>
            <rFont val="Tahoma"/>
            <family val="0"/>
          </rPr>
          <t xml:space="preserve">
SD30
SD40
SD50
</t>
        </r>
      </text>
    </comment>
    <comment ref="H7" authorId="0">
      <text>
        <r>
          <rPr>
            <b/>
            <sz val="8"/>
            <rFont val="Tahoma"/>
            <family val="0"/>
          </rPr>
          <t>KOBPUK:</t>
        </r>
        <r>
          <rPr>
            <sz val="8"/>
            <rFont val="Tahoma"/>
            <family val="0"/>
          </rPr>
          <t xml:space="preserve">
1 = เสาปลอกเดี่ยว
2 = เสาปลอกเกลียว</t>
        </r>
      </text>
    </comment>
  </commentList>
</comments>
</file>

<file path=xl/sharedStrings.xml><?xml version="1.0" encoding="utf-8"?>
<sst xmlns="http://schemas.openxmlformats.org/spreadsheetml/2006/main" count="991" uniqueCount="551">
  <si>
    <t>วิศวกรผู้ออกแบบ :</t>
  </si>
  <si>
    <t>ข้อมูลในการออกแบบ</t>
  </si>
  <si>
    <t xml:space="preserve">  m</t>
  </si>
  <si>
    <t>L</t>
  </si>
  <si>
    <t>t</t>
  </si>
  <si>
    <r>
      <t xml:space="preserve">  kg/m</t>
    </r>
    <r>
      <rPr>
        <vertAlign val="superscript"/>
        <sz val="14"/>
        <rFont val="CordiaUPC"/>
        <family val="2"/>
      </rPr>
      <t>2</t>
    </r>
  </si>
  <si>
    <t>MATERIAL PROPERTIES :</t>
  </si>
  <si>
    <t>RB</t>
  </si>
  <si>
    <t>Concrete :</t>
  </si>
  <si>
    <t>DB</t>
  </si>
  <si>
    <t>กำลังอัดประลัยแท่งทรงกระบอก</t>
  </si>
  <si>
    <t>fc'</t>
  </si>
  <si>
    <r>
      <t xml:space="preserve">  kg/cm</t>
    </r>
    <r>
      <rPr>
        <vertAlign val="superscript"/>
        <sz val="14"/>
        <rFont val="CordiaUPC"/>
        <family val="2"/>
      </rPr>
      <t>2</t>
    </r>
  </si>
  <si>
    <t>Steel Reinforcement :</t>
  </si>
  <si>
    <t>TYPE  :</t>
  </si>
  <si>
    <t>GRADE :</t>
  </si>
  <si>
    <t>Check for Type of Slab :</t>
  </si>
  <si>
    <t>m = S / L</t>
  </si>
  <si>
    <t>m</t>
  </si>
  <si>
    <t>=</t>
  </si>
  <si>
    <t>LOAD :</t>
  </si>
  <si>
    <t>น้ำหนักจร (Live Load)</t>
  </si>
  <si>
    <t>ผนังอิฐมอญ ก่อครึ่งแผ่น ฉาบปูน 2 ด้าน</t>
  </si>
  <si>
    <t>ผนังอิฐมอญ ก่อเต็มแผ่น ฉาบปูน 2 ด้าน</t>
  </si>
  <si>
    <t>ออกแบบคานกรีตเสริมเหล็ก RC Beam Design</t>
  </si>
  <si>
    <t>DATE:</t>
  </si>
  <si>
    <t>BEAM NO.</t>
  </si>
  <si>
    <t>ความยาวช่วงคาน</t>
  </si>
  <si>
    <t>b</t>
  </si>
  <si>
    <t>ความกว้างหน้าตัด (สมมุติ)</t>
  </si>
  <si>
    <t>RC BEAM PROPERTIES :</t>
  </si>
  <si>
    <t>ลักษณะคาน</t>
  </si>
  <si>
    <t>ความลึกหน้าตัด  t  ต่ำสุด    =</t>
  </si>
  <si>
    <t>DATE :</t>
  </si>
  <si>
    <t xml:space="preserve"> MATERIAL PROPERTIES :</t>
  </si>
  <si>
    <t>n</t>
  </si>
  <si>
    <t>k</t>
  </si>
  <si>
    <t>j</t>
  </si>
  <si>
    <t>d</t>
  </si>
  <si>
    <t>Dead Load</t>
  </si>
  <si>
    <t>w</t>
  </si>
  <si>
    <t>LL</t>
  </si>
  <si>
    <t xml:space="preserve"> + M</t>
  </si>
  <si>
    <t>ชนิดกำแพง</t>
  </si>
  <si>
    <t>ผนังคอนกรีตบล็อก หนา 7 ซม. ฉาบปูน 2 ด้าน</t>
  </si>
  <si>
    <t>ผนังคอนกรีตบล็อก หนา 9 ซม. ฉาบปูน 2 ด้าน</t>
  </si>
  <si>
    <t>ฝาไม้ ไม้อัด เซลโลกรีต รวมคร่าว</t>
  </si>
  <si>
    <t>รายละเอียด ผนัง / กำแพง</t>
  </si>
  <si>
    <t>ตารางความหนาต่ำสุดขององค์อาคารในกรณีที่ไม่ได้คำนวณระยะโก่ง</t>
  </si>
  <si>
    <t>องค์อาคาร</t>
  </si>
  <si>
    <t>พื้นทางเดียว</t>
  </si>
  <si>
    <t>คาน</t>
  </si>
  <si>
    <t xml:space="preserve">     ความหนาต่ำสุดที่กำหนดไว้ในตารางข้างบนนี้  ใช้กับองค์อาคารรับแรงดัด  (Flexural Member)  ที่ใช้คอนกรีตธรรมดา หากจะใช้ความหนาน้อยกว่าที่กำหนดนี้  ต้องคำนวนหาระยะตกตัวในแนวดิ่ง (Deflection) แต่ทั้งนี้จะต้องไม่ทำให้ความแข็งแรงขององค์อาคารด้อยลง                                                                                                                                         </t>
  </si>
  <si>
    <t>w1 (kg/m2)</t>
  </si>
  <si>
    <t xml:space="preserve">     อย่างไรก็ดี ความลึก ที่แนะนำไว้นี้เป็นเพียงแนวทางในการกำหนด ความลึกของคาน หรือ องค์อาคารรับแรงดัดเท่านั้น ไม่ได้หมายความว่าจะใช้ได้ทุกครั้งต้องพิจารณาน้ำหนักที่มากระทำด้วยหากน้ำหนักที่กระทำบนโครงสร้างนั้นมีค่ามาก ความลึก ดังกล่าวอาจจะไม่ถูกต้องซึ่งก็จำเป็นที่จะต้องเพิ่มความลึก หรือ ความหนา เพื่อให้ได้โครงสร้างที่เหมาะสม</t>
  </si>
  <si>
    <t>คานยื่น</t>
  </si>
  <si>
    <t>คานช่วงเดียวธรรมดา</t>
  </si>
  <si>
    <t>น้ำหนักกำแพง / ตร.ม.</t>
  </si>
  <si>
    <t>w1</t>
  </si>
  <si>
    <t>น้ำหนักจากกำแพง / ผนัง</t>
  </si>
  <si>
    <t>น้ำหนักจากแผ่นพื้น :</t>
  </si>
  <si>
    <t>แผ่นพื้น</t>
  </si>
  <si>
    <t>กว้าง (m)</t>
  </si>
  <si>
    <t>ยาว (m)</t>
  </si>
  <si>
    <t>จำนวนพื้นที่ถ่ายน้ำหนักลงบนคาน</t>
  </si>
  <si>
    <t>ความสูงกำแพง</t>
  </si>
  <si>
    <t>H</t>
  </si>
  <si>
    <t>ระยะหุ้มต่ำสุดของคอนกรีต</t>
  </si>
  <si>
    <t xml:space="preserve">  cm</t>
  </si>
  <si>
    <t>คอนกรีตที่หุ้มเหล็กเสริม</t>
  </si>
  <si>
    <t>(ก) คอนกรีตหล่อในที่</t>
  </si>
  <si>
    <t>ระยะหุ้มต่ำสุด (cm)  </t>
  </si>
  <si>
    <t>   1. คอนกรีตที่หล่อติดกับดิน และผิวคอนกรีตสัมผัสกับดินตลอดเวลา</t>
  </si>
  <si>
    <t>   2. คอนกรีตที่สัมผัสกับดินหรือถูกแดดฝน  </t>
  </si>
  <si>
    <t>       - สำหรับเหล็กเสริมขนาดเส้นผ่านศูนย์กลางใหญ่กว่า 16 mm  </t>
  </si>
  <si>
    <t>       - สำหรับเหล็กเสริมขนาดเส้นผ่านศูนย์กลาง 16 mm  และเล็กกว่า</t>
  </si>
  <si>
    <t>   3. คอนกรีตที่ไม่สัมผัสกับดินหรือไม่ถูกแดดฝน</t>
  </si>
  <si>
    <t>(ข) คอนกรีตหล่อสำเร็จ(ควบคุมคุณภาพและหล่อคอนกรีตจากโรงงาน)  </t>
  </si>
  <si>
    <t>   1. คอนกรีตที่สัมผัสกับดินหรือถูกแดดฝน  </t>
  </si>
  <si>
    <t>   2. คอนกรีตที่ไม่สัมผัสกับดินหรือไม่ถูกแดดฝน  </t>
  </si>
  <si>
    <t xml:space="preserve">(ค) เหล็กเสริมมัดรวมเป็นกำ   </t>
  </si>
  <si>
    <t xml:space="preserve">(ง) ในสภาวะแวดล้อมที่มีการกัดกร่อน   </t>
  </si>
  <si>
    <t xml:space="preserve">(จ) การเตรียมการเพื่อการต่อเติมในอนาคต   </t>
  </si>
  <si>
    <t xml:space="preserve">(ฉ) การป้องกันอัคคีภัย   </t>
  </si>
  <si>
    <t>ระยะหุ้ม หมายถึง ระยะที่วัดจากผิวคอนกรีตถึงผิวนอกสุดของเหล็กปลอกเดี่ยว เหล็กปลอกเกลียว หรือเหล็กลูกตั้ง ในกรณีไม่มีเหล็กดังกล่าว ให้วัดถึงผิวของเหล็กเสริมที่อยู่นอกสุด</t>
  </si>
  <si>
    <t>       รายการ</t>
  </si>
  <si>
    <t>              - สำหรับเหล็กเสริมขนาดเส้นผ่านศูนย์ตั้งแต่ 44 mm  ขึ้นไป  </t>
  </si>
  <si>
    <t>              - สำหรับเหล็กเสริมขนาดเส้นผ่านศูนย์กลาง 35 mm  และเล็กกว่า  </t>
  </si>
  <si>
    <t>              - เหล็กเสริมหลัก เหล็กลูกตั้ง</t>
  </si>
  <si>
    <t xml:space="preserve">       3.1 ในแผ่นพื้นผนัง และตง   </t>
  </si>
  <si>
    <t xml:space="preserve">       3.2 ในคาน   </t>
  </si>
  <si>
    <t xml:space="preserve">       3.3 ในเสา   </t>
  </si>
  <si>
    <t xml:space="preserve">              - เหล็กปลอกเดี่ยวหรือเหล็กปลอกเกลียว </t>
  </si>
  <si>
    <t xml:space="preserve">       3.4 ในคอนกรีตเปลือกบาง และพื้นแผ่นพับ   </t>
  </si>
  <si>
    <t>              - สำหรับเหล็กเสริมขนาดเส้นผ่านศูนย์กลางใหญ่กว่า 16 mm </t>
  </si>
  <si>
    <t>              - สำหรับเหล็กเสริมขนาดเส้นผ่านศูนย์กลาง 16 mm  และเล็กกว่า  </t>
  </si>
  <si>
    <t xml:space="preserve">       1.1 ในแผ่นผนัง   </t>
  </si>
  <si>
    <t>              - สำหรับเหล็กเสริมขนาดเส้นผ่านศูนย์ตั้งแต่ 44 mm ขึ้นไป  </t>
  </si>
  <si>
    <t xml:space="preserve">      1.2 ในองค์อาคารชนิดอื่น   </t>
  </si>
  <si>
    <t>             - สำหรับเหล็กเสริมขนาดเส้นผ่านศูนย์ตั้งแต่ 44 mm  ขึ้นไป  </t>
  </si>
  <si>
    <t>             - สำหรับเหล็กเสริมขนาดเส้นผ่านศูนย์กลางใหญ่กว่า 16 mm  ถึง 35 mm  </t>
  </si>
  <si>
    <t>             - สำหรับเหล็กเสริมขนาดเส้นผ่านศูนย์กลาง 16 mm  และเล็กกว่า  </t>
  </si>
  <si>
    <t xml:space="preserve">             - เหล็กเสริมหลัก เหล็กลูกตั้ง   </t>
  </si>
  <si>
    <t xml:space="preserve">             - เหล็กปลอกเดี่ยวหรือเหล็กปลอกเกลียว   </t>
  </si>
  <si>
    <t xml:space="preserve">       2.4 ในคอนกรีตเปลือกบาง และพื้นแผ่นพับ   </t>
  </si>
  <si>
    <t xml:space="preserve">       2.2 ในคาน   </t>
  </si>
  <si>
    <t xml:space="preserve">       2.1 ในแผ่นพื้น ผนัง และตง   </t>
  </si>
  <si>
    <t>             - สำหรับเหล็กเสริมขนาดเส้นผ่านศูนย์กลางใหญ่กว่า 20 mm  </t>
  </si>
  <si>
    <t>             - สำหรับเหล็กเสริมขนาดเส้นผ่านศูนย์กลาง 16 mm  และเล็กกว่า  </t>
  </si>
  <si>
    <t xml:space="preserve">        กรณีคอนกรีตที่หล่อติดกับดินและผิวคอนกรีตสัมผัสดินตลอดเวลา ระยะหุ้มต่ำสุดไม่น้อยกว่า 7.5 mm </t>
  </si>
  <si>
    <t>คานต่อเนื่องด้านเดียว</t>
  </si>
  <si>
    <t>คานต่อเนื่องสองด้าน</t>
  </si>
  <si>
    <t xml:space="preserve">  Span</t>
  </si>
  <si>
    <t xml:space="preserve">  Cross Section</t>
  </si>
  <si>
    <t xml:space="preserve">  Effective Depth</t>
  </si>
  <si>
    <t>(m)</t>
  </si>
  <si>
    <t xml:space="preserve">   Concrete :</t>
  </si>
  <si>
    <t xml:space="preserve">   Steel :</t>
  </si>
  <si>
    <t>BEAM SECTION :</t>
  </si>
  <si>
    <t>kg.m</t>
  </si>
  <si>
    <t>ดังนั้น</t>
  </si>
  <si>
    <t>เมื่อ   :   d   =   ความลึกประสิทธิผล (Effective Depth)  หน่วยเป็น  cm</t>
  </si>
  <si>
    <t xml:space="preserve">  kg.m</t>
  </si>
  <si>
    <t>(kg/m)</t>
  </si>
  <si>
    <t>kg/m</t>
  </si>
  <si>
    <t>หนา (m)</t>
  </si>
  <si>
    <t>Slab Load</t>
  </si>
  <si>
    <t>Wall Load</t>
  </si>
  <si>
    <t xml:space="preserve">LOADING ON BEAM : </t>
  </si>
  <si>
    <t>ลำดับ</t>
  </si>
  <si>
    <t>โมเมนต์ดัดสูงสุด (Maximum Moment) และ แรงเฉือนสูงสุด (Maximum Shear)</t>
  </si>
  <si>
    <t>wL</t>
  </si>
  <si>
    <t xml:space="preserve"> - </t>
  </si>
  <si>
    <t>V1</t>
  </si>
  <si>
    <t>V2</t>
  </si>
  <si>
    <t xml:space="preserve"> - M</t>
  </si>
  <si>
    <t>1/12 w(L^2)</t>
  </si>
  <si>
    <t>9/128 w(L^2)</t>
  </si>
  <si>
    <t>1/8 w(L^2)</t>
  </si>
  <si>
    <t>1/2 wL</t>
  </si>
  <si>
    <t>3/8 wL</t>
  </si>
  <si>
    <t>5/8 wL</t>
  </si>
  <si>
    <t xml:space="preserve"> -</t>
  </si>
  <si>
    <t>1/2 w(L^2)</t>
  </si>
  <si>
    <t>ค่า</t>
  </si>
  <si>
    <t>(kg)</t>
  </si>
  <si>
    <t>(kg.m)</t>
  </si>
  <si>
    <t>ชนิดผนัง / กำแพง</t>
  </si>
  <si>
    <t>ความยาว    L</t>
  </si>
  <si>
    <t>      เหล็กเสริมที่เปลือยหัวยึดที่ฝังในคอนกรีต และแผ่นเหล็กที่เตรียมไว้สำหรับยึดต่อกับส่วนที่จะต่อเติมในอนาคต ต้องป้องกันการผุกร่อน  </t>
  </si>
  <si>
    <r>
      <t xml:space="preserve">       2.3 ในเสา </t>
    </r>
    <r>
      <rPr>
        <b/>
        <sz val="14"/>
        <rFont val="CordiaUPC"/>
        <family val="2"/>
      </rPr>
      <t xml:space="preserve">  </t>
    </r>
  </si>
  <si>
    <t>       ในสภาวะแวดล้อมที่มีการกัดกร่อน หรือที่ต้องสัมผัสกับสภาวะรุนแรงอื่นๆต้องเพิ่มระยะหุ้มให้เหมาะสมและพิจารณาถึงการป้องกัน</t>
  </si>
  <si>
    <t>คอนกรีตโดยการเพิ่มความหนาแน่นและลดความพรุนของคอนกรีต หรือหาวิธีป้องกันอื่นๆ  </t>
  </si>
  <si>
    <t xml:space="preserve">        ระยะหุ้มต่ำสุดของคอนกรีตต้องเท่ากับเส้นผ่านศูนย์กลางของเหล็กเส้นเดียวซึ่งมีเนื้อที่หน้าตัดเท่ากับเหล็กทั้งกำรวมกัน                                                                                                                       </t>
  </si>
  <si>
    <t>แต่ไม่จำเป็นต้องมากกว่า 5.0 mm</t>
  </si>
  <si>
    <t xml:space="preserve">        เมื่อข้อบัญญัติอื่นๆที่เกี่ยวกับอาคารได้กำหนดระยะหุ้มเพื่อป้องกันอัคคีภัยไว้หนากว่าระยะหุ้มต่ำสุดที่กำหนดไว้ข้างต้น </t>
  </si>
  <si>
    <t xml:space="preserve">ให้ใช้ระยะหุ้มค่าที่หนากว่า </t>
  </si>
  <si>
    <t>2. BEAM FIXED AT ONE END - UNIFORMLY DISTRIBUTED LOAD ( คานต่อเนื่องด้านเดียว )</t>
  </si>
  <si>
    <t>1. SIMPLE BEAM - UNIFORMLY DISTRIBUTED LOAD ( คานช่วงเดียวธรรมดา )</t>
  </si>
  <si>
    <t>3. BEAM FIXED AT BOTH ENDS - UNIFORMLY DISTRIBUTED LOADS ( คานต่อเนื่องสองด้าน )</t>
  </si>
  <si>
    <t>4. CANTILEVER BEAM - UNIFORMLY DISTRIBUTED LOAD ( คานยื่น )</t>
  </si>
  <si>
    <t>BACK TO TOP</t>
  </si>
  <si>
    <t>คำนวณออกแบบโครงสร้างคอนกรีตเสริมเหล็ก</t>
  </si>
  <si>
    <t>วิธีหน่วยแรงใช้งาน</t>
  </si>
  <si>
    <t>วิธีกำลัง</t>
  </si>
  <si>
    <t>การออกแบบพื้น (Flat Slab Design)</t>
  </si>
  <si>
    <t>การออกแบบคาน (Beam Design)</t>
  </si>
  <si>
    <t>การออกแบบเสา (Column Design)</t>
  </si>
  <si>
    <t>การออกแบบฐานราก (Footing Design)</t>
  </si>
  <si>
    <t>วันที่ :</t>
  </si>
  <si>
    <t>ออกแบบพื้นคอนกรีตเสริมเหล็ก RC Flat Slab</t>
  </si>
  <si>
    <t>ชื่อพื้น :</t>
  </si>
  <si>
    <t>RC SLAB PROPERTIES :</t>
  </si>
  <si>
    <t xml:space="preserve">   จำนวนด้านที่ต่อเนื่อง</t>
  </si>
  <si>
    <t xml:space="preserve">  ด้าน</t>
  </si>
  <si>
    <t>Short Span</t>
  </si>
  <si>
    <t>S</t>
  </si>
  <si>
    <t>Long Span</t>
  </si>
  <si>
    <t>Concrete Covering</t>
  </si>
  <si>
    <t>LIVE LOAD :</t>
  </si>
  <si>
    <t>Diameter</t>
  </si>
  <si>
    <t xml:space="preserve">  mm</t>
  </si>
  <si>
    <t xml:space="preserve">  @</t>
  </si>
  <si>
    <t xml:space="preserve">  วิศวกรผู้ออกแบบ :</t>
  </si>
  <si>
    <t>SLAB NO. :</t>
  </si>
  <si>
    <t xml:space="preserve"> SLAB PROPERTIES :</t>
  </si>
  <si>
    <t>กรณีที่</t>
  </si>
  <si>
    <t>Short Span :</t>
  </si>
  <si>
    <t>m = S / L     =</t>
  </si>
  <si>
    <t>Long Span :</t>
  </si>
  <si>
    <t>Thickness :</t>
  </si>
  <si>
    <r>
      <t xml:space="preserve">cm           </t>
    </r>
    <r>
      <rPr>
        <sz val="13"/>
        <rFont val="Symbol"/>
        <family val="1"/>
      </rPr>
      <t>ณ</t>
    </r>
  </si>
  <si>
    <t>(S + L) / 90</t>
  </si>
  <si>
    <t>ณ</t>
  </si>
  <si>
    <t>Concrete Covering :</t>
  </si>
  <si>
    <t>cm</t>
  </si>
  <si>
    <r>
      <t>kg/cm</t>
    </r>
    <r>
      <rPr>
        <vertAlign val="superscript"/>
        <sz val="13"/>
        <rFont val="CordiaUPC"/>
        <family val="2"/>
      </rPr>
      <t>2</t>
    </r>
  </si>
  <si>
    <t>Steel :    Type - Grade</t>
  </si>
  <si>
    <t xml:space="preserve">                 Diameter</t>
  </si>
  <si>
    <t>mm</t>
  </si>
  <si>
    <t xml:space="preserve">                </t>
  </si>
  <si>
    <t>fs</t>
  </si>
  <si>
    <t>R</t>
  </si>
  <si>
    <t xml:space="preserve"> RESISTING MOMENT OF SLAB (MR) :</t>
  </si>
  <si>
    <r>
      <t>MR = Rbd</t>
    </r>
    <r>
      <rPr>
        <vertAlign val="superscript"/>
        <sz val="13"/>
        <rFont val="CordiaUPC"/>
        <family val="2"/>
      </rPr>
      <t xml:space="preserve">2           </t>
    </r>
    <r>
      <rPr>
        <sz val="13"/>
        <rFont val="CordiaUPC"/>
        <family val="2"/>
      </rPr>
      <t xml:space="preserve">  </t>
    </r>
  </si>
  <si>
    <t xml:space="preserve"> เมื่อ :  b  =  1.00  m   และ   d  =   ความลึกประสิทธิผล (Effective Depth) หน่วย   cm</t>
  </si>
  <si>
    <t>MR</t>
  </si>
  <si>
    <t xml:space="preserve"> LOAD :</t>
  </si>
  <si>
    <t>DL</t>
  </si>
  <si>
    <r>
      <t>kg/m</t>
    </r>
    <r>
      <rPr>
        <vertAlign val="superscript"/>
        <sz val="13"/>
        <rFont val="CordiaUPC"/>
        <family val="2"/>
      </rPr>
      <t>2</t>
    </r>
  </si>
  <si>
    <t>Total Load</t>
  </si>
  <si>
    <t>Live Load</t>
  </si>
  <si>
    <t xml:space="preserve"> ACTUAL MOMENT &amp; REINFORCEMENT :</t>
  </si>
  <si>
    <t>STEEL  REINFORCEMENT</t>
  </si>
  <si>
    <t>LOCATION</t>
  </si>
  <si>
    <t>Coeff. C</t>
  </si>
  <si>
    <r>
      <t>M = CwS</t>
    </r>
    <r>
      <rPr>
        <vertAlign val="superscript"/>
        <sz val="13"/>
        <rFont val="CordiaUPC"/>
        <family val="2"/>
      </rPr>
      <t>2</t>
    </r>
  </si>
  <si>
    <t>As = M/fs.j.d</t>
  </si>
  <si>
    <t>As ใช้จริง</t>
  </si>
  <si>
    <t>REMARKS</t>
  </si>
  <si>
    <t xml:space="preserve">  - M</t>
  </si>
  <si>
    <t>REMARK</t>
  </si>
  <si>
    <t xml:space="preserve">  Moment Check :</t>
  </si>
  <si>
    <t xml:space="preserve"> SHEAR CHECK :</t>
  </si>
  <si>
    <t xml:space="preserve">แรงเฉือนมากที่สุด    Vmax = w.S / 2 </t>
  </si>
  <si>
    <t xml:space="preserve">   kg/m</t>
  </si>
  <si>
    <t>หน่วยแรงเฉือนสูงสุด = Vmax / bd</t>
  </si>
  <si>
    <r>
      <t xml:space="preserve">   kg/cm</t>
    </r>
    <r>
      <rPr>
        <vertAlign val="superscript"/>
        <sz val="13"/>
        <rFont val="CordiaUPC"/>
        <family val="2"/>
      </rPr>
      <t>2</t>
    </r>
  </si>
  <si>
    <t>หน่วยแรงเฉือนที่ยอมให้ = 0.29fc'^0.5</t>
  </si>
  <si>
    <t xml:space="preserve"> LOAD ON SUPPORTED BEAM :</t>
  </si>
  <si>
    <t>Span</t>
  </si>
  <si>
    <t>Short Span (WS)</t>
  </si>
  <si>
    <t>Long Span (WL)</t>
  </si>
  <si>
    <t>Load (kg/m)</t>
  </si>
  <si>
    <t>C พื้นด้านสั้น</t>
  </si>
  <si>
    <t>m = S/L</t>
  </si>
  <si>
    <t xml:space="preserve"> - M Cont.</t>
  </si>
  <si>
    <t>C พื้นด้านยาว</t>
  </si>
  <si>
    <t>ทุกค่า m</t>
  </si>
  <si>
    <t>ค่าสัมประสิทธิโมเมนต์ (ค่า C) สำหรับออกแบบพื้น</t>
  </si>
  <si>
    <t>Slab Thickness   (S+L)/90  =</t>
  </si>
  <si>
    <t>RC Slab Design 1</t>
  </si>
  <si>
    <t xml:space="preserve">  การออกแบบพื้น (Flat Slab Design)</t>
  </si>
  <si>
    <t xml:space="preserve">การออกแบบคาน (Beam Design)  </t>
  </si>
  <si>
    <t xml:space="preserve">  การออกแบบเสา (Column Design)</t>
  </si>
  <si>
    <t>ดูผลคำนวณพื้น</t>
  </si>
  <si>
    <t>การจัดเรียงเหล็กเสริมพื้น</t>
  </si>
  <si>
    <t>กลับหน้าข้อมูลออกแบบพื้น</t>
  </si>
  <si>
    <t>BACK TO MAIN MENU</t>
  </si>
  <si>
    <t>กลับหน้าข้อมูลออกแบบ Working Design Beam</t>
  </si>
  <si>
    <t>SD30</t>
  </si>
  <si>
    <t>1/24 w(L^2)</t>
  </si>
  <si>
    <r>
      <t>M</t>
    </r>
    <r>
      <rPr>
        <vertAlign val="subscript"/>
        <sz val="14"/>
        <rFont val="CordiaUPC"/>
        <family val="2"/>
      </rPr>
      <t>R</t>
    </r>
    <r>
      <rPr>
        <sz val="14"/>
        <rFont val="CordiaUPC"/>
        <family val="2"/>
      </rPr>
      <t xml:space="preserve">           =</t>
    </r>
  </si>
  <si>
    <r>
      <t>cm</t>
    </r>
    <r>
      <rPr>
        <vertAlign val="superscript"/>
        <sz val="14"/>
        <rFont val="CordiaUPC"/>
        <family val="2"/>
      </rPr>
      <t>2</t>
    </r>
  </si>
  <si>
    <t>กลับหน้าผลการคำนวณ Working Design Beam</t>
  </si>
  <si>
    <t>กลับหน้าผลการคำนวณ Working Design Slab</t>
  </si>
  <si>
    <t>SIZE :</t>
  </si>
  <si>
    <r>
      <t>cm</t>
    </r>
    <r>
      <rPr>
        <vertAlign val="superscript"/>
        <sz val="14"/>
        <rFont val="CordiaUPC"/>
        <family val="2"/>
      </rPr>
      <t>2</t>
    </r>
    <r>
      <rPr>
        <sz val="14"/>
        <rFont val="CordiaUPC"/>
        <family val="2"/>
      </rPr>
      <t xml:space="preserve">    ...OK</t>
    </r>
  </si>
  <si>
    <t xml:space="preserve"> =</t>
  </si>
  <si>
    <t>\</t>
  </si>
  <si>
    <t>q</t>
  </si>
  <si>
    <t>e</t>
  </si>
  <si>
    <t>r</t>
  </si>
  <si>
    <t>y</t>
  </si>
  <si>
    <t>u</t>
  </si>
  <si>
    <t>i</t>
  </si>
  <si>
    <t>o</t>
  </si>
  <si>
    <t>p</t>
  </si>
  <si>
    <t>[</t>
  </si>
  <si>
    <t>]</t>
  </si>
  <si>
    <t>!</t>
  </si>
  <si>
    <t>@</t>
  </si>
  <si>
    <t>#</t>
  </si>
  <si>
    <t>$</t>
  </si>
  <si>
    <t>%</t>
  </si>
  <si>
    <t>^</t>
  </si>
  <si>
    <t>&amp;</t>
  </si>
  <si>
    <t>*</t>
  </si>
  <si>
    <t>(</t>
  </si>
  <si>
    <t>)</t>
  </si>
  <si>
    <t>_</t>
  </si>
  <si>
    <t xml:space="preserve"> +</t>
  </si>
  <si>
    <t>|</t>
  </si>
  <si>
    <t>Shift</t>
  </si>
  <si>
    <t>Q</t>
  </si>
  <si>
    <t>W</t>
  </si>
  <si>
    <t>E</t>
  </si>
  <si>
    <t>T</t>
  </si>
  <si>
    <t>Y</t>
  </si>
  <si>
    <t>U</t>
  </si>
  <si>
    <t>I</t>
  </si>
  <si>
    <t>O</t>
  </si>
  <si>
    <t>P</t>
  </si>
  <si>
    <t>{</t>
  </si>
  <si>
    <t>}</t>
  </si>
  <si>
    <t>A</t>
  </si>
  <si>
    <t>D</t>
  </si>
  <si>
    <t>F</t>
  </si>
  <si>
    <t>G</t>
  </si>
  <si>
    <t>J</t>
  </si>
  <si>
    <t>K</t>
  </si>
  <si>
    <t>:</t>
  </si>
  <si>
    <t>"</t>
  </si>
  <si>
    <t>a</t>
  </si>
  <si>
    <t>s</t>
  </si>
  <si>
    <t>f</t>
  </si>
  <si>
    <t>g</t>
  </si>
  <si>
    <t>h</t>
  </si>
  <si>
    <t>l</t>
  </si>
  <si>
    <t>;</t>
  </si>
  <si>
    <t xml:space="preserve"> _</t>
  </si>
  <si>
    <t>English</t>
  </si>
  <si>
    <t>Symbol</t>
  </si>
  <si>
    <r>
      <t>n</t>
    </r>
    <r>
      <rPr>
        <sz val="14"/>
        <rFont val="Symbol"/>
        <family val="1"/>
      </rPr>
      <t>'</t>
    </r>
  </si>
  <si>
    <r>
      <t>n</t>
    </r>
    <r>
      <rPr>
        <sz val="14"/>
        <rFont val="CordiaUPC"/>
        <family val="2"/>
      </rPr>
      <t>'</t>
    </r>
  </si>
  <si>
    <t>z</t>
  </si>
  <si>
    <t>x</t>
  </si>
  <si>
    <t>c</t>
  </si>
  <si>
    <t>v</t>
  </si>
  <si>
    <t>,</t>
  </si>
  <si>
    <t>.</t>
  </si>
  <si>
    <t xml:space="preserve"> /</t>
  </si>
  <si>
    <t>Z</t>
  </si>
  <si>
    <t>X</t>
  </si>
  <si>
    <t>C</t>
  </si>
  <si>
    <t>V</t>
  </si>
  <si>
    <t>B</t>
  </si>
  <si>
    <t>N</t>
  </si>
  <si>
    <t>M</t>
  </si>
  <si>
    <t>&lt;</t>
  </si>
  <si>
    <t>&gt;</t>
  </si>
  <si>
    <t>?</t>
  </si>
  <si>
    <t>Thai</t>
  </si>
  <si>
    <t>ภ</t>
  </si>
  <si>
    <t>ถ</t>
  </si>
  <si>
    <t>ถุ</t>
  </si>
  <si>
    <t>ถึ</t>
  </si>
  <si>
    <t>ค</t>
  </si>
  <si>
    <t>ต</t>
  </si>
  <si>
    <t>จ</t>
  </si>
  <si>
    <t>ข</t>
  </si>
  <si>
    <t>ช</t>
  </si>
  <si>
    <t>ฃ</t>
  </si>
  <si>
    <t>ถู</t>
  </si>
  <si>
    <t>฿</t>
  </si>
  <si>
    <t>ฅ</t>
  </si>
  <si>
    <t>ๆ</t>
  </si>
  <si>
    <t>ไ</t>
  </si>
  <si>
    <t>ถำ</t>
  </si>
  <si>
    <t>พ</t>
  </si>
  <si>
    <t>ถะ</t>
  </si>
  <si>
    <t>ถั</t>
  </si>
  <si>
    <t>ถี</t>
  </si>
  <si>
    <t>ร</t>
  </si>
  <si>
    <t>น</t>
  </si>
  <si>
    <t>ย</t>
  </si>
  <si>
    <t>บ</t>
  </si>
  <si>
    <t>ล</t>
  </si>
  <si>
    <t>ฎ</t>
  </si>
  <si>
    <t>ฑ</t>
  </si>
  <si>
    <t>ธ</t>
  </si>
  <si>
    <t>ถํ</t>
  </si>
  <si>
    <t>ถ๊</t>
  </si>
  <si>
    <t>ฯ</t>
  </si>
  <si>
    <t>ญ</t>
  </si>
  <si>
    <t>ฐ</t>
  </si>
  <si>
    <t>ฟ</t>
  </si>
  <si>
    <t>ห</t>
  </si>
  <si>
    <t>ก</t>
  </si>
  <si>
    <t>ด</t>
  </si>
  <si>
    <t>เ</t>
  </si>
  <si>
    <t>ถ้</t>
  </si>
  <si>
    <t>ถ่</t>
  </si>
  <si>
    <t>ถา</t>
  </si>
  <si>
    <t>ส</t>
  </si>
  <si>
    <t>ว</t>
  </si>
  <si>
    <t>ง</t>
  </si>
  <si>
    <t>ฤ</t>
  </si>
  <si>
    <t>ฆ</t>
  </si>
  <si>
    <t>ฏ</t>
  </si>
  <si>
    <t>โ</t>
  </si>
  <si>
    <t>ฌ</t>
  </si>
  <si>
    <t>ก็</t>
  </si>
  <si>
    <t>ก๋</t>
  </si>
  <si>
    <t>ษ</t>
  </si>
  <si>
    <t>ศ</t>
  </si>
  <si>
    <t>ซ</t>
  </si>
  <si>
    <t>ผ</t>
  </si>
  <si>
    <t>ป</t>
  </si>
  <si>
    <t>แ</t>
  </si>
  <si>
    <t>อ</t>
  </si>
  <si>
    <t>กิ</t>
  </si>
  <si>
    <t>กื</t>
  </si>
  <si>
    <t>ท</t>
  </si>
  <si>
    <t>ม</t>
  </si>
  <si>
    <t>ใ</t>
  </si>
  <si>
    <t>ฝ</t>
  </si>
  <si>
    <t>ฉ</t>
  </si>
  <si>
    <t>ฮ</t>
  </si>
  <si>
    <t>ก์</t>
  </si>
  <si>
    <t>กฺ</t>
  </si>
  <si>
    <t>ฒ</t>
  </si>
  <si>
    <t>ฬ</t>
  </si>
  <si>
    <t>ฦ</t>
  </si>
  <si>
    <r>
      <t>d</t>
    </r>
    <r>
      <rPr>
        <sz val="14"/>
        <rFont val="Symbol"/>
        <family val="1"/>
      </rPr>
      <t>ข</t>
    </r>
  </si>
  <si>
    <t>kg.m/m</t>
  </si>
  <si>
    <t>Concrete :   fc = 0.375 fc'</t>
  </si>
  <si>
    <t xml:space="preserve">  เหล็กเสริมรับแรงอัด  ( Asc )</t>
  </si>
  <si>
    <t>เหล็กบน</t>
  </si>
  <si>
    <t>เหล็กล่าง</t>
  </si>
  <si>
    <t>Working Stress Design (WSD)</t>
  </si>
  <si>
    <t>Ultimate Strength Design (USD)</t>
  </si>
  <si>
    <t>เหล็กเสริมรับแรงอัด (เหล็กบน)</t>
  </si>
  <si>
    <t>เหล็กเสริมรับแรงดึง (เหล็กล่าง)</t>
  </si>
  <si>
    <t>การคำนวณน้ำหนักจากแผ่นพื้น</t>
  </si>
  <si>
    <t>t     =</t>
  </si>
  <si>
    <t>พื้น</t>
  </si>
  <si>
    <r>
      <t>kg/m</t>
    </r>
    <r>
      <rPr>
        <vertAlign val="superscript"/>
        <sz val="14"/>
        <rFont val="CordiaUPC"/>
        <family val="2"/>
      </rPr>
      <t>2</t>
    </r>
  </si>
  <si>
    <t xml:space="preserve">   DEAD  LOAD (DL)  :</t>
  </si>
  <si>
    <t xml:space="preserve">   LIVE  LOAD (LL)  :</t>
  </si>
  <si>
    <t>นน.บนคานด้านสั้น</t>
  </si>
  <si>
    <t>นน.บนคานด้านยาว</t>
  </si>
  <si>
    <t>จำนวนแผ่นพื้นที่กระทำต่อคาน :</t>
  </si>
  <si>
    <t xml:space="preserve">   BEAM  SPAN  :</t>
  </si>
  <si>
    <t xml:space="preserve">        2400.b.t    เมื่อ   b  =  1.00  m</t>
  </si>
  <si>
    <t>รวมน้ำหนักที่พื้นถ่ายลงบนคาน  :</t>
  </si>
  <si>
    <r>
      <t>R   (kg/cm</t>
    </r>
    <r>
      <rPr>
        <vertAlign val="superscript"/>
        <sz val="14"/>
        <rFont val="CordiaUPC"/>
        <family val="2"/>
      </rPr>
      <t>2</t>
    </r>
    <r>
      <rPr>
        <sz val="14"/>
        <rFont val="CordiaUPC"/>
        <family val="2"/>
      </rPr>
      <t>)</t>
    </r>
  </si>
  <si>
    <t>Type - Grade  :</t>
  </si>
  <si>
    <r>
      <t xml:space="preserve">   โมเมนต์ดัดสูงสุด  ( M</t>
    </r>
    <r>
      <rPr>
        <vertAlign val="subscript"/>
        <sz val="14"/>
        <rFont val="CordiaUPC"/>
        <family val="2"/>
      </rPr>
      <t xml:space="preserve">MAX </t>
    </r>
    <r>
      <rPr>
        <sz val="14"/>
        <rFont val="CordiaUPC"/>
        <family val="2"/>
      </rPr>
      <t>)        :</t>
    </r>
  </si>
  <si>
    <r>
      <t xml:space="preserve">   โมเมนต์ต้านทาน  ( M</t>
    </r>
    <r>
      <rPr>
        <vertAlign val="subscript"/>
        <sz val="14"/>
        <rFont val="CordiaUPC"/>
        <family val="2"/>
      </rPr>
      <t>R</t>
    </r>
    <r>
      <rPr>
        <sz val="14"/>
        <rFont val="CordiaUPC"/>
        <family val="2"/>
      </rPr>
      <t xml:space="preserve"> )           :</t>
    </r>
  </si>
  <si>
    <t>Shear (V1)</t>
  </si>
  <si>
    <t>Shear (V2)</t>
  </si>
  <si>
    <t>Moment (+ M)</t>
  </si>
  <si>
    <t xml:space="preserve"> Moment (- M)</t>
  </si>
  <si>
    <t>DATE   :</t>
  </si>
  <si>
    <t>BEAM NO.   :</t>
  </si>
  <si>
    <t>กลับหน้าคำนวณ Working Design Beam</t>
  </si>
  <si>
    <t>DESIGN  CHECK  :</t>
  </si>
  <si>
    <t>ลักษณะคานที่ออกแบบ</t>
  </si>
  <si>
    <t>ดูผลคำนวณ</t>
  </si>
  <si>
    <r>
      <t xml:space="preserve">   โมเมนต์ดัดส่วนเกิน  ( M</t>
    </r>
    <r>
      <rPr>
        <sz val="14"/>
        <rFont val="Symbol"/>
        <family val="1"/>
      </rPr>
      <t>¢</t>
    </r>
    <r>
      <rPr>
        <sz val="14"/>
        <rFont val="CordiaUPC"/>
        <family val="2"/>
      </rPr>
      <t>)         :</t>
    </r>
  </si>
  <si>
    <t>S1</t>
  </si>
  <si>
    <t>SR24</t>
  </si>
  <si>
    <t>เหล็กคอม้า</t>
  </si>
  <si>
    <t>kg</t>
  </si>
  <si>
    <t>เหล็กปลอก :</t>
  </si>
  <si>
    <t>ออกแบบเหล็กเสริมรับแรงเฉือน (เหล็กปลอก)</t>
  </si>
  <si>
    <t>แรงเฉือนสูงสุด   ( Vmax )</t>
  </si>
  <si>
    <r>
      <t>แรงเฉือนส่วนเกิน    V</t>
    </r>
    <r>
      <rPr>
        <sz val="14"/>
        <rFont val="Symbol"/>
        <family val="1"/>
      </rPr>
      <t>ข</t>
    </r>
    <r>
      <rPr>
        <sz val="14"/>
        <rFont val="CordiaUPC"/>
        <family val="2"/>
      </rPr>
      <t xml:space="preserve">   </t>
    </r>
  </si>
  <si>
    <r>
      <t>แรงเฉือนที่คานรับได้   V</t>
    </r>
    <r>
      <rPr>
        <vertAlign val="subscript"/>
        <sz val="14"/>
        <rFont val="CordiaUPC"/>
        <family val="2"/>
      </rPr>
      <t>C</t>
    </r>
    <r>
      <rPr>
        <sz val="14"/>
        <rFont val="CordiaUPC"/>
        <family val="2"/>
      </rPr>
      <t xml:space="preserve"> =  v</t>
    </r>
    <r>
      <rPr>
        <vertAlign val="subscript"/>
        <sz val="14"/>
        <rFont val="CordiaUPC"/>
        <family val="2"/>
      </rPr>
      <t>C</t>
    </r>
    <r>
      <rPr>
        <sz val="14"/>
        <rFont val="CordiaUPC"/>
        <family val="2"/>
      </rPr>
      <t>bd</t>
    </r>
  </si>
  <si>
    <t>ออกแบบเหล็กรับแรงดึงและแรงอัด (เหล็กแกนบน-เหล็กแกนล่าง)</t>
  </si>
  <si>
    <t>คำนวณแรงเฉือนและโมเมนต์ดัดสูงสุด  ( Vmax &amp; Mmax )</t>
  </si>
  <si>
    <t>หน่วยแรงเฉือนที่ยอมให้</t>
  </si>
  <si>
    <t>ksc</t>
  </si>
  <si>
    <t>กำลังอัดประลัยแท่งคอนกรีตทรงกระบอก</t>
  </si>
  <si>
    <r>
      <t>f</t>
    </r>
    <r>
      <rPr>
        <vertAlign val="subscript"/>
        <sz val="14"/>
        <rFont val="CordiaUPC"/>
        <family val="2"/>
      </rPr>
      <t>C</t>
    </r>
  </si>
  <si>
    <r>
      <t>f</t>
    </r>
    <r>
      <rPr>
        <vertAlign val="subscript"/>
        <sz val="14"/>
        <rFont val="CordiaUPC"/>
        <family val="2"/>
      </rPr>
      <t>S</t>
    </r>
  </si>
  <si>
    <t>หน่วยแรงเฉือนที่เกิดขึ้นจริง</t>
  </si>
  <si>
    <r>
      <t>A</t>
    </r>
    <r>
      <rPr>
        <vertAlign val="subscript"/>
        <sz val="14"/>
        <rFont val="CordiaUPC"/>
        <family val="2"/>
      </rPr>
      <t>SR</t>
    </r>
    <r>
      <rPr>
        <sz val="14"/>
        <rFont val="CordiaUPC"/>
        <family val="2"/>
      </rPr>
      <t xml:space="preserve">   =   M</t>
    </r>
    <r>
      <rPr>
        <vertAlign val="subscript"/>
        <sz val="14"/>
        <rFont val="CordiaUPC"/>
        <family val="2"/>
      </rPr>
      <t xml:space="preserve">R </t>
    </r>
    <r>
      <rPr>
        <sz val="14"/>
        <rFont val="CordiaUPC"/>
        <family val="2"/>
      </rPr>
      <t>/ f</t>
    </r>
    <r>
      <rPr>
        <vertAlign val="subscript"/>
        <sz val="14"/>
        <rFont val="CordiaUPC"/>
        <family val="2"/>
      </rPr>
      <t>S</t>
    </r>
    <r>
      <rPr>
        <sz val="14"/>
        <rFont val="CordiaUPC"/>
        <family val="2"/>
      </rPr>
      <t>.j.d</t>
    </r>
  </si>
  <si>
    <r>
      <t>A</t>
    </r>
    <r>
      <rPr>
        <sz val="14"/>
        <rFont val="Symbol"/>
        <family val="1"/>
      </rPr>
      <t>ข</t>
    </r>
    <r>
      <rPr>
        <sz val="14"/>
        <rFont val="CordiaUPC"/>
        <family val="2"/>
      </rPr>
      <t xml:space="preserve">    =   M</t>
    </r>
    <r>
      <rPr>
        <sz val="14"/>
        <rFont val="Symbol"/>
        <family val="1"/>
      </rPr>
      <t>ข</t>
    </r>
    <r>
      <rPr>
        <sz val="14"/>
        <rFont val="CordiaUPC"/>
        <family val="2"/>
      </rPr>
      <t xml:space="preserve"> / f</t>
    </r>
    <r>
      <rPr>
        <vertAlign val="subscript"/>
        <sz val="14"/>
        <rFont val="CordiaUPC"/>
        <family val="2"/>
      </rPr>
      <t>S</t>
    </r>
    <r>
      <rPr>
        <sz val="14"/>
        <rFont val="CordiaUPC"/>
        <family val="2"/>
      </rPr>
      <t>.j.(d-d')</t>
    </r>
  </si>
  <si>
    <t xml:space="preserve"> เหล็กเสริมรับแรงดึง</t>
  </si>
  <si>
    <t>เหล็กคอม้า   =  1/3Ast</t>
  </si>
  <si>
    <r>
      <t>Ast    =    A</t>
    </r>
    <r>
      <rPr>
        <vertAlign val="subscript"/>
        <sz val="14"/>
        <rFont val="CordiaUPC"/>
        <family val="2"/>
      </rPr>
      <t>SR</t>
    </r>
    <r>
      <rPr>
        <sz val="14"/>
        <rFont val="CordiaUPC"/>
        <family val="2"/>
      </rPr>
      <t xml:space="preserve"> + A</t>
    </r>
    <r>
      <rPr>
        <sz val="14"/>
        <rFont val="Symbol"/>
        <family val="1"/>
      </rPr>
      <t>ข</t>
    </r>
    <r>
      <rPr>
        <sz val="14"/>
        <rFont val="CordiaUPC"/>
        <family val="2"/>
      </rPr>
      <t xml:space="preserve"> </t>
    </r>
  </si>
  <si>
    <r>
      <t xml:space="preserve">   f</t>
    </r>
    <r>
      <rPr>
        <vertAlign val="subscript"/>
        <sz val="14"/>
        <rFont val="CordiaUPC"/>
        <family val="2"/>
      </rPr>
      <t>S</t>
    </r>
    <r>
      <rPr>
        <sz val="14"/>
        <rFont val="Symbol"/>
        <family val="1"/>
      </rPr>
      <t>ข</t>
    </r>
    <r>
      <rPr>
        <sz val="14"/>
        <rFont val="CordiaUPC"/>
        <family val="2"/>
      </rPr>
      <t xml:space="preserve"> =  2.f</t>
    </r>
    <r>
      <rPr>
        <vertAlign val="subscript"/>
        <sz val="14"/>
        <rFont val="CordiaUPC"/>
        <family val="2"/>
      </rPr>
      <t>S</t>
    </r>
    <r>
      <rPr>
        <sz val="14"/>
        <rFont val="CordiaUPC"/>
        <family val="2"/>
      </rPr>
      <t>.{ (k - [d</t>
    </r>
    <r>
      <rPr>
        <sz val="14"/>
        <rFont val="Symbol"/>
        <family val="1"/>
      </rPr>
      <t>ข</t>
    </r>
    <r>
      <rPr>
        <sz val="14"/>
        <rFont val="CordiaUPC"/>
        <family val="2"/>
      </rPr>
      <t>/d]) / (1 - k) }  =</t>
    </r>
  </si>
  <si>
    <r>
      <t xml:space="preserve">   Asc   =   M</t>
    </r>
    <r>
      <rPr>
        <sz val="14"/>
        <rFont val="Symbol"/>
        <family val="1"/>
      </rPr>
      <t>ข</t>
    </r>
    <r>
      <rPr>
        <sz val="14"/>
        <rFont val="CordiaUPC"/>
        <family val="2"/>
      </rPr>
      <t xml:space="preserve"> / f</t>
    </r>
    <r>
      <rPr>
        <vertAlign val="subscript"/>
        <sz val="14"/>
        <rFont val="CordiaUPC"/>
        <family val="2"/>
      </rPr>
      <t>S</t>
    </r>
    <r>
      <rPr>
        <sz val="14"/>
        <rFont val="Symbol"/>
        <family val="1"/>
      </rPr>
      <t>ข</t>
    </r>
    <r>
      <rPr>
        <sz val="14"/>
        <rFont val="CordiaUPC"/>
        <family val="2"/>
      </rPr>
      <t>.j.(d-d</t>
    </r>
    <r>
      <rPr>
        <sz val="14"/>
        <rFont val="Symbol"/>
        <family val="1"/>
      </rPr>
      <t>ข</t>
    </r>
    <r>
      <rPr>
        <sz val="14"/>
        <rFont val="CordiaUPC"/>
        <family val="2"/>
      </rPr>
      <t>)               =</t>
    </r>
  </si>
  <si>
    <t>ออกแบบเหล็กปลอก</t>
  </si>
  <si>
    <t>1. ระยะห่างเหล็กปลอก                                                                   =</t>
  </si>
  <si>
    <t>2. ระยะห่างเหล็กปลอกไม่เกิน  d/2  และ &lt; 0.30 ม.          d/2     =</t>
  </si>
  <si>
    <r>
      <t>3. ตรวจสอบ   A</t>
    </r>
    <r>
      <rPr>
        <vertAlign val="subscript"/>
        <sz val="14"/>
        <rFont val="CordiaUPC"/>
        <family val="2"/>
      </rPr>
      <t xml:space="preserve">V  </t>
    </r>
    <r>
      <rPr>
        <sz val="14"/>
        <rFont val="CordiaUPC"/>
        <family val="2"/>
      </rPr>
      <t xml:space="preserve"> =   2 A</t>
    </r>
    <r>
      <rPr>
        <vertAlign val="subscript"/>
        <sz val="14"/>
        <rFont val="CordiaUPC"/>
        <family val="2"/>
      </rPr>
      <t>S</t>
    </r>
    <r>
      <rPr>
        <sz val="14"/>
        <rFont val="CordiaUPC"/>
        <family val="2"/>
      </rPr>
      <t xml:space="preserve">   &gt;  0.0015bs                0.0015bs     =</t>
    </r>
  </si>
  <si>
    <r>
      <t xml:space="preserve">       2A</t>
    </r>
    <r>
      <rPr>
        <vertAlign val="subscript"/>
        <sz val="14"/>
        <rFont val="CordiaUPC"/>
        <family val="2"/>
      </rPr>
      <t>S</t>
    </r>
    <r>
      <rPr>
        <sz val="14"/>
        <rFont val="CordiaUPC"/>
        <family val="2"/>
      </rPr>
      <t xml:space="preserve">      =</t>
    </r>
  </si>
  <si>
    <t>4. ตรวจสอบถ้า หน่วยแรงเฉือนที่เกิดขึ้น (v)  &gt;                                ระยะ  s  ต้องไม่เกิน  d/4</t>
  </si>
  <si>
    <t>ออกแบบเสากรีตเสริมเหล็ก RC Column Design</t>
  </si>
  <si>
    <t>C1</t>
  </si>
  <si>
    <t>COLUMN NO.</t>
  </si>
  <si>
    <t>ความสูงเสาที่ต้องการออกแบบ</t>
  </si>
  <si>
    <t>RC COLUMN SECTION :</t>
  </si>
  <si>
    <t>น้ำหนักจากชั้นบน</t>
  </si>
  <si>
    <t>น้ำหนักจากคาน</t>
  </si>
  <si>
    <t>ประเภทเสา ค.ส.ล.ที่ต้องการออกแบบ</t>
  </si>
  <si>
    <t xml:space="preserve"> mm</t>
  </si>
  <si>
    <t>เหล็กแกน</t>
  </si>
  <si>
    <t>เหล็กปลอก</t>
  </si>
  <si>
    <t>COLUMN SECTION PROPERTIES:</t>
  </si>
  <si>
    <t>Cross Section   :</t>
  </si>
  <si>
    <t>Cross Section Area   :</t>
  </si>
  <si>
    <t>หน้าตัดด้านกว้าง (สมมุติ)</t>
  </si>
  <si>
    <t>หน้าตัดด้านแคบ (สมมุติ)</t>
  </si>
  <si>
    <t>sq.cm</t>
  </si>
  <si>
    <t>Column Weigth   :</t>
  </si>
  <si>
    <t>kg / m</t>
  </si>
  <si>
    <t>เส้นผ่าศูนย์กลาง (สมมุติ)</t>
  </si>
  <si>
    <t>Column Height   :</t>
  </si>
  <si>
    <t>Concrete Strength  :</t>
  </si>
  <si>
    <t>Steel Reinforcement  :</t>
  </si>
  <si>
    <t>Size</t>
  </si>
  <si>
    <t>Type-Grade</t>
  </si>
  <si>
    <t>LOADS ON COLUMN :</t>
  </si>
  <si>
    <t>Tatal Loads  :</t>
  </si>
  <si>
    <t>STEEL REINFORCEMENT DESIGN :</t>
  </si>
  <si>
    <t>Design Column Type  :</t>
  </si>
  <si>
    <t>Steel Rein.  Area  :</t>
  </si>
  <si>
    <t>เสาสี่เหลี่ยม</t>
  </si>
  <si>
    <t>เสากลม</t>
  </si>
  <si>
    <r>
      <t>Check for    0.01  &lt;  A</t>
    </r>
    <r>
      <rPr>
        <vertAlign val="subscript"/>
        <sz val="14"/>
        <rFont val="CordiaUPC"/>
        <family val="2"/>
      </rPr>
      <t xml:space="preserve">S </t>
    </r>
    <r>
      <rPr>
        <sz val="14"/>
        <rFont val="CordiaUPC"/>
        <family val="2"/>
      </rPr>
      <t>/ A  &lt;  0.08  :</t>
    </r>
  </si>
  <si>
    <r>
      <t>A</t>
    </r>
    <r>
      <rPr>
        <vertAlign val="subscript"/>
        <sz val="14"/>
        <rFont val="CordiaUPC"/>
        <family val="2"/>
      </rPr>
      <t>S</t>
    </r>
  </si>
  <si>
    <r>
      <t>A</t>
    </r>
    <r>
      <rPr>
        <vertAlign val="subscript"/>
        <sz val="14"/>
        <rFont val="CordiaUPC"/>
        <family val="2"/>
      </rPr>
      <t>S</t>
    </r>
    <r>
      <rPr>
        <sz val="14"/>
        <rFont val="CordiaUPC"/>
        <family val="2"/>
      </rPr>
      <t xml:space="preserve"> / A</t>
    </r>
  </si>
  <si>
    <t>m   h / t &lt; 15  =&gt;&gt;</t>
  </si>
  <si>
    <t>Main Steel  :</t>
  </si>
  <si>
    <t>พิจารณาระยะห่างเหล็กปลอก  (s)</t>
  </si>
  <si>
    <r>
      <t xml:space="preserve">1.  ระยะ  s  </t>
    </r>
    <r>
      <rPr>
        <sz val="14"/>
        <rFont val="Symbol"/>
        <family val="1"/>
      </rPr>
      <t>ฃ</t>
    </r>
    <r>
      <rPr>
        <sz val="14"/>
        <rFont val="CordiaUPC"/>
        <family val="2"/>
      </rPr>
      <t xml:space="preserve">  16 เท่า  </t>
    </r>
    <r>
      <rPr>
        <sz val="14"/>
        <rFont val="Symbol"/>
        <family val="1"/>
      </rPr>
      <t>ฦ</t>
    </r>
    <r>
      <rPr>
        <sz val="14"/>
        <rFont val="CordiaUPC"/>
        <family val="2"/>
      </rPr>
      <t xml:space="preserve"> เหล็กยืน</t>
    </r>
  </si>
  <si>
    <r>
      <t xml:space="preserve">2.  ระยะ  s  </t>
    </r>
    <r>
      <rPr>
        <sz val="14"/>
        <rFont val="Symbol"/>
        <family val="1"/>
      </rPr>
      <t>ฃ</t>
    </r>
    <r>
      <rPr>
        <sz val="14"/>
        <rFont val="CordiaUPC"/>
        <family val="2"/>
      </rPr>
      <t xml:space="preserve">  48 เท่า  </t>
    </r>
    <r>
      <rPr>
        <sz val="14"/>
        <rFont val="Symbol"/>
        <family val="1"/>
      </rPr>
      <t>ฦ</t>
    </r>
    <r>
      <rPr>
        <sz val="14"/>
        <rFont val="CordiaUPC"/>
        <family val="2"/>
      </rPr>
      <t xml:space="preserve"> เหล็กปลอก</t>
    </r>
  </si>
  <si>
    <r>
      <t xml:space="preserve">3.  ระยะ  s  </t>
    </r>
    <r>
      <rPr>
        <sz val="14"/>
        <rFont val="Symbol"/>
        <family val="1"/>
      </rPr>
      <t>ฃ</t>
    </r>
    <r>
      <rPr>
        <sz val="14"/>
        <rFont val="CordiaUPC"/>
        <family val="2"/>
      </rPr>
      <t xml:space="preserve">  ด้านแคบของเสา  ( t )</t>
    </r>
  </si>
  <si>
    <t>เหล็กปลอก  :</t>
  </si>
  <si>
    <r>
      <t xml:space="preserve">  เหล็กเสริมรับแรงดึง  ( Ast</t>
    </r>
    <r>
      <rPr>
        <b/>
        <vertAlign val="subscript"/>
        <sz val="14"/>
        <rFont val="CordiaUPC"/>
        <family val="2"/>
      </rPr>
      <t xml:space="preserve"> </t>
    </r>
    <r>
      <rPr>
        <b/>
        <sz val="14"/>
        <rFont val="CordiaUPC"/>
        <family val="2"/>
      </rPr>
      <t>)</t>
    </r>
  </si>
  <si>
    <r>
      <t>RESISTING MOMENT OF BEAM SECTION : ( M</t>
    </r>
    <r>
      <rPr>
        <b/>
        <i/>
        <vertAlign val="subscript"/>
        <sz val="14"/>
        <rFont val="CordiaUPC"/>
        <family val="2"/>
      </rPr>
      <t>R</t>
    </r>
    <r>
      <rPr>
        <b/>
        <i/>
        <sz val="14"/>
        <rFont val="CordiaUPC"/>
        <family val="2"/>
      </rPr>
      <t xml:space="preserve"> = Rbd</t>
    </r>
    <r>
      <rPr>
        <b/>
        <i/>
        <vertAlign val="superscript"/>
        <sz val="14"/>
        <rFont val="CordiaUPC"/>
        <family val="2"/>
      </rPr>
      <t>2</t>
    </r>
    <r>
      <rPr>
        <b/>
        <i/>
        <sz val="14"/>
        <rFont val="CordiaUPC"/>
        <family val="2"/>
      </rPr>
      <t xml:space="preserve"> )</t>
    </r>
  </si>
  <si>
    <t xml:space="preserve"> @ m</t>
  </si>
  <si>
    <t>สรุปผลการออกแบบคาน ค.ส.ล.</t>
  </si>
  <si>
    <t>น้ำหนักที่กระทำต่อคาน</t>
  </si>
  <si>
    <t>เหล็กเสริมในคาน</t>
  </si>
  <si>
    <t>เหล็กบน  (รับแรงอัด)  :</t>
  </si>
  <si>
    <t>เหล็กล่าง (รับแรงดึง)  :</t>
  </si>
  <si>
    <t>เหล็กคอม้า  :</t>
  </si>
  <si>
    <r>
      <t>ความหนาคอนกรีตหุ้มผิวเหล็ก    d</t>
    </r>
    <r>
      <rPr>
        <sz val="14"/>
        <rFont val="Symbol"/>
        <family val="1"/>
      </rPr>
      <t>ข</t>
    </r>
  </si>
  <si>
    <t>การจัดเรียงเหล็กเสริม</t>
  </si>
  <si>
    <t>ค่าวัสดุ / เมตร</t>
  </si>
  <si>
    <t>รายการ</t>
  </si>
  <si>
    <t>คอนกรีต</t>
  </si>
  <si>
    <t>หน่วยนับ</t>
  </si>
  <si>
    <t>จำนวน</t>
  </si>
  <si>
    <t>เป็นเงิน</t>
  </si>
  <si>
    <t>ลบ.ม.</t>
  </si>
  <si>
    <t>ม.</t>
  </si>
  <si>
    <t>หน่วยละ</t>
  </si>
  <si>
    <t>รวมค่าวัสดุ</t>
  </si>
  <si>
    <t>สรุปผลการออกแบบพื้น ค.ส.ล.</t>
  </si>
  <si>
    <t>Short Span  :</t>
  </si>
  <si>
    <t>Long Span  :</t>
  </si>
  <si>
    <t>Thickness  :</t>
  </si>
  <si>
    <t>Type  :</t>
  </si>
  <si>
    <t>Short Span Reinforcement  :</t>
  </si>
  <si>
    <t>Long Span Reinforcement  :</t>
  </si>
  <si>
    <t xml:space="preserve"> @m  ไม่เกิน</t>
  </si>
  <si>
    <t>B2</t>
  </si>
  <si>
    <t>ตาราง : น้ำหนักต่อพื้นที่ของกำแพงชนิดต่างๆ(w)</t>
  </si>
  <si>
    <t>B1</t>
  </si>
  <si>
    <t>พ.อ.ปิยะบุตร  ศรีสารากร 0817598033</t>
  </si>
  <si>
    <r>
      <t xml:space="preserve"> </t>
    </r>
    <r>
      <rPr>
        <sz val="14"/>
        <color indexed="9"/>
        <rFont val="CordiaUPC"/>
        <family val="2"/>
      </rPr>
      <t xml:space="preserve"> พ.อ.ปิยะบุตร  ศรีสารากร</t>
    </r>
  </si>
  <si>
    <t>พ.ท.</t>
  </si>
  <si>
    <r>
      <t xml:space="preserve">วิศวกรผู้ออกแบบ : </t>
    </r>
    <r>
      <rPr>
        <sz val="15"/>
        <color indexed="9"/>
        <rFont val="CordiaUPC"/>
        <family val="2"/>
      </rPr>
      <t xml:space="preserve"> พ.ท.กอบภัค สร้อยพาบ 0813783534</t>
    </r>
  </si>
  <si>
    <t>พ.ท.กอบภัค  สร้อยพาบ 0813783534</t>
  </si>
  <si>
    <t>พ.ท.    กอบภัค  สร้อยพาบ 0813783534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</si>
</sst>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[$-107041E]d\ mmm\ yy;@"/>
    <numFmt numFmtId="200" formatCode="0.0"/>
    <numFmt numFmtId="201" formatCode="0.00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_-* #,##0.000_-;\-* #,##0.000_-;_-* &quot;-&quot;??_-;_-@_-"/>
    <numFmt numFmtId="207" formatCode="_-* #,##0.0_-;\-* #,##0.0_-;_-* &quot;-&quot;??_-;_-@_-"/>
    <numFmt numFmtId="208" formatCode="[$-41E]d\ mmmm\ yyyy"/>
  </numFmts>
  <fonts count="103">
    <font>
      <sz val="10"/>
      <name val="Arial"/>
      <family val="0"/>
    </font>
    <font>
      <sz val="15"/>
      <name val="CordiaUPC"/>
      <family val="2"/>
    </font>
    <font>
      <b/>
      <sz val="15"/>
      <name val="CordiaUPC"/>
      <family val="2"/>
    </font>
    <font>
      <sz val="8"/>
      <name val="CordiaUPC"/>
      <family val="2"/>
    </font>
    <font>
      <b/>
      <sz val="18"/>
      <name val="CordiaUPC"/>
      <family val="2"/>
    </font>
    <font>
      <sz val="14"/>
      <name val="CordiaUPC"/>
      <family val="2"/>
    </font>
    <font>
      <b/>
      <sz val="14"/>
      <name val="CordiaUPC"/>
      <family val="2"/>
    </font>
    <font>
      <vertAlign val="superscript"/>
      <sz val="14"/>
      <name val="CordiaUPC"/>
      <family val="2"/>
    </font>
    <font>
      <sz val="14"/>
      <color indexed="9"/>
      <name val="CordiaUPC"/>
      <family val="2"/>
    </font>
    <font>
      <b/>
      <sz val="16"/>
      <color indexed="10"/>
      <name val="CordiaUPC"/>
      <family val="2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4"/>
      <color indexed="42"/>
      <name val="CordiaUPC"/>
      <family val="2"/>
    </font>
    <font>
      <u val="single"/>
      <sz val="10"/>
      <color indexed="36"/>
      <name val="Arial"/>
      <family val="0"/>
    </font>
    <font>
      <b/>
      <sz val="14"/>
      <color indexed="10"/>
      <name val="CordiaUPC"/>
      <family val="2"/>
    </font>
    <font>
      <b/>
      <sz val="12"/>
      <name val="CordiaUPC"/>
      <family val="2"/>
    </font>
    <font>
      <sz val="12"/>
      <name val="CordiaUPC"/>
      <family val="2"/>
    </font>
    <font>
      <b/>
      <sz val="14"/>
      <color indexed="12"/>
      <name val="CordiaUPC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6"/>
      <name val="CordiaUPC"/>
      <family val="2"/>
    </font>
    <font>
      <sz val="16"/>
      <name val="CordiaUPC"/>
      <family val="2"/>
    </font>
    <font>
      <sz val="14"/>
      <color indexed="12"/>
      <name val="CordiaUPC"/>
      <family val="2"/>
    </font>
    <font>
      <b/>
      <sz val="16"/>
      <color indexed="12"/>
      <name val="CordiaUPC"/>
      <family val="2"/>
    </font>
    <font>
      <b/>
      <sz val="18"/>
      <name val="JasmineUPC"/>
      <family val="1"/>
    </font>
    <font>
      <sz val="16"/>
      <name val="JasmineUPC"/>
      <family val="1"/>
    </font>
    <font>
      <b/>
      <sz val="16"/>
      <name val="JasmineUPC"/>
      <family val="1"/>
    </font>
    <font>
      <b/>
      <sz val="10"/>
      <name val="Arial"/>
      <family val="2"/>
    </font>
    <font>
      <b/>
      <sz val="14"/>
      <name val="JasmineUPC"/>
      <family val="1"/>
    </font>
    <font>
      <sz val="14"/>
      <name val="JasmineUPC"/>
      <family val="1"/>
    </font>
    <font>
      <sz val="13"/>
      <name val="CordiaUPC"/>
      <family val="2"/>
    </font>
    <font>
      <b/>
      <sz val="13"/>
      <name val="CordiaUPC"/>
      <family val="2"/>
    </font>
    <font>
      <sz val="13"/>
      <name val="Symbol"/>
      <family val="1"/>
    </font>
    <font>
      <vertAlign val="superscript"/>
      <sz val="13"/>
      <name val="CordiaUPC"/>
      <family val="2"/>
    </font>
    <font>
      <b/>
      <u val="single"/>
      <sz val="8"/>
      <name val="Tahoma"/>
      <family val="2"/>
    </font>
    <font>
      <i/>
      <sz val="14"/>
      <name val="CordiaUPC"/>
      <family val="2"/>
    </font>
    <font>
      <b/>
      <sz val="14"/>
      <color indexed="9"/>
      <name val="JasmineUPC"/>
      <family val="1"/>
    </font>
    <font>
      <b/>
      <sz val="11"/>
      <color indexed="9"/>
      <name val="Arial"/>
      <family val="2"/>
    </font>
    <font>
      <b/>
      <sz val="10"/>
      <color indexed="12"/>
      <name val="Arial"/>
      <family val="2"/>
    </font>
    <font>
      <vertAlign val="subscript"/>
      <sz val="14"/>
      <name val="CordiaUPC"/>
      <family val="2"/>
    </font>
    <font>
      <b/>
      <vertAlign val="subscript"/>
      <sz val="14"/>
      <name val="CordiaUPC"/>
      <family val="2"/>
    </font>
    <font>
      <sz val="14"/>
      <name val="Symbol"/>
      <family val="1"/>
    </font>
    <font>
      <sz val="14"/>
      <color indexed="41"/>
      <name val="Symbol"/>
      <family val="1"/>
    </font>
    <font>
      <sz val="14"/>
      <color indexed="41"/>
      <name val="CordiaUPC"/>
      <family val="2"/>
    </font>
    <font>
      <u val="single"/>
      <sz val="10"/>
      <name val="Arial"/>
      <family val="0"/>
    </font>
    <font>
      <i/>
      <sz val="13"/>
      <name val="CordiaUPC"/>
      <family val="2"/>
    </font>
    <font>
      <b/>
      <sz val="18"/>
      <color indexed="10"/>
      <name val="CordiaUPC"/>
      <family val="2"/>
    </font>
    <font>
      <sz val="16"/>
      <color indexed="10"/>
      <name val="CordiaUPC"/>
      <family val="2"/>
    </font>
    <font>
      <b/>
      <sz val="14"/>
      <color indexed="14"/>
      <name val="CordiaUPC"/>
      <family val="2"/>
    </font>
    <font>
      <sz val="10"/>
      <color indexed="12"/>
      <name val="Arial"/>
      <family val="0"/>
    </font>
    <font>
      <sz val="3"/>
      <name val="CordiaUPC"/>
      <family val="2"/>
    </font>
    <font>
      <sz val="5"/>
      <name val="CordiaUPC"/>
      <family val="2"/>
    </font>
    <font>
      <b/>
      <sz val="5"/>
      <name val="CordiaUPC"/>
      <family val="2"/>
    </font>
    <font>
      <sz val="14"/>
      <color indexed="10"/>
      <name val="CordiaUPC"/>
      <family val="2"/>
    </font>
    <font>
      <b/>
      <i/>
      <sz val="14"/>
      <name val="CordiaUPC"/>
      <family val="2"/>
    </font>
    <font>
      <b/>
      <i/>
      <vertAlign val="subscript"/>
      <sz val="14"/>
      <name val="CordiaUPC"/>
      <family val="2"/>
    </font>
    <font>
      <b/>
      <i/>
      <vertAlign val="superscript"/>
      <sz val="14"/>
      <name val="CordiaUPC"/>
      <family val="2"/>
    </font>
    <font>
      <b/>
      <sz val="13"/>
      <color indexed="10"/>
      <name val="CordiaUPC"/>
      <family val="2"/>
    </font>
    <font>
      <sz val="13"/>
      <color indexed="10"/>
      <name val="CordiaUPC"/>
      <family val="2"/>
    </font>
    <font>
      <i/>
      <sz val="16"/>
      <name val="CordiaUPC"/>
      <family val="2"/>
    </font>
    <font>
      <sz val="15"/>
      <color indexed="9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5"/>
      <color indexed="9"/>
      <name val="CordiaUPC"/>
      <family val="2"/>
    </font>
    <font>
      <sz val="13"/>
      <color indexed="9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theme="0"/>
      <name val="CordiaUPC"/>
      <family val="2"/>
    </font>
    <font>
      <sz val="13"/>
      <color theme="0"/>
      <name val="CordiaUPC"/>
      <family val="2"/>
    </font>
    <font>
      <sz val="15"/>
      <color theme="0"/>
      <name val="CordiaUPC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4" fillId="20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21" borderId="2" applyNumberFormat="0" applyAlignment="0" applyProtection="0"/>
    <xf numFmtId="0" fontId="89" fillId="0" borderId="3" applyNumberFormat="0" applyFill="0" applyAlignment="0" applyProtection="0"/>
    <xf numFmtId="0" fontId="90" fillId="22" borderId="0" applyNumberFormat="0" applyBorder="0" applyAlignment="0" applyProtection="0"/>
    <xf numFmtId="0" fontId="91" fillId="23" borderId="1" applyNumberFormat="0" applyAlignment="0" applyProtection="0"/>
    <xf numFmtId="0" fontId="92" fillId="24" borderId="0" applyNumberFormat="0" applyBorder="0" applyAlignment="0" applyProtection="0"/>
    <xf numFmtId="9" fontId="0" fillId="0" borderId="0" applyFont="0" applyFill="0" applyBorder="0" applyAlignment="0" applyProtection="0"/>
    <xf numFmtId="0" fontId="93" fillId="0" borderId="4" applyNumberFormat="0" applyFill="0" applyAlignment="0" applyProtection="0"/>
    <xf numFmtId="0" fontId="94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95" fillId="20" borderId="5" applyNumberFormat="0" applyAlignment="0" applyProtection="0"/>
    <xf numFmtId="0" fontId="0" fillId="32" borderId="6" applyNumberFormat="0" applyFont="0" applyAlignment="0" applyProtection="0"/>
    <xf numFmtId="0" fontId="96" fillId="0" borderId="7" applyNumberFormat="0" applyFill="0" applyAlignment="0" applyProtection="0"/>
    <xf numFmtId="0" fontId="97" fillId="0" borderId="8" applyNumberFormat="0" applyFill="0" applyAlignment="0" applyProtection="0"/>
    <xf numFmtId="0" fontId="98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761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right" vertical="top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/>
    </xf>
    <xf numFmtId="0" fontId="5" fillId="33" borderId="0" xfId="0" applyFont="1" applyFill="1" applyAlignment="1">
      <alignment vertical="top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200" fontId="5" fillId="33" borderId="0" xfId="0" applyNumberFormat="1" applyFont="1" applyFill="1" applyAlignment="1">
      <alignment horizontal="left"/>
    </xf>
    <xf numFmtId="2" fontId="5" fillId="33" borderId="0" xfId="0" applyNumberFormat="1" applyFont="1" applyFill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10" fillId="33" borderId="0" xfId="34" applyFill="1" applyAlignment="1" applyProtection="1">
      <alignment/>
      <protection/>
    </xf>
    <xf numFmtId="0" fontId="14" fillId="33" borderId="13" xfId="0" applyNumberFormat="1" applyFont="1" applyFill="1" applyBorder="1" applyAlignment="1">
      <alignment horizont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6" fillId="33" borderId="0" xfId="0" applyFont="1" applyFill="1" applyAlignment="1">
      <alignment horizontal="left"/>
    </xf>
    <xf numFmtId="0" fontId="14" fillId="33" borderId="0" xfId="0" applyNumberFormat="1" applyFont="1" applyFill="1" applyBorder="1" applyAlignment="1">
      <alignment horizontal="center"/>
    </xf>
    <xf numFmtId="0" fontId="5" fillId="33" borderId="0" xfId="34" applyFont="1" applyFill="1" applyAlignment="1" applyProtection="1">
      <alignment/>
      <protection/>
    </xf>
    <xf numFmtId="0" fontId="5" fillId="33" borderId="14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/>
    </xf>
    <xf numFmtId="0" fontId="17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left" vertical="center"/>
    </xf>
    <xf numFmtId="200" fontId="18" fillId="33" borderId="0" xfId="0" applyNumberFormat="1" applyFont="1" applyFill="1" applyAlignment="1">
      <alignment horizontal="center" vertical="center"/>
    </xf>
    <xf numFmtId="200" fontId="18" fillId="34" borderId="15" xfId="0" applyNumberFormat="1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2" fontId="5" fillId="33" borderId="17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/>
    </xf>
    <xf numFmtId="0" fontId="5" fillId="33" borderId="18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left" vertical="center"/>
    </xf>
    <xf numFmtId="0" fontId="5" fillId="33" borderId="19" xfId="0" applyNumberFormat="1" applyFont="1" applyFill="1" applyBorder="1" applyAlignment="1">
      <alignment horizontal="center" vertical="center"/>
    </xf>
    <xf numFmtId="0" fontId="5" fillId="33" borderId="21" xfId="0" applyNumberFormat="1" applyFont="1" applyFill="1" applyBorder="1" applyAlignment="1">
      <alignment horizontal="center" vertical="center"/>
    </xf>
    <xf numFmtId="4" fontId="5" fillId="33" borderId="17" xfId="0" applyNumberFormat="1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43" fontId="5" fillId="33" borderId="17" xfId="0" applyNumberFormat="1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/>
    </xf>
    <xf numFmtId="0" fontId="5" fillId="35" borderId="13" xfId="0" applyFont="1" applyFill="1" applyBorder="1" applyAlignment="1">
      <alignment vertical="center" wrapText="1"/>
    </xf>
    <xf numFmtId="0" fontId="5" fillId="35" borderId="15" xfId="0" applyFont="1" applyFill="1" applyBorder="1" applyAlignment="1">
      <alignment vertical="center" wrapText="1"/>
    </xf>
    <xf numFmtId="0" fontId="32" fillId="33" borderId="0" xfId="0" applyFont="1" applyFill="1" applyBorder="1" applyAlignment="1">
      <alignment horizontal="center" vertical="center"/>
    </xf>
    <xf numFmtId="0" fontId="18" fillId="35" borderId="25" xfId="0" applyFont="1" applyFill="1" applyBorder="1" applyAlignment="1">
      <alignment vertical="center"/>
    </xf>
    <xf numFmtId="0" fontId="6" fillId="34" borderId="16" xfId="0" applyFont="1" applyFill="1" applyBorder="1" applyAlignment="1">
      <alignment horizontal="center" vertical="center"/>
    </xf>
    <xf numFmtId="200" fontId="6" fillId="34" borderId="16" xfId="0" applyNumberFormat="1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left" vertical="center"/>
    </xf>
    <xf numFmtId="200" fontId="24" fillId="34" borderId="16" xfId="0" applyNumberFormat="1" applyFont="1" applyFill="1" applyBorder="1" applyAlignment="1">
      <alignment horizontal="center" vertical="center"/>
    </xf>
    <xf numFmtId="0" fontId="24" fillId="34" borderId="26" xfId="0" applyFont="1" applyFill="1" applyBorder="1" applyAlignment="1">
      <alignment horizontal="left" vertical="center"/>
    </xf>
    <xf numFmtId="200" fontId="6" fillId="34" borderId="26" xfId="0" applyNumberFormat="1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left" vertical="center"/>
    </xf>
    <xf numFmtId="200" fontId="5" fillId="34" borderId="27" xfId="0" applyNumberFormat="1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left" vertical="center"/>
    </xf>
    <xf numFmtId="200" fontId="5" fillId="34" borderId="28" xfId="0" applyNumberFormat="1" applyFont="1" applyFill="1" applyBorder="1" applyAlignment="1">
      <alignment horizontal="center" vertical="center"/>
    </xf>
    <xf numFmtId="200" fontId="5" fillId="34" borderId="26" xfId="0" applyNumberFormat="1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left" vertical="center"/>
    </xf>
    <xf numFmtId="200" fontId="5" fillId="33" borderId="0" xfId="0" applyNumberFormat="1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left" vertical="center"/>
    </xf>
    <xf numFmtId="200" fontId="6" fillId="34" borderId="15" xfId="0" applyNumberFormat="1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left" vertical="top"/>
    </xf>
    <xf numFmtId="0" fontId="5" fillId="34" borderId="15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4" borderId="29" xfId="0" applyFont="1" applyFill="1" applyBorder="1" applyAlignment="1">
      <alignment horizontal="left" vertical="center"/>
    </xf>
    <xf numFmtId="200" fontId="5" fillId="34" borderId="3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left" vertical="center" wrapText="1"/>
    </xf>
    <xf numFmtId="0" fontId="6" fillId="36" borderId="26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43" fontId="5" fillId="36" borderId="16" xfId="0" applyNumberFormat="1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2" fontId="5" fillId="38" borderId="12" xfId="0" applyNumberFormat="1" applyFont="1" applyFill="1" applyBorder="1" applyAlignment="1">
      <alignment horizontal="center" vertical="center"/>
    </xf>
    <xf numFmtId="0" fontId="6" fillId="39" borderId="26" xfId="0" applyFont="1" applyFill="1" applyBorder="1" applyAlignment="1">
      <alignment horizontal="center" vertical="center"/>
    </xf>
    <xf numFmtId="0" fontId="5" fillId="39" borderId="28" xfId="0" applyFont="1" applyFill="1" applyBorder="1" applyAlignment="1">
      <alignment horizontal="center" vertical="center"/>
    </xf>
    <xf numFmtId="0" fontId="5" fillId="39" borderId="16" xfId="0" applyFont="1" applyFill="1" applyBorder="1" applyAlignment="1">
      <alignment horizontal="center" vertical="center"/>
    </xf>
    <xf numFmtId="43" fontId="5" fillId="39" borderId="16" xfId="0" applyNumberFormat="1" applyFont="1" applyFill="1" applyBorder="1" applyAlignment="1">
      <alignment horizontal="center" vertical="center"/>
    </xf>
    <xf numFmtId="0" fontId="6" fillId="40" borderId="26" xfId="0" applyFont="1" applyFill="1" applyBorder="1" applyAlignment="1">
      <alignment horizontal="center" vertical="center"/>
    </xf>
    <xf numFmtId="0" fontId="5" fillId="40" borderId="28" xfId="0" applyFont="1" applyFill="1" applyBorder="1" applyAlignment="1">
      <alignment horizontal="center" vertical="center"/>
    </xf>
    <xf numFmtId="0" fontId="5" fillId="40" borderId="16" xfId="0" applyFont="1" applyFill="1" applyBorder="1" applyAlignment="1">
      <alignment horizontal="center" vertical="center"/>
    </xf>
    <xf numFmtId="43" fontId="5" fillId="40" borderId="16" xfId="0" applyNumberFormat="1" applyFont="1" applyFill="1" applyBorder="1" applyAlignment="1">
      <alignment horizontal="center" vertical="center"/>
    </xf>
    <xf numFmtId="0" fontId="6" fillId="41" borderId="26" xfId="0" applyFont="1" applyFill="1" applyBorder="1" applyAlignment="1">
      <alignment horizontal="center" vertical="center"/>
    </xf>
    <xf numFmtId="0" fontId="5" fillId="41" borderId="28" xfId="0" applyFont="1" applyFill="1" applyBorder="1" applyAlignment="1">
      <alignment horizontal="center" vertical="center"/>
    </xf>
    <xf numFmtId="0" fontId="5" fillId="41" borderId="16" xfId="0" applyFont="1" applyFill="1" applyBorder="1" applyAlignment="1">
      <alignment horizontal="center" vertical="center"/>
    </xf>
    <xf numFmtId="43" fontId="5" fillId="41" borderId="16" xfId="0" applyNumberFormat="1" applyFont="1" applyFill="1" applyBorder="1" applyAlignment="1">
      <alignment horizontal="center" vertical="center"/>
    </xf>
    <xf numFmtId="43" fontId="5" fillId="41" borderId="16" xfId="0" applyNumberFormat="1" applyFont="1" applyFill="1" applyBorder="1" applyAlignment="1">
      <alignment vertical="center"/>
    </xf>
    <xf numFmtId="0" fontId="5" fillId="36" borderId="16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vertical="center"/>
    </xf>
    <xf numFmtId="0" fontId="5" fillId="38" borderId="13" xfId="0" applyFont="1" applyFill="1" applyBorder="1" applyAlignment="1">
      <alignment horizontal="center" vertical="center"/>
    </xf>
    <xf numFmtId="4" fontId="5" fillId="38" borderId="13" xfId="0" applyNumberFormat="1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0" fillId="42" borderId="16" xfId="34" applyFill="1" applyBorder="1" applyAlignment="1" applyProtection="1">
      <alignment horizontal="left" vertical="center"/>
      <protection/>
    </xf>
    <xf numFmtId="0" fontId="6" fillId="39" borderId="16" xfId="0" applyFont="1" applyFill="1" applyBorder="1" applyAlignment="1">
      <alignment horizontal="center" vertical="center"/>
    </xf>
    <xf numFmtId="0" fontId="5" fillId="39" borderId="16" xfId="0" applyFont="1" applyFill="1" applyBorder="1" applyAlignment="1">
      <alignment vertical="center"/>
    </xf>
    <xf numFmtId="0" fontId="27" fillId="35" borderId="0" xfId="0" applyFont="1" applyFill="1" applyBorder="1" applyAlignment="1">
      <alignment vertical="center"/>
    </xf>
    <xf numFmtId="0" fontId="27" fillId="35" borderId="0" xfId="0" applyFont="1" applyFill="1" applyBorder="1" applyAlignment="1">
      <alignment horizontal="left" vertical="center"/>
    </xf>
    <xf numFmtId="0" fontId="27" fillId="35" borderId="31" xfId="0" applyFont="1" applyFill="1" applyBorder="1" applyAlignment="1">
      <alignment vertical="center"/>
    </xf>
    <xf numFmtId="0" fontId="27" fillId="35" borderId="32" xfId="0" applyFont="1" applyFill="1" applyBorder="1" applyAlignment="1">
      <alignment vertical="center"/>
    </xf>
    <xf numFmtId="0" fontId="27" fillId="35" borderId="33" xfId="0" applyFont="1" applyFill="1" applyBorder="1" applyAlignment="1">
      <alignment vertical="center"/>
    </xf>
    <xf numFmtId="0" fontId="27" fillId="35" borderId="34" xfId="0" applyFont="1" applyFill="1" applyBorder="1" applyAlignment="1">
      <alignment vertical="center"/>
    </xf>
    <xf numFmtId="0" fontId="27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vertical="center"/>
    </xf>
    <xf numFmtId="0" fontId="31" fillId="35" borderId="0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vertical="center"/>
    </xf>
    <xf numFmtId="0" fontId="26" fillId="35" borderId="0" xfId="0" applyFont="1" applyFill="1" applyBorder="1" applyAlignment="1">
      <alignment vertical="center"/>
    </xf>
    <xf numFmtId="0" fontId="26" fillId="35" borderId="0" xfId="0" applyFont="1" applyFill="1" applyBorder="1" applyAlignment="1">
      <alignment horizontal="left" vertical="center"/>
    </xf>
    <xf numFmtId="0" fontId="26" fillId="35" borderId="0" xfId="0" applyFont="1" applyFill="1" applyBorder="1" applyAlignment="1">
      <alignment vertical="center" wrapText="1"/>
    </xf>
    <xf numFmtId="0" fontId="28" fillId="43" borderId="35" xfId="0" applyFont="1" applyFill="1" applyBorder="1" applyAlignment="1">
      <alignment horizontal="center" vertical="center" wrapText="1"/>
    </xf>
    <xf numFmtId="0" fontId="29" fillId="43" borderId="36" xfId="0" applyFont="1" applyFill="1" applyBorder="1" applyAlignment="1">
      <alignment horizontal="center" vertical="center"/>
    </xf>
    <xf numFmtId="0" fontId="30" fillId="44" borderId="37" xfId="0" applyFont="1" applyFill="1" applyBorder="1" applyAlignment="1">
      <alignment horizontal="center" vertical="center"/>
    </xf>
    <xf numFmtId="0" fontId="30" fillId="44" borderId="37" xfId="0" applyFont="1" applyFill="1" applyBorder="1" applyAlignment="1">
      <alignment horizontal="center" vertical="center" wrapText="1"/>
    </xf>
    <xf numFmtId="199" fontId="1" fillId="33" borderId="10" xfId="0" applyNumberFormat="1" applyFont="1" applyFill="1" applyBorder="1" applyAlignment="1">
      <alignment horizontal="right" vertical="center"/>
    </xf>
    <xf numFmtId="0" fontId="2" fillId="39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right" vertical="top"/>
    </xf>
    <xf numFmtId="0" fontId="5" fillId="39" borderId="16" xfId="0" applyFont="1" applyFill="1" applyBorder="1" applyAlignment="1">
      <alignment horizontal="center"/>
    </xf>
    <xf numFmtId="2" fontId="5" fillId="39" borderId="16" xfId="0" applyNumberFormat="1" applyFont="1" applyFill="1" applyBorder="1" applyAlignment="1">
      <alignment horizontal="center"/>
    </xf>
    <xf numFmtId="0" fontId="5" fillId="39" borderId="16" xfId="0" applyNumberFormat="1" applyFont="1" applyFill="1" applyBorder="1" applyAlignment="1">
      <alignment horizontal="center"/>
    </xf>
    <xf numFmtId="0" fontId="5" fillId="39" borderId="16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left" vertical="top"/>
    </xf>
    <xf numFmtId="0" fontId="5" fillId="39" borderId="16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2" fillId="33" borderId="13" xfId="0" applyFont="1" applyFill="1" applyBorder="1" applyAlignment="1">
      <alignment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vertical="center"/>
    </xf>
    <xf numFmtId="0" fontId="33" fillId="33" borderId="38" xfId="0" applyFont="1" applyFill="1" applyBorder="1" applyAlignment="1">
      <alignment vertical="center"/>
    </xf>
    <xf numFmtId="0" fontId="32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 horizontal="right" vertical="center"/>
    </xf>
    <xf numFmtId="0" fontId="33" fillId="33" borderId="0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left" vertical="center"/>
    </xf>
    <xf numFmtId="0" fontId="32" fillId="33" borderId="39" xfId="0" applyFont="1" applyFill="1" applyBorder="1" applyAlignment="1">
      <alignment vertical="center"/>
    </xf>
    <xf numFmtId="0" fontId="32" fillId="33" borderId="38" xfId="0" applyFont="1" applyFill="1" applyBorder="1" applyAlignment="1">
      <alignment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32" fillId="33" borderId="0" xfId="0" applyNumberFormat="1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left" vertical="center"/>
    </xf>
    <xf numFmtId="0" fontId="32" fillId="33" borderId="40" xfId="0" applyFont="1" applyFill="1" applyBorder="1" applyAlignment="1">
      <alignment vertical="center"/>
    </xf>
    <xf numFmtId="0" fontId="32" fillId="33" borderId="11" xfId="0" applyFont="1" applyFill="1" applyBorder="1" applyAlignment="1">
      <alignment horizontal="left" vertical="center"/>
    </xf>
    <xf numFmtId="0" fontId="32" fillId="33" borderId="11" xfId="0" applyFont="1" applyFill="1" applyBorder="1" applyAlignment="1">
      <alignment horizontal="center" vertical="center"/>
    </xf>
    <xf numFmtId="0" fontId="32" fillId="33" borderId="11" xfId="0" applyNumberFormat="1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vertical="center"/>
    </xf>
    <xf numFmtId="0" fontId="32" fillId="33" borderId="41" xfId="0" applyFont="1" applyFill="1" applyBorder="1" applyAlignment="1">
      <alignment vertical="center"/>
    </xf>
    <xf numFmtId="0" fontId="33" fillId="33" borderId="42" xfId="0" applyFont="1" applyFill="1" applyBorder="1" applyAlignment="1">
      <alignment vertical="center"/>
    </xf>
    <xf numFmtId="0" fontId="32" fillId="33" borderId="17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right" vertical="center"/>
    </xf>
    <xf numFmtId="0" fontId="33" fillId="33" borderId="10" xfId="0" applyFont="1" applyFill="1" applyBorder="1" applyAlignment="1">
      <alignment vertical="center"/>
    </xf>
    <xf numFmtId="0" fontId="33" fillId="33" borderId="10" xfId="0" applyFont="1" applyFill="1" applyBorder="1" applyAlignment="1">
      <alignment horizontal="center" vertical="center"/>
    </xf>
    <xf numFmtId="0" fontId="33" fillId="33" borderId="43" xfId="0" applyFont="1" applyFill="1" applyBorder="1" applyAlignment="1">
      <alignment vertical="center"/>
    </xf>
    <xf numFmtId="0" fontId="33" fillId="33" borderId="0" xfId="0" applyFont="1" applyFill="1" applyAlignment="1">
      <alignment vertical="center"/>
    </xf>
    <xf numFmtId="0" fontId="32" fillId="33" borderId="0" xfId="0" applyFont="1" applyFill="1" applyBorder="1" applyAlignment="1">
      <alignment/>
    </xf>
    <xf numFmtId="0" fontId="32" fillId="33" borderId="0" xfId="0" applyFont="1" applyFill="1" applyBorder="1" applyAlignment="1">
      <alignment horizontal="center"/>
    </xf>
    <xf numFmtId="0" fontId="32" fillId="33" borderId="11" xfId="0" applyFont="1" applyFill="1" applyBorder="1" applyAlignment="1">
      <alignment horizontal="right" vertical="center"/>
    </xf>
    <xf numFmtId="0" fontId="32" fillId="33" borderId="0" xfId="0" applyFont="1" applyFill="1" applyBorder="1" applyAlignment="1">
      <alignment horizontal="center" vertical="top"/>
    </xf>
    <xf numFmtId="0" fontId="33" fillId="33" borderId="10" xfId="0" applyFont="1" applyFill="1" applyBorder="1" applyAlignment="1">
      <alignment horizontal="left" vertical="center"/>
    </xf>
    <xf numFmtId="0" fontId="33" fillId="33" borderId="10" xfId="0" applyFont="1" applyFill="1" applyBorder="1" applyAlignment="1">
      <alignment horizontal="right" vertical="center"/>
    </xf>
    <xf numFmtId="0" fontId="33" fillId="33" borderId="23" xfId="0" applyFont="1" applyFill="1" applyBorder="1" applyAlignment="1">
      <alignment horizontal="right" vertical="center"/>
    </xf>
    <xf numFmtId="2" fontId="33" fillId="33" borderId="44" xfId="0" applyNumberFormat="1" applyFont="1" applyFill="1" applyBorder="1" applyAlignment="1">
      <alignment horizontal="center" vertical="center"/>
    </xf>
    <xf numFmtId="0" fontId="33" fillId="33" borderId="24" xfId="0" applyFont="1" applyFill="1" applyBorder="1" applyAlignment="1">
      <alignment vertical="center"/>
    </xf>
    <xf numFmtId="0" fontId="32" fillId="33" borderId="18" xfId="0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center" vertical="center"/>
    </xf>
    <xf numFmtId="201" fontId="32" fillId="33" borderId="17" xfId="0" applyNumberFormat="1" applyFont="1" applyFill="1" applyBorder="1" applyAlignment="1">
      <alignment horizontal="center" vertical="center"/>
    </xf>
    <xf numFmtId="0" fontId="32" fillId="33" borderId="17" xfId="0" applyNumberFormat="1" applyFont="1" applyFill="1" applyBorder="1" applyAlignment="1">
      <alignment horizontal="center" vertical="center"/>
    </xf>
    <xf numFmtId="2" fontId="32" fillId="33" borderId="17" xfId="0" applyNumberFormat="1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vertical="center"/>
    </xf>
    <xf numFmtId="0" fontId="32" fillId="33" borderId="10" xfId="0" applyNumberFormat="1" applyFont="1" applyFill="1" applyBorder="1" applyAlignment="1">
      <alignment horizontal="left" vertical="center"/>
    </xf>
    <xf numFmtId="201" fontId="32" fillId="33" borderId="10" xfId="0" applyNumberFormat="1" applyFont="1" applyFill="1" applyBorder="1" applyAlignment="1">
      <alignment horizontal="center" vertical="center"/>
    </xf>
    <xf numFmtId="2" fontId="32" fillId="33" borderId="10" xfId="0" applyNumberFormat="1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0" fontId="33" fillId="33" borderId="10" xfId="0" applyNumberFormat="1" applyFont="1" applyFill="1" applyBorder="1" applyAlignment="1">
      <alignment horizontal="left" vertical="center"/>
    </xf>
    <xf numFmtId="201" fontId="33" fillId="33" borderId="10" xfId="0" applyNumberFormat="1" applyFont="1" applyFill="1" applyBorder="1" applyAlignment="1">
      <alignment horizontal="center" vertical="center"/>
    </xf>
    <xf numFmtId="2" fontId="33" fillId="33" borderId="1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32" fillId="33" borderId="0" xfId="0" applyNumberFormat="1" applyFont="1" applyFill="1" applyBorder="1" applyAlignment="1">
      <alignment vertical="center"/>
    </xf>
    <xf numFmtId="0" fontId="33" fillId="33" borderId="11" xfId="0" applyFont="1" applyFill="1" applyBorder="1" applyAlignment="1">
      <alignment horizontal="left" vertical="center"/>
    </xf>
    <xf numFmtId="2" fontId="32" fillId="33" borderId="11" xfId="0" applyNumberFormat="1" applyFont="1" applyFill="1" applyBorder="1" applyAlignment="1">
      <alignment horizontal="right" vertical="center"/>
    </xf>
    <xf numFmtId="2" fontId="32" fillId="33" borderId="11" xfId="0" applyNumberFormat="1" applyFont="1" applyFill="1" applyBorder="1" applyAlignment="1">
      <alignment horizontal="left" vertical="center"/>
    </xf>
    <xf numFmtId="2" fontId="32" fillId="33" borderId="11" xfId="0" applyNumberFormat="1" applyFont="1" applyFill="1" applyBorder="1" applyAlignment="1">
      <alignment horizontal="center" vertical="center"/>
    </xf>
    <xf numFmtId="0" fontId="32" fillId="33" borderId="45" xfId="0" applyFont="1" applyFill="1" applyBorder="1" applyAlignment="1">
      <alignment vertical="center"/>
    </xf>
    <xf numFmtId="0" fontId="32" fillId="33" borderId="29" xfId="0" applyFont="1" applyFill="1" applyBorder="1" applyAlignment="1">
      <alignment vertical="center"/>
    </xf>
    <xf numFmtId="0" fontId="32" fillId="33" borderId="12" xfId="0" applyFont="1" applyFill="1" applyBorder="1" applyAlignment="1">
      <alignment vertical="center"/>
    </xf>
    <xf numFmtId="0" fontId="32" fillId="33" borderId="12" xfId="0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/>
    </xf>
    <xf numFmtId="206" fontId="5" fillId="39" borderId="16" xfId="0" applyNumberFormat="1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200" fontId="5" fillId="37" borderId="16" xfId="0" applyNumberFormat="1" applyFont="1" applyFill="1" applyBorder="1" applyAlignment="1">
      <alignment horizontal="center" vertical="center"/>
    </xf>
    <xf numFmtId="206" fontId="5" fillId="39" borderId="16" xfId="0" applyNumberFormat="1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206" fontId="5" fillId="35" borderId="16" xfId="0" applyNumberFormat="1" applyFont="1" applyFill="1" applyBorder="1" applyAlignment="1">
      <alignment horizontal="left" vertical="center"/>
    </xf>
    <xf numFmtId="206" fontId="5" fillId="35" borderId="16" xfId="0" applyNumberFormat="1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left" vertical="top" wrapText="1"/>
    </xf>
    <xf numFmtId="0" fontId="5" fillId="34" borderId="39" xfId="0" applyFont="1" applyFill="1" applyBorder="1" applyAlignment="1">
      <alignment horizontal="left" vertical="top" wrapText="1"/>
    </xf>
    <xf numFmtId="0" fontId="5" fillId="34" borderId="29" xfId="0" applyFont="1" applyFill="1" applyBorder="1" applyAlignment="1">
      <alignment horizontal="left" vertical="top"/>
    </xf>
    <xf numFmtId="0" fontId="5" fillId="34" borderId="30" xfId="0" applyFont="1" applyFill="1" applyBorder="1" applyAlignment="1">
      <alignment horizontal="left" vertical="top"/>
    </xf>
    <xf numFmtId="0" fontId="6" fillId="37" borderId="26" xfId="0" applyFont="1" applyFill="1" applyBorder="1" applyAlignment="1">
      <alignment horizontal="center" vertical="center"/>
    </xf>
    <xf numFmtId="0" fontId="6" fillId="37" borderId="28" xfId="0" applyFont="1" applyFill="1" applyBorder="1" applyAlignment="1">
      <alignment horizontal="center" vertical="center"/>
    </xf>
    <xf numFmtId="0" fontId="6" fillId="42" borderId="26" xfId="0" applyFont="1" applyFill="1" applyBorder="1" applyAlignment="1">
      <alignment horizontal="center" vertical="center"/>
    </xf>
    <xf numFmtId="0" fontId="6" fillId="42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top" wrapText="1"/>
    </xf>
    <xf numFmtId="0" fontId="5" fillId="34" borderId="30" xfId="0" applyFont="1" applyFill="1" applyBorder="1" applyAlignment="1">
      <alignment horizontal="center" vertical="top" wrapText="1"/>
    </xf>
    <xf numFmtId="0" fontId="5" fillId="34" borderId="29" xfId="0" applyFont="1" applyFill="1" applyBorder="1" applyAlignment="1">
      <alignment horizontal="left" vertical="top" wrapText="1"/>
    </xf>
    <xf numFmtId="0" fontId="5" fillId="34" borderId="3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/>
    </xf>
    <xf numFmtId="0" fontId="39" fillId="45" borderId="37" xfId="34" applyFont="1" applyFill="1" applyBorder="1" applyAlignment="1" applyProtection="1">
      <alignment horizontal="right" vertical="center"/>
      <protection/>
    </xf>
    <xf numFmtId="0" fontId="39" fillId="46" borderId="37" xfId="34" applyFont="1" applyFill="1" applyBorder="1" applyAlignment="1" applyProtection="1">
      <alignment horizontal="left" vertical="center"/>
      <protection/>
    </xf>
    <xf numFmtId="0" fontId="38" fillId="47" borderId="37" xfId="0" applyFont="1" applyFill="1" applyBorder="1" applyAlignment="1">
      <alignment horizontal="left" vertical="center"/>
    </xf>
    <xf numFmtId="0" fontId="10" fillId="33" borderId="13" xfId="34" applyFill="1" applyBorder="1" applyAlignment="1" applyProtection="1">
      <alignment vertical="center"/>
      <protection/>
    </xf>
    <xf numFmtId="0" fontId="18" fillId="33" borderId="13" xfId="0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horizontal="center" vertical="center"/>
    </xf>
    <xf numFmtId="0" fontId="5" fillId="33" borderId="44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left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32" fillId="33" borderId="48" xfId="0" applyFont="1" applyFill="1" applyBorder="1" applyAlignment="1">
      <alignment horizontal="center" vertical="center"/>
    </xf>
    <xf numFmtId="0" fontId="24" fillId="33" borderId="26" xfId="0" applyFont="1" applyFill="1" applyBorder="1" applyAlignment="1">
      <alignment horizontal="right" vertical="center" wrapText="1"/>
    </xf>
    <xf numFmtId="2" fontId="24" fillId="33" borderId="26" xfId="0" applyNumberFormat="1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left" vertical="center" wrapText="1"/>
    </xf>
    <xf numFmtId="0" fontId="24" fillId="33" borderId="27" xfId="0" applyFont="1" applyFill="1" applyBorder="1" applyAlignment="1">
      <alignment horizontal="right" vertical="center" wrapText="1"/>
    </xf>
    <xf numFmtId="2" fontId="24" fillId="33" borderId="27" xfId="0" applyNumberFormat="1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left" vertical="center" wrapText="1"/>
    </xf>
    <xf numFmtId="0" fontId="16" fillId="34" borderId="49" xfId="0" applyFont="1" applyFill="1" applyBorder="1" applyAlignment="1">
      <alignment vertical="center"/>
    </xf>
    <xf numFmtId="0" fontId="16" fillId="34" borderId="50" xfId="0" applyFont="1" applyFill="1" applyBorder="1" applyAlignment="1">
      <alignment vertical="center"/>
    </xf>
    <xf numFmtId="200" fontId="18" fillId="33" borderId="0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wrapText="1"/>
    </xf>
    <xf numFmtId="0" fontId="5" fillId="33" borderId="46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3" fillId="0" borderId="0" xfId="0" applyFont="1" applyAlignment="1">
      <alignment/>
    </xf>
    <xf numFmtId="0" fontId="5" fillId="48" borderId="16" xfId="0" applyFont="1" applyFill="1" applyBorder="1" applyAlignment="1">
      <alignment horizontal="center"/>
    </xf>
    <xf numFmtId="0" fontId="43" fillId="48" borderId="16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43" fillId="36" borderId="16" xfId="0" applyFont="1" applyFill="1" applyBorder="1" applyAlignment="1">
      <alignment horizontal="center"/>
    </xf>
    <xf numFmtId="0" fontId="5" fillId="48" borderId="16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44" fillId="35" borderId="16" xfId="0" applyFont="1" applyFill="1" applyBorder="1" applyAlignment="1">
      <alignment horizontal="center"/>
    </xf>
    <xf numFmtId="0" fontId="45" fillId="35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/>
    </xf>
    <xf numFmtId="0" fontId="5" fillId="37" borderId="16" xfId="0" applyFont="1" applyFill="1" applyBorder="1" applyAlignment="1">
      <alignment horizontal="center"/>
    </xf>
    <xf numFmtId="0" fontId="43" fillId="37" borderId="16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1" fontId="5" fillId="48" borderId="16" xfId="0" applyNumberFormat="1" applyFont="1" applyFill="1" applyBorder="1" applyAlignment="1">
      <alignment horizontal="center"/>
    </xf>
    <xf numFmtId="1" fontId="43" fillId="48" borderId="16" xfId="0" applyNumberFormat="1" applyFont="1" applyFill="1" applyBorder="1" applyAlignment="1">
      <alignment horizontal="center"/>
    </xf>
    <xf numFmtId="1" fontId="5" fillId="36" borderId="16" xfId="0" applyNumberFormat="1" applyFont="1" applyFill="1" applyBorder="1" applyAlignment="1">
      <alignment horizontal="center"/>
    </xf>
    <xf numFmtId="1" fontId="43" fillId="36" borderId="16" xfId="0" applyNumberFormat="1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46" fillId="33" borderId="18" xfId="34" applyFont="1" applyFill="1" applyBorder="1" applyAlignment="1" applyProtection="1">
      <alignment horizontal="center" vertical="center"/>
      <protection/>
    </xf>
    <xf numFmtId="0" fontId="32" fillId="33" borderId="25" xfId="0" applyFont="1" applyFill="1" applyBorder="1" applyAlignment="1">
      <alignment/>
    </xf>
    <xf numFmtId="0" fontId="32" fillId="33" borderId="13" xfId="0" applyFont="1" applyFill="1" applyBorder="1" applyAlignment="1">
      <alignment horizontal="center"/>
    </xf>
    <xf numFmtId="0" fontId="32" fillId="33" borderId="13" xfId="0" applyFont="1" applyFill="1" applyBorder="1" applyAlignment="1">
      <alignment horizontal="left"/>
    </xf>
    <xf numFmtId="0" fontId="32" fillId="33" borderId="12" xfId="0" applyFont="1" applyFill="1" applyBorder="1" applyAlignment="1">
      <alignment horizontal="left" vertical="center"/>
    </xf>
    <xf numFmtId="0" fontId="47" fillId="33" borderId="30" xfId="0" applyFont="1" applyFill="1" applyBorder="1" applyAlignment="1">
      <alignment horizontal="right" vertical="center"/>
    </xf>
    <xf numFmtId="0" fontId="47" fillId="33" borderId="0" xfId="0" applyFont="1" applyFill="1" applyBorder="1" applyAlignment="1">
      <alignment horizontal="right" vertical="center"/>
    </xf>
    <xf numFmtId="0" fontId="32" fillId="33" borderId="38" xfId="0" applyFont="1" applyFill="1" applyBorder="1" applyAlignment="1">
      <alignment/>
    </xf>
    <xf numFmtId="0" fontId="32" fillId="33" borderId="0" xfId="0" applyFont="1" applyFill="1" applyBorder="1" applyAlignment="1">
      <alignment horizontal="left"/>
    </xf>
    <xf numFmtId="0" fontId="32" fillId="33" borderId="39" xfId="0" applyFont="1" applyFill="1" applyBorder="1" applyAlignment="1">
      <alignment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6" fillId="33" borderId="33" xfId="0" applyFont="1" applyFill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/>
    </xf>
    <xf numFmtId="0" fontId="5" fillId="44" borderId="25" xfId="0" applyFont="1" applyFill="1" applyBorder="1" applyAlignment="1">
      <alignment vertical="center"/>
    </xf>
    <xf numFmtId="0" fontId="5" fillId="44" borderId="13" xfId="0" applyFont="1" applyFill="1" applyBorder="1" applyAlignment="1">
      <alignment vertical="center"/>
    </xf>
    <xf numFmtId="0" fontId="5" fillId="44" borderId="15" xfId="0" applyFont="1" applyFill="1" applyBorder="1" applyAlignment="1">
      <alignment vertical="center"/>
    </xf>
    <xf numFmtId="0" fontId="5" fillId="44" borderId="38" xfId="0" applyFont="1" applyFill="1" applyBorder="1" applyAlignment="1">
      <alignment vertical="center"/>
    </xf>
    <xf numFmtId="0" fontId="5" fillId="44" borderId="39" xfId="0" applyFont="1" applyFill="1" applyBorder="1" applyAlignment="1">
      <alignment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vertical="center"/>
    </xf>
    <xf numFmtId="0" fontId="5" fillId="34" borderId="13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0" fontId="5" fillId="34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vertical="center"/>
    </xf>
    <xf numFmtId="0" fontId="5" fillId="44" borderId="29" xfId="0" applyFont="1" applyFill="1" applyBorder="1" applyAlignment="1">
      <alignment horizontal="right" vertical="center"/>
    </xf>
    <xf numFmtId="0" fontId="5" fillId="34" borderId="29" xfId="0" applyFont="1" applyFill="1" applyBorder="1" applyAlignment="1">
      <alignment horizontal="right" vertical="center"/>
    </xf>
    <xf numFmtId="0" fontId="5" fillId="39" borderId="25" xfId="0" applyFont="1" applyFill="1" applyBorder="1" applyAlignment="1">
      <alignment vertical="center"/>
    </xf>
    <xf numFmtId="0" fontId="5" fillId="39" borderId="13" xfId="0" applyFont="1" applyFill="1" applyBorder="1" applyAlignment="1">
      <alignment vertical="center"/>
    </xf>
    <xf numFmtId="0" fontId="5" fillId="39" borderId="15" xfId="0" applyFont="1" applyFill="1" applyBorder="1" applyAlignment="1">
      <alignment vertical="center"/>
    </xf>
    <xf numFmtId="0" fontId="5" fillId="39" borderId="38" xfId="0" applyFont="1" applyFill="1" applyBorder="1" applyAlignment="1">
      <alignment vertical="center"/>
    </xf>
    <xf numFmtId="0" fontId="5" fillId="39" borderId="39" xfId="0" applyFont="1" applyFill="1" applyBorder="1" applyAlignment="1">
      <alignment vertical="center"/>
    </xf>
    <xf numFmtId="0" fontId="5" fillId="39" borderId="29" xfId="0" applyFont="1" applyFill="1" applyBorder="1" applyAlignment="1">
      <alignment horizontal="right" vertical="center"/>
    </xf>
    <xf numFmtId="43" fontId="5" fillId="33" borderId="0" xfId="0" applyNumberFormat="1" applyFont="1" applyFill="1" applyAlignment="1">
      <alignment horizontal="right" vertical="center"/>
    </xf>
    <xf numFmtId="0" fontId="5" fillId="44" borderId="30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9" borderId="3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right" vertical="center"/>
    </xf>
    <xf numFmtId="41" fontId="5" fillId="33" borderId="16" xfId="0" applyNumberFormat="1" applyFont="1" applyFill="1" applyBorder="1" applyAlignment="1">
      <alignment horizontal="center" vertical="center"/>
    </xf>
    <xf numFmtId="207" fontId="5" fillId="33" borderId="16" xfId="0" applyNumberFormat="1" applyFont="1" applyFill="1" applyBorder="1" applyAlignment="1">
      <alignment horizontal="center" vertical="center"/>
    </xf>
    <xf numFmtId="43" fontId="5" fillId="33" borderId="51" xfId="0" applyNumberFormat="1" applyFont="1" applyFill="1" applyBorder="1" applyAlignment="1">
      <alignment horizontal="right" vertical="center"/>
    </xf>
    <xf numFmtId="0" fontId="5" fillId="33" borderId="52" xfId="0" applyFont="1" applyFill="1" applyBorder="1" applyAlignment="1">
      <alignment vertical="center"/>
    </xf>
    <xf numFmtId="43" fontId="5" fillId="33" borderId="51" xfId="0" applyNumberFormat="1" applyFont="1" applyFill="1" applyBorder="1" applyAlignment="1">
      <alignment vertical="center"/>
    </xf>
    <xf numFmtId="43" fontId="5" fillId="33" borderId="53" xfId="0" applyNumberFormat="1" applyFont="1" applyFill="1" applyBorder="1" applyAlignment="1">
      <alignment horizontal="right" vertical="center"/>
    </xf>
    <xf numFmtId="0" fontId="5" fillId="33" borderId="54" xfId="0" applyFont="1" applyFill="1" applyBorder="1" applyAlignment="1">
      <alignment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43" fontId="24" fillId="33" borderId="0" xfId="0" applyNumberFormat="1" applyFont="1" applyFill="1" applyBorder="1" applyAlignment="1">
      <alignment horizontal="center" vertical="center"/>
    </xf>
    <xf numFmtId="2" fontId="24" fillId="33" borderId="0" xfId="0" applyNumberFormat="1" applyFont="1" applyFill="1" applyBorder="1" applyAlignment="1">
      <alignment horizontal="center" vertical="center"/>
    </xf>
    <xf numFmtId="43" fontId="24" fillId="39" borderId="12" xfId="0" applyNumberFormat="1" applyFont="1" applyFill="1" applyBorder="1" applyAlignment="1">
      <alignment horizontal="center" vertical="center"/>
    </xf>
    <xf numFmtId="43" fontId="24" fillId="44" borderId="12" xfId="0" applyNumberFormat="1" applyFont="1" applyFill="1" applyBorder="1" applyAlignment="1">
      <alignment horizontal="center" vertical="center"/>
    </xf>
    <xf numFmtId="43" fontId="24" fillId="34" borderId="12" xfId="0" applyNumberFormat="1" applyFont="1" applyFill="1" applyBorder="1" applyAlignment="1">
      <alignment horizontal="center" vertical="center"/>
    </xf>
    <xf numFmtId="43" fontId="24" fillId="33" borderId="56" xfId="0" applyNumberFormat="1" applyFont="1" applyFill="1" applyBorder="1" applyAlignment="1">
      <alignment horizontal="right" vertical="center"/>
    </xf>
    <xf numFmtId="0" fontId="24" fillId="33" borderId="57" xfId="0" applyFont="1" applyFill="1" applyBorder="1" applyAlignment="1">
      <alignment vertical="center"/>
    </xf>
    <xf numFmtId="0" fontId="24" fillId="33" borderId="57" xfId="0" applyFont="1" applyFill="1" applyBorder="1" applyAlignment="1">
      <alignment horizontal="right" vertical="center"/>
    </xf>
    <xf numFmtId="0" fontId="24" fillId="33" borderId="58" xfId="0" applyFont="1" applyFill="1" applyBorder="1" applyAlignment="1">
      <alignment vertical="center"/>
    </xf>
    <xf numFmtId="0" fontId="24" fillId="33" borderId="0" xfId="0" applyFont="1" applyFill="1" applyAlignment="1">
      <alignment vertical="center"/>
    </xf>
    <xf numFmtId="201" fontId="5" fillId="33" borderId="17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43" fontId="5" fillId="33" borderId="10" xfId="0" applyNumberFormat="1" applyFont="1" applyFill="1" applyBorder="1" applyAlignment="1">
      <alignment vertical="center"/>
    </xf>
    <xf numFmtId="43" fontId="5" fillId="33" borderId="0" xfId="0" applyNumberFormat="1" applyFont="1" applyFill="1" applyBorder="1" applyAlignment="1">
      <alignment vertical="center"/>
    </xf>
    <xf numFmtId="43" fontId="5" fillId="33" borderId="11" xfId="0" applyNumberFormat="1" applyFont="1" applyFill="1" applyBorder="1" applyAlignment="1">
      <alignment vertical="center"/>
    </xf>
    <xf numFmtId="0" fontId="5" fillId="33" borderId="59" xfId="0" applyFont="1" applyFill="1" applyBorder="1" applyAlignment="1">
      <alignment vertical="center"/>
    </xf>
    <xf numFmtId="0" fontId="5" fillId="33" borderId="60" xfId="0" applyFont="1" applyFill="1" applyBorder="1" applyAlignment="1">
      <alignment vertical="center"/>
    </xf>
    <xf numFmtId="0" fontId="5" fillId="33" borderId="60" xfId="0" applyNumberFormat="1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vertical="center"/>
    </xf>
    <xf numFmtId="0" fontId="5" fillId="33" borderId="60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vertical="center"/>
    </xf>
    <xf numFmtId="0" fontId="2" fillId="33" borderId="62" xfId="0" applyFont="1" applyFill="1" applyBorder="1" applyAlignment="1">
      <alignment horizontal="left" vertical="center"/>
    </xf>
    <xf numFmtId="0" fontId="1" fillId="33" borderId="62" xfId="0" applyFont="1" applyFill="1" applyBorder="1" applyAlignment="1">
      <alignment horizontal="center" vertical="center"/>
    </xf>
    <xf numFmtId="199" fontId="1" fillId="33" borderId="62" xfId="0" applyNumberFormat="1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vertical="center"/>
    </xf>
    <xf numFmtId="0" fontId="1" fillId="33" borderId="60" xfId="0" applyFont="1" applyFill="1" applyBorder="1" applyAlignment="1">
      <alignment vertical="center"/>
    </xf>
    <xf numFmtId="0" fontId="1" fillId="33" borderId="6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vertical="top"/>
    </xf>
    <xf numFmtId="0" fontId="48" fillId="33" borderId="0" xfId="0" applyFont="1" applyFill="1" applyBorder="1" applyAlignment="1">
      <alignment horizontal="center" vertical="top"/>
    </xf>
    <xf numFmtId="0" fontId="50" fillId="33" borderId="0" xfId="0" applyFont="1" applyFill="1" applyAlignment="1">
      <alignment/>
    </xf>
    <xf numFmtId="0" fontId="5" fillId="33" borderId="0" xfId="34" applyFont="1" applyFill="1" applyBorder="1" applyAlignment="1" applyProtection="1">
      <alignment horizontal="left" vertical="top"/>
      <protection/>
    </xf>
    <xf numFmtId="2" fontId="5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top"/>
    </xf>
    <xf numFmtId="0" fontId="5" fillId="33" borderId="63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 indent="2"/>
    </xf>
    <xf numFmtId="0" fontId="5" fillId="33" borderId="22" xfId="0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5" borderId="0" xfId="0" applyFont="1" applyFill="1" applyAlignment="1">
      <alignment/>
    </xf>
    <xf numFmtId="0" fontId="5" fillId="33" borderId="0" xfId="0" applyFont="1" applyFill="1" applyBorder="1" applyAlignment="1">
      <alignment horizontal="left" vertical="center" indent="1"/>
    </xf>
    <xf numFmtId="0" fontId="5" fillId="33" borderId="2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vertical="center"/>
    </xf>
    <xf numFmtId="0" fontId="6" fillId="33" borderId="62" xfId="0" applyFont="1" applyFill="1" applyBorder="1" applyAlignment="1">
      <alignment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vertical="center"/>
    </xf>
    <xf numFmtId="0" fontId="5" fillId="33" borderId="31" xfId="0" applyFont="1" applyFill="1" applyBorder="1" applyAlignment="1">
      <alignment vertical="center"/>
    </xf>
    <xf numFmtId="0" fontId="5" fillId="33" borderId="62" xfId="0" applyFont="1" applyFill="1" applyBorder="1" applyAlignment="1">
      <alignment vertical="center"/>
    </xf>
    <xf numFmtId="0" fontId="5" fillId="33" borderId="62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left" vertical="center"/>
    </xf>
    <xf numFmtId="199" fontId="5" fillId="33" borderId="62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vertical="center"/>
    </xf>
    <xf numFmtId="0" fontId="5" fillId="33" borderId="60" xfId="0" applyFont="1" applyFill="1" applyBorder="1" applyAlignment="1">
      <alignment horizontal="left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left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37" fillId="33" borderId="61" xfId="0" applyFont="1" applyFill="1" applyBorder="1" applyAlignment="1">
      <alignment horizontal="right" vertical="center"/>
    </xf>
    <xf numFmtId="0" fontId="52" fillId="33" borderId="33" xfId="0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2" fillId="33" borderId="34" xfId="0" applyFont="1" applyFill="1" applyBorder="1" applyAlignment="1">
      <alignment vertical="center"/>
    </xf>
    <xf numFmtId="2" fontId="5" fillId="33" borderId="63" xfId="0" applyNumberFormat="1" applyFont="1" applyFill="1" applyBorder="1" applyAlignment="1">
      <alignment vertical="center"/>
    </xf>
    <xf numFmtId="2" fontId="5" fillId="33" borderId="47" xfId="0" applyNumberFormat="1" applyFont="1" applyFill="1" applyBorder="1" applyAlignment="1">
      <alignment horizontal="left" vertical="center"/>
    </xf>
    <xf numFmtId="43" fontId="5" fillId="33" borderId="63" xfId="0" applyNumberFormat="1" applyFont="1" applyFill="1" applyBorder="1" applyAlignment="1">
      <alignment vertical="center"/>
    </xf>
    <xf numFmtId="0" fontId="5" fillId="33" borderId="47" xfId="0" applyNumberFormat="1" applyFont="1" applyFill="1" applyBorder="1" applyAlignment="1">
      <alignment horizontal="left" vertical="center"/>
    </xf>
    <xf numFmtId="0" fontId="52" fillId="33" borderId="0" xfId="0" applyNumberFormat="1" applyFont="1" applyFill="1" applyBorder="1" applyAlignment="1">
      <alignment horizontal="left" vertical="center"/>
    </xf>
    <xf numFmtId="43" fontId="5" fillId="33" borderId="10" xfId="0" applyNumberFormat="1" applyFont="1" applyFill="1" applyBorder="1" applyAlignment="1">
      <alignment horizontal="left" vertical="center"/>
    </xf>
    <xf numFmtId="43" fontId="5" fillId="33" borderId="11" xfId="0" applyNumberFormat="1" applyFont="1" applyFill="1" applyBorder="1" applyAlignment="1">
      <alignment horizontal="center" vertical="center"/>
    </xf>
    <xf numFmtId="0" fontId="5" fillId="33" borderId="47" xfId="0" applyNumberFormat="1" applyFont="1" applyFill="1" applyBorder="1" applyAlignment="1">
      <alignment horizontal="center" vertical="center"/>
    </xf>
    <xf numFmtId="43" fontId="5" fillId="33" borderId="63" xfId="0" applyNumberFormat="1" applyFont="1" applyFill="1" applyBorder="1" applyAlignment="1">
      <alignment horizontal="right" vertical="center"/>
    </xf>
    <xf numFmtId="44" fontId="5" fillId="33" borderId="63" xfId="0" applyNumberFormat="1" applyFont="1" applyFill="1" applyBorder="1" applyAlignment="1">
      <alignment horizontal="right" vertical="center"/>
    </xf>
    <xf numFmtId="0" fontId="5" fillId="33" borderId="0" xfId="0" applyNumberFormat="1" applyFont="1" applyFill="1" applyBorder="1" applyAlignment="1">
      <alignment horizontal="left" vertical="center"/>
    </xf>
    <xf numFmtId="0" fontId="5" fillId="33" borderId="0" xfId="34" applyFont="1" applyFill="1" applyBorder="1" applyAlignment="1" applyProtection="1">
      <alignment horizontal="left" vertical="center" indent="1"/>
      <protection/>
    </xf>
    <xf numFmtId="2" fontId="6" fillId="33" borderId="0" xfId="34" applyNumberFormat="1" applyFont="1" applyFill="1" applyBorder="1" applyAlignment="1" applyProtection="1">
      <alignment horizontal="left" vertical="center" indent="1"/>
      <protection/>
    </xf>
    <xf numFmtId="2" fontId="5" fillId="33" borderId="0" xfId="34" applyNumberFormat="1" applyFont="1" applyFill="1" applyBorder="1" applyAlignment="1" applyProtection="1">
      <alignment horizontal="left" vertical="center" indent="2"/>
      <protection/>
    </xf>
    <xf numFmtId="0" fontId="5" fillId="33" borderId="34" xfId="0" applyFont="1" applyFill="1" applyBorder="1" applyAlignment="1">
      <alignment horizontal="center" vertical="center"/>
    </xf>
    <xf numFmtId="43" fontId="52" fillId="33" borderId="0" xfId="0" applyNumberFormat="1" applyFont="1" applyFill="1" applyBorder="1" applyAlignment="1">
      <alignment horizontal="right" vertical="center"/>
    </xf>
    <xf numFmtId="0" fontId="52" fillId="33" borderId="0" xfId="0" applyFont="1" applyFill="1" applyBorder="1" applyAlignment="1">
      <alignment horizontal="right" vertical="center"/>
    </xf>
    <xf numFmtId="44" fontId="52" fillId="33" borderId="0" xfId="0" applyNumberFormat="1" applyFont="1" applyFill="1" applyBorder="1" applyAlignment="1">
      <alignment horizontal="right" vertical="center"/>
    </xf>
    <xf numFmtId="0" fontId="3" fillId="33" borderId="33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right" vertical="center" indent="1"/>
    </xf>
    <xf numFmtId="0" fontId="53" fillId="33" borderId="0" xfId="0" applyFont="1" applyFill="1" applyAlignment="1">
      <alignment horizontal="left" vertical="center"/>
    </xf>
    <xf numFmtId="0" fontId="5" fillId="33" borderId="0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53" fillId="33" borderId="0" xfId="0" applyNumberFormat="1" applyFont="1" applyFill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0" xfId="34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vertical="center"/>
    </xf>
    <xf numFmtId="2" fontId="5" fillId="33" borderId="14" xfId="0" applyNumberFormat="1" applyFont="1" applyFill="1" applyBorder="1" applyAlignment="1">
      <alignment horizontal="left" vertical="center"/>
    </xf>
    <xf numFmtId="0" fontId="6" fillId="33" borderId="49" xfId="0" applyFont="1" applyFill="1" applyBorder="1" applyAlignment="1">
      <alignment vertical="center"/>
    </xf>
    <xf numFmtId="0" fontId="19" fillId="33" borderId="14" xfId="0" applyFont="1" applyFill="1" applyBorder="1" applyAlignment="1">
      <alignment horizontal="center" vertical="center"/>
    </xf>
    <xf numFmtId="0" fontId="5" fillId="44" borderId="13" xfId="0" applyFont="1" applyFill="1" applyBorder="1" applyAlignment="1">
      <alignment horizontal="center" vertical="center"/>
    </xf>
    <xf numFmtId="0" fontId="5" fillId="44" borderId="15" xfId="0" applyFont="1" applyFill="1" applyBorder="1" applyAlignment="1">
      <alignment horizontal="center" vertical="center"/>
    </xf>
    <xf numFmtId="0" fontId="5" fillId="44" borderId="12" xfId="0" applyFont="1" applyFill="1" applyBorder="1" applyAlignment="1">
      <alignment vertical="center"/>
    </xf>
    <xf numFmtId="0" fontId="5" fillId="44" borderId="12" xfId="0" applyFont="1" applyFill="1" applyBorder="1" applyAlignment="1">
      <alignment horizontal="center" vertical="center"/>
    </xf>
    <xf numFmtId="1" fontId="5" fillId="44" borderId="28" xfId="0" applyNumberFormat="1" applyFont="1" applyFill="1" applyBorder="1" applyAlignment="1">
      <alignment horizontal="center" vertical="center"/>
    </xf>
    <xf numFmtId="1" fontId="5" fillId="44" borderId="16" xfId="0" applyNumberFormat="1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50" xfId="0" applyFont="1" applyFill="1" applyBorder="1" applyAlignment="1">
      <alignment horizontal="center" vertical="center"/>
    </xf>
    <xf numFmtId="1" fontId="5" fillId="35" borderId="16" xfId="0" applyNumberFormat="1" applyFont="1" applyFill="1" applyBorder="1" applyAlignment="1">
      <alignment horizontal="center" vertical="center"/>
    </xf>
    <xf numFmtId="0" fontId="5" fillId="33" borderId="0" xfId="34" applyFont="1" applyFill="1" applyBorder="1" applyAlignment="1" applyProtection="1">
      <alignment horizontal="center" vertical="center"/>
      <protection/>
    </xf>
    <xf numFmtId="0" fontId="5" fillId="33" borderId="0" xfId="34" applyFont="1" applyFill="1" applyBorder="1" applyAlignment="1" applyProtection="1">
      <alignment horizontal="left" vertical="center" indent="2"/>
      <protection/>
    </xf>
    <xf numFmtId="0" fontId="9" fillId="33" borderId="0" xfId="0" applyFont="1" applyFill="1" applyAlignment="1">
      <alignment horizontal="left" vertical="center"/>
    </xf>
    <xf numFmtId="0" fontId="5" fillId="33" borderId="23" xfId="0" applyFont="1" applyFill="1" applyBorder="1" applyAlignment="1">
      <alignment horizontal="right" vertical="center"/>
    </xf>
    <xf numFmtId="0" fontId="5" fillId="33" borderId="44" xfId="0" applyFont="1" applyFill="1" applyBorder="1" applyAlignment="1">
      <alignment horizontal="left" vertical="center" indent="2"/>
    </xf>
    <xf numFmtId="4" fontId="5" fillId="33" borderId="23" xfId="0" applyNumberFormat="1" applyFont="1" applyFill="1" applyBorder="1" applyAlignment="1">
      <alignment horizontal="right" vertical="center"/>
    </xf>
    <xf numFmtId="0" fontId="5" fillId="33" borderId="44" xfId="34" applyFont="1" applyFill="1" applyBorder="1" applyAlignment="1" applyProtection="1">
      <alignment horizontal="left" vertical="center" indent="2"/>
      <protection/>
    </xf>
    <xf numFmtId="0" fontId="53" fillId="33" borderId="33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right" vertical="center"/>
    </xf>
    <xf numFmtId="0" fontId="53" fillId="33" borderId="0" xfId="34" applyFont="1" applyFill="1" applyBorder="1" applyAlignment="1" applyProtection="1">
      <alignment horizontal="left" vertical="center" indent="2"/>
      <protection/>
    </xf>
    <xf numFmtId="2" fontId="53" fillId="33" borderId="0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 vertical="center"/>
    </xf>
    <xf numFmtId="0" fontId="53" fillId="33" borderId="34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left" vertical="center" indent="2"/>
    </xf>
    <xf numFmtId="4" fontId="53" fillId="33" borderId="0" xfId="0" applyNumberFormat="1" applyFont="1" applyFill="1" applyBorder="1" applyAlignment="1">
      <alignment horizontal="center" vertical="center"/>
    </xf>
    <xf numFmtId="0" fontId="5" fillId="33" borderId="63" xfId="0" applyNumberFormat="1" applyFont="1" applyFill="1" applyBorder="1" applyAlignment="1">
      <alignment horizontal="left" vertical="center" indent="5"/>
    </xf>
    <xf numFmtId="2" fontId="5" fillId="33" borderId="63" xfId="34" applyNumberFormat="1" applyFont="1" applyFill="1" applyBorder="1" applyAlignment="1" applyProtection="1">
      <alignment horizontal="right" vertical="center"/>
      <protection/>
    </xf>
    <xf numFmtId="0" fontId="5" fillId="33" borderId="47" xfId="0" applyFont="1" applyFill="1" applyBorder="1" applyAlignment="1">
      <alignment horizontal="left" vertical="center" indent="1"/>
    </xf>
    <xf numFmtId="2" fontId="5" fillId="33" borderId="63" xfId="0" applyNumberFormat="1" applyFont="1" applyFill="1" applyBorder="1" applyAlignment="1">
      <alignment horizontal="right" vertical="center"/>
    </xf>
    <xf numFmtId="0" fontId="5" fillId="33" borderId="47" xfId="34" applyFont="1" applyFill="1" applyBorder="1" applyAlignment="1" applyProtection="1">
      <alignment horizontal="left" vertical="center" indent="1"/>
      <protection/>
    </xf>
    <xf numFmtId="0" fontId="56" fillId="33" borderId="62" xfId="0" applyFont="1" applyFill="1" applyBorder="1" applyAlignment="1">
      <alignment vertical="center"/>
    </xf>
    <xf numFmtId="0" fontId="56" fillId="33" borderId="62" xfId="0" applyFont="1" applyFill="1" applyBorder="1" applyAlignment="1">
      <alignment horizontal="left" vertical="center"/>
    </xf>
    <xf numFmtId="0" fontId="52" fillId="33" borderId="61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indent="2"/>
    </xf>
    <xf numFmtId="0" fontId="59" fillId="33" borderId="17" xfId="0" applyFont="1" applyFill="1" applyBorder="1" applyAlignment="1">
      <alignment horizontal="center" vertical="center"/>
    </xf>
    <xf numFmtId="2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 indent="1"/>
    </xf>
    <xf numFmtId="0" fontId="5" fillId="33" borderId="0" xfId="0" applyFont="1" applyFill="1" applyAlignment="1">
      <alignment horizontal="left" indent="3"/>
    </xf>
    <xf numFmtId="0" fontId="6" fillId="33" borderId="11" xfId="0" applyFont="1" applyFill="1" applyBorder="1" applyAlignment="1">
      <alignment vertical="center"/>
    </xf>
    <xf numFmtId="0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/>
    </xf>
    <xf numFmtId="0" fontId="5" fillId="33" borderId="23" xfId="0" applyFont="1" applyFill="1" applyBorder="1" applyAlignment="1">
      <alignment horizontal="left" indent="1"/>
    </xf>
    <xf numFmtId="0" fontId="5" fillId="33" borderId="17" xfId="0" applyFont="1" applyFill="1" applyBorder="1" applyAlignment="1">
      <alignment horizontal="left" indent="1"/>
    </xf>
    <xf numFmtId="41" fontId="5" fillId="33" borderId="17" xfId="0" applyNumberFormat="1" applyFont="1" applyFill="1" applyBorder="1" applyAlignment="1">
      <alignment/>
    </xf>
    <xf numFmtId="43" fontId="5" fillId="33" borderId="17" xfId="0" applyNumberFormat="1" applyFont="1" applyFill="1" applyBorder="1" applyAlignment="1">
      <alignment/>
    </xf>
    <xf numFmtId="0" fontId="5" fillId="33" borderId="0" xfId="0" applyNumberFormat="1" applyFont="1" applyFill="1" applyAlignment="1">
      <alignment horizontal="center" vertical="center"/>
    </xf>
    <xf numFmtId="0" fontId="60" fillId="33" borderId="11" xfId="0" applyFont="1" applyFill="1" applyBorder="1" applyAlignment="1">
      <alignment vertical="center"/>
    </xf>
    <xf numFmtId="0" fontId="23" fillId="33" borderId="0" xfId="0" applyNumberFormat="1" applyFont="1" applyFill="1" applyAlignment="1">
      <alignment vertical="center"/>
    </xf>
    <xf numFmtId="0" fontId="23" fillId="33" borderId="0" xfId="0" applyNumberFormat="1" applyFont="1" applyFill="1" applyAlignment="1">
      <alignment horizontal="center" vertical="center"/>
    </xf>
    <xf numFmtId="0" fontId="5" fillId="33" borderId="0" xfId="0" applyNumberFormat="1" applyFont="1" applyFill="1" applyAlignment="1">
      <alignment vertical="center"/>
    </xf>
    <xf numFmtId="0" fontId="5" fillId="33" borderId="0" xfId="0" applyNumberFormat="1" applyFont="1" applyFill="1" applyAlignment="1">
      <alignment horizontal="left" vertical="center"/>
    </xf>
    <xf numFmtId="0" fontId="61" fillId="33" borderId="0" xfId="0" applyNumberFormat="1" applyFont="1" applyFill="1" applyAlignment="1">
      <alignment vertical="center"/>
    </xf>
    <xf numFmtId="0" fontId="23" fillId="33" borderId="0" xfId="0" applyNumberFormat="1" applyFont="1" applyFill="1" applyAlignment="1">
      <alignment horizontal="left" vertical="center"/>
    </xf>
    <xf numFmtId="0" fontId="5" fillId="33" borderId="0" xfId="0" applyNumberFormat="1" applyFont="1" applyFill="1" applyAlignment="1">
      <alignment horizontal="left" vertical="center" indent="1"/>
    </xf>
    <xf numFmtId="0" fontId="5" fillId="33" borderId="0" xfId="0" applyNumberFormat="1" applyFont="1" applyFill="1" applyAlignment="1">
      <alignment horizontal="left" vertical="center" indent="2"/>
    </xf>
    <xf numFmtId="2" fontId="5" fillId="33" borderId="0" xfId="0" applyNumberFormat="1" applyFont="1" applyFill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vertical="center"/>
    </xf>
    <xf numFmtId="0" fontId="16" fillId="33" borderId="47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55" fillId="33" borderId="0" xfId="0" applyFont="1" applyFill="1" applyAlignment="1">
      <alignment vertical="top"/>
    </xf>
    <xf numFmtId="0" fontId="16" fillId="33" borderId="0" xfId="0" applyFont="1" applyFill="1" applyAlignment="1">
      <alignment vertical="top"/>
    </xf>
    <xf numFmtId="0" fontId="16" fillId="33" borderId="26" xfId="0" applyFont="1" applyFill="1" applyBorder="1" applyAlignment="1">
      <alignment horizontal="center" vertical="center"/>
    </xf>
    <xf numFmtId="2" fontId="16" fillId="33" borderId="28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left" indent="1"/>
    </xf>
    <xf numFmtId="0" fontId="55" fillId="33" borderId="0" xfId="0" applyFont="1" applyFill="1" applyBorder="1" applyAlignment="1">
      <alignment horizontal="left" vertical="center"/>
    </xf>
    <xf numFmtId="0" fontId="32" fillId="33" borderId="13" xfId="0" applyFont="1" applyFill="1" applyBorder="1" applyAlignment="1">
      <alignment horizontal="right"/>
    </xf>
    <xf numFmtId="0" fontId="2" fillId="49" borderId="64" xfId="0" applyFont="1" applyFill="1" applyBorder="1" applyAlignment="1">
      <alignment horizontal="center" vertical="center"/>
    </xf>
    <xf numFmtId="0" fontId="5" fillId="50" borderId="26" xfId="0" applyFont="1" applyFill="1" applyBorder="1" applyAlignment="1">
      <alignment horizontal="center" vertical="center"/>
    </xf>
    <xf numFmtId="2" fontId="5" fillId="6" borderId="16" xfId="0" applyNumberFormat="1" applyFont="1" applyFill="1" applyBorder="1" applyAlignment="1">
      <alignment horizontal="center" vertical="center"/>
    </xf>
    <xf numFmtId="3" fontId="5" fillId="6" borderId="16" xfId="0" applyNumberFormat="1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2" fillId="6" borderId="64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/>
    </xf>
    <xf numFmtId="2" fontId="5" fillId="6" borderId="16" xfId="0" applyNumberFormat="1" applyFont="1" applyFill="1" applyBorder="1" applyAlignment="1">
      <alignment horizontal="center"/>
    </xf>
    <xf numFmtId="200" fontId="5" fillId="6" borderId="16" xfId="0" applyNumberFormat="1" applyFont="1" applyFill="1" applyBorder="1" applyAlignment="1">
      <alignment horizontal="center"/>
    </xf>
    <xf numFmtId="0" fontId="5" fillId="6" borderId="16" xfId="0" applyNumberFormat="1" applyFont="1" applyFill="1" applyBorder="1" applyAlignment="1">
      <alignment horizontal="center"/>
    </xf>
    <xf numFmtId="0" fontId="5" fillId="6" borderId="26" xfId="0" applyNumberFormat="1" applyFont="1" applyFill="1" applyBorder="1" applyAlignment="1">
      <alignment horizontal="center"/>
    </xf>
    <xf numFmtId="0" fontId="5" fillId="51" borderId="16" xfId="0" applyFont="1" applyFill="1" applyBorder="1" applyAlignment="1">
      <alignment horizontal="center"/>
    </xf>
    <xf numFmtId="0" fontId="5" fillId="51" borderId="16" xfId="0" applyFont="1" applyFill="1" applyBorder="1" applyAlignment="1">
      <alignment horizontal="center" vertical="top"/>
    </xf>
    <xf numFmtId="201" fontId="5" fillId="51" borderId="16" xfId="0" applyNumberFormat="1" applyFont="1" applyFill="1" applyBorder="1" applyAlignment="1">
      <alignment horizontal="center" vertical="top"/>
    </xf>
    <xf numFmtId="0" fontId="99" fillId="33" borderId="62" xfId="0" applyFont="1" applyFill="1" applyBorder="1" applyAlignment="1">
      <alignment horizontal="left" vertical="center"/>
    </xf>
    <xf numFmtId="0" fontId="100" fillId="33" borderId="13" xfId="0" applyFont="1" applyFill="1" applyBorder="1" applyAlignment="1">
      <alignment horizontal="center"/>
    </xf>
    <xf numFmtId="0" fontId="101" fillId="33" borderId="10" xfId="0" applyFont="1" applyFill="1" applyBorder="1" applyAlignment="1">
      <alignment horizontal="left" vertical="center"/>
    </xf>
    <xf numFmtId="0" fontId="28" fillId="52" borderId="59" xfId="0" applyFont="1" applyFill="1" applyBorder="1" applyAlignment="1">
      <alignment horizontal="center" vertical="center" wrapText="1"/>
    </xf>
    <xf numFmtId="0" fontId="28" fillId="52" borderId="61" xfId="0" applyFont="1" applyFill="1" applyBorder="1" applyAlignment="1">
      <alignment horizontal="center" vertical="center" wrapText="1"/>
    </xf>
    <xf numFmtId="0" fontId="27" fillId="35" borderId="60" xfId="0" applyFont="1" applyFill="1" applyBorder="1" applyAlignment="1">
      <alignment horizontal="center" vertical="center"/>
    </xf>
    <xf numFmtId="0" fontId="27" fillId="35" borderId="62" xfId="0" applyFont="1" applyFill="1" applyBorder="1" applyAlignment="1">
      <alignment horizontal="center" vertical="center"/>
    </xf>
    <xf numFmtId="0" fontId="10" fillId="38" borderId="65" xfId="34" applyFill="1" applyBorder="1" applyAlignment="1" applyProtection="1">
      <alignment horizontal="center"/>
      <protection/>
    </xf>
    <xf numFmtId="0" fontId="10" fillId="38" borderId="66" xfId="34" applyFill="1" applyBorder="1" applyAlignment="1" applyProtection="1">
      <alignment horizontal="center"/>
      <protection/>
    </xf>
    <xf numFmtId="0" fontId="9" fillId="33" borderId="14" xfId="0" applyFont="1" applyFill="1" applyBorder="1" applyAlignment="1">
      <alignment horizontal="center"/>
    </xf>
    <xf numFmtId="0" fontId="40" fillId="41" borderId="65" xfId="34" applyFont="1" applyFill="1" applyBorder="1" applyAlignment="1" applyProtection="1">
      <alignment horizontal="center"/>
      <protection/>
    </xf>
    <xf numFmtId="0" fontId="40" fillId="41" borderId="66" xfId="34" applyFont="1" applyFill="1" applyBorder="1" applyAlignment="1" applyProtection="1">
      <alignment horizontal="center"/>
      <protection/>
    </xf>
    <xf numFmtId="0" fontId="40" fillId="36" borderId="65" xfId="34" applyFont="1" applyFill="1" applyBorder="1" applyAlignment="1" applyProtection="1">
      <alignment horizontal="center"/>
      <protection/>
    </xf>
    <xf numFmtId="0" fontId="40" fillId="36" borderId="66" xfId="34" applyFont="1" applyFill="1" applyBorder="1" applyAlignment="1" applyProtection="1">
      <alignment horizontal="center"/>
      <protection/>
    </xf>
    <xf numFmtId="0" fontId="32" fillId="33" borderId="23" xfId="0" applyFont="1" applyFill="1" applyBorder="1" applyAlignment="1">
      <alignment horizontal="center" vertical="center"/>
    </xf>
    <xf numFmtId="0" fontId="32" fillId="33" borderId="24" xfId="0" applyFont="1" applyFill="1" applyBorder="1" applyAlignment="1">
      <alignment horizontal="center" vertical="center"/>
    </xf>
    <xf numFmtId="2" fontId="32" fillId="33" borderId="17" xfId="0" applyNumberFormat="1" applyFont="1" applyFill="1" applyBorder="1" applyAlignment="1">
      <alignment horizontal="center" vertical="center"/>
    </xf>
    <xf numFmtId="0" fontId="32" fillId="33" borderId="17" xfId="0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horizontal="center" vertical="center"/>
    </xf>
    <xf numFmtId="0" fontId="29" fillId="38" borderId="67" xfId="34" applyFont="1" applyFill="1" applyBorder="1" applyAlignment="1" applyProtection="1">
      <alignment horizontal="center" vertical="center"/>
      <protection/>
    </xf>
    <xf numFmtId="0" fontId="29" fillId="38" borderId="68" xfId="34" applyFont="1" applyFill="1" applyBorder="1" applyAlignment="1" applyProtection="1">
      <alignment horizontal="center" vertical="center"/>
      <protection/>
    </xf>
    <xf numFmtId="0" fontId="29" fillId="38" borderId="69" xfId="34" applyFont="1" applyFill="1" applyBorder="1" applyAlignment="1" applyProtection="1">
      <alignment horizontal="center" vertical="center"/>
      <protection/>
    </xf>
    <xf numFmtId="199" fontId="32" fillId="33" borderId="13" xfId="0" applyNumberFormat="1" applyFont="1" applyFill="1" applyBorder="1" applyAlignment="1">
      <alignment horizontal="center"/>
    </xf>
    <xf numFmtId="199" fontId="32" fillId="33" borderId="15" xfId="0" applyNumberFormat="1" applyFont="1" applyFill="1" applyBorder="1" applyAlignment="1">
      <alignment horizontal="center"/>
    </xf>
    <xf numFmtId="0" fontId="33" fillId="33" borderId="12" xfId="0" applyFont="1" applyFill="1" applyBorder="1" applyAlignment="1">
      <alignment horizontal="center" vertical="center"/>
    </xf>
    <xf numFmtId="0" fontId="33" fillId="33" borderId="30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left" vertical="center"/>
    </xf>
    <xf numFmtId="200" fontId="32" fillId="33" borderId="0" xfId="0" applyNumberFormat="1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right" vertical="center"/>
    </xf>
    <xf numFmtId="0" fontId="32" fillId="33" borderId="0" xfId="0" applyFont="1" applyFill="1" applyBorder="1" applyAlignment="1">
      <alignment horizontal="center" vertical="center"/>
    </xf>
    <xf numFmtId="2" fontId="5" fillId="33" borderId="0" xfId="0" applyNumberFormat="1" applyFont="1" applyFill="1" applyAlignment="1">
      <alignment horizontal="center" vertical="center"/>
    </xf>
    <xf numFmtId="0" fontId="5" fillId="33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6" fillId="33" borderId="16" xfId="0" applyFont="1" applyFill="1" applyBorder="1" applyAlignment="1">
      <alignment horizontal="center"/>
    </xf>
    <xf numFmtId="0" fontId="1" fillId="33" borderId="62" xfId="0" applyFont="1" applyFill="1" applyBorder="1" applyAlignment="1">
      <alignment horizontal="right" vertical="center"/>
    </xf>
    <xf numFmtId="0" fontId="1" fillId="33" borderId="60" xfId="0" applyFont="1" applyFill="1" applyBorder="1" applyAlignment="1">
      <alignment horizontal="right" vertical="center"/>
    </xf>
    <xf numFmtId="0" fontId="1" fillId="33" borderId="70" xfId="0" applyFont="1" applyFill="1" applyBorder="1" applyAlignment="1">
      <alignment horizontal="right" vertical="center"/>
    </xf>
    <xf numFmtId="0" fontId="10" fillId="33" borderId="0" xfId="34" applyFont="1" applyFill="1" applyAlignment="1" applyProtection="1">
      <alignment horizontal="left"/>
      <protection/>
    </xf>
    <xf numFmtId="0" fontId="10" fillId="33" borderId="39" xfId="34" applyFont="1" applyFill="1" applyBorder="1" applyAlignment="1" applyProtection="1">
      <alignment horizontal="left"/>
      <protection/>
    </xf>
    <xf numFmtId="0" fontId="19" fillId="33" borderId="38" xfId="0" applyFont="1" applyFill="1" applyBorder="1" applyAlignment="1">
      <alignment horizontal="center"/>
    </xf>
    <xf numFmtId="0" fontId="3" fillId="33" borderId="62" xfId="0" applyFont="1" applyFill="1" applyBorder="1" applyAlignment="1">
      <alignment horizontal="center" vertical="top"/>
    </xf>
    <xf numFmtId="0" fontId="10" fillId="0" borderId="0" xfId="34" applyAlignment="1" applyProtection="1">
      <alignment horizontal="left"/>
      <protection/>
    </xf>
    <xf numFmtId="0" fontId="5" fillId="33" borderId="16" xfId="0" applyFont="1" applyFill="1" applyBorder="1" applyAlignment="1">
      <alignment horizontal="center"/>
    </xf>
    <xf numFmtId="0" fontId="51" fillId="35" borderId="65" xfId="34" applyFont="1" applyFill="1" applyBorder="1" applyAlignment="1" applyProtection="1">
      <alignment horizontal="center"/>
      <protection/>
    </xf>
    <xf numFmtId="0" fontId="51" fillId="35" borderId="71" xfId="34" applyFont="1" applyFill="1" applyBorder="1" applyAlignment="1" applyProtection="1">
      <alignment horizontal="center"/>
      <protection/>
    </xf>
    <xf numFmtId="0" fontId="51" fillId="35" borderId="66" xfId="34" applyFont="1" applyFill="1" applyBorder="1" applyAlignment="1" applyProtection="1">
      <alignment horizontal="center"/>
      <protection/>
    </xf>
    <xf numFmtId="0" fontId="5" fillId="51" borderId="49" xfId="0" applyFont="1" applyFill="1" applyBorder="1" applyAlignment="1">
      <alignment horizontal="center"/>
    </xf>
    <xf numFmtId="0" fontId="5" fillId="51" borderId="50" xfId="0" applyFont="1" applyFill="1" applyBorder="1" applyAlignment="1">
      <alignment horizontal="center"/>
    </xf>
    <xf numFmtId="0" fontId="5" fillId="51" borderId="49" xfId="0" applyFont="1" applyFill="1" applyBorder="1" applyAlignment="1">
      <alignment horizontal="center" vertical="center"/>
    </xf>
    <xf numFmtId="0" fontId="0" fillId="51" borderId="50" xfId="0" applyFill="1" applyBorder="1" applyAlignment="1">
      <alignment/>
    </xf>
    <xf numFmtId="0" fontId="40" fillId="42" borderId="65" xfId="34" applyFont="1" applyFill="1" applyBorder="1" applyAlignment="1" applyProtection="1">
      <alignment horizontal="center" vertical="center"/>
      <protection/>
    </xf>
    <xf numFmtId="0" fontId="40" fillId="42" borderId="66" xfId="34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5" fillId="33" borderId="63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5" fillId="33" borderId="72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2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46" fillId="33" borderId="23" xfId="34" applyFont="1" applyFill="1" applyBorder="1" applyAlignment="1" applyProtection="1">
      <alignment horizontal="center" vertical="center"/>
      <protection/>
    </xf>
    <xf numFmtId="0" fontId="46" fillId="33" borderId="44" xfId="34" applyFont="1" applyFill="1" applyBorder="1" applyAlignment="1" applyProtection="1">
      <alignment horizontal="center" vertical="center"/>
      <protection/>
    </xf>
    <xf numFmtId="0" fontId="46" fillId="33" borderId="24" xfId="34" applyFont="1" applyFill="1" applyBorder="1" applyAlignment="1" applyProtection="1">
      <alignment horizontal="center" vertical="center"/>
      <protection/>
    </xf>
    <xf numFmtId="0" fontId="5" fillId="33" borderId="23" xfId="0" applyNumberFormat="1" applyFont="1" applyFill="1" applyBorder="1" applyAlignment="1">
      <alignment horizontal="right" vertical="center"/>
    </xf>
    <xf numFmtId="0" fontId="5" fillId="33" borderId="44" xfId="0" applyNumberFormat="1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72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0" fillId="33" borderId="22" xfId="34" applyFont="1" applyFill="1" applyBorder="1" applyAlignment="1" applyProtection="1">
      <alignment horizontal="center" vertical="center"/>
      <protection/>
    </xf>
    <xf numFmtId="0" fontId="0" fillId="33" borderId="20" xfId="34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2" xfId="34" applyFont="1" applyFill="1" applyBorder="1" applyAlignment="1" applyProtection="1">
      <alignment horizontal="center" vertical="center"/>
      <protection/>
    </xf>
    <xf numFmtId="0" fontId="5" fillId="33" borderId="20" xfId="34" applyFont="1" applyFill="1" applyBorder="1" applyAlignment="1" applyProtection="1">
      <alignment horizontal="center" vertical="center"/>
      <protection/>
    </xf>
    <xf numFmtId="43" fontId="5" fillId="33" borderId="16" xfId="0" applyNumberFormat="1" applyFont="1" applyFill="1" applyBorder="1" applyAlignment="1">
      <alignment horizontal="left" vertical="center"/>
    </xf>
    <xf numFmtId="43" fontId="5" fillId="33" borderId="73" xfId="0" applyNumberFormat="1" applyFont="1" applyFill="1" applyBorder="1" applyAlignment="1">
      <alignment horizontal="left" vertical="center"/>
    </xf>
    <xf numFmtId="0" fontId="5" fillId="33" borderId="74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22" fillId="33" borderId="76" xfId="0" applyFont="1" applyFill="1" applyBorder="1" applyAlignment="1">
      <alignment horizontal="center" vertical="center"/>
    </xf>
    <xf numFmtId="0" fontId="22" fillId="33" borderId="77" xfId="0" applyFont="1" applyFill="1" applyBorder="1" applyAlignment="1">
      <alignment horizontal="center" vertical="center"/>
    </xf>
    <xf numFmtId="0" fontId="22" fillId="33" borderId="78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43" fontId="24" fillId="33" borderId="74" xfId="0" applyNumberFormat="1" applyFont="1" applyFill="1" applyBorder="1" applyAlignment="1">
      <alignment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79" xfId="0" applyFont="1" applyFill="1" applyBorder="1" applyAlignment="1">
      <alignment horizontal="center" vertical="center"/>
    </xf>
    <xf numFmtId="0" fontId="10" fillId="33" borderId="0" xfId="34" applyFill="1" applyAlignment="1" applyProtection="1">
      <alignment horizontal="center" vertical="center"/>
      <protection/>
    </xf>
    <xf numFmtId="41" fontId="5" fillId="33" borderId="16" xfId="0" applyNumberFormat="1" applyFont="1" applyFill="1" applyBorder="1" applyAlignment="1">
      <alignment horizontal="center" vertical="center"/>
    </xf>
    <xf numFmtId="43" fontId="24" fillId="33" borderId="38" xfId="0" applyNumberFormat="1" applyFont="1" applyFill="1" applyBorder="1" applyAlignment="1">
      <alignment horizontal="left" vertical="center"/>
    </xf>
    <xf numFmtId="0" fontId="6" fillId="38" borderId="49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6" fillId="38" borderId="50" xfId="0" applyFont="1" applyFill="1" applyBorder="1" applyAlignment="1">
      <alignment horizontal="center" vertical="center"/>
    </xf>
    <xf numFmtId="0" fontId="6" fillId="44" borderId="0" xfId="0" applyFont="1" applyFill="1" applyBorder="1" applyAlignment="1">
      <alignment horizontal="center" vertical="center"/>
    </xf>
    <xf numFmtId="0" fontId="6" fillId="39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4" fontId="24" fillId="33" borderId="57" xfId="0" applyNumberFormat="1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 textRotation="90"/>
    </xf>
    <xf numFmtId="0" fontId="6" fillId="36" borderId="27" xfId="0" applyFont="1" applyFill="1" applyBorder="1" applyAlignment="1">
      <alignment horizontal="center" vertical="center" textRotation="90"/>
    </xf>
    <xf numFmtId="0" fontId="6" fillId="36" borderId="28" xfId="0" applyFont="1" applyFill="1" applyBorder="1" applyAlignment="1">
      <alignment horizontal="center" vertical="center" textRotation="90"/>
    </xf>
    <xf numFmtId="2" fontId="5" fillId="33" borderId="0" xfId="0" applyNumberFormat="1" applyFont="1" applyFill="1" applyAlignment="1">
      <alignment horizontal="center"/>
    </xf>
    <xf numFmtId="0" fontId="5" fillId="33" borderId="17" xfId="0" applyNumberFormat="1" applyFont="1" applyFill="1" applyBorder="1" applyAlignment="1">
      <alignment horizontal="center"/>
    </xf>
    <xf numFmtId="43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5" fillId="44" borderId="25" xfId="0" applyFont="1" applyFill="1" applyBorder="1" applyAlignment="1">
      <alignment horizontal="left" vertical="center"/>
    </xf>
    <xf numFmtId="0" fontId="5" fillId="44" borderId="13" xfId="0" applyFont="1" applyFill="1" applyBorder="1" applyAlignment="1">
      <alignment horizontal="left" vertical="center"/>
    </xf>
    <xf numFmtId="0" fontId="5" fillId="44" borderId="29" xfId="0" applyFont="1" applyFill="1" applyBorder="1" applyAlignment="1">
      <alignment horizontal="left" vertical="center"/>
    </xf>
    <xf numFmtId="0" fontId="5" fillId="44" borderId="12" xfId="0" applyFont="1" applyFill="1" applyBorder="1" applyAlignment="1">
      <alignment horizontal="left" vertical="center"/>
    </xf>
    <xf numFmtId="0" fontId="5" fillId="35" borderId="49" xfId="0" applyFont="1" applyFill="1" applyBorder="1" applyAlignment="1">
      <alignment horizontal="left" vertical="center"/>
    </xf>
    <xf numFmtId="0" fontId="5" fillId="35" borderId="14" xfId="0" applyFont="1" applyFill="1" applyBorder="1" applyAlignment="1">
      <alignment horizontal="left" vertical="center"/>
    </xf>
    <xf numFmtId="0" fontId="10" fillId="42" borderId="65" xfId="34" applyFill="1" applyBorder="1" applyAlignment="1" applyProtection="1">
      <alignment horizontal="center" vertical="center"/>
      <protection/>
    </xf>
    <xf numFmtId="0" fontId="10" fillId="42" borderId="66" xfId="34" applyFill="1" applyBorder="1" applyAlignment="1" applyProtection="1">
      <alignment horizontal="center" vertical="center"/>
      <protection/>
    </xf>
    <xf numFmtId="0" fontId="3" fillId="33" borderId="62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0" fontId="5" fillId="6" borderId="5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indent="2"/>
    </xf>
    <xf numFmtId="0" fontId="10" fillId="33" borderId="0" xfId="34" applyFill="1" applyBorder="1" applyAlignment="1" applyProtection="1">
      <alignment horizontal="center" vertical="center"/>
      <protection/>
    </xf>
    <xf numFmtId="0" fontId="21" fillId="53" borderId="49" xfId="0" applyFont="1" applyFill="1" applyBorder="1" applyAlignment="1">
      <alignment horizontal="left" vertical="center" wrapText="1"/>
    </xf>
    <xf numFmtId="0" fontId="21" fillId="53" borderId="14" xfId="0" applyFont="1" applyFill="1" applyBorder="1" applyAlignment="1">
      <alignment horizontal="left" vertical="center" wrapText="1"/>
    </xf>
    <xf numFmtId="0" fontId="21" fillId="53" borderId="50" xfId="0" applyFont="1" applyFill="1" applyBorder="1" applyAlignment="1">
      <alignment horizontal="left" vertical="center" wrapText="1"/>
    </xf>
    <xf numFmtId="0" fontId="20" fillId="0" borderId="25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38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39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10" fillId="33" borderId="13" xfId="34" applyFill="1" applyBorder="1" applyAlignment="1" applyProtection="1">
      <alignment horizontal="center" vertical="center"/>
      <protection/>
    </xf>
    <xf numFmtId="0" fontId="5" fillId="48" borderId="49" xfId="0" applyFont="1" applyFill="1" applyBorder="1" applyAlignment="1">
      <alignment horizontal="center" vertical="center"/>
    </xf>
    <xf numFmtId="0" fontId="5" fillId="48" borderId="14" xfId="0" applyFont="1" applyFill="1" applyBorder="1" applyAlignment="1">
      <alignment horizontal="center" vertical="center"/>
    </xf>
    <xf numFmtId="0" fontId="5" fillId="48" borderId="50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/>
    </xf>
    <xf numFmtId="0" fontId="9" fillId="34" borderId="50" xfId="0" applyFont="1" applyFill="1" applyBorder="1" applyAlignment="1">
      <alignment horizontal="center" vertical="center"/>
    </xf>
    <xf numFmtId="0" fontId="10" fillId="33" borderId="13" xfId="34" applyFill="1" applyBorder="1" applyAlignment="1" applyProtection="1">
      <alignment horizontal="center" vertical="center" wrapText="1"/>
      <protection/>
    </xf>
    <xf numFmtId="0" fontId="22" fillId="36" borderId="49" xfId="0" applyFont="1" applyFill="1" applyBorder="1" applyAlignment="1">
      <alignment horizontal="center" vertical="center"/>
    </xf>
    <xf numFmtId="0" fontId="22" fillId="36" borderId="14" xfId="0" applyFont="1" applyFill="1" applyBorder="1" applyAlignment="1">
      <alignment horizontal="center" vertical="center"/>
    </xf>
    <xf numFmtId="0" fontId="22" fillId="36" borderId="50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38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39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21" fillId="53" borderId="49" xfId="0" applyFont="1" applyFill="1" applyBorder="1" applyAlignment="1">
      <alignment horizontal="center" vertical="center" wrapText="1"/>
    </xf>
    <xf numFmtId="0" fontId="21" fillId="53" borderId="14" xfId="0" applyFont="1" applyFill="1" applyBorder="1" applyAlignment="1">
      <alignment horizontal="center" vertical="center" wrapText="1"/>
    </xf>
    <xf numFmtId="0" fontId="21" fillId="53" borderId="50" xfId="0" applyFont="1" applyFill="1" applyBorder="1" applyAlignment="1">
      <alignment horizontal="center" vertical="center" wrapText="1"/>
    </xf>
    <xf numFmtId="0" fontId="6" fillId="38" borderId="25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29" xfId="0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/>
    </xf>
    <xf numFmtId="0" fontId="25" fillId="54" borderId="16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wrapText="1"/>
    </xf>
    <xf numFmtId="0" fontId="20" fillId="33" borderId="13" xfId="0" applyFont="1" applyFill="1" applyBorder="1" applyAlignment="1">
      <alignment horizontal="center" wrapText="1"/>
    </xf>
    <xf numFmtId="0" fontId="20" fillId="33" borderId="15" xfId="0" applyFont="1" applyFill="1" applyBorder="1" applyAlignment="1">
      <alignment horizontal="center" wrapText="1"/>
    </xf>
    <xf numFmtId="0" fontId="20" fillId="33" borderId="38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center" wrapText="1"/>
    </xf>
    <xf numFmtId="0" fontId="20" fillId="33" borderId="39" xfId="0" applyFont="1" applyFill="1" applyBorder="1" applyAlignment="1">
      <alignment horizontal="center" wrapText="1"/>
    </xf>
    <xf numFmtId="0" fontId="20" fillId="33" borderId="29" xfId="0" applyFont="1" applyFill="1" applyBorder="1" applyAlignment="1">
      <alignment horizontal="center" wrapText="1"/>
    </xf>
    <xf numFmtId="0" fontId="20" fillId="33" borderId="12" xfId="0" applyFont="1" applyFill="1" applyBorder="1" applyAlignment="1">
      <alignment horizontal="center" wrapText="1"/>
    </xf>
    <xf numFmtId="0" fontId="20" fillId="33" borderId="30" xfId="0" applyFont="1" applyFill="1" applyBorder="1" applyAlignment="1">
      <alignment horizontal="center" wrapText="1"/>
    </xf>
    <xf numFmtId="0" fontId="21" fillId="53" borderId="49" xfId="0" applyFont="1" applyFill="1" applyBorder="1" applyAlignment="1">
      <alignment horizontal="left" vertical="center"/>
    </xf>
    <xf numFmtId="0" fontId="21" fillId="53" borderId="14" xfId="0" applyFont="1" applyFill="1" applyBorder="1" applyAlignment="1">
      <alignment horizontal="left" vertical="center"/>
    </xf>
    <xf numFmtId="0" fontId="21" fillId="53" borderId="50" xfId="0" applyFont="1" applyFill="1" applyBorder="1" applyAlignment="1">
      <alignment horizontal="left" vertical="center"/>
    </xf>
    <xf numFmtId="0" fontId="5" fillId="35" borderId="38" xfId="0" applyNumberFormat="1" applyFont="1" applyFill="1" applyBorder="1" applyAlignment="1">
      <alignment horizontal="left" vertical="center" wrapText="1"/>
    </xf>
    <xf numFmtId="0" fontId="5" fillId="35" borderId="0" xfId="0" applyNumberFormat="1" applyFont="1" applyFill="1" applyBorder="1" applyAlignment="1">
      <alignment horizontal="left" vertical="center" wrapText="1"/>
    </xf>
    <xf numFmtId="0" fontId="5" fillId="35" borderId="39" xfId="0" applyNumberFormat="1" applyFont="1" applyFill="1" applyBorder="1" applyAlignment="1">
      <alignment horizontal="left" vertical="center" wrapText="1"/>
    </xf>
    <xf numFmtId="0" fontId="5" fillId="35" borderId="29" xfId="0" applyNumberFormat="1" applyFont="1" applyFill="1" applyBorder="1" applyAlignment="1">
      <alignment horizontal="left" vertical="center" wrapText="1"/>
    </xf>
    <xf numFmtId="0" fontId="5" fillId="35" borderId="12" xfId="0" applyNumberFormat="1" applyFont="1" applyFill="1" applyBorder="1" applyAlignment="1">
      <alignment horizontal="left" vertical="center" wrapText="1"/>
    </xf>
    <xf numFmtId="0" fontId="5" fillId="35" borderId="30" xfId="0" applyNumberFormat="1" applyFont="1" applyFill="1" applyBorder="1" applyAlignment="1">
      <alignment horizontal="left" vertical="center" wrapText="1"/>
    </xf>
    <xf numFmtId="2" fontId="5" fillId="33" borderId="26" xfId="0" applyNumberFormat="1" applyFont="1" applyFill="1" applyBorder="1" applyAlignment="1">
      <alignment horizontal="center" vertical="center" wrapText="1"/>
    </xf>
    <xf numFmtId="2" fontId="5" fillId="33" borderId="28" xfId="0" applyNumberFormat="1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horizontal="left" vertical="center" wrapText="1"/>
    </xf>
    <xf numFmtId="0" fontId="5" fillId="35" borderId="39" xfId="0" applyFont="1" applyFill="1" applyBorder="1" applyAlignment="1">
      <alignment horizontal="left" vertical="center" wrapText="1"/>
    </xf>
    <xf numFmtId="2" fontId="24" fillId="35" borderId="13" xfId="0" applyNumberFormat="1" applyFont="1" applyFill="1" applyBorder="1" applyAlignment="1">
      <alignment horizontal="center" vertical="center" wrapText="1"/>
    </xf>
    <xf numFmtId="2" fontId="24" fillId="35" borderId="12" xfId="0" applyNumberFormat="1" applyFont="1" applyFill="1" applyBorder="1" applyAlignment="1">
      <alignment horizontal="center" vertical="center" wrapText="1"/>
    </xf>
    <xf numFmtId="0" fontId="9" fillId="35" borderId="49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50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24" fillId="35" borderId="25" xfId="0" applyFont="1" applyFill="1" applyBorder="1" applyAlignment="1">
      <alignment horizontal="right" vertical="center" wrapText="1"/>
    </xf>
    <xf numFmtId="0" fontId="24" fillId="35" borderId="29" xfId="0" applyFont="1" applyFill="1" applyBorder="1" applyAlignment="1">
      <alignment horizontal="right" vertical="center" wrapText="1"/>
    </xf>
    <xf numFmtId="0" fontId="24" fillId="35" borderId="15" xfId="0" applyFont="1" applyFill="1" applyBorder="1" applyAlignment="1">
      <alignment horizontal="left" vertical="center" wrapText="1"/>
    </xf>
    <xf numFmtId="0" fontId="24" fillId="35" borderId="30" xfId="0" applyFont="1" applyFill="1" applyBorder="1" applyAlignment="1">
      <alignment horizontal="left" vertical="center" wrapText="1"/>
    </xf>
    <xf numFmtId="0" fontId="9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29" xfId="0" applyFont="1" applyFill="1" applyBorder="1" applyAlignment="1">
      <alignment horizontal="left" vertical="center" wrapText="1"/>
    </xf>
    <xf numFmtId="0" fontId="5" fillId="34" borderId="30" xfId="0" applyFont="1" applyFill="1" applyBorder="1" applyAlignment="1">
      <alignment horizontal="left" vertical="center" wrapText="1"/>
    </xf>
    <xf numFmtId="0" fontId="23" fillId="48" borderId="16" xfId="0" applyFont="1" applyFill="1" applyBorder="1" applyAlignment="1">
      <alignment horizontal="center" vertical="center"/>
    </xf>
    <xf numFmtId="0" fontId="0" fillId="38" borderId="13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30" xfId="0" applyFill="1" applyBorder="1" applyAlignment="1">
      <alignment/>
    </xf>
    <xf numFmtId="0" fontId="5" fillId="34" borderId="38" xfId="0" applyFont="1" applyFill="1" applyBorder="1" applyAlignment="1">
      <alignment horizontal="left" vertical="top"/>
    </xf>
    <xf numFmtId="0" fontId="5" fillId="34" borderId="39" xfId="0" applyFont="1" applyFill="1" applyBorder="1" applyAlignment="1">
      <alignment horizontal="left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25.emf" /><Relationship Id="rId3" Type="http://schemas.openxmlformats.org/officeDocument/2006/relationships/image" Target="../media/image20.emf" /><Relationship Id="rId4" Type="http://schemas.openxmlformats.org/officeDocument/2006/relationships/image" Target="../media/image32.emf" /><Relationship Id="rId5" Type="http://schemas.openxmlformats.org/officeDocument/2006/relationships/image" Target="../media/image27.emf" /><Relationship Id="rId6" Type="http://schemas.openxmlformats.org/officeDocument/2006/relationships/image" Target="../media/image30.emf" /><Relationship Id="rId7" Type="http://schemas.openxmlformats.org/officeDocument/2006/relationships/image" Target="../media/image30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8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21.emf" /><Relationship Id="rId3" Type="http://schemas.openxmlformats.org/officeDocument/2006/relationships/image" Target="../media/image28.emf" /><Relationship Id="rId4" Type="http://schemas.openxmlformats.org/officeDocument/2006/relationships/image" Target="../media/image23.emf" /><Relationship Id="rId5" Type="http://schemas.openxmlformats.org/officeDocument/2006/relationships/image" Target="../media/image24.emf" /><Relationship Id="rId6" Type="http://schemas.openxmlformats.org/officeDocument/2006/relationships/image" Target="../media/image27.emf" /><Relationship Id="rId7" Type="http://schemas.openxmlformats.org/officeDocument/2006/relationships/image" Target="../media/image26.emf" /><Relationship Id="rId8" Type="http://schemas.openxmlformats.org/officeDocument/2006/relationships/image" Target="../media/image29.emf" /><Relationship Id="rId9" Type="http://schemas.openxmlformats.org/officeDocument/2006/relationships/image" Target="../media/image22.emf" /><Relationship Id="rId10" Type="http://schemas.openxmlformats.org/officeDocument/2006/relationships/image" Target="../media/image3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3</xdr:col>
      <xdr:colOff>0</xdr:colOff>
      <xdr:row>4</xdr:row>
      <xdr:rowOff>0</xdr:rowOff>
    </xdr:to>
    <xdr:pic>
      <xdr:nvPicPr>
        <xdr:cNvPr id="1" name="Picture 1" descr="R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61925"/>
          <a:ext cx="6086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11</xdr:row>
      <xdr:rowOff>0</xdr:rowOff>
    </xdr:from>
    <xdr:ext cx="57150" cy="57150"/>
    <xdr:sp>
      <xdr:nvSpPr>
        <xdr:cNvPr id="2" name="AutoShape 4" descr="point"/>
        <xdr:cNvSpPr>
          <a:spLocks noChangeAspect="1"/>
        </xdr:cNvSpPr>
      </xdr:nvSpPr>
      <xdr:spPr>
        <a:xfrm>
          <a:off x="552450" y="33147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7150" cy="57150"/>
    <xdr:sp>
      <xdr:nvSpPr>
        <xdr:cNvPr id="3" name="AutoShape 5" descr="point"/>
        <xdr:cNvSpPr>
          <a:spLocks noChangeAspect="1"/>
        </xdr:cNvSpPr>
      </xdr:nvSpPr>
      <xdr:spPr>
        <a:xfrm>
          <a:off x="552450" y="33147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7150" cy="57150"/>
    <xdr:sp>
      <xdr:nvSpPr>
        <xdr:cNvPr id="4" name="AutoShape 6" descr="point"/>
        <xdr:cNvSpPr>
          <a:spLocks noChangeAspect="1"/>
        </xdr:cNvSpPr>
      </xdr:nvSpPr>
      <xdr:spPr>
        <a:xfrm>
          <a:off x="552450" y="33147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7150" cy="57150"/>
    <xdr:sp>
      <xdr:nvSpPr>
        <xdr:cNvPr id="5" name="AutoShape 7" descr="point"/>
        <xdr:cNvSpPr>
          <a:spLocks noChangeAspect="1"/>
        </xdr:cNvSpPr>
      </xdr:nvSpPr>
      <xdr:spPr>
        <a:xfrm>
          <a:off x="552450" y="33147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7150" cy="57150"/>
    <xdr:sp>
      <xdr:nvSpPr>
        <xdr:cNvPr id="6" name="AutoShape 8" descr="point"/>
        <xdr:cNvSpPr>
          <a:spLocks noChangeAspect="1"/>
        </xdr:cNvSpPr>
      </xdr:nvSpPr>
      <xdr:spPr>
        <a:xfrm>
          <a:off x="552450" y="33147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7150" cy="57150"/>
    <xdr:sp>
      <xdr:nvSpPr>
        <xdr:cNvPr id="7" name="AutoShape 9" descr="point"/>
        <xdr:cNvSpPr>
          <a:spLocks noChangeAspect="1"/>
        </xdr:cNvSpPr>
      </xdr:nvSpPr>
      <xdr:spPr>
        <a:xfrm>
          <a:off x="552450" y="33147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7150" cy="57150"/>
    <xdr:sp>
      <xdr:nvSpPr>
        <xdr:cNvPr id="8" name="AutoShape 10" descr="point"/>
        <xdr:cNvSpPr>
          <a:spLocks noChangeAspect="1"/>
        </xdr:cNvSpPr>
      </xdr:nvSpPr>
      <xdr:spPr>
        <a:xfrm>
          <a:off x="552450" y="33147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7150" cy="57150"/>
    <xdr:sp>
      <xdr:nvSpPr>
        <xdr:cNvPr id="9" name="AutoShape 11" descr="point"/>
        <xdr:cNvSpPr>
          <a:spLocks noChangeAspect="1"/>
        </xdr:cNvSpPr>
      </xdr:nvSpPr>
      <xdr:spPr>
        <a:xfrm>
          <a:off x="552450" y="33147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57150" cy="57150"/>
    <xdr:sp>
      <xdr:nvSpPr>
        <xdr:cNvPr id="10" name="AutoShape 12" descr="point"/>
        <xdr:cNvSpPr>
          <a:spLocks noChangeAspect="1"/>
        </xdr:cNvSpPr>
      </xdr:nvSpPr>
      <xdr:spPr>
        <a:xfrm>
          <a:off x="552450" y="33147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57150" cy="57150"/>
    <xdr:sp>
      <xdr:nvSpPr>
        <xdr:cNvPr id="11" name="AutoShape 13" descr="point"/>
        <xdr:cNvSpPr>
          <a:spLocks noChangeAspect="1"/>
        </xdr:cNvSpPr>
      </xdr:nvSpPr>
      <xdr:spPr>
        <a:xfrm>
          <a:off x="6648450" y="33147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57150" cy="57150"/>
    <xdr:sp>
      <xdr:nvSpPr>
        <xdr:cNvPr id="12" name="AutoShape 14" descr="point"/>
        <xdr:cNvSpPr>
          <a:spLocks noChangeAspect="1"/>
        </xdr:cNvSpPr>
      </xdr:nvSpPr>
      <xdr:spPr>
        <a:xfrm>
          <a:off x="6648450" y="33147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57150" cy="57150"/>
    <xdr:sp>
      <xdr:nvSpPr>
        <xdr:cNvPr id="13" name="AutoShape 15" descr="point"/>
        <xdr:cNvSpPr>
          <a:spLocks noChangeAspect="1"/>
        </xdr:cNvSpPr>
      </xdr:nvSpPr>
      <xdr:spPr>
        <a:xfrm>
          <a:off x="6648450" y="33147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57150" cy="57150"/>
    <xdr:sp>
      <xdr:nvSpPr>
        <xdr:cNvPr id="14" name="AutoShape 16" descr="point"/>
        <xdr:cNvSpPr>
          <a:spLocks noChangeAspect="1"/>
        </xdr:cNvSpPr>
      </xdr:nvSpPr>
      <xdr:spPr>
        <a:xfrm>
          <a:off x="6648450" y="33147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57150" cy="57150"/>
    <xdr:sp>
      <xdr:nvSpPr>
        <xdr:cNvPr id="15" name="AutoShape 17" descr="point"/>
        <xdr:cNvSpPr>
          <a:spLocks noChangeAspect="1"/>
        </xdr:cNvSpPr>
      </xdr:nvSpPr>
      <xdr:spPr>
        <a:xfrm>
          <a:off x="6648450" y="33147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57150" cy="57150"/>
    <xdr:sp>
      <xdr:nvSpPr>
        <xdr:cNvPr id="16" name="AutoShape 18" descr="point"/>
        <xdr:cNvSpPr>
          <a:spLocks noChangeAspect="1"/>
        </xdr:cNvSpPr>
      </xdr:nvSpPr>
      <xdr:spPr>
        <a:xfrm>
          <a:off x="6648450" y="33147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57150" cy="57150"/>
    <xdr:sp>
      <xdr:nvSpPr>
        <xdr:cNvPr id="17" name="AutoShape 19" descr="point"/>
        <xdr:cNvSpPr>
          <a:spLocks noChangeAspect="1"/>
        </xdr:cNvSpPr>
      </xdr:nvSpPr>
      <xdr:spPr>
        <a:xfrm>
          <a:off x="6648450" y="3314700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3</xdr:row>
      <xdr:rowOff>114300</xdr:rowOff>
    </xdr:from>
    <xdr:to>
      <xdr:col>4</xdr:col>
      <xdr:colOff>409575</xdr:colOff>
      <xdr:row>4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428875" y="971550"/>
          <a:ext cx="1143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17</xdr:row>
      <xdr:rowOff>152400</xdr:rowOff>
    </xdr:from>
    <xdr:to>
      <xdr:col>4</xdr:col>
      <xdr:colOff>676275</xdr:colOff>
      <xdr:row>18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2695575" y="4533900"/>
          <a:ext cx="11430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</xdr:colOff>
      <xdr:row>8</xdr:row>
      <xdr:rowOff>228600</xdr:rowOff>
    </xdr:from>
    <xdr:to>
      <xdr:col>7</xdr:col>
      <xdr:colOff>180975</xdr:colOff>
      <xdr:row>15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23900" y="2266950"/>
          <a:ext cx="3724275" cy="1590675"/>
          <a:chOff x="452" y="321"/>
          <a:chExt cx="388" cy="179"/>
        </a:xfrm>
        <a:solidFill>
          <a:srgbClr val="FFFFFF"/>
        </a:solidFill>
      </xdr:grpSpPr>
      <xdr:sp>
        <xdr:nvSpPr>
          <xdr:cNvPr id="4" name="Rectangle 4"/>
          <xdr:cNvSpPr>
            <a:spLocks/>
          </xdr:cNvSpPr>
        </xdr:nvSpPr>
        <xdr:spPr>
          <a:xfrm>
            <a:off x="456" y="420"/>
            <a:ext cx="353" cy="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465" y="417"/>
            <a:ext cx="334" cy="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490" y="42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525" y="42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560" y="42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595" y="42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10"/>
          <xdr:cNvSpPr>
            <a:spLocks/>
          </xdr:cNvSpPr>
        </xdr:nvSpPr>
        <xdr:spPr>
          <a:xfrm>
            <a:off x="630" y="42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11"/>
          <xdr:cNvSpPr>
            <a:spLocks/>
          </xdr:cNvSpPr>
        </xdr:nvSpPr>
        <xdr:spPr>
          <a:xfrm>
            <a:off x="665" y="42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701" y="42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456" y="399"/>
            <a:ext cx="87" cy="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723" y="399"/>
            <a:ext cx="87" cy="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465" y="402"/>
            <a:ext cx="70" cy="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732" y="403"/>
            <a:ext cx="68" cy="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rot="2700000">
            <a:off x="523" y="394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 rot="18900000">
            <a:off x="724" y="412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744" y="393"/>
            <a:ext cx="2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835" y="389"/>
            <a:ext cx="0" cy="4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rot="18900000">
            <a:off x="832" y="393"/>
            <a:ext cx="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rot="18900000">
            <a:off x="832" y="431"/>
            <a:ext cx="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23"/>
          <xdr:cNvSpPr>
            <a:spLocks/>
          </xdr:cNvSpPr>
        </xdr:nvSpPr>
        <xdr:spPr>
          <a:xfrm>
            <a:off x="736" y="42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Oval 24"/>
          <xdr:cNvSpPr>
            <a:spLocks/>
          </xdr:cNvSpPr>
        </xdr:nvSpPr>
        <xdr:spPr>
          <a:xfrm>
            <a:off x="772" y="42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816" y="431"/>
            <a:ext cx="2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816" y="393"/>
            <a:ext cx="2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7" name="Group 27"/>
          <xdr:cNvGrpSpPr>
            <a:grpSpLocks/>
          </xdr:cNvGrpSpPr>
        </xdr:nvGrpSpPr>
        <xdr:grpSpPr>
          <a:xfrm>
            <a:off x="465" y="470"/>
            <a:ext cx="335" cy="30"/>
            <a:chOff x="83" y="455"/>
            <a:chExt cx="262" cy="37"/>
          </a:xfrm>
          <a:solidFill>
            <a:srgbClr val="FFFFFF"/>
          </a:solidFill>
        </xdr:grpSpPr>
        <xdr:sp>
          <xdr:nvSpPr>
            <xdr:cNvPr id="28" name="AutoShape 28"/>
            <xdr:cNvSpPr>
              <a:spLocks/>
            </xdr:cNvSpPr>
          </xdr:nvSpPr>
          <xdr:spPr>
            <a:xfrm flipV="1">
              <a:off x="89" y="455"/>
              <a:ext cx="0" cy="37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AutoShape 29"/>
            <xdr:cNvSpPr>
              <a:spLocks/>
            </xdr:cNvSpPr>
          </xdr:nvSpPr>
          <xdr:spPr>
            <a:xfrm flipV="1">
              <a:off x="339" y="455"/>
              <a:ext cx="0" cy="37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0"/>
            <xdr:cNvSpPr>
              <a:spLocks/>
            </xdr:cNvSpPr>
          </xdr:nvSpPr>
          <xdr:spPr>
            <a:xfrm>
              <a:off x="89" y="486"/>
              <a:ext cx="250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oval"/>
              <a:tailEnd type="oval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1"/>
            <xdr:cNvSpPr>
              <a:spLocks/>
            </xdr:cNvSpPr>
          </xdr:nvSpPr>
          <xdr:spPr>
            <a:xfrm>
              <a:off x="83" y="486"/>
              <a:ext cx="1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32"/>
            <xdr:cNvSpPr>
              <a:spLocks/>
            </xdr:cNvSpPr>
          </xdr:nvSpPr>
          <xdr:spPr>
            <a:xfrm>
              <a:off x="329" y="486"/>
              <a:ext cx="1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3" name="Group 33"/>
          <xdr:cNvGrpSpPr>
            <a:grpSpLocks/>
          </xdr:cNvGrpSpPr>
        </xdr:nvGrpSpPr>
        <xdr:grpSpPr>
          <a:xfrm>
            <a:off x="533" y="470"/>
            <a:ext cx="7" cy="30"/>
            <a:chOff x="286" y="455"/>
            <a:chExt cx="7" cy="37"/>
          </a:xfrm>
          <a:solidFill>
            <a:srgbClr val="FFFFFF"/>
          </a:solidFill>
        </xdr:grpSpPr>
        <xdr:sp>
          <xdr:nvSpPr>
            <xdr:cNvPr id="34" name="AutoShape 34"/>
            <xdr:cNvSpPr>
              <a:spLocks/>
            </xdr:cNvSpPr>
          </xdr:nvSpPr>
          <xdr:spPr>
            <a:xfrm flipV="1">
              <a:off x="289" y="455"/>
              <a:ext cx="0" cy="37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5"/>
            <xdr:cNvSpPr>
              <a:spLocks/>
            </xdr:cNvSpPr>
          </xdr:nvSpPr>
          <xdr:spPr>
            <a:xfrm rot="18900000">
              <a:off x="286" y="486"/>
              <a:ext cx="7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" name="Group 36"/>
          <xdr:cNvGrpSpPr>
            <a:grpSpLocks/>
          </xdr:cNvGrpSpPr>
        </xdr:nvGrpSpPr>
        <xdr:grpSpPr>
          <a:xfrm>
            <a:off x="725" y="470"/>
            <a:ext cx="7" cy="30"/>
            <a:chOff x="286" y="455"/>
            <a:chExt cx="7" cy="37"/>
          </a:xfrm>
          <a:solidFill>
            <a:srgbClr val="FFFFFF"/>
          </a:solidFill>
        </xdr:grpSpPr>
        <xdr:sp>
          <xdr:nvSpPr>
            <xdr:cNvPr id="37" name="AutoShape 37"/>
            <xdr:cNvSpPr>
              <a:spLocks/>
            </xdr:cNvSpPr>
          </xdr:nvSpPr>
          <xdr:spPr>
            <a:xfrm flipV="1">
              <a:off x="289" y="455"/>
              <a:ext cx="0" cy="37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Line 38"/>
            <xdr:cNvSpPr>
              <a:spLocks/>
            </xdr:cNvSpPr>
          </xdr:nvSpPr>
          <xdr:spPr>
            <a:xfrm rot="18900000">
              <a:off x="286" y="486"/>
              <a:ext cx="7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1</xdr:col>
      <xdr:colOff>114300</xdr:colOff>
      <xdr:row>19</xdr:row>
      <xdr:rowOff>228600</xdr:rowOff>
    </xdr:from>
    <xdr:to>
      <xdr:col>7</xdr:col>
      <xdr:colOff>180975</xdr:colOff>
      <xdr:row>26</xdr:row>
      <xdr:rowOff>0</xdr:rowOff>
    </xdr:to>
    <xdr:grpSp>
      <xdr:nvGrpSpPr>
        <xdr:cNvPr id="42" name="Group 42"/>
        <xdr:cNvGrpSpPr>
          <a:grpSpLocks/>
        </xdr:cNvGrpSpPr>
      </xdr:nvGrpSpPr>
      <xdr:grpSpPr>
        <a:xfrm>
          <a:off x="723900" y="4991100"/>
          <a:ext cx="3724275" cy="1590675"/>
          <a:chOff x="452" y="321"/>
          <a:chExt cx="388" cy="179"/>
        </a:xfrm>
        <a:solidFill>
          <a:srgbClr val="FFFFFF"/>
        </a:solidFill>
      </xdr:grpSpPr>
      <xdr:sp>
        <xdr:nvSpPr>
          <xdr:cNvPr id="45" name="Rectangle 45"/>
          <xdr:cNvSpPr>
            <a:spLocks/>
          </xdr:cNvSpPr>
        </xdr:nvSpPr>
        <xdr:spPr>
          <a:xfrm>
            <a:off x="456" y="420"/>
            <a:ext cx="353" cy="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46"/>
          <xdr:cNvSpPr>
            <a:spLocks/>
          </xdr:cNvSpPr>
        </xdr:nvSpPr>
        <xdr:spPr>
          <a:xfrm>
            <a:off x="465" y="417"/>
            <a:ext cx="334" cy="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Oval 47"/>
          <xdr:cNvSpPr>
            <a:spLocks/>
          </xdr:cNvSpPr>
        </xdr:nvSpPr>
        <xdr:spPr>
          <a:xfrm>
            <a:off x="490" y="42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48"/>
          <xdr:cNvSpPr>
            <a:spLocks/>
          </xdr:cNvSpPr>
        </xdr:nvSpPr>
        <xdr:spPr>
          <a:xfrm>
            <a:off x="525" y="42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49"/>
          <xdr:cNvSpPr>
            <a:spLocks/>
          </xdr:cNvSpPr>
        </xdr:nvSpPr>
        <xdr:spPr>
          <a:xfrm>
            <a:off x="560" y="42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Oval 50"/>
          <xdr:cNvSpPr>
            <a:spLocks/>
          </xdr:cNvSpPr>
        </xdr:nvSpPr>
        <xdr:spPr>
          <a:xfrm>
            <a:off x="595" y="42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Oval 51"/>
          <xdr:cNvSpPr>
            <a:spLocks/>
          </xdr:cNvSpPr>
        </xdr:nvSpPr>
        <xdr:spPr>
          <a:xfrm>
            <a:off x="630" y="42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Oval 52"/>
          <xdr:cNvSpPr>
            <a:spLocks/>
          </xdr:cNvSpPr>
        </xdr:nvSpPr>
        <xdr:spPr>
          <a:xfrm>
            <a:off x="665" y="42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Oval 53"/>
          <xdr:cNvSpPr>
            <a:spLocks/>
          </xdr:cNvSpPr>
        </xdr:nvSpPr>
        <xdr:spPr>
          <a:xfrm>
            <a:off x="701" y="42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54"/>
          <xdr:cNvSpPr>
            <a:spLocks/>
          </xdr:cNvSpPr>
        </xdr:nvSpPr>
        <xdr:spPr>
          <a:xfrm>
            <a:off x="456" y="399"/>
            <a:ext cx="87" cy="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55"/>
          <xdr:cNvSpPr>
            <a:spLocks/>
          </xdr:cNvSpPr>
        </xdr:nvSpPr>
        <xdr:spPr>
          <a:xfrm>
            <a:off x="723" y="399"/>
            <a:ext cx="87" cy="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56"/>
          <xdr:cNvSpPr>
            <a:spLocks/>
          </xdr:cNvSpPr>
        </xdr:nvSpPr>
        <xdr:spPr>
          <a:xfrm>
            <a:off x="465" y="402"/>
            <a:ext cx="70" cy="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57"/>
          <xdr:cNvSpPr>
            <a:spLocks/>
          </xdr:cNvSpPr>
        </xdr:nvSpPr>
        <xdr:spPr>
          <a:xfrm>
            <a:off x="732" y="403"/>
            <a:ext cx="68" cy="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 rot="2700000">
            <a:off x="523" y="394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 rot="18900000">
            <a:off x="724" y="412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744" y="393"/>
            <a:ext cx="2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835" y="389"/>
            <a:ext cx="0" cy="4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 rot="18900000">
            <a:off x="832" y="393"/>
            <a:ext cx="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 rot="18900000">
            <a:off x="832" y="431"/>
            <a:ext cx="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Oval 64"/>
          <xdr:cNvSpPr>
            <a:spLocks/>
          </xdr:cNvSpPr>
        </xdr:nvSpPr>
        <xdr:spPr>
          <a:xfrm>
            <a:off x="736" y="42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Oval 65"/>
          <xdr:cNvSpPr>
            <a:spLocks/>
          </xdr:cNvSpPr>
        </xdr:nvSpPr>
        <xdr:spPr>
          <a:xfrm>
            <a:off x="772" y="421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816" y="431"/>
            <a:ext cx="2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816" y="393"/>
            <a:ext cx="2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8" name="Group 68"/>
          <xdr:cNvGrpSpPr>
            <a:grpSpLocks/>
          </xdr:cNvGrpSpPr>
        </xdr:nvGrpSpPr>
        <xdr:grpSpPr>
          <a:xfrm>
            <a:off x="465" y="470"/>
            <a:ext cx="335" cy="30"/>
            <a:chOff x="83" y="455"/>
            <a:chExt cx="262" cy="37"/>
          </a:xfrm>
          <a:solidFill>
            <a:srgbClr val="FFFFFF"/>
          </a:solidFill>
        </xdr:grpSpPr>
        <xdr:sp>
          <xdr:nvSpPr>
            <xdr:cNvPr id="69" name="AutoShape 69"/>
            <xdr:cNvSpPr>
              <a:spLocks/>
            </xdr:cNvSpPr>
          </xdr:nvSpPr>
          <xdr:spPr>
            <a:xfrm flipV="1">
              <a:off x="89" y="455"/>
              <a:ext cx="0" cy="37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AutoShape 70"/>
            <xdr:cNvSpPr>
              <a:spLocks/>
            </xdr:cNvSpPr>
          </xdr:nvSpPr>
          <xdr:spPr>
            <a:xfrm flipV="1">
              <a:off x="339" y="455"/>
              <a:ext cx="0" cy="37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71"/>
            <xdr:cNvSpPr>
              <a:spLocks/>
            </xdr:cNvSpPr>
          </xdr:nvSpPr>
          <xdr:spPr>
            <a:xfrm>
              <a:off x="89" y="486"/>
              <a:ext cx="250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oval"/>
              <a:tailEnd type="oval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Line 72"/>
            <xdr:cNvSpPr>
              <a:spLocks/>
            </xdr:cNvSpPr>
          </xdr:nvSpPr>
          <xdr:spPr>
            <a:xfrm>
              <a:off x="83" y="486"/>
              <a:ext cx="1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Line 73"/>
            <xdr:cNvSpPr>
              <a:spLocks/>
            </xdr:cNvSpPr>
          </xdr:nvSpPr>
          <xdr:spPr>
            <a:xfrm>
              <a:off x="329" y="486"/>
              <a:ext cx="1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4" name="Group 74"/>
          <xdr:cNvGrpSpPr>
            <a:grpSpLocks/>
          </xdr:cNvGrpSpPr>
        </xdr:nvGrpSpPr>
        <xdr:grpSpPr>
          <a:xfrm>
            <a:off x="533" y="470"/>
            <a:ext cx="7" cy="30"/>
            <a:chOff x="286" y="455"/>
            <a:chExt cx="7" cy="37"/>
          </a:xfrm>
          <a:solidFill>
            <a:srgbClr val="FFFFFF"/>
          </a:solidFill>
        </xdr:grpSpPr>
        <xdr:sp>
          <xdr:nvSpPr>
            <xdr:cNvPr id="75" name="AutoShape 75"/>
            <xdr:cNvSpPr>
              <a:spLocks/>
            </xdr:cNvSpPr>
          </xdr:nvSpPr>
          <xdr:spPr>
            <a:xfrm flipV="1">
              <a:off x="289" y="455"/>
              <a:ext cx="0" cy="37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Line 76"/>
            <xdr:cNvSpPr>
              <a:spLocks/>
            </xdr:cNvSpPr>
          </xdr:nvSpPr>
          <xdr:spPr>
            <a:xfrm rot="18900000">
              <a:off x="286" y="486"/>
              <a:ext cx="7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7" name="Group 77"/>
          <xdr:cNvGrpSpPr>
            <a:grpSpLocks/>
          </xdr:cNvGrpSpPr>
        </xdr:nvGrpSpPr>
        <xdr:grpSpPr>
          <a:xfrm>
            <a:off x="725" y="470"/>
            <a:ext cx="7" cy="30"/>
            <a:chOff x="286" y="455"/>
            <a:chExt cx="7" cy="37"/>
          </a:xfrm>
          <a:solidFill>
            <a:srgbClr val="FFFFFF"/>
          </a:solidFill>
        </xdr:grpSpPr>
        <xdr:sp>
          <xdr:nvSpPr>
            <xdr:cNvPr id="78" name="AutoShape 78"/>
            <xdr:cNvSpPr>
              <a:spLocks/>
            </xdr:cNvSpPr>
          </xdr:nvSpPr>
          <xdr:spPr>
            <a:xfrm flipV="1">
              <a:off x="289" y="455"/>
              <a:ext cx="0" cy="37"/>
            </a:xfrm>
            <a:prstGeom prst="straightConnector1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Line 79"/>
            <xdr:cNvSpPr>
              <a:spLocks/>
            </xdr:cNvSpPr>
          </xdr:nvSpPr>
          <xdr:spPr>
            <a:xfrm rot="18900000">
              <a:off x="286" y="486"/>
              <a:ext cx="7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5114925" y="4429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</xdr:row>
      <xdr:rowOff>247650</xdr:rowOff>
    </xdr:from>
    <xdr:to>
      <xdr:col>6</xdr:col>
      <xdr:colOff>0</xdr:colOff>
      <xdr:row>4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838325" y="990600"/>
          <a:ext cx="1914525" cy="1333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228600</xdr:rowOff>
    </xdr:from>
    <xdr:to>
      <xdr:col>6</xdr:col>
      <xdr:colOff>0</xdr:colOff>
      <xdr:row>5</xdr:row>
      <xdr:rowOff>228600</xdr:rowOff>
    </xdr:to>
    <xdr:sp>
      <xdr:nvSpPr>
        <xdr:cNvPr id="2" name="Line 8"/>
        <xdr:cNvSpPr>
          <a:spLocks/>
        </xdr:cNvSpPr>
      </xdr:nvSpPr>
      <xdr:spPr>
        <a:xfrm>
          <a:off x="1838325" y="1524000"/>
          <a:ext cx="1914525" cy="0"/>
        </a:xfrm>
        <a:prstGeom prst="line">
          <a:avLst/>
        </a:prstGeom>
        <a:noFill/>
        <a:ln w="317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104775</xdr:rowOff>
    </xdr:from>
    <xdr:to>
      <xdr:col>3</xdr:col>
      <xdr:colOff>19050</xdr:colOff>
      <xdr:row>6</xdr:row>
      <xdr:rowOff>38100</xdr:rowOff>
    </xdr:to>
    <xdr:sp>
      <xdr:nvSpPr>
        <xdr:cNvPr id="3" name="Line 9"/>
        <xdr:cNvSpPr>
          <a:spLocks/>
        </xdr:cNvSpPr>
      </xdr:nvSpPr>
      <xdr:spPr>
        <a:xfrm flipV="1">
          <a:off x="1838325" y="11239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104775</xdr:rowOff>
    </xdr:from>
    <xdr:to>
      <xdr:col>6</xdr:col>
      <xdr:colOff>0</xdr:colOff>
      <xdr:row>6</xdr:row>
      <xdr:rowOff>38100</xdr:rowOff>
    </xdr:to>
    <xdr:sp>
      <xdr:nvSpPr>
        <xdr:cNvPr id="4" name="Line 13"/>
        <xdr:cNvSpPr>
          <a:spLocks/>
        </xdr:cNvSpPr>
      </xdr:nvSpPr>
      <xdr:spPr>
        <a:xfrm flipV="1">
          <a:off x="3752850" y="11239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15</xdr:row>
      <xdr:rowOff>171450</xdr:rowOff>
    </xdr:from>
    <xdr:to>
      <xdr:col>4</xdr:col>
      <xdr:colOff>200025</xdr:colOff>
      <xdr:row>21</xdr:row>
      <xdr:rowOff>200025</xdr:rowOff>
    </xdr:to>
    <xdr:grpSp>
      <xdr:nvGrpSpPr>
        <xdr:cNvPr id="5" name="Group 35"/>
        <xdr:cNvGrpSpPr>
          <a:grpSpLocks/>
        </xdr:cNvGrpSpPr>
      </xdr:nvGrpSpPr>
      <xdr:grpSpPr>
        <a:xfrm>
          <a:off x="942975" y="3905250"/>
          <a:ext cx="1685925" cy="1685925"/>
          <a:chOff x="99" y="408"/>
          <a:chExt cx="177" cy="177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176" y="437"/>
            <a:ext cx="94" cy="14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6"/>
          <xdr:cNvSpPr>
            <a:spLocks/>
          </xdr:cNvSpPr>
        </xdr:nvSpPr>
        <xdr:spPr>
          <a:xfrm>
            <a:off x="168" y="415"/>
            <a:ext cx="108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 flipV="1">
            <a:off x="175" y="408"/>
            <a:ext cx="0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 flipV="1">
            <a:off x="269" y="408"/>
            <a:ext cx="0" cy="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9"/>
          <xdr:cNvSpPr>
            <a:spLocks/>
          </xdr:cNvSpPr>
        </xdr:nvSpPr>
        <xdr:spPr>
          <a:xfrm rot="18900000">
            <a:off x="170" y="415"/>
            <a:ext cx="1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 rot="18900000">
            <a:off x="264" y="415"/>
            <a:ext cx="1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99" y="578"/>
            <a:ext cx="7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22"/>
          <xdr:cNvSpPr>
            <a:spLocks/>
          </xdr:cNvSpPr>
        </xdr:nvSpPr>
        <xdr:spPr>
          <a:xfrm flipV="1">
            <a:off x="107" y="429"/>
            <a:ext cx="0" cy="15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23"/>
          <xdr:cNvSpPr>
            <a:spLocks/>
          </xdr:cNvSpPr>
        </xdr:nvSpPr>
        <xdr:spPr>
          <a:xfrm>
            <a:off x="99" y="436"/>
            <a:ext cx="7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24"/>
          <xdr:cNvSpPr>
            <a:spLocks/>
          </xdr:cNvSpPr>
        </xdr:nvSpPr>
        <xdr:spPr>
          <a:xfrm rot="18900000">
            <a:off x="102" y="436"/>
            <a:ext cx="1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25"/>
          <xdr:cNvSpPr>
            <a:spLocks/>
          </xdr:cNvSpPr>
        </xdr:nvSpPr>
        <xdr:spPr>
          <a:xfrm rot="18900000">
            <a:off x="102" y="578"/>
            <a:ext cx="1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26"/>
          <xdr:cNvSpPr>
            <a:spLocks/>
          </xdr:cNvSpPr>
        </xdr:nvSpPr>
        <xdr:spPr>
          <a:xfrm>
            <a:off x="189" y="449"/>
            <a:ext cx="66" cy="11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31"/>
          <xdr:cNvSpPr>
            <a:spLocks/>
          </xdr:cNvSpPr>
        </xdr:nvSpPr>
        <xdr:spPr>
          <a:xfrm flipH="1">
            <a:off x="139" y="565"/>
            <a:ext cx="3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32"/>
          <xdr:cNvSpPr>
            <a:spLocks/>
          </xdr:cNvSpPr>
        </xdr:nvSpPr>
        <xdr:spPr>
          <a:xfrm>
            <a:off x="157" y="546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33"/>
          <xdr:cNvSpPr>
            <a:spLocks/>
          </xdr:cNvSpPr>
        </xdr:nvSpPr>
        <xdr:spPr>
          <a:xfrm rot="18900000">
            <a:off x="152" y="565"/>
            <a:ext cx="1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34"/>
          <xdr:cNvSpPr>
            <a:spLocks/>
          </xdr:cNvSpPr>
        </xdr:nvSpPr>
        <xdr:spPr>
          <a:xfrm rot="18900000">
            <a:off x="151" y="579"/>
            <a:ext cx="1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590550</xdr:colOff>
      <xdr:row>17</xdr:row>
      <xdr:rowOff>9525</xdr:rowOff>
    </xdr:from>
    <xdr:to>
      <xdr:col>3</xdr:col>
      <xdr:colOff>57150</xdr:colOff>
      <xdr:row>17</xdr:row>
      <xdr:rowOff>85725</xdr:rowOff>
    </xdr:to>
    <xdr:sp>
      <xdr:nvSpPr>
        <xdr:cNvPr id="22" name="Oval 37"/>
        <xdr:cNvSpPr>
          <a:spLocks/>
        </xdr:cNvSpPr>
      </xdr:nvSpPr>
      <xdr:spPr>
        <a:xfrm>
          <a:off x="1800225" y="4295775"/>
          <a:ext cx="76200" cy="762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21</xdr:row>
      <xdr:rowOff>133350</xdr:rowOff>
    </xdr:from>
    <xdr:to>
      <xdr:col>1</xdr:col>
      <xdr:colOff>590550</xdr:colOff>
      <xdr:row>21</xdr:row>
      <xdr:rowOff>133350</xdr:rowOff>
    </xdr:to>
    <xdr:sp>
      <xdr:nvSpPr>
        <xdr:cNvPr id="23" name="Line 38"/>
        <xdr:cNvSpPr>
          <a:spLocks/>
        </xdr:cNvSpPr>
      </xdr:nvSpPr>
      <xdr:spPr>
        <a:xfrm rot="18900000">
          <a:off x="971550" y="5524500"/>
          <a:ext cx="114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17</xdr:row>
      <xdr:rowOff>9525</xdr:rowOff>
    </xdr:from>
    <xdr:to>
      <xdr:col>4</xdr:col>
      <xdr:colOff>9525</xdr:colOff>
      <xdr:row>17</xdr:row>
      <xdr:rowOff>85725</xdr:rowOff>
    </xdr:to>
    <xdr:sp>
      <xdr:nvSpPr>
        <xdr:cNvPr id="24" name="Oval 41"/>
        <xdr:cNvSpPr>
          <a:spLocks/>
        </xdr:cNvSpPr>
      </xdr:nvSpPr>
      <xdr:spPr>
        <a:xfrm>
          <a:off x="2362200" y="4295775"/>
          <a:ext cx="76200" cy="762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20</xdr:row>
      <xdr:rowOff>209550</xdr:rowOff>
    </xdr:from>
    <xdr:to>
      <xdr:col>3</xdr:col>
      <xdr:colOff>57150</xdr:colOff>
      <xdr:row>21</xdr:row>
      <xdr:rowOff>9525</xdr:rowOff>
    </xdr:to>
    <xdr:sp>
      <xdr:nvSpPr>
        <xdr:cNvPr id="25" name="Oval 42"/>
        <xdr:cNvSpPr>
          <a:spLocks/>
        </xdr:cNvSpPr>
      </xdr:nvSpPr>
      <xdr:spPr>
        <a:xfrm>
          <a:off x="1800225" y="5324475"/>
          <a:ext cx="76200" cy="762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20</xdr:row>
      <xdr:rowOff>209550</xdr:rowOff>
    </xdr:from>
    <xdr:to>
      <xdr:col>4</xdr:col>
      <xdr:colOff>9525</xdr:colOff>
      <xdr:row>21</xdr:row>
      <xdr:rowOff>9525</xdr:rowOff>
    </xdr:to>
    <xdr:sp>
      <xdr:nvSpPr>
        <xdr:cNvPr id="26" name="Oval 43"/>
        <xdr:cNvSpPr>
          <a:spLocks/>
        </xdr:cNvSpPr>
      </xdr:nvSpPr>
      <xdr:spPr>
        <a:xfrm>
          <a:off x="2362200" y="5324475"/>
          <a:ext cx="76200" cy="762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20</xdr:row>
      <xdr:rowOff>209550</xdr:rowOff>
    </xdr:from>
    <xdr:to>
      <xdr:col>3</xdr:col>
      <xdr:colOff>333375</xdr:colOff>
      <xdr:row>21</xdr:row>
      <xdr:rowOff>9525</xdr:rowOff>
    </xdr:to>
    <xdr:sp>
      <xdr:nvSpPr>
        <xdr:cNvPr id="27" name="Oval 44"/>
        <xdr:cNvSpPr>
          <a:spLocks/>
        </xdr:cNvSpPr>
      </xdr:nvSpPr>
      <xdr:spPr>
        <a:xfrm>
          <a:off x="2076450" y="5324475"/>
          <a:ext cx="76200" cy="762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228600</xdr:rowOff>
    </xdr:from>
    <xdr:to>
      <xdr:col>6</xdr:col>
      <xdr:colOff>561975</xdr:colOff>
      <xdr:row>18</xdr:row>
      <xdr:rowOff>228600</xdr:rowOff>
    </xdr:to>
    <xdr:sp>
      <xdr:nvSpPr>
        <xdr:cNvPr id="28" name="Line 50"/>
        <xdr:cNvSpPr>
          <a:spLocks/>
        </xdr:cNvSpPr>
      </xdr:nvSpPr>
      <xdr:spPr>
        <a:xfrm>
          <a:off x="2428875" y="4791075"/>
          <a:ext cx="1885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19</xdr:row>
      <xdr:rowOff>219075</xdr:rowOff>
    </xdr:from>
    <xdr:to>
      <xdr:col>6</xdr:col>
      <xdr:colOff>466725</xdr:colOff>
      <xdr:row>19</xdr:row>
      <xdr:rowOff>219075</xdr:rowOff>
    </xdr:to>
    <xdr:sp>
      <xdr:nvSpPr>
        <xdr:cNvPr id="29" name="Line 51"/>
        <xdr:cNvSpPr>
          <a:spLocks/>
        </xdr:cNvSpPr>
      </xdr:nvSpPr>
      <xdr:spPr>
        <a:xfrm>
          <a:off x="2381250" y="5057775"/>
          <a:ext cx="1838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20</xdr:row>
      <xdr:rowOff>76200</xdr:rowOff>
    </xdr:from>
    <xdr:to>
      <xdr:col>4</xdr:col>
      <xdr:colOff>19050</xdr:colOff>
      <xdr:row>20</xdr:row>
      <xdr:rowOff>76200</xdr:rowOff>
    </xdr:to>
    <xdr:sp>
      <xdr:nvSpPr>
        <xdr:cNvPr id="30" name="Line 52"/>
        <xdr:cNvSpPr>
          <a:spLocks/>
        </xdr:cNvSpPr>
      </xdr:nvSpPr>
      <xdr:spPr>
        <a:xfrm rot="18900000">
          <a:off x="2076450" y="5191125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16</xdr:row>
      <xdr:rowOff>219075</xdr:rowOff>
    </xdr:from>
    <xdr:to>
      <xdr:col>6</xdr:col>
      <xdr:colOff>114300</xdr:colOff>
      <xdr:row>16</xdr:row>
      <xdr:rowOff>219075</xdr:rowOff>
    </xdr:to>
    <xdr:sp>
      <xdr:nvSpPr>
        <xdr:cNvPr id="31" name="Line 54"/>
        <xdr:cNvSpPr>
          <a:spLocks/>
        </xdr:cNvSpPr>
      </xdr:nvSpPr>
      <xdr:spPr>
        <a:xfrm>
          <a:off x="1924050" y="4229100"/>
          <a:ext cx="1943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257175</xdr:rowOff>
    </xdr:from>
    <xdr:to>
      <xdr:col>3</xdr:col>
      <xdr:colOff>133350</xdr:colOff>
      <xdr:row>16</xdr:row>
      <xdr:rowOff>257175</xdr:rowOff>
    </xdr:to>
    <xdr:sp>
      <xdr:nvSpPr>
        <xdr:cNvPr id="32" name="Line 55"/>
        <xdr:cNvSpPr>
          <a:spLocks/>
        </xdr:cNvSpPr>
      </xdr:nvSpPr>
      <xdr:spPr>
        <a:xfrm rot="18900000">
          <a:off x="1838325" y="4267200"/>
          <a:ext cx="114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16</xdr:row>
      <xdr:rowOff>247650</xdr:rowOff>
    </xdr:from>
    <xdr:to>
      <xdr:col>4</xdr:col>
      <xdr:colOff>66675</xdr:colOff>
      <xdr:row>16</xdr:row>
      <xdr:rowOff>247650</xdr:rowOff>
    </xdr:to>
    <xdr:sp>
      <xdr:nvSpPr>
        <xdr:cNvPr id="33" name="Line 56"/>
        <xdr:cNvSpPr>
          <a:spLocks/>
        </xdr:cNvSpPr>
      </xdr:nvSpPr>
      <xdr:spPr>
        <a:xfrm rot="18900000">
          <a:off x="2409825" y="4257675"/>
          <a:ext cx="85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21</xdr:row>
      <xdr:rowOff>228600</xdr:rowOff>
    </xdr:from>
    <xdr:to>
      <xdr:col>6</xdr:col>
      <xdr:colOff>142875</xdr:colOff>
      <xdr:row>21</xdr:row>
      <xdr:rowOff>228600</xdr:rowOff>
    </xdr:to>
    <xdr:sp>
      <xdr:nvSpPr>
        <xdr:cNvPr id="34" name="Line 57"/>
        <xdr:cNvSpPr>
          <a:spLocks/>
        </xdr:cNvSpPr>
      </xdr:nvSpPr>
      <xdr:spPr>
        <a:xfrm>
          <a:off x="2066925" y="5619750"/>
          <a:ext cx="1828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20</xdr:row>
      <xdr:rowOff>247650</xdr:rowOff>
    </xdr:from>
    <xdr:to>
      <xdr:col>3</xdr:col>
      <xdr:colOff>152400</xdr:colOff>
      <xdr:row>22</xdr:row>
      <xdr:rowOff>0</xdr:rowOff>
    </xdr:to>
    <xdr:sp>
      <xdr:nvSpPr>
        <xdr:cNvPr id="35" name="Line 58"/>
        <xdr:cNvSpPr>
          <a:spLocks/>
        </xdr:cNvSpPr>
      </xdr:nvSpPr>
      <xdr:spPr>
        <a:xfrm rot="2700000">
          <a:off x="1971675" y="53625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20</xdr:row>
      <xdr:rowOff>238125</xdr:rowOff>
    </xdr:from>
    <xdr:to>
      <xdr:col>4</xdr:col>
      <xdr:colOff>104775</xdr:colOff>
      <xdr:row>21</xdr:row>
      <xdr:rowOff>266700</xdr:rowOff>
    </xdr:to>
    <xdr:sp>
      <xdr:nvSpPr>
        <xdr:cNvPr id="36" name="Line 60"/>
        <xdr:cNvSpPr>
          <a:spLocks/>
        </xdr:cNvSpPr>
      </xdr:nvSpPr>
      <xdr:spPr>
        <a:xfrm rot="2700000">
          <a:off x="2533650" y="53530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962525" y="3724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8</xdr:row>
      <xdr:rowOff>66675</xdr:rowOff>
    </xdr:from>
    <xdr:to>
      <xdr:col>2</xdr:col>
      <xdr:colOff>466725</xdr:colOff>
      <xdr:row>9</xdr:row>
      <xdr:rowOff>200025</xdr:rowOff>
    </xdr:to>
    <xdr:pic>
      <xdr:nvPicPr>
        <xdr:cNvPr id="1" name="Picture 1" descr="y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2381250"/>
          <a:ext cx="238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8</xdr:row>
      <xdr:rowOff>76200</xdr:rowOff>
    </xdr:from>
    <xdr:to>
      <xdr:col>3</xdr:col>
      <xdr:colOff>466725</xdr:colOff>
      <xdr:row>9</xdr:row>
      <xdr:rowOff>219075</xdr:rowOff>
    </xdr:to>
    <xdr:pic>
      <xdr:nvPicPr>
        <xdr:cNvPr id="2" name="Picture 2" descr="y0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1800" y="2390775"/>
          <a:ext cx="2476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8</xdr:row>
      <xdr:rowOff>76200</xdr:rowOff>
    </xdr:from>
    <xdr:to>
      <xdr:col>4</xdr:col>
      <xdr:colOff>447675</xdr:colOff>
      <xdr:row>9</xdr:row>
      <xdr:rowOff>219075</xdr:rowOff>
    </xdr:to>
    <xdr:pic>
      <xdr:nvPicPr>
        <xdr:cNvPr id="3" name="Picture 3" descr="y0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76825" y="2390775"/>
          <a:ext cx="228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8</xdr:row>
      <xdr:rowOff>66675</xdr:rowOff>
    </xdr:from>
    <xdr:to>
      <xdr:col>5</xdr:col>
      <xdr:colOff>447675</xdr:colOff>
      <xdr:row>9</xdr:row>
      <xdr:rowOff>200025</xdr:rowOff>
    </xdr:to>
    <xdr:pic>
      <xdr:nvPicPr>
        <xdr:cNvPr id="4" name="Picture 4" descr="y00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2381250"/>
          <a:ext cx="228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10</xdr:row>
      <xdr:rowOff>66675</xdr:rowOff>
    </xdr:from>
    <xdr:to>
      <xdr:col>2</xdr:col>
      <xdr:colOff>447675</xdr:colOff>
      <xdr:row>11</xdr:row>
      <xdr:rowOff>200025</xdr:rowOff>
    </xdr:to>
    <xdr:pic>
      <xdr:nvPicPr>
        <xdr:cNvPr id="5" name="Picture 5" descr="y00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8725" y="2933700"/>
          <a:ext cx="228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10</xdr:row>
      <xdr:rowOff>76200</xdr:rowOff>
    </xdr:from>
    <xdr:to>
      <xdr:col>3</xdr:col>
      <xdr:colOff>581025</xdr:colOff>
      <xdr:row>11</xdr:row>
      <xdr:rowOff>219075</xdr:rowOff>
    </xdr:to>
    <xdr:pic>
      <xdr:nvPicPr>
        <xdr:cNvPr id="6" name="Picture 6" descr="y00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2943225"/>
          <a:ext cx="361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10</xdr:row>
      <xdr:rowOff>76200</xdr:rowOff>
    </xdr:from>
    <xdr:to>
      <xdr:col>4</xdr:col>
      <xdr:colOff>447675</xdr:colOff>
      <xdr:row>11</xdr:row>
      <xdr:rowOff>219075</xdr:rowOff>
    </xdr:to>
    <xdr:pic>
      <xdr:nvPicPr>
        <xdr:cNvPr id="7" name="Picture 7" descr="y000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76825" y="2943225"/>
          <a:ext cx="228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10</xdr:row>
      <xdr:rowOff>66675</xdr:rowOff>
    </xdr:from>
    <xdr:to>
      <xdr:col>5</xdr:col>
      <xdr:colOff>371475</xdr:colOff>
      <xdr:row>11</xdr:row>
      <xdr:rowOff>200025</xdr:rowOff>
    </xdr:to>
    <xdr:pic>
      <xdr:nvPicPr>
        <xdr:cNvPr id="8" name="Picture 8" descr="y00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62825" y="2933700"/>
          <a:ext cx="152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257175</xdr:colOff>
      <xdr:row>11</xdr:row>
      <xdr:rowOff>38100</xdr:rowOff>
    </xdr:from>
    <xdr:to>
      <xdr:col>25</xdr:col>
      <xdr:colOff>219075</xdr:colOff>
      <xdr:row>22</xdr:row>
      <xdr:rowOff>190500</xdr:rowOff>
    </xdr:to>
    <xdr:pic>
      <xdr:nvPicPr>
        <xdr:cNvPr id="9" name="Picture 19" descr="page03_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470350" y="3181350"/>
          <a:ext cx="66770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26</xdr:row>
      <xdr:rowOff>123825</xdr:rowOff>
    </xdr:from>
    <xdr:to>
      <xdr:col>25</xdr:col>
      <xdr:colOff>0</xdr:colOff>
      <xdr:row>38</xdr:row>
      <xdr:rowOff>142875</xdr:rowOff>
    </xdr:to>
    <xdr:pic>
      <xdr:nvPicPr>
        <xdr:cNvPr id="10" name="Picture 20" descr="page06_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260800" y="7096125"/>
          <a:ext cx="66675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257175</xdr:colOff>
      <xdr:row>49</xdr:row>
      <xdr:rowOff>161925</xdr:rowOff>
    </xdr:from>
    <xdr:to>
      <xdr:col>24</xdr:col>
      <xdr:colOff>542925</xdr:colOff>
      <xdr:row>61</xdr:row>
      <xdr:rowOff>66675</xdr:rowOff>
    </xdr:to>
    <xdr:pic>
      <xdr:nvPicPr>
        <xdr:cNvPr id="11" name="Picture 21" descr="page08_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022675" y="13392150"/>
          <a:ext cx="666750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72</xdr:row>
      <xdr:rowOff>123825</xdr:rowOff>
    </xdr:from>
    <xdr:to>
      <xdr:col>25</xdr:col>
      <xdr:colOff>28575</xdr:colOff>
      <xdr:row>83</xdr:row>
      <xdr:rowOff>142875</xdr:rowOff>
    </xdr:to>
    <xdr:pic>
      <xdr:nvPicPr>
        <xdr:cNvPr id="12" name="Picture 22" descr="page09_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289375" y="19697700"/>
          <a:ext cx="666750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</xdr:row>
      <xdr:rowOff>200025</xdr:rowOff>
    </xdr:from>
    <xdr:to>
      <xdr:col>2</xdr:col>
      <xdr:colOff>1676400</xdr:colOff>
      <xdr:row>5</xdr:row>
      <xdr:rowOff>200025</xdr:rowOff>
    </xdr:to>
    <xdr:pic>
      <xdr:nvPicPr>
        <xdr:cNvPr id="13" name="Picture 23" descr="simpl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47750" y="971550"/>
          <a:ext cx="16383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</xdr:row>
      <xdr:rowOff>209550</xdr:rowOff>
    </xdr:from>
    <xdr:to>
      <xdr:col>3</xdr:col>
      <xdr:colOff>2057400</xdr:colOff>
      <xdr:row>5</xdr:row>
      <xdr:rowOff>161925</xdr:rowOff>
    </xdr:to>
    <xdr:pic>
      <xdr:nvPicPr>
        <xdr:cNvPr id="14" name="Picture 24" descr="C_On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71775" y="981075"/>
          <a:ext cx="2038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209550</xdr:rowOff>
    </xdr:from>
    <xdr:to>
      <xdr:col>4</xdr:col>
      <xdr:colOff>2238375</xdr:colOff>
      <xdr:row>5</xdr:row>
      <xdr:rowOff>171450</xdr:rowOff>
    </xdr:to>
    <xdr:pic>
      <xdr:nvPicPr>
        <xdr:cNvPr id="15" name="Picture 25" descr="2continoue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05375" y="981075"/>
          <a:ext cx="2190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</xdr:row>
      <xdr:rowOff>209550</xdr:rowOff>
    </xdr:from>
    <xdr:to>
      <xdr:col>5</xdr:col>
      <xdr:colOff>2105025</xdr:colOff>
      <xdr:row>5</xdr:row>
      <xdr:rowOff>171450</xdr:rowOff>
    </xdr:to>
    <xdr:pic>
      <xdr:nvPicPr>
        <xdr:cNvPr id="16" name="Picture 26" descr="cantiliver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181850" y="981075"/>
          <a:ext cx="2066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oleObject" Target="../embeddings/oleObject_13_2.bin" /><Relationship Id="rId4" Type="http://schemas.openxmlformats.org/officeDocument/2006/relationships/oleObject" Target="../embeddings/oleObject_13_3.bin" /><Relationship Id="rId5" Type="http://schemas.openxmlformats.org/officeDocument/2006/relationships/oleObject" Target="../embeddings/oleObject_13_4.bin" /><Relationship Id="rId6" Type="http://schemas.openxmlformats.org/officeDocument/2006/relationships/oleObject" Target="../embeddings/oleObject_13_5.bin" /><Relationship Id="rId7" Type="http://schemas.openxmlformats.org/officeDocument/2006/relationships/oleObject" Target="../embeddings/oleObject_13_6.bin" /><Relationship Id="rId8" Type="http://schemas.openxmlformats.org/officeDocument/2006/relationships/oleObject" Target="../embeddings/oleObject_13_7.bin" /><Relationship Id="rId9" Type="http://schemas.openxmlformats.org/officeDocument/2006/relationships/oleObject" Target="../embeddings/oleObject_13_8.bin" /><Relationship Id="rId10" Type="http://schemas.openxmlformats.org/officeDocument/2006/relationships/oleObject" Target="../embeddings/oleObject_13_9.bin" /><Relationship Id="rId11" Type="http://schemas.openxmlformats.org/officeDocument/2006/relationships/vmlDrawing" Target="../drawings/vmlDrawing9.vml" /><Relationship Id="rId1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oleObject" Target="../embeddings/oleObject_5_0.bin" /><Relationship Id="rId3" Type="http://schemas.openxmlformats.org/officeDocument/2006/relationships/oleObject" Target="../embeddings/oleObject_5_1.bin" /><Relationship Id="rId4" Type="http://schemas.openxmlformats.org/officeDocument/2006/relationships/oleObject" Target="../embeddings/oleObject_5_2.bin" /><Relationship Id="rId5" Type="http://schemas.openxmlformats.org/officeDocument/2006/relationships/oleObject" Target="../embeddings/oleObject_5_3.bin" /><Relationship Id="rId6" Type="http://schemas.openxmlformats.org/officeDocument/2006/relationships/oleObject" Target="../embeddings/oleObject_5_4.bin" /><Relationship Id="rId7" Type="http://schemas.openxmlformats.org/officeDocument/2006/relationships/oleObject" Target="../embeddings/oleObject_5_5.bin" /><Relationship Id="rId8" Type="http://schemas.openxmlformats.org/officeDocument/2006/relationships/oleObject" Target="../embeddings/oleObject_5_6.bin" /><Relationship Id="rId9" Type="http://schemas.openxmlformats.org/officeDocument/2006/relationships/vmlDrawing" Target="../drawings/vmlDrawing4.vml" /><Relationship Id="rId10" Type="http://schemas.openxmlformats.org/officeDocument/2006/relationships/drawing" Target="../drawings/drawing4.xml" /><Relationship Id="rId1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oleObject" Target="../embeddings/oleObject_8_0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D12"/>
  <sheetViews>
    <sheetView zoomScalePageLayoutView="0" workbookViewId="0" topLeftCell="A4">
      <selection activeCell="B11" sqref="B11"/>
    </sheetView>
  </sheetViews>
  <sheetFormatPr defaultColWidth="9.140625" defaultRowHeight="12.75"/>
  <cols>
    <col min="1" max="1" width="8.28125" style="126" customWidth="1"/>
    <col min="2" max="3" width="45.7109375" style="126" customWidth="1"/>
    <col min="4" max="4" width="8.00390625" style="126" customWidth="1"/>
    <col min="5" max="16384" width="9.140625" style="126" customWidth="1"/>
  </cols>
  <sheetData>
    <row r="1" spans="2:3" ht="12" customHeight="1" thickBot="1">
      <c r="B1" s="548"/>
      <c r="C1" s="548"/>
    </row>
    <row r="2" spans="1:3" ht="21.75" thickTop="1">
      <c r="A2" s="127"/>
      <c r="B2" s="128"/>
      <c r="C2" s="129"/>
    </row>
    <row r="3" spans="2:3" ht="21">
      <c r="B3" s="130"/>
      <c r="C3" s="131"/>
    </row>
    <row r="4" spans="1:3" ht="21">
      <c r="A4" s="132"/>
      <c r="B4" s="130"/>
      <c r="C4" s="131"/>
    </row>
    <row r="5" spans="2:3" s="133" customFormat="1" ht="22.5" thickBot="1">
      <c r="B5" s="546" t="s">
        <v>162</v>
      </c>
      <c r="C5" s="547"/>
    </row>
    <row r="6" spans="1:3" ht="22.5" thickTop="1">
      <c r="A6" s="132"/>
      <c r="B6" s="139" t="s">
        <v>163</v>
      </c>
      <c r="C6" s="139" t="s">
        <v>164</v>
      </c>
    </row>
    <row r="7" spans="1:3" s="135" customFormat="1" ht="20.25" thickBot="1">
      <c r="A7" s="134"/>
      <c r="B7" s="140" t="s">
        <v>410</v>
      </c>
      <c r="C7" s="140" t="s">
        <v>411</v>
      </c>
    </row>
    <row r="8" spans="2:3" s="136" customFormat="1" ht="30" customHeight="1" thickBot="1" thickTop="1">
      <c r="B8" s="236" t="s">
        <v>242</v>
      </c>
      <c r="C8" s="141" t="s">
        <v>165</v>
      </c>
    </row>
    <row r="9" spans="1:3" s="136" customFormat="1" ht="30" customHeight="1" thickBot="1" thickTop="1">
      <c r="A9" s="137"/>
      <c r="B9" s="235" t="s">
        <v>243</v>
      </c>
      <c r="C9" s="141" t="s">
        <v>166</v>
      </c>
    </row>
    <row r="10" spans="2:3" s="136" customFormat="1" ht="30" customHeight="1" thickBot="1" thickTop="1">
      <c r="B10" s="237" t="s">
        <v>244</v>
      </c>
      <c r="C10" s="141" t="s">
        <v>167</v>
      </c>
    </row>
    <row r="11" spans="2:4" s="136" customFormat="1" ht="30" customHeight="1" thickBot="1" thickTop="1">
      <c r="B11" s="142" t="s">
        <v>168</v>
      </c>
      <c r="C11" s="142" t="s">
        <v>168</v>
      </c>
      <c r="D11" s="138"/>
    </row>
    <row r="12" spans="2:3" ht="21.75" thickTop="1">
      <c r="B12" s="549"/>
      <c r="C12" s="549"/>
    </row>
  </sheetData>
  <sheetProtection/>
  <mergeCells count="3">
    <mergeCell ref="B5:C5"/>
    <mergeCell ref="B1:C1"/>
    <mergeCell ref="B12:C12"/>
  </mergeCells>
  <hyperlinks>
    <hyperlink ref="B9" location="'wdb data'!J3" tooltip="Working Design Beam" display="การออกแบบคาน (Beam Design)  "/>
    <hyperlink ref="B8" location="'wds data'!J3" tooltip="Working Design Slab" display="การออกแบบพื้น (Flat Slab Design)"/>
  </hyperlinks>
  <printOptions/>
  <pageMargins left="0.35433070866141736" right="0.35433070866141736" top="0.984251968503937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B1:I31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3.00390625" style="50" customWidth="1"/>
    <col min="2" max="2" width="2.8515625" style="50" customWidth="1"/>
    <col min="3" max="3" width="13.7109375" style="50" customWidth="1"/>
    <col min="4" max="4" width="18.421875" style="50" customWidth="1"/>
    <col min="5" max="5" width="10.8515625" style="50" customWidth="1"/>
    <col min="6" max="6" width="13.7109375" style="50" customWidth="1"/>
    <col min="7" max="7" width="11.8515625" style="51" customWidth="1"/>
    <col min="8" max="8" width="13.7109375" style="51" customWidth="1"/>
    <col min="9" max="9" width="2.8515625" style="50" customWidth="1"/>
    <col min="10" max="16384" width="9.140625" style="50" customWidth="1"/>
  </cols>
  <sheetData>
    <row r="1" spans="2:9" ht="28.5" customHeight="1" thickTop="1">
      <c r="B1" s="388"/>
      <c r="C1" s="389" t="str">
        <f>'wsc data'!B2</f>
        <v>วิศวกรผู้ออกแบบ :  พ.ท.กอบภัค สร้อยพาบ 0813783534</v>
      </c>
      <c r="D1" s="389"/>
      <c r="E1" s="390"/>
      <c r="F1" s="389"/>
      <c r="G1" s="391" t="s">
        <v>434</v>
      </c>
      <c r="H1" s="392">
        <f ca="1">NOW()</f>
        <v>41138.58963634259</v>
      </c>
      <c r="I1" s="393"/>
    </row>
    <row r="2" spans="2:9" ht="28.5" customHeight="1" thickBot="1">
      <c r="B2" s="357"/>
      <c r="C2" s="358" t="str">
        <f>'wsc data'!B3</f>
        <v>ออกแบบเสากรีตเสริมเหล็ก RC Column Design</v>
      </c>
      <c r="D2" s="358"/>
      <c r="E2" s="358"/>
      <c r="G2" s="394" t="s">
        <v>435</v>
      </c>
      <c r="H2" s="395" t="str">
        <f>'wsc data'!J3</f>
        <v>C1</v>
      </c>
      <c r="I2" s="360"/>
    </row>
    <row r="3" spans="2:9" ht="24" customHeight="1" thickTop="1">
      <c r="B3" s="388"/>
      <c r="C3" s="385" t="s">
        <v>482</v>
      </c>
      <c r="D3" s="389"/>
      <c r="E3" s="389"/>
      <c r="F3" s="389"/>
      <c r="G3" s="389"/>
      <c r="H3" s="389"/>
      <c r="I3" s="393"/>
    </row>
    <row r="4" spans="2:9" ht="24" customHeight="1">
      <c r="B4" s="298"/>
      <c r="C4" s="58"/>
      <c r="D4" s="50" t="s">
        <v>491</v>
      </c>
      <c r="E4" s="51" t="s">
        <v>307</v>
      </c>
      <c r="F4" s="240">
        <f>'wsc data'!I11</f>
        <v>1.5</v>
      </c>
      <c r="G4" s="50" t="s">
        <v>18</v>
      </c>
      <c r="H4" s="50"/>
      <c r="I4" s="299"/>
    </row>
    <row r="5" spans="2:9" ht="21.75">
      <c r="B5" s="298"/>
      <c r="D5" s="50" t="s">
        <v>483</v>
      </c>
      <c r="E5" s="51" t="str">
        <f>IF('wsc data'!I10&gt;0,"D","t x b")</f>
        <v>t x b</v>
      </c>
      <c r="F5" s="427" t="str">
        <f>IF('wsc data'!I10&gt;0,'wsc data'!I10,'wsc data'!I8&amp;" x "&amp;'wsc data'!I9)</f>
        <v>20 x 20</v>
      </c>
      <c r="G5" s="52" t="s">
        <v>195</v>
      </c>
      <c r="H5" s="50"/>
      <c r="I5" s="299"/>
    </row>
    <row r="6" spans="2:9" ht="21.75">
      <c r="B6" s="298"/>
      <c r="D6" s="412" t="s">
        <v>484</v>
      </c>
      <c r="E6" s="427" t="s">
        <v>295</v>
      </c>
      <c r="F6" s="240">
        <f>IF('wsc data'!I10&gt;0,PI()*'wsc data'!I10^2/4,'wsc data'!I8*'wsc data'!I9)</f>
        <v>400</v>
      </c>
      <c r="G6" s="412" t="s">
        <v>487</v>
      </c>
      <c r="I6" s="299"/>
    </row>
    <row r="7" spans="2:9" ht="21.75">
      <c r="B7" s="298"/>
      <c r="D7" s="412" t="s">
        <v>488</v>
      </c>
      <c r="E7" s="427" t="s">
        <v>40</v>
      </c>
      <c r="F7" s="428">
        <f>2400*F6/10000</f>
        <v>96</v>
      </c>
      <c r="G7" s="412" t="s">
        <v>489</v>
      </c>
      <c r="I7" s="299"/>
    </row>
    <row r="8" spans="2:9" ht="10.5" customHeight="1" thickBot="1">
      <c r="B8" s="357"/>
      <c r="C8" s="358"/>
      <c r="D8" s="359"/>
      <c r="E8" s="359"/>
      <c r="F8" s="359"/>
      <c r="G8" s="359"/>
      <c r="H8" s="358"/>
      <c r="I8" s="360"/>
    </row>
    <row r="9" spans="2:9" s="58" customFormat="1" ht="24" customHeight="1" thickTop="1">
      <c r="B9" s="384"/>
      <c r="C9" s="396" t="s">
        <v>6</v>
      </c>
      <c r="D9" s="385"/>
      <c r="E9" s="385"/>
      <c r="F9" s="386"/>
      <c r="G9" s="386"/>
      <c r="H9" s="386"/>
      <c r="I9" s="387"/>
    </row>
    <row r="10" spans="2:9" ht="21.75">
      <c r="B10" s="298"/>
      <c r="D10" s="50" t="s">
        <v>492</v>
      </c>
      <c r="F10" s="51">
        <f>'wsc data'!I22</f>
        <v>145</v>
      </c>
      <c r="G10" s="50" t="s">
        <v>453</v>
      </c>
      <c r="H10" s="50"/>
      <c r="I10" s="299"/>
    </row>
    <row r="11" spans="2:9" ht="21.75">
      <c r="B11" s="298"/>
      <c r="D11" s="50" t="s">
        <v>493</v>
      </c>
      <c r="E11" s="331" t="s">
        <v>495</v>
      </c>
      <c r="F11" s="51" t="str">
        <f>'wsc data'!H25&amp;"-"&amp;'wsc data'!H26</f>
        <v>DB-SD30</v>
      </c>
      <c r="G11" s="50"/>
      <c r="H11" s="50"/>
      <c r="I11" s="299"/>
    </row>
    <row r="12" spans="2:9" ht="21.75">
      <c r="B12" s="298"/>
      <c r="E12" s="331" t="s">
        <v>494</v>
      </c>
      <c r="F12" s="51">
        <f>'wsc data'!H27</f>
        <v>12</v>
      </c>
      <c r="G12" s="50" t="s">
        <v>199</v>
      </c>
      <c r="H12" s="50"/>
      <c r="I12" s="299"/>
    </row>
    <row r="13" spans="2:9" ht="23.25" customHeight="1">
      <c r="B13" s="298"/>
      <c r="E13" s="331" t="s">
        <v>456</v>
      </c>
      <c r="F13" s="397">
        <f>IF('wsc data'!H25="RB",1200,1400)</f>
        <v>1400</v>
      </c>
      <c r="G13" s="52" t="s">
        <v>453</v>
      </c>
      <c r="H13" s="50"/>
      <c r="I13" s="299"/>
    </row>
    <row r="14" spans="2:9" ht="10.5" customHeight="1" thickBot="1">
      <c r="B14" s="357"/>
      <c r="C14" s="358"/>
      <c r="D14" s="358"/>
      <c r="E14" s="358"/>
      <c r="F14" s="358"/>
      <c r="G14" s="361"/>
      <c r="H14" s="358"/>
      <c r="I14" s="360"/>
    </row>
    <row r="15" spans="2:9" s="58" customFormat="1" ht="21.75" thickTop="1">
      <c r="B15" s="384"/>
      <c r="C15" s="385" t="s">
        <v>496</v>
      </c>
      <c r="D15" s="385"/>
      <c r="E15" s="385"/>
      <c r="F15" s="385"/>
      <c r="G15" s="386"/>
      <c r="H15" s="385"/>
      <c r="I15" s="387"/>
    </row>
    <row r="16" spans="2:9" ht="21.75">
      <c r="B16" s="298"/>
      <c r="D16" s="331" t="s">
        <v>497</v>
      </c>
      <c r="E16" s="51" t="s">
        <v>292</v>
      </c>
      <c r="F16" s="397">
        <f>SUM('wsc data'!I14:I18)</f>
        <v>12500</v>
      </c>
      <c r="G16" s="50" t="s">
        <v>444</v>
      </c>
      <c r="H16" s="50"/>
      <c r="I16" s="299"/>
    </row>
    <row r="17" spans="2:9" ht="7.5" customHeight="1" thickBot="1">
      <c r="B17" s="357"/>
      <c r="C17" s="358"/>
      <c r="D17" s="358"/>
      <c r="E17" s="358"/>
      <c r="F17" s="358"/>
      <c r="G17" s="361"/>
      <c r="H17" s="361"/>
      <c r="I17" s="360"/>
    </row>
    <row r="18" spans="2:9" s="58" customFormat="1" ht="24" customHeight="1" thickTop="1">
      <c r="B18" s="384"/>
      <c r="C18" s="385" t="s">
        <v>498</v>
      </c>
      <c r="D18" s="385"/>
      <c r="E18" s="385"/>
      <c r="F18" s="385"/>
      <c r="G18" s="386"/>
      <c r="H18" s="386"/>
      <c r="I18" s="387"/>
    </row>
    <row r="19" spans="2:9" ht="21.75">
      <c r="B19" s="298"/>
      <c r="D19" s="331" t="s">
        <v>499</v>
      </c>
      <c r="E19" s="673" t="str">
        <f>IF('wsc data'!H7=1,"เสาปลอกเดี่ยว","เสาปลอกเกลียว")</f>
        <v>เสาปลอกเดี่ยว</v>
      </c>
      <c r="F19" s="673"/>
      <c r="I19" s="299"/>
    </row>
    <row r="20" spans="2:9" ht="21.75">
      <c r="B20" s="298"/>
      <c r="D20" s="331" t="s">
        <v>500</v>
      </c>
      <c r="E20" s="466" t="s">
        <v>504</v>
      </c>
      <c r="F20" s="51">
        <f>IF((ROUNDUP(IF(E19="เสาปลอกเดี่ยว",(F16-(0.2125*F6*F10))/(0.85*F13),(F16-(0.25*F6*F10))/F13),2))&lt;PI()*(F12/10)^2/4*4,ROUND(PI()*(F12/10)^2/4*4,2),(ROUNDUP(IF(E19="เสาปลอกเดี่ยว",(F16-(0.2125*F6*F10))/(0.85*F13),(F16-(0.25*F6*F10))/F13),2)))</f>
        <v>4.52</v>
      </c>
      <c r="G20" s="52" t="s">
        <v>487</v>
      </c>
      <c r="I20" s="299"/>
    </row>
    <row r="21" spans="2:9" ht="21.75">
      <c r="B21" s="298"/>
      <c r="D21" s="331" t="s">
        <v>503</v>
      </c>
      <c r="E21" s="466" t="s">
        <v>505</v>
      </c>
      <c r="F21" s="240">
        <f>F20/F6</f>
        <v>0.0113</v>
      </c>
      <c r="G21" s="527" t="str">
        <f>IF(AND(0.01&lt;F21,F21&lt;0.08),"O.K.","เพิ่มขนาดเสา")</f>
        <v>O.K.</v>
      </c>
      <c r="I21" s="299"/>
    </row>
    <row r="22" spans="2:9" s="473" customFormat="1" ht="8.25">
      <c r="B22" s="472"/>
      <c r="D22" s="474"/>
      <c r="E22" s="475"/>
      <c r="F22" s="476"/>
      <c r="G22" s="477"/>
      <c r="H22" s="441"/>
      <c r="I22" s="478"/>
    </row>
    <row r="23" spans="2:9" ht="21.75">
      <c r="B23" s="298"/>
      <c r="D23" s="468" t="s">
        <v>507</v>
      </c>
      <c r="E23" s="469" t="str">
        <f>ROUNDUP(F20/(PI()*(F12/10)^2/4),0)&amp;" - "&amp;'wsc data'!H25&amp;'wsc data'!H27</f>
        <v>4 - DB12</v>
      </c>
      <c r="F23" s="383"/>
      <c r="I23" s="299"/>
    </row>
    <row r="24" spans="2:9" s="473" customFormat="1" ht="8.25">
      <c r="B24" s="472"/>
      <c r="D24" s="474"/>
      <c r="E24" s="479"/>
      <c r="F24" s="441"/>
      <c r="G24" s="441"/>
      <c r="H24" s="441"/>
      <c r="I24" s="478"/>
    </row>
    <row r="25" spans="2:9" ht="21.75">
      <c r="B25" s="298"/>
      <c r="C25" s="50" t="s">
        <v>508</v>
      </c>
      <c r="E25" s="465"/>
      <c r="F25" s="51"/>
      <c r="I25" s="299"/>
    </row>
    <row r="26" spans="2:9" ht="21.75">
      <c r="B26" s="298"/>
      <c r="C26" s="377" t="s">
        <v>509</v>
      </c>
      <c r="D26" s="51"/>
      <c r="E26" s="466" t="s">
        <v>19</v>
      </c>
      <c r="F26" s="51">
        <f>16*F12/10</f>
        <v>19.2</v>
      </c>
      <c r="G26" s="52" t="s">
        <v>195</v>
      </c>
      <c r="I26" s="299"/>
    </row>
    <row r="27" spans="2:9" ht="21.75">
      <c r="B27" s="298"/>
      <c r="C27" s="377" t="s">
        <v>510</v>
      </c>
      <c r="D27" s="51"/>
      <c r="E27" s="466" t="s">
        <v>19</v>
      </c>
      <c r="F27" s="51">
        <f>48*'wsc data'!I27/10</f>
        <v>28.8</v>
      </c>
      <c r="G27" s="52" t="s">
        <v>195</v>
      </c>
      <c r="I27" s="299"/>
    </row>
    <row r="28" spans="2:9" ht="21.75">
      <c r="B28" s="298"/>
      <c r="C28" s="377" t="s">
        <v>511</v>
      </c>
      <c r="D28" s="428"/>
      <c r="E28" s="466" t="s">
        <v>19</v>
      </c>
      <c r="F28" s="427">
        <f>'wsc data'!I8</f>
        <v>20</v>
      </c>
      <c r="G28" s="52" t="s">
        <v>195</v>
      </c>
      <c r="I28" s="299"/>
    </row>
    <row r="29" spans="2:9" s="473" customFormat="1" ht="8.25">
      <c r="B29" s="472"/>
      <c r="C29" s="479"/>
      <c r="D29" s="480"/>
      <c r="E29" s="475"/>
      <c r="F29" s="442"/>
      <c r="G29" s="477"/>
      <c r="H29" s="441"/>
      <c r="I29" s="478"/>
    </row>
    <row r="30" spans="2:9" ht="21.75">
      <c r="B30" s="298"/>
      <c r="C30" s="377"/>
      <c r="D30" s="470" t="s">
        <v>512</v>
      </c>
      <c r="E30" s="471" t="str">
        <f>"ป - "&amp;'wsc data'!I27&amp;'wsc data'!J27&amp;" @ "&amp;FLOOR(MIN(F26:F28),5)/100&amp;" m"</f>
        <v>ป - 6 mm @ 0.15 m</v>
      </c>
      <c r="F30" s="379"/>
      <c r="G30" s="52"/>
      <c r="I30" s="299"/>
    </row>
    <row r="31" spans="2:9" ht="22.5" thickBot="1">
      <c r="B31" s="357"/>
      <c r="C31" s="358"/>
      <c r="D31" s="358"/>
      <c r="E31" s="358"/>
      <c r="F31" s="358"/>
      <c r="G31" s="361"/>
      <c r="H31" s="361"/>
      <c r="I31" s="360"/>
    </row>
    <row r="32" ht="22.5" thickTop="1"/>
  </sheetData>
  <sheetProtection/>
  <mergeCells count="1">
    <mergeCell ref="E19:F19"/>
  </mergeCells>
  <printOptions/>
  <pageMargins left="0.62" right="0.5511811023622047" top="0.984251968503937" bottom="0.984251968503937" header="0.5118110236220472" footer="0.5118110236220472"/>
  <pageSetup orientation="portrait" paperSize="9" r:id="rId4"/>
  <drawing r:id="rId3"/>
  <legacyDrawing r:id="rId2"/>
  <oleObjects>
    <oleObject progId="Equation.3" shapeId="291128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8"/>
  </sheetPr>
  <dimension ref="B1:AE89"/>
  <sheetViews>
    <sheetView zoomScalePageLayoutView="0" workbookViewId="0" topLeftCell="K1">
      <selection activeCell="L9" sqref="L9:N9"/>
    </sheetView>
  </sheetViews>
  <sheetFormatPr defaultColWidth="9.140625" defaultRowHeight="12.75"/>
  <cols>
    <col min="1" max="1" width="2.57421875" style="34" customWidth="1"/>
    <col min="2" max="2" width="12.57421875" style="34" customWidth="1"/>
    <col min="3" max="3" width="26.140625" style="34" customWidth="1"/>
    <col min="4" max="4" width="31.57421875" style="34" customWidth="1"/>
    <col min="5" max="5" width="34.28125" style="34" customWidth="1"/>
    <col min="6" max="6" width="32.57421875" style="34" customWidth="1"/>
    <col min="7" max="7" width="19.28125" style="34" customWidth="1"/>
    <col min="8" max="8" width="70.7109375" style="44" customWidth="1"/>
    <col min="9" max="9" width="31.421875" style="45" customWidth="1"/>
    <col min="10" max="10" width="19.28125" style="34" customWidth="1"/>
    <col min="11" max="11" width="36.140625" style="34" customWidth="1"/>
    <col min="12" max="12" width="15.421875" style="33" customWidth="1"/>
    <col min="13" max="13" width="39.7109375" style="34" customWidth="1"/>
    <col min="14" max="14" width="12.421875" style="33" customWidth="1"/>
    <col min="15" max="15" width="36.00390625" style="34" customWidth="1"/>
    <col min="16" max="16" width="11.28125" style="44" customWidth="1"/>
    <col min="17" max="17" width="6.7109375" style="44" customWidth="1"/>
    <col min="18" max="18" width="18.7109375" style="44" customWidth="1"/>
    <col min="19" max="22" width="11.7109375" style="44" customWidth="1"/>
    <col min="23" max="26" width="11.7109375" style="34" customWidth="1"/>
    <col min="27" max="27" width="9.140625" style="34" customWidth="1"/>
    <col min="28" max="28" width="40.57421875" style="34" customWidth="1"/>
    <col min="29" max="31" width="18.7109375" style="94" customWidth="1"/>
    <col min="32" max="16384" width="9.140625" style="34" customWidth="1"/>
  </cols>
  <sheetData>
    <row r="1" spans="2:31" s="32" customFormat="1" ht="24">
      <c r="B1" s="741" t="s">
        <v>48</v>
      </c>
      <c r="C1" s="742"/>
      <c r="D1" s="742"/>
      <c r="E1" s="742"/>
      <c r="F1" s="743"/>
      <c r="H1" s="749" t="s">
        <v>69</v>
      </c>
      <c r="I1" s="749"/>
      <c r="L1" s="754" t="s">
        <v>543</v>
      </c>
      <c r="M1" s="754"/>
      <c r="N1" s="754"/>
      <c r="P1" s="43"/>
      <c r="Q1" s="713" t="s">
        <v>130</v>
      </c>
      <c r="R1" s="713"/>
      <c r="S1" s="713"/>
      <c r="T1" s="713"/>
      <c r="U1" s="713"/>
      <c r="V1" s="713"/>
      <c r="W1" s="713"/>
      <c r="X1" s="713"/>
      <c r="Y1" s="713"/>
      <c r="Z1" s="713"/>
      <c r="AC1" s="694" t="s">
        <v>239</v>
      </c>
      <c r="AD1" s="695"/>
      <c r="AE1" s="696"/>
    </row>
    <row r="2" spans="2:31" s="32" customFormat="1" ht="18" customHeight="1">
      <c r="B2" s="734" t="s">
        <v>49</v>
      </c>
      <c r="C2" s="745" t="s">
        <v>148</v>
      </c>
      <c r="D2" s="739">
        <f>'wdb data'!I8</f>
        <v>4</v>
      </c>
      <c r="E2" s="739"/>
      <c r="F2" s="747" t="s">
        <v>18</v>
      </c>
      <c r="H2" s="750" t="s">
        <v>84</v>
      </c>
      <c r="I2" s="751"/>
      <c r="L2" s="107" t="s">
        <v>147</v>
      </c>
      <c r="M2" s="107" t="s">
        <v>47</v>
      </c>
      <c r="N2" s="107" t="s">
        <v>53</v>
      </c>
      <c r="P2" s="43"/>
      <c r="Q2" s="709"/>
      <c r="R2" s="710"/>
      <c r="S2" s="119"/>
      <c r="T2" s="120" t="s">
        <v>40</v>
      </c>
      <c r="U2" s="121">
        <f>'wdb cal'!G25</f>
        <v>1894.68</v>
      </c>
      <c r="V2" s="120" t="s">
        <v>124</v>
      </c>
      <c r="W2" s="119"/>
      <c r="X2" s="755"/>
      <c r="Y2" s="755"/>
      <c r="Z2" s="756"/>
      <c r="AC2" s="648" t="str">
        <f>IF('wds data'!I6=4,"กรณีที่ 1 - ช่วงพื้นภายใน",IF('wds data'!I6=3,"กรณีที่ 2 - ไม่ต่อเนื่องกันด้านเดียว",IF('wds data'!I6=2,"กรณีที่ 3 - ไม่ต่อเนื่องกันสองด้าน",IF('wds data'!I6=1,"กรณีที่ 4 - ไม่ต่อเนื่องกันสามด้าน","กรณีที่ 5 - ไม่ต่อเนื่องกันทั้งสี่ด้าน"))))</f>
        <v>กรณีที่ 3 - ไม่ต่อเนื่องกันสองด้าน</v>
      </c>
      <c r="AD2" s="649"/>
      <c r="AE2" s="650"/>
    </row>
    <row r="3" spans="2:31" s="33" customFormat="1" ht="18.75" customHeight="1">
      <c r="B3" s="744"/>
      <c r="C3" s="746"/>
      <c r="D3" s="740"/>
      <c r="E3" s="740"/>
      <c r="F3" s="748"/>
      <c r="H3" s="752"/>
      <c r="I3" s="753"/>
      <c r="L3" s="107">
        <v>1</v>
      </c>
      <c r="M3" s="125" t="s">
        <v>22</v>
      </c>
      <c r="N3" s="107">
        <v>180</v>
      </c>
      <c r="P3" s="44"/>
      <c r="Q3" s="711"/>
      <c r="R3" s="712"/>
      <c r="S3" s="103"/>
      <c r="T3" s="103" t="s">
        <v>3</v>
      </c>
      <c r="U3" s="104">
        <f>'wdb cal'!D8</f>
        <v>4</v>
      </c>
      <c r="V3" s="103" t="s">
        <v>18</v>
      </c>
      <c r="W3" s="103"/>
      <c r="X3" s="757"/>
      <c r="Y3" s="757"/>
      <c r="Z3" s="758"/>
      <c r="AC3" s="688" t="s">
        <v>234</v>
      </c>
      <c r="AD3" s="689"/>
      <c r="AE3" s="690"/>
    </row>
    <row r="4" spans="2:31" s="33" customFormat="1" ht="18.75" customHeight="1">
      <c r="B4" s="744"/>
      <c r="C4" s="247"/>
      <c r="D4" s="248"/>
      <c r="E4" s="248"/>
      <c r="F4" s="249"/>
      <c r="H4" s="76" t="s">
        <v>85</v>
      </c>
      <c r="I4" s="77" t="s">
        <v>71</v>
      </c>
      <c r="L4" s="107">
        <v>2</v>
      </c>
      <c r="M4" s="125" t="s">
        <v>23</v>
      </c>
      <c r="N4" s="107">
        <v>360</v>
      </c>
      <c r="P4" s="44"/>
      <c r="Q4" s="226" t="s">
        <v>129</v>
      </c>
      <c r="R4" s="228" t="s">
        <v>31</v>
      </c>
      <c r="S4" s="105" t="s">
        <v>42</v>
      </c>
      <c r="T4" s="105" t="s">
        <v>144</v>
      </c>
      <c r="U4" s="99" t="s">
        <v>135</v>
      </c>
      <c r="V4" s="99" t="s">
        <v>144</v>
      </c>
      <c r="W4" s="109" t="s">
        <v>133</v>
      </c>
      <c r="X4" s="109" t="s">
        <v>144</v>
      </c>
      <c r="Y4" s="113" t="s">
        <v>134</v>
      </c>
      <c r="Z4" s="113" t="s">
        <v>144</v>
      </c>
      <c r="AC4" s="216" t="s">
        <v>235</v>
      </c>
      <c r="AD4" s="124" t="s">
        <v>236</v>
      </c>
      <c r="AE4" s="219" t="s">
        <v>42</v>
      </c>
    </row>
    <row r="5" spans="2:31" s="33" customFormat="1" ht="18.75" customHeight="1">
      <c r="B5" s="744"/>
      <c r="C5" s="250"/>
      <c r="D5" s="251"/>
      <c r="E5" s="251"/>
      <c r="F5" s="252"/>
      <c r="H5" s="253" t="s">
        <v>70</v>
      </c>
      <c r="I5" s="254"/>
      <c r="L5" s="107">
        <v>3</v>
      </c>
      <c r="M5" s="125" t="s">
        <v>44</v>
      </c>
      <c r="N5" s="107">
        <v>120</v>
      </c>
      <c r="P5" s="44"/>
      <c r="Q5" s="227"/>
      <c r="R5" s="229"/>
      <c r="S5" s="106" t="s">
        <v>119</v>
      </c>
      <c r="T5" s="106" t="s">
        <v>42</v>
      </c>
      <c r="U5" s="100" t="s">
        <v>119</v>
      </c>
      <c r="V5" s="100" t="s">
        <v>135</v>
      </c>
      <c r="W5" s="110" t="s">
        <v>119</v>
      </c>
      <c r="X5" s="110" t="s">
        <v>133</v>
      </c>
      <c r="Y5" s="114" t="s">
        <v>119</v>
      </c>
      <c r="Z5" s="114" t="s">
        <v>134</v>
      </c>
      <c r="AC5" s="101">
        <v>0.1</v>
      </c>
      <c r="AD5" s="218">
        <f>IF('wds data'!I6=4,0.083,IF('wds data'!I6=3,0.085,IF('wds data'!I6=2,0.09,IF('wds data'!I6=1,0.098,0.055))))</f>
        <v>0.09</v>
      </c>
      <c r="AE5" s="220">
        <f>IF('wds data'!I6=4,0.062,IF('wds data'!I6=3,0.064,IF('wds data'!I6=2,0.068,IF('wds data'!I6=1,0.074,0.083))))</f>
        <v>0.068</v>
      </c>
    </row>
    <row r="6" spans="2:31" s="33" customFormat="1" ht="18.75" customHeight="1">
      <c r="B6" s="744"/>
      <c r="C6" s="250"/>
      <c r="D6" s="251"/>
      <c r="E6" s="251"/>
      <c r="F6" s="252"/>
      <c r="H6" s="78" t="s">
        <v>72</v>
      </c>
      <c r="I6" s="79">
        <v>7.5</v>
      </c>
      <c r="L6" s="107">
        <v>4</v>
      </c>
      <c r="M6" s="125" t="s">
        <v>45</v>
      </c>
      <c r="N6" s="107">
        <v>160</v>
      </c>
      <c r="P6" s="44"/>
      <c r="Q6" s="101">
        <v>1</v>
      </c>
      <c r="R6" s="123" t="s">
        <v>56</v>
      </c>
      <c r="S6" s="107" t="s">
        <v>138</v>
      </c>
      <c r="T6" s="108">
        <f>ROUNDUP(1/8*U2*U3*U3,2)</f>
        <v>3789.36</v>
      </c>
      <c r="U6" s="118" t="s">
        <v>132</v>
      </c>
      <c r="V6" s="102">
        <v>0</v>
      </c>
      <c r="W6" s="111" t="s">
        <v>139</v>
      </c>
      <c r="X6" s="112">
        <f>ROUNDUP(1/2*U2*U3,2)</f>
        <v>3789.36</v>
      </c>
      <c r="Y6" s="115" t="s">
        <v>139</v>
      </c>
      <c r="Z6" s="116">
        <f>ROUNDUP(1/2*U2*U3,2)</f>
        <v>3789.36</v>
      </c>
      <c r="AC6" s="101">
        <v>0.2</v>
      </c>
      <c r="AD6" s="218">
        <f>IF('wds data'!I6=4,0.083,IF('wds data'!I6=3,0.085,IF('wds data'!I6=2,0.09,IF('wds data'!I6=1,0.098,0.055))))</f>
        <v>0.09</v>
      </c>
      <c r="AE6" s="220">
        <f>IF('wds data'!I6=4,0.062,IF('wds data'!I6=3,0.064,IF('wds data'!I6=2,0.068,IF('wds data'!I6=1,0.074,0.083))))</f>
        <v>0.068</v>
      </c>
    </row>
    <row r="7" spans="2:31" s="33" customFormat="1" ht="21.75">
      <c r="B7" s="744"/>
      <c r="C7" s="257">
        <v>1</v>
      </c>
      <c r="D7" s="258">
        <v>2</v>
      </c>
      <c r="E7" s="258">
        <v>3</v>
      </c>
      <c r="F7" s="258">
        <v>4</v>
      </c>
      <c r="H7" s="80" t="s">
        <v>73</v>
      </c>
      <c r="I7" s="81"/>
      <c r="L7" s="107">
        <v>5</v>
      </c>
      <c r="M7" s="125" t="s">
        <v>46</v>
      </c>
      <c r="N7" s="107">
        <v>30</v>
      </c>
      <c r="P7" s="44"/>
      <c r="Q7" s="101">
        <v>2</v>
      </c>
      <c r="R7" s="123" t="s">
        <v>110</v>
      </c>
      <c r="S7" s="107" t="s">
        <v>137</v>
      </c>
      <c r="T7" s="108">
        <f>ROUNDUP(9/128*U2*U3*U3,2)</f>
        <v>2131.5200000000004</v>
      </c>
      <c r="U7" s="118" t="s">
        <v>138</v>
      </c>
      <c r="V7" s="102">
        <f>ROUNDUP(1/8*U2*U3*U3,2)</f>
        <v>3789.36</v>
      </c>
      <c r="W7" s="111" t="s">
        <v>140</v>
      </c>
      <c r="X7" s="112">
        <f>ROUNDUP(3/8*U2*U3,2)</f>
        <v>2842.02</v>
      </c>
      <c r="Y7" s="115" t="s">
        <v>141</v>
      </c>
      <c r="Z7" s="117">
        <f>ROUNDUP(5/8*U2*U3,2)</f>
        <v>4736.7</v>
      </c>
      <c r="AC7" s="101">
        <v>0.3</v>
      </c>
      <c r="AD7" s="218">
        <f>IF('wds data'!I6=4,0.083,IF('wds data'!I6=3,0.085,IF('wds data'!I6=2,0.09,IF('wds data'!I6=1,0.098,0.055))))</f>
        <v>0.09</v>
      </c>
      <c r="AE7" s="220">
        <f>IF('wds data'!I6=4,0.062,IF('wds data'!I6=3,0.064,IF('wds data'!I6=2,0.068,IF('wds data'!I6=1,0.074,0.083))))</f>
        <v>0.068</v>
      </c>
    </row>
    <row r="8" spans="2:31" ht="43.5">
      <c r="B8" s="735"/>
      <c r="C8" s="256" t="s">
        <v>56</v>
      </c>
      <c r="D8" s="256" t="s">
        <v>110</v>
      </c>
      <c r="E8" s="256" t="s">
        <v>111</v>
      </c>
      <c r="F8" s="256" t="s">
        <v>55</v>
      </c>
      <c r="H8" s="82" t="s">
        <v>74</v>
      </c>
      <c r="I8" s="83">
        <v>5</v>
      </c>
      <c r="L8" s="122"/>
      <c r="M8" s="239"/>
      <c r="N8" s="122"/>
      <c r="Q8" s="101">
        <v>3</v>
      </c>
      <c r="R8" s="123" t="s">
        <v>111</v>
      </c>
      <c r="S8" s="107" t="s">
        <v>251</v>
      </c>
      <c r="T8" s="108">
        <f>ROUNDUP(1/24*U2*U3*U3,2)</f>
        <v>1263.12</v>
      </c>
      <c r="U8" s="118" t="s">
        <v>136</v>
      </c>
      <c r="V8" s="102">
        <f>ROUNDUP(1/12*U2*U3*U3,2)</f>
        <v>2526.24</v>
      </c>
      <c r="W8" s="111" t="s">
        <v>139</v>
      </c>
      <c r="X8" s="112">
        <f>ROUNDUP(1/2*U2*U3,2)</f>
        <v>3789.36</v>
      </c>
      <c r="Y8" s="115" t="s">
        <v>139</v>
      </c>
      <c r="Z8" s="117">
        <f>ROUNDUP(1/2*U2*U3,2)</f>
        <v>3789.36</v>
      </c>
      <c r="AC8" s="101">
        <v>0.4</v>
      </c>
      <c r="AD8" s="218">
        <f>IF('wds data'!I6=4,0.083,IF('wds data'!I6=3,0.085,IF('wds data'!I6=2,0.09,IF('wds data'!I6=1,0.098,0.055))))</f>
        <v>0.09</v>
      </c>
      <c r="AE8" s="220">
        <f>IF('wds data'!I6=4,0.062,IF('wds data'!I6=3,0.064,IF('wds data'!I6=2,0.068,IF('wds data'!I6=1,0.074,0.083))))</f>
        <v>0.068</v>
      </c>
    </row>
    <row r="9" spans="2:31" ht="21.75" customHeight="1">
      <c r="B9" s="734" t="s">
        <v>50</v>
      </c>
      <c r="C9" s="732">
        <f>ROUNDUP(D2/20,2)</f>
        <v>0.2</v>
      </c>
      <c r="D9" s="732">
        <f>ROUNDUP(D2/24,2)</f>
        <v>0.17</v>
      </c>
      <c r="E9" s="732">
        <f>ROUNDUP(D2/28,2)</f>
        <v>0.15000000000000002</v>
      </c>
      <c r="F9" s="732">
        <f>ROUNDUP(D2/10,2)</f>
        <v>0.4</v>
      </c>
      <c r="H9" s="84" t="s">
        <v>75</v>
      </c>
      <c r="I9" s="85">
        <v>5</v>
      </c>
      <c r="L9" s="674" t="s">
        <v>249</v>
      </c>
      <c r="M9" s="674"/>
      <c r="N9" s="674"/>
      <c r="Q9" s="101">
        <v>4</v>
      </c>
      <c r="R9" s="123" t="s">
        <v>55</v>
      </c>
      <c r="S9" s="107" t="s">
        <v>142</v>
      </c>
      <c r="T9" s="108">
        <v>0</v>
      </c>
      <c r="U9" s="118" t="s">
        <v>143</v>
      </c>
      <c r="V9" s="102">
        <f>ROUNDUP(1/2*U2*U3*U3,2)</f>
        <v>15157.44</v>
      </c>
      <c r="W9" s="111" t="s">
        <v>142</v>
      </c>
      <c r="X9" s="112">
        <v>0</v>
      </c>
      <c r="Y9" s="115" t="s">
        <v>131</v>
      </c>
      <c r="Z9" s="117">
        <f>ROUNDUP(U2*U3,2)</f>
        <v>7578.72</v>
      </c>
      <c r="AC9" s="217">
        <v>0.5</v>
      </c>
      <c r="AD9" s="218">
        <f>IF('wds data'!I6=4,0.083,IF('wds data'!I6=3,0.085,IF('wds data'!I6=2,0.09,IF('wds data'!I6=1,0.098,0.055))))</f>
        <v>0.09</v>
      </c>
      <c r="AE9" s="220">
        <f>IF('wds data'!I6=4,0.062,IF('wds data'!I6=3,0.064,IF('wds data'!I6=2,0.068,IF('wds data'!I6=1,0.074,0.083))))</f>
        <v>0.068</v>
      </c>
    </row>
    <row r="10" spans="2:31" ht="21.75" customHeight="1">
      <c r="B10" s="735"/>
      <c r="C10" s="733"/>
      <c r="D10" s="733"/>
      <c r="E10" s="733"/>
      <c r="F10" s="733"/>
      <c r="H10" s="80" t="s">
        <v>76</v>
      </c>
      <c r="I10" s="86"/>
      <c r="AC10" s="217">
        <v>0.6</v>
      </c>
      <c r="AD10" s="218">
        <f>IF('wds data'!I6=4,0.063,IF('wds data'!I6=3,0.069,IF('wds data'!I6=2,0.078,IF('wds data'!I6=1,0.09,0.053))))</f>
        <v>0.078</v>
      </c>
      <c r="AE10" s="220">
        <f>IF('wds data'!I6=4,0.047,IF('wds data'!I6=3,0.052,IF('wds data'!I6=2,0.059,IF('wds data'!I6=1,0.068,0.08))))</f>
        <v>0.059</v>
      </c>
    </row>
    <row r="11" spans="2:31" ht="21.75" customHeight="1">
      <c r="B11" s="734" t="s">
        <v>51</v>
      </c>
      <c r="C11" s="732">
        <f>ROUNDUP(D2/16,2)</f>
        <v>0.25</v>
      </c>
      <c r="D11" s="732">
        <f>ROUNDUP(D2/18.5,2)</f>
        <v>0.22</v>
      </c>
      <c r="E11" s="732">
        <f>ROUNDUP(D2/21,2)</f>
        <v>0.2</v>
      </c>
      <c r="F11" s="732">
        <f>ROUNDUP(D2/8,2)</f>
        <v>0.5</v>
      </c>
      <c r="H11" s="82" t="s">
        <v>89</v>
      </c>
      <c r="I11" s="83"/>
      <c r="Q11" s="723" t="s">
        <v>158</v>
      </c>
      <c r="R11" s="724"/>
      <c r="S11" s="724"/>
      <c r="T11" s="724"/>
      <c r="U11" s="724"/>
      <c r="V11" s="724"/>
      <c r="W11" s="724"/>
      <c r="X11" s="724"/>
      <c r="Y11" s="724"/>
      <c r="Z11" s="725"/>
      <c r="AC11" s="217">
        <v>0.7</v>
      </c>
      <c r="AD11" s="218">
        <f>IF('wds data'!I6=4,0.055,IF('wds data'!I6=3,0.062,IF('wds data'!I6=2,0.071,IF('wds data'!I6=1,0.082,0.047))))</f>
        <v>0.071</v>
      </c>
      <c r="AE11" s="220">
        <f>IF('wds data'!I6=4,0.041,IF('wds data'!I6=3,0.047,IF('wds data'!I6=2,0.054,IF('wds data'!I6=1,0.062,0.072))))</f>
        <v>0.054</v>
      </c>
    </row>
    <row r="12" spans="2:31" ht="25.5" customHeight="1">
      <c r="B12" s="735"/>
      <c r="C12" s="733"/>
      <c r="D12" s="733"/>
      <c r="E12" s="733"/>
      <c r="F12" s="733"/>
      <c r="H12" s="82" t="s">
        <v>86</v>
      </c>
      <c r="I12" s="83">
        <v>4</v>
      </c>
      <c r="Q12" s="697"/>
      <c r="R12" s="698"/>
      <c r="S12" s="698"/>
      <c r="T12" s="698"/>
      <c r="U12" s="698"/>
      <c r="V12" s="698"/>
      <c r="W12" s="698"/>
      <c r="X12" s="698"/>
      <c r="Y12" s="698"/>
      <c r="Z12" s="699"/>
      <c r="AC12" s="217">
        <v>0.8</v>
      </c>
      <c r="AD12" s="218">
        <f>IF('wds data'!I6=4,0.048,IF('wds data'!I6=3,0.055,IF('wds data'!I6=2,0.064,IF('wds data'!I6=1,0.074,0.043))))</f>
        <v>0.064</v>
      </c>
      <c r="AE12" s="220">
        <f>IF('wds data'!I6=4,0.036,IF('wds data'!I6=3,0.041,IF('wds data'!I6=2,0.048,IF('wds data'!I6=1,0.056,0.064))))</f>
        <v>0.048</v>
      </c>
    </row>
    <row r="13" spans="2:31" ht="18.75" customHeight="1">
      <c r="B13" s="75"/>
      <c r="C13" s="72"/>
      <c r="D13" s="72"/>
      <c r="E13" s="72"/>
      <c r="F13" s="73"/>
      <c r="H13" s="84" t="s">
        <v>87</v>
      </c>
      <c r="I13" s="85">
        <v>2</v>
      </c>
      <c r="L13" s="34"/>
      <c r="N13" s="34"/>
      <c r="Q13" s="700"/>
      <c r="R13" s="701"/>
      <c r="S13" s="701"/>
      <c r="T13" s="701"/>
      <c r="U13" s="701"/>
      <c r="V13" s="701"/>
      <c r="W13" s="701"/>
      <c r="X13" s="701"/>
      <c r="Y13" s="701"/>
      <c r="Z13" s="702"/>
      <c r="AC13" s="217">
        <v>0.9</v>
      </c>
      <c r="AD13" s="218">
        <f>IF('wds data'!I6=4,0.04,IF('wds data'!I6=3,0.048,IF('wds data'!I6=2,0.057,IF('wds data'!I6=1,0.066,0.038))))</f>
        <v>0.057</v>
      </c>
      <c r="AE13" s="220">
        <f>IF('wds data'!I6=4,0.03,IF('wds data'!I6=3,0.036,IF('wds data'!I6=2,0.043,IF('wds data'!I6=1,0.05,0.057))))</f>
        <v>0.043</v>
      </c>
    </row>
    <row r="14" spans="2:31" ht="18.75" customHeight="1">
      <c r="B14" s="736" t="s">
        <v>52</v>
      </c>
      <c r="C14" s="737"/>
      <c r="D14" s="737"/>
      <c r="E14" s="737"/>
      <c r="F14" s="738"/>
      <c r="H14" s="87" t="s">
        <v>90</v>
      </c>
      <c r="I14" s="86"/>
      <c r="L14" s="34"/>
      <c r="N14" s="34"/>
      <c r="Q14" s="700"/>
      <c r="R14" s="701"/>
      <c r="S14" s="701"/>
      <c r="T14" s="701"/>
      <c r="U14" s="701"/>
      <c r="V14" s="701"/>
      <c r="W14" s="701"/>
      <c r="X14" s="701"/>
      <c r="Y14" s="701"/>
      <c r="Z14" s="702"/>
      <c r="AC14" s="217">
        <v>1</v>
      </c>
      <c r="AD14" s="218">
        <f>IF('wds data'!I6=4,0.033,IF('wds data'!I6=3,0.041,IF('wds data'!I6=2,0.049,IF('wds data'!I6=1,0.058,0.033))))</f>
        <v>0.049</v>
      </c>
      <c r="AE14" s="220">
        <f>IF('wds data'!I6=4,0.025,IF('wds data'!I6=3,0.031,IF('wds data'!I6=2,0.037,IF('wds data'!I6=1,0.044,0.05))))</f>
        <v>0.037</v>
      </c>
    </row>
    <row r="15" spans="2:31" ht="18.75" customHeight="1">
      <c r="B15" s="736"/>
      <c r="C15" s="737"/>
      <c r="D15" s="737"/>
      <c r="E15" s="737"/>
      <c r="F15" s="738"/>
      <c r="H15" s="84" t="s">
        <v>88</v>
      </c>
      <c r="I15" s="85">
        <v>3</v>
      </c>
      <c r="Q15" s="700"/>
      <c r="R15" s="701"/>
      <c r="S15" s="701"/>
      <c r="T15" s="701"/>
      <c r="U15" s="701"/>
      <c r="V15" s="701"/>
      <c r="W15" s="701"/>
      <c r="X15" s="701"/>
      <c r="Y15" s="701"/>
      <c r="Z15" s="702"/>
      <c r="AC15" s="688" t="s">
        <v>237</v>
      </c>
      <c r="AD15" s="689"/>
      <c r="AE15" s="690"/>
    </row>
    <row r="16" spans="2:31" ht="18.75" customHeight="1">
      <c r="B16" s="736"/>
      <c r="C16" s="737"/>
      <c r="D16" s="737"/>
      <c r="E16" s="737"/>
      <c r="F16" s="738"/>
      <c r="H16" s="87" t="s">
        <v>91</v>
      </c>
      <c r="I16" s="86"/>
      <c r="Q16" s="700"/>
      <c r="R16" s="701"/>
      <c r="S16" s="701"/>
      <c r="T16" s="701"/>
      <c r="U16" s="701"/>
      <c r="V16" s="701"/>
      <c r="W16" s="701"/>
      <c r="X16" s="701"/>
      <c r="Y16" s="701"/>
      <c r="Z16" s="702"/>
      <c r="AC16" s="101" t="s">
        <v>238</v>
      </c>
      <c r="AD16" s="215">
        <f>IF('wds data'!I6=4,0.033,IF('wds data'!I6=3,0.041,IF('wds data'!I6=2,0.049,IF('wds data'!I6=1,0.058,0.033))))</f>
        <v>0.049</v>
      </c>
      <c r="AE16" s="221">
        <f>IF('wds data'!I6=4,0.025,IF('wds data'!I6=3,0.031,IF('wds data'!I6=2,0.037,IF('wds data'!I6=1,0.044,0.05))))</f>
        <v>0.037</v>
      </c>
    </row>
    <row r="17" spans="2:26" ht="18.75" customHeight="1">
      <c r="B17" s="736"/>
      <c r="C17" s="737"/>
      <c r="D17" s="737"/>
      <c r="E17" s="737"/>
      <c r="F17" s="738"/>
      <c r="H17" s="84" t="s">
        <v>92</v>
      </c>
      <c r="I17" s="85">
        <v>3.5</v>
      </c>
      <c r="Q17" s="700"/>
      <c r="R17" s="701"/>
      <c r="S17" s="701"/>
      <c r="T17" s="701"/>
      <c r="U17" s="701"/>
      <c r="V17" s="701"/>
      <c r="W17" s="701"/>
      <c r="X17" s="701"/>
      <c r="Y17" s="701"/>
      <c r="Z17" s="702"/>
    </row>
    <row r="18" spans="2:31" ht="18.75" customHeight="1">
      <c r="B18" s="726" t="s">
        <v>54</v>
      </c>
      <c r="C18" s="727"/>
      <c r="D18" s="727"/>
      <c r="E18" s="727"/>
      <c r="F18" s="728"/>
      <c r="H18" s="82" t="s">
        <v>93</v>
      </c>
      <c r="I18" s="83"/>
      <c r="Q18" s="700"/>
      <c r="R18" s="701"/>
      <c r="S18" s="701"/>
      <c r="T18" s="701"/>
      <c r="U18" s="701"/>
      <c r="V18" s="701"/>
      <c r="W18" s="701"/>
      <c r="X18" s="701"/>
      <c r="Y18" s="701"/>
      <c r="Z18" s="702"/>
      <c r="AC18" s="645" t="s">
        <v>255</v>
      </c>
      <c r="AD18" s="645"/>
      <c r="AE18" s="645"/>
    </row>
    <row r="19" spans="2:26" ht="18.75" customHeight="1">
      <c r="B19" s="726"/>
      <c r="C19" s="727"/>
      <c r="D19" s="727"/>
      <c r="E19" s="727"/>
      <c r="F19" s="728"/>
      <c r="H19" s="82" t="s">
        <v>94</v>
      </c>
      <c r="I19" s="83">
        <v>2</v>
      </c>
      <c r="Q19" s="700"/>
      <c r="R19" s="701"/>
      <c r="S19" s="701"/>
      <c r="T19" s="701"/>
      <c r="U19" s="701"/>
      <c r="V19" s="701"/>
      <c r="W19" s="701"/>
      <c r="X19" s="701"/>
      <c r="Y19" s="701"/>
      <c r="Z19" s="702"/>
    </row>
    <row r="20" spans="2:26" ht="18.75" customHeight="1">
      <c r="B20" s="726"/>
      <c r="C20" s="727"/>
      <c r="D20" s="727"/>
      <c r="E20" s="727"/>
      <c r="F20" s="728"/>
      <c r="H20" s="84" t="s">
        <v>95</v>
      </c>
      <c r="I20" s="85">
        <v>1.5</v>
      </c>
      <c r="Q20" s="700"/>
      <c r="R20" s="701"/>
      <c r="S20" s="701"/>
      <c r="T20" s="701"/>
      <c r="U20" s="701"/>
      <c r="V20" s="701"/>
      <c r="W20" s="701"/>
      <c r="X20" s="701"/>
      <c r="Y20" s="701"/>
      <c r="Z20" s="702"/>
    </row>
    <row r="21" spans="2:26" ht="18.75" customHeight="1">
      <c r="B21" s="726"/>
      <c r="C21" s="727"/>
      <c r="D21" s="727"/>
      <c r="E21" s="727"/>
      <c r="F21" s="728"/>
      <c r="Q21" s="700"/>
      <c r="R21" s="701"/>
      <c r="S21" s="701"/>
      <c r="T21" s="701"/>
      <c r="U21" s="701"/>
      <c r="V21" s="701"/>
      <c r="W21" s="701"/>
      <c r="X21" s="701"/>
      <c r="Y21" s="701"/>
      <c r="Z21" s="702"/>
    </row>
    <row r="22" spans="2:26" ht="18.75" customHeight="1">
      <c r="B22" s="726"/>
      <c r="C22" s="727"/>
      <c r="D22" s="727"/>
      <c r="E22" s="727"/>
      <c r="F22" s="728"/>
      <c r="Q22" s="700"/>
      <c r="R22" s="701"/>
      <c r="S22" s="701"/>
      <c r="T22" s="701"/>
      <c r="U22" s="701"/>
      <c r="V22" s="701"/>
      <c r="W22" s="701"/>
      <c r="X22" s="701"/>
      <c r="Y22" s="701"/>
      <c r="Z22" s="702"/>
    </row>
    <row r="23" spans="2:26" ht="21.75">
      <c r="B23" s="729"/>
      <c r="C23" s="730"/>
      <c r="D23" s="730"/>
      <c r="E23" s="730"/>
      <c r="F23" s="731"/>
      <c r="H23" s="71"/>
      <c r="I23" s="255"/>
      <c r="Q23" s="703"/>
      <c r="R23" s="704"/>
      <c r="S23" s="704"/>
      <c r="T23" s="704"/>
      <c r="U23" s="704"/>
      <c r="V23" s="704"/>
      <c r="W23" s="704"/>
      <c r="X23" s="704"/>
      <c r="Y23" s="704"/>
      <c r="Z23" s="705"/>
    </row>
    <row r="24" spans="3:26" ht="21.75">
      <c r="C24" s="238"/>
      <c r="D24" s="238"/>
      <c r="E24" s="238"/>
      <c r="F24" s="238"/>
      <c r="H24" s="52"/>
      <c r="I24" s="88"/>
      <c r="Q24" s="687" t="s">
        <v>161</v>
      </c>
      <c r="R24" s="687"/>
      <c r="S24" s="687"/>
      <c r="T24" s="687"/>
      <c r="U24" s="687"/>
      <c r="V24" s="687"/>
      <c r="W24" s="687"/>
      <c r="X24" s="687"/>
      <c r="Y24" s="687"/>
      <c r="Z24" s="687"/>
    </row>
    <row r="25" spans="2:9" ht="21.75">
      <c r="B25" s="674" t="s">
        <v>249</v>
      </c>
      <c r="C25" s="674"/>
      <c r="D25" s="674"/>
      <c r="E25" s="674"/>
      <c r="F25" s="674"/>
      <c r="H25" s="52"/>
      <c r="I25" s="88"/>
    </row>
    <row r="26" spans="2:26" ht="23.25">
      <c r="B26" s="98"/>
      <c r="C26" s="98"/>
      <c r="D26" s="98"/>
      <c r="E26" s="98"/>
      <c r="F26" s="98"/>
      <c r="H26" s="691" t="s">
        <v>69</v>
      </c>
      <c r="I26" s="692"/>
      <c r="Q26" s="706" t="s">
        <v>157</v>
      </c>
      <c r="R26" s="707"/>
      <c r="S26" s="707"/>
      <c r="T26" s="707"/>
      <c r="U26" s="707"/>
      <c r="V26" s="707"/>
      <c r="W26" s="707"/>
      <c r="X26" s="707"/>
      <c r="Y26" s="707"/>
      <c r="Z26" s="708"/>
    </row>
    <row r="27" spans="2:26" ht="21.75">
      <c r="B27" s="98"/>
      <c r="C27" s="98"/>
      <c r="D27" s="98"/>
      <c r="E27" s="98"/>
      <c r="F27" s="98"/>
      <c r="H27" s="76" t="s">
        <v>85</v>
      </c>
      <c r="I27" s="77" t="s">
        <v>71</v>
      </c>
      <c r="Q27" s="714"/>
      <c r="R27" s="715"/>
      <c r="S27" s="715"/>
      <c r="T27" s="715"/>
      <c r="U27" s="715"/>
      <c r="V27" s="715"/>
      <c r="W27" s="715"/>
      <c r="X27" s="715"/>
      <c r="Y27" s="715"/>
      <c r="Z27" s="716"/>
    </row>
    <row r="28" spans="2:26" ht="21.75">
      <c r="B28" s="98"/>
      <c r="C28" s="98"/>
      <c r="D28" s="98"/>
      <c r="E28" s="98"/>
      <c r="F28" s="98"/>
      <c r="H28" s="253" t="s">
        <v>77</v>
      </c>
      <c r="I28" s="254"/>
      <c r="Q28" s="717"/>
      <c r="R28" s="718"/>
      <c r="S28" s="718"/>
      <c r="T28" s="718"/>
      <c r="U28" s="718"/>
      <c r="V28" s="718"/>
      <c r="W28" s="718"/>
      <c r="X28" s="718"/>
      <c r="Y28" s="718"/>
      <c r="Z28" s="719"/>
    </row>
    <row r="29" spans="2:26" ht="21.75" customHeight="1">
      <c r="B29" s="98"/>
      <c r="C29" s="98"/>
      <c r="D29" s="98"/>
      <c r="E29" s="98"/>
      <c r="F29" s="98"/>
      <c r="H29" s="80" t="s">
        <v>78</v>
      </c>
      <c r="I29" s="86"/>
      <c r="Q29" s="717"/>
      <c r="R29" s="718"/>
      <c r="S29" s="718"/>
      <c r="T29" s="718"/>
      <c r="U29" s="718"/>
      <c r="V29" s="718"/>
      <c r="W29" s="718"/>
      <c r="X29" s="718"/>
      <c r="Y29" s="718"/>
      <c r="Z29" s="719"/>
    </row>
    <row r="30" spans="2:26" ht="21.75">
      <c r="B30" s="98"/>
      <c r="C30" s="98"/>
      <c r="D30" s="98"/>
      <c r="E30" s="98"/>
      <c r="F30" s="98"/>
      <c r="H30" s="82" t="s">
        <v>96</v>
      </c>
      <c r="I30" s="83"/>
      <c r="Q30" s="717"/>
      <c r="R30" s="718"/>
      <c r="S30" s="718"/>
      <c r="T30" s="718"/>
      <c r="U30" s="718"/>
      <c r="V30" s="718"/>
      <c r="W30" s="718"/>
      <c r="X30" s="718"/>
      <c r="Y30" s="718"/>
      <c r="Z30" s="719"/>
    </row>
    <row r="31" spans="8:26" ht="21.75">
      <c r="H31" s="82" t="s">
        <v>97</v>
      </c>
      <c r="I31" s="83">
        <v>4</v>
      </c>
      <c r="Q31" s="717"/>
      <c r="R31" s="718"/>
      <c r="S31" s="718"/>
      <c r="T31" s="718"/>
      <c r="U31" s="718"/>
      <c r="V31" s="718"/>
      <c r="W31" s="718"/>
      <c r="X31" s="718"/>
      <c r="Y31" s="718"/>
      <c r="Z31" s="719"/>
    </row>
    <row r="32" spans="8:26" ht="21.75">
      <c r="H32" s="84" t="s">
        <v>87</v>
      </c>
      <c r="I32" s="85">
        <v>2</v>
      </c>
      <c r="Q32" s="717"/>
      <c r="R32" s="718"/>
      <c r="S32" s="718"/>
      <c r="T32" s="718"/>
      <c r="U32" s="718"/>
      <c r="V32" s="718"/>
      <c r="W32" s="718"/>
      <c r="X32" s="718"/>
      <c r="Y32" s="718"/>
      <c r="Z32" s="719"/>
    </row>
    <row r="33" spans="8:26" ht="21.75">
      <c r="H33" s="87" t="s">
        <v>98</v>
      </c>
      <c r="I33" s="86"/>
      <c r="Q33" s="717"/>
      <c r="R33" s="718"/>
      <c r="S33" s="718"/>
      <c r="T33" s="718"/>
      <c r="U33" s="718"/>
      <c r="V33" s="718"/>
      <c r="W33" s="718"/>
      <c r="X33" s="718"/>
      <c r="Y33" s="718"/>
      <c r="Z33" s="719"/>
    </row>
    <row r="34" spans="8:26" ht="21.75">
      <c r="H34" s="82" t="s">
        <v>99</v>
      </c>
      <c r="I34" s="83">
        <v>5</v>
      </c>
      <c r="Q34" s="717"/>
      <c r="R34" s="718"/>
      <c r="S34" s="718"/>
      <c r="T34" s="718"/>
      <c r="U34" s="718"/>
      <c r="V34" s="718"/>
      <c r="W34" s="718"/>
      <c r="X34" s="718"/>
      <c r="Y34" s="718"/>
      <c r="Z34" s="719"/>
    </row>
    <row r="35" spans="8:26" ht="21.75">
      <c r="H35" s="82" t="s">
        <v>100</v>
      </c>
      <c r="I35" s="83">
        <v>4</v>
      </c>
      <c r="Q35" s="717"/>
      <c r="R35" s="718"/>
      <c r="S35" s="718"/>
      <c r="T35" s="718"/>
      <c r="U35" s="718"/>
      <c r="V35" s="718"/>
      <c r="W35" s="718"/>
      <c r="X35" s="718"/>
      <c r="Y35" s="718"/>
      <c r="Z35" s="719"/>
    </row>
    <row r="36" spans="8:26" ht="21.75">
      <c r="H36" s="84" t="s">
        <v>101</v>
      </c>
      <c r="I36" s="85">
        <v>3</v>
      </c>
      <c r="Q36" s="717"/>
      <c r="R36" s="718"/>
      <c r="S36" s="718"/>
      <c r="T36" s="718"/>
      <c r="U36" s="718"/>
      <c r="V36" s="718"/>
      <c r="W36" s="718"/>
      <c r="X36" s="718"/>
      <c r="Y36" s="718"/>
      <c r="Z36" s="719"/>
    </row>
    <row r="37" spans="8:26" ht="21.75">
      <c r="H37" s="80" t="s">
        <v>79</v>
      </c>
      <c r="I37" s="86"/>
      <c r="Q37" s="717"/>
      <c r="R37" s="718"/>
      <c r="S37" s="718"/>
      <c r="T37" s="718"/>
      <c r="U37" s="718"/>
      <c r="V37" s="718"/>
      <c r="W37" s="718"/>
      <c r="X37" s="718"/>
      <c r="Y37" s="718"/>
      <c r="Z37" s="719"/>
    </row>
    <row r="38" spans="8:26" ht="21.75">
      <c r="H38" s="82" t="s">
        <v>106</v>
      </c>
      <c r="I38" s="83"/>
      <c r="Q38" s="717"/>
      <c r="R38" s="718"/>
      <c r="S38" s="718"/>
      <c r="T38" s="718"/>
      <c r="U38" s="718"/>
      <c r="V38" s="718"/>
      <c r="W38" s="718"/>
      <c r="X38" s="718"/>
      <c r="Y38" s="718"/>
      <c r="Z38" s="719"/>
    </row>
    <row r="39" spans="8:26" ht="21.75">
      <c r="H39" s="82" t="s">
        <v>86</v>
      </c>
      <c r="I39" s="83">
        <v>3.5</v>
      </c>
      <c r="Q39" s="720"/>
      <c r="R39" s="721"/>
      <c r="S39" s="721"/>
      <c r="T39" s="721"/>
      <c r="U39" s="721"/>
      <c r="V39" s="721"/>
      <c r="W39" s="721"/>
      <c r="X39" s="721"/>
      <c r="Y39" s="721"/>
      <c r="Z39" s="722"/>
    </row>
    <row r="40" spans="8:26" ht="21.75">
      <c r="H40" s="84" t="s">
        <v>87</v>
      </c>
      <c r="I40" s="85">
        <v>1.5</v>
      </c>
      <c r="Q40" s="693" t="s">
        <v>161</v>
      </c>
      <c r="R40" s="693"/>
      <c r="S40" s="693"/>
      <c r="T40" s="693"/>
      <c r="U40" s="693"/>
      <c r="V40" s="693"/>
      <c r="W40" s="693"/>
      <c r="X40" s="693"/>
      <c r="Y40" s="693"/>
      <c r="Z40" s="693"/>
    </row>
    <row r="41" spans="8:25" ht="21.75">
      <c r="H41" s="87" t="s">
        <v>105</v>
      </c>
      <c r="I41" s="86"/>
      <c r="Q41" s="71"/>
      <c r="R41" s="71"/>
      <c r="S41" s="71"/>
      <c r="T41" s="71"/>
      <c r="U41" s="71"/>
      <c r="V41" s="71"/>
      <c r="W41" s="35"/>
      <c r="X41" s="35"/>
      <c r="Y41" s="35"/>
    </row>
    <row r="42" spans="8:25" ht="21.75">
      <c r="H42" s="84" t="s">
        <v>102</v>
      </c>
      <c r="I42" s="85">
        <v>2.5</v>
      </c>
      <c r="Q42" s="71"/>
      <c r="R42" s="71"/>
      <c r="S42" s="71"/>
      <c r="T42" s="71"/>
      <c r="U42" s="71"/>
      <c r="V42" s="71"/>
      <c r="W42" s="35"/>
      <c r="X42" s="35"/>
      <c r="Y42" s="35"/>
    </row>
    <row r="43" spans="8:25" ht="21.75" customHeight="1">
      <c r="H43" s="87" t="s">
        <v>150</v>
      </c>
      <c r="I43" s="86"/>
      <c r="Q43" s="71"/>
      <c r="R43" s="71"/>
      <c r="S43" s="71"/>
      <c r="T43" s="71"/>
      <c r="U43" s="71"/>
      <c r="V43" s="71"/>
      <c r="W43" s="35"/>
      <c r="X43" s="35"/>
      <c r="Y43" s="35"/>
    </row>
    <row r="44" spans="8:25" ht="21.75">
      <c r="H44" s="84" t="s">
        <v>103</v>
      </c>
      <c r="I44" s="85">
        <v>3</v>
      </c>
      <c r="Q44" s="71"/>
      <c r="R44" s="71"/>
      <c r="S44" s="71"/>
      <c r="T44" s="71"/>
      <c r="U44" s="71"/>
      <c r="V44" s="71"/>
      <c r="W44" s="35"/>
      <c r="X44" s="35"/>
      <c r="Y44" s="35"/>
    </row>
    <row r="45" spans="8:25" ht="21.75">
      <c r="H45" s="82" t="s">
        <v>104</v>
      </c>
      <c r="I45" s="83"/>
      <c r="Q45" s="71"/>
      <c r="R45" s="71"/>
      <c r="S45" s="71"/>
      <c r="T45" s="71"/>
      <c r="U45" s="71"/>
      <c r="V45" s="71"/>
      <c r="W45" s="35"/>
      <c r="X45" s="35"/>
      <c r="Y45" s="35"/>
    </row>
    <row r="46" spans="8:25" ht="21.75">
      <c r="H46" s="82" t="s">
        <v>107</v>
      </c>
      <c r="I46" s="83">
        <v>1.5</v>
      </c>
      <c r="Q46" s="71"/>
      <c r="R46" s="71"/>
      <c r="S46" s="71"/>
      <c r="T46" s="71"/>
      <c r="U46" s="71"/>
      <c r="V46" s="71"/>
      <c r="W46" s="35"/>
      <c r="X46" s="35"/>
      <c r="Y46" s="35"/>
    </row>
    <row r="47" spans="8:9" ht="21.75">
      <c r="H47" s="84" t="s">
        <v>108</v>
      </c>
      <c r="I47" s="85">
        <v>1</v>
      </c>
    </row>
    <row r="49" spans="8:26" ht="23.25">
      <c r="H49" s="691" t="s">
        <v>69</v>
      </c>
      <c r="I49" s="692"/>
      <c r="Q49" s="706" t="s">
        <v>159</v>
      </c>
      <c r="R49" s="707"/>
      <c r="S49" s="707"/>
      <c r="T49" s="707"/>
      <c r="U49" s="707"/>
      <c r="V49" s="707"/>
      <c r="W49" s="707"/>
      <c r="X49" s="707"/>
      <c r="Y49" s="707"/>
      <c r="Z49" s="708"/>
    </row>
    <row r="50" spans="8:26" ht="21.75">
      <c r="H50" s="89" t="s">
        <v>80</v>
      </c>
      <c r="I50" s="90"/>
      <c r="Q50" s="678"/>
      <c r="R50" s="679"/>
      <c r="S50" s="679"/>
      <c r="T50" s="679"/>
      <c r="U50" s="679"/>
      <c r="V50" s="679"/>
      <c r="W50" s="679"/>
      <c r="X50" s="679"/>
      <c r="Y50" s="679"/>
      <c r="Z50" s="680"/>
    </row>
    <row r="51" spans="8:26" ht="65.25">
      <c r="H51" s="222" t="s">
        <v>153</v>
      </c>
      <c r="I51" s="223"/>
      <c r="Q51" s="681"/>
      <c r="R51" s="682"/>
      <c r="S51" s="682"/>
      <c r="T51" s="682"/>
      <c r="U51" s="682"/>
      <c r="V51" s="682"/>
      <c r="W51" s="682"/>
      <c r="X51" s="682"/>
      <c r="Y51" s="682"/>
      <c r="Z51" s="683"/>
    </row>
    <row r="52" spans="8:26" ht="21.75" customHeight="1">
      <c r="H52" s="222" t="s">
        <v>154</v>
      </c>
      <c r="I52" s="223"/>
      <c r="Q52" s="681"/>
      <c r="R52" s="682"/>
      <c r="S52" s="682"/>
      <c r="T52" s="682"/>
      <c r="U52" s="682"/>
      <c r="V52" s="682"/>
      <c r="W52" s="682"/>
      <c r="X52" s="682"/>
      <c r="Y52" s="682"/>
      <c r="Z52" s="683"/>
    </row>
    <row r="53" spans="8:26" ht="21.75">
      <c r="H53" s="224" t="s">
        <v>109</v>
      </c>
      <c r="I53" s="225"/>
      <c r="Q53" s="681"/>
      <c r="R53" s="682"/>
      <c r="S53" s="682"/>
      <c r="T53" s="682"/>
      <c r="U53" s="682"/>
      <c r="V53" s="682"/>
      <c r="W53" s="682"/>
      <c r="X53" s="682"/>
      <c r="Y53" s="682"/>
      <c r="Z53" s="683"/>
    </row>
    <row r="54" spans="8:26" ht="18.75" customHeight="1">
      <c r="H54" s="91" t="s">
        <v>81</v>
      </c>
      <c r="I54" s="92"/>
      <c r="Q54" s="681"/>
      <c r="R54" s="682"/>
      <c r="S54" s="682"/>
      <c r="T54" s="682"/>
      <c r="U54" s="682"/>
      <c r="V54" s="682"/>
      <c r="W54" s="682"/>
      <c r="X54" s="682"/>
      <c r="Y54" s="682"/>
      <c r="Z54" s="683"/>
    </row>
    <row r="55" spans="8:26" ht="21.75" customHeight="1">
      <c r="H55" s="222" t="s">
        <v>151</v>
      </c>
      <c r="I55" s="223"/>
      <c r="Q55" s="681"/>
      <c r="R55" s="682"/>
      <c r="S55" s="682"/>
      <c r="T55" s="682"/>
      <c r="U55" s="682"/>
      <c r="V55" s="682"/>
      <c r="W55" s="682"/>
      <c r="X55" s="682"/>
      <c r="Y55" s="682"/>
      <c r="Z55" s="683"/>
    </row>
    <row r="56" spans="8:26" ht="43.5">
      <c r="H56" s="232" t="s">
        <v>152</v>
      </c>
      <c r="I56" s="233"/>
      <c r="Q56" s="681"/>
      <c r="R56" s="682"/>
      <c r="S56" s="682"/>
      <c r="T56" s="682"/>
      <c r="U56" s="682"/>
      <c r="V56" s="682"/>
      <c r="W56" s="682"/>
      <c r="X56" s="682"/>
      <c r="Y56" s="682"/>
      <c r="Z56" s="683"/>
    </row>
    <row r="57" spans="8:26" ht="18.75" customHeight="1">
      <c r="H57" s="91" t="s">
        <v>82</v>
      </c>
      <c r="I57" s="93"/>
      <c r="Q57" s="681"/>
      <c r="R57" s="682"/>
      <c r="S57" s="682"/>
      <c r="T57" s="682"/>
      <c r="U57" s="682"/>
      <c r="V57" s="682"/>
      <c r="W57" s="682"/>
      <c r="X57" s="682"/>
      <c r="Y57" s="682"/>
      <c r="Z57" s="683"/>
    </row>
    <row r="58" spans="8:26" ht="18.75" customHeight="1">
      <c r="H58" s="230" t="s">
        <v>149</v>
      </c>
      <c r="I58" s="231"/>
      <c r="Q58" s="681"/>
      <c r="R58" s="682"/>
      <c r="S58" s="682"/>
      <c r="T58" s="682"/>
      <c r="U58" s="682"/>
      <c r="V58" s="682"/>
      <c r="W58" s="682"/>
      <c r="X58" s="682"/>
      <c r="Y58" s="682"/>
      <c r="Z58" s="683"/>
    </row>
    <row r="59" spans="8:26" ht="18.75" customHeight="1">
      <c r="H59" s="91" t="s">
        <v>83</v>
      </c>
      <c r="I59" s="46"/>
      <c r="Q59" s="681"/>
      <c r="R59" s="682"/>
      <c r="S59" s="682"/>
      <c r="T59" s="682"/>
      <c r="U59" s="682"/>
      <c r="V59" s="682"/>
      <c r="W59" s="682"/>
      <c r="X59" s="682"/>
      <c r="Y59" s="682"/>
      <c r="Z59" s="683"/>
    </row>
    <row r="60" spans="8:26" ht="21.75">
      <c r="H60" s="759" t="s">
        <v>155</v>
      </c>
      <c r="I60" s="760"/>
      <c r="Q60" s="681"/>
      <c r="R60" s="682"/>
      <c r="S60" s="682"/>
      <c r="T60" s="682"/>
      <c r="U60" s="682"/>
      <c r="V60" s="682"/>
      <c r="W60" s="682"/>
      <c r="X60" s="682"/>
      <c r="Y60" s="682"/>
      <c r="Z60" s="683"/>
    </row>
    <row r="61" spans="8:26" ht="21.75" customHeight="1">
      <c r="H61" s="96" t="s">
        <v>156</v>
      </c>
      <c r="I61" s="97"/>
      <c r="Q61" s="681"/>
      <c r="R61" s="682"/>
      <c r="S61" s="682"/>
      <c r="T61" s="682"/>
      <c r="U61" s="682"/>
      <c r="V61" s="682"/>
      <c r="W61" s="682"/>
      <c r="X61" s="682"/>
      <c r="Y61" s="682"/>
      <c r="Z61" s="683"/>
    </row>
    <row r="62" spans="17:26" ht="21.75">
      <c r="Q62" s="684"/>
      <c r="R62" s="685"/>
      <c r="S62" s="685"/>
      <c r="T62" s="685"/>
      <c r="U62" s="685"/>
      <c r="V62" s="685"/>
      <c r="W62" s="685"/>
      <c r="X62" s="685"/>
      <c r="Y62" s="685"/>
      <c r="Z62" s="686"/>
    </row>
    <row r="63" spans="8:26" ht="21.75">
      <c r="H63" s="674" t="s">
        <v>249</v>
      </c>
      <c r="I63" s="674"/>
      <c r="Q63" s="687" t="s">
        <v>161</v>
      </c>
      <c r="R63" s="687"/>
      <c r="S63" s="687"/>
      <c r="T63" s="687"/>
      <c r="U63" s="687"/>
      <c r="V63" s="687"/>
      <c r="W63" s="687"/>
      <c r="X63" s="687"/>
      <c r="Y63" s="687"/>
      <c r="Z63" s="687"/>
    </row>
    <row r="64" spans="12:16" s="94" customFormat="1" ht="21.75">
      <c r="L64" s="95"/>
      <c r="N64" s="95"/>
      <c r="P64" s="18"/>
    </row>
    <row r="65" spans="12:26" s="94" customFormat="1" ht="21.75">
      <c r="L65" s="95"/>
      <c r="N65" s="95"/>
      <c r="P65" s="18"/>
      <c r="Q65" s="44"/>
      <c r="R65" s="44"/>
      <c r="S65" s="44"/>
      <c r="T65" s="44"/>
      <c r="U65" s="44"/>
      <c r="V65" s="44"/>
      <c r="W65" s="34"/>
      <c r="X65" s="34"/>
      <c r="Y65" s="34"/>
      <c r="Z65" s="34"/>
    </row>
    <row r="72" spans="17:26" ht="21.75">
      <c r="Q72" s="675" t="s">
        <v>160</v>
      </c>
      <c r="R72" s="676"/>
      <c r="S72" s="676"/>
      <c r="T72" s="676"/>
      <c r="U72" s="676"/>
      <c r="V72" s="676"/>
      <c r="W72" s="676"/>
      <c r="X72" s="676"/>
      <c r="Y72" s="676"/>
      <c r="Z72" s="677"/>
    </row>
    <row r="73" spans="17:26" ht="21.75">
      <c r="Q73" s="678"/>
      <c r="R73" s="679"/>
      <c r="S73" s="679"/>
      <c r="T73" s="679"/>
      <c r="U73" s="679"/>
      <c r="V73" s="679"/>
      <c r="W73" s="679"/>
      <c r="X73" s="679"/>
      <c r="Y73" s="679"/>
      <c r="Z73" s="680"/>
    </row>
    <row r="74" spans="17:26" ht="21.75">
      <c r="Q74" s="681"/>
      <c r="R74" s="682"/>
      <c r="S74" s="682"/>
      <c r="T74" s="682"/>
      <c r="U74" s="682"/>
      <c r="V74" s="682"/>
      <c r="W74" s="682"/>
      <c r="X74" s="682"/>
      <c r="Y74" s="682"/>
      <c r="Z74" s="683"/>
    </row>
    <row r="75" spans="17:26" ht="21.75">
      <c r="Q75" s="681"/>
      <c r="R75" s="682"/>
      <c r="S75" s="682"/>
      <c r="T75" s="682"/>
      <c r="U75" s="682"/>
      <c r="V75" s="682"/>
      <c r="W75" s="682"/>
      <c r="X75" s="682"/>
      <c r="Y75" s="682"/>
      <c r="Z75" s="683"/>
    </row>
    <row r="76" spans="17:26" ht="21.75">
      <c r="Q76" s="681"/>
      <c r="R76" s="682"/>
      <c r="S76" s="682"/>
      <c r="T76" s="682"/>
      <c r="U76" s="682"/>
      <c r="V76" s="682"/>
      <c r="W76" s="682"/>
      <c r="X76" s="682"/>
      <c r="Y76" s="682"/>
      <c r="Z76" s="683"/>
    </row>
    <row r="77" spans="17:26" ht="21.75">
      <c r="Q77" s="681"/>
      <c r="R77" s="682"/>
      <c r="S77" s="682"/>
      <c r="T77" s="682"/>
      <c r="U77" s="682"/>
      <c r="V77" s="682"/>
      <c r="W77" s="682"/>
      <c r="X77" s="682"/>
      <c r="Y77" s="682"/>
      <c r="Z77" s="683"/>
    </row>
    <row r="78" spans="17:26" ht="21.75" customHeight="1">
      <c r="Q78" s="681"/>
      <c r="R78" s="682"/>
      <c r="S78" s="682"/>
      <c r="T78" s="682"/>
      <c r="U78" s="682"/>
      <c r="V78" s="682"/>
      <c r="W78" s="682"/>
      <c r="X78" s="682"/>
      <c r="Y78" s="682"/>
      <c r="Z78" s="683"/>
    </row>
    <row r="79" spans="17:26" ht="21.75">
      <c r="Q79" s="681"/>
      <c r="R79" s="682"/>
      <c r="S79" s="682"/>
      <c r="T79" s="682"/>
      <c r="U79" s="682"/>
      <c r="V79" s="682"/>
      <c r="W79" s="682"/>
      <c r="X79" s="682"/>
      <c r="Y79" s="682"/>
      <c r="Z79" s="683"/>
    </row>
    <row r="80" spans="17:26" ht="21.75">
      <c r="Q80" s="681"/>
      <c r="R80" s="682"/>
      <c r="S80" s="682"/>
      <c r="T80" s="682"/>
      <c r="U80" s="682"/>
      <c r="V80" s="682"/>
      <c r="W80" s="682"/>
      <c r="X80" s="682"/>
      <c r="Y80" s="682"/>
      <c r="Z80" s="683"/>
    </row>
    <row r="81" spans="17:26" ht="21.75">
      <c r="Q81" s="681"/>
      <c r="R81" s="682"/>
      <c r="S81" s="682"/>
      <c r="T81" s="682"/>
      <c r="U81" s="682"/>
      <c r="V81" s="682"/>
      <c r="W81" s="682"/>
      <c r="X81" s="682"/>
      <c r="Y81" s="682"/>
      <c r="Z81" s="683"/>
    </row>
    <row r="82" spans="17:26" ht="21.75">
      <c r="Q82" s="681"/>
      <c r="R82" s="682"/>
      <c r="S82" s="682"/>
      <c r="T82" s="682"/>
      <c r="U82" s="682"/>
      <c r="V82" s="682"/>
      <c r="W82" s="682"/>
      <c r="X82" s="682"/>
      <c r="Y82" s="682"/>
      <c r="Z82" s="683"/>
    </row>
    <row r="83" spans="17:26" ht="21.75">
      <c r="Q83" s="681"/>
      <c r="R83" s="682"/>
      <c r="S83" s="682"/>
      <c r="T83" s="682"/>
      <c r="U83" s="682"/>
      <c r="V83" s="682"/>
      <c r="W83" s="682"/>
      <c r="X83" s="682"/>
      <c r="Y83" s="682"/>
      <c r="Z83" s="683"/>
    </row>
    <row r="84" spans="17:26" ht="21.75">
      <c r="Q84" s="684"/>
      <c r="R84" s="685"/>
      <c r="S84" s="685"/>
      <c r="T84" s="685"/>
      <c r="U84" s="685"/>
      <c r="V84" s="685"/>
      <c r="W84" s="685"/>
      <c r="X84" s="685"/>
      <c r="Y84" s="685"/>
      <c r="Z84" s="686"/>
    </row>
    <row r="85" spans="17:26" ht="21.75">
      <c r="Q85" s="687" t="s">
        <v>161</v>
      </c>
      <c r="R85" s="687"/>
      <c r="S85" s="687"/>
      <c r="T85" s="687"/>
      <c r="U85" s="687"/>
      <c r="V85" s="687"/>
      <c r="W85" s="687"/>
      <c r="X85" s="687"/>
      <c r="Y85" s="687"/>
      <c r="Z85" s="687"/>
    </row>
    <row r="86" spans="17:26" ht="21.75">
      <c r="Q86" s="259"/>
      <c r="R86" s="259"/>
      <c r="S86" s="259"/>
      <c r="T86" s="259"/>
      <c r="U86" s="259"/>
      <c r="V86" s="259"/>
      <c r="W86" s="259"/>
      <c r="X86" s="259"/>
      <c r="Y86" s="259"/>
      <c r="Z86" s="259"/>
    </row>
    <row r="87" spans="17:26" ht="21.75">
      <c r="Q87" s="674" t="s">
        <v>254</v>
      </c>
      <c r="R87" s="674"/>
      <c r="S87" s="674"/>
      <c r="T87" s="674"/>
      <c r="U87" s="674"/>
      <c r="V87" s="674"/>
      <c r="W87" s="674"/>
      <c r="X87" s="674"/>
      <c r="Y87" s="674"/>
      <c r="Z87" s="674"/>
    </row>
    <row r="88" spans="17:26" ht="21.75">
      <c r="Q88" s="71"/>
      <c r="R88" s="71"/>
      <c r="S88" s="71"/>
      <c r="T88" s="71"/>
      <c r="U88" s="71"/>
      <c r="V88" s="71"/>
      <c r="W88" s="35"/>
      <c r="X88" s="35"/>
      <c r="Y88" s="35"/>
      <c r="Z88" s="35"/>
    </row>
    <row r="89" spans="17:26" ht="21.75">
      <c r="Q89" s="71"/>
      <c r="R89" s="71"/>
      <c r="S89" s="71"/>
      <c r="T89" s="71"/>
      <c r="U89" s="71"/>
      <c r="V89" s="71"/>
      <c r="W89" s="35"/>
      <c r="X89" s="35"/>
      <c r="Y89" s="35"/>
      <c r="Z89" s="35"/>
    </row>
  </sheetData>
  <sheetProtection/>
  <mergeCells count="47">
    <mergeCell ref="H1:I1"/>
    <mergeCell ref="H2:I3"/>
    <mergeCell ref="L1:N1"/>
    <mergeCell ref="X2:Z3"/>
    <mergeCell ref="AC18:AE18"/>
    <mergeCell ref="H63:I63"/>
    <mergeCell ref="H60:I60"/>
    <mergeCell ref="Q50:Z62"/>
    <mergeCell ref="Q63:Z63"/>
    <mergeCell ref="H26:I26"/>
    <mergeCell ref="D2:E3"/>
    <mergeCell ref="B1:F1"/>
    <mergeCell ref="B2:B8"/>
    <mergeCell ref="B9:B10"/>
    <mergeCell ref="C2:C3"/>
    <mergeCell ref="F2:F3"/>
    <mergeCell ref="F11:F12"/>
    <mergeCell ref="C9:C10"/>
    <mergeCell ref="B11:B12"/>
    <mergeCell ref="D9:D10"/>
    <mergeCell ref="D11:D12"/>
    <mergeCell ref="B14:F17"/>
    <mergeCell ref="L9:N9"/>
    <mergeCell ref="Q49:Z49"/>
    <mergeCell ref="Q27:Z39"/>
    <mergeCell ref="Q11:Z11"/>
    <mergeCell ref="B25:F25"/>
    <mergeCell ref="B18:F23"/>
    <mergeCell ref="C11:C12"/>
    <mergeCell ref="E9:E10"/>
    <mergeCell ref="E11:E12"/>
    <mergeCell ref="F9:F10"/>
    <mergeCell ref="AC1:AE1"/>
    <mergeCell ref="AC2:AE2"/>
    <mergeCell ref="AC3:AE3"/>
    <mergeCell ref="Q12:Z23"/>
    <mergeCell ref="Q24:Z24"/>
    <mergeCell ref="Q26:Z26"/>
    <mergeCell ref="Q2:R3"/>
    <mergeCell ref="Q1:Z1"/>
    <mergeCell ref="Q87:Z87"/>
    <mergeCell ref="Q72:Z72"/>
    <mergeCell ref="Q73:Z84"/>
    <mergeCell ref="Q85:Z85"/>
    <mergeCell ref="AC15:AE15"/>
    <mergeCell ref="H49:I49"/>
    <mergeCell ref="Q40:Z40"/>
  </mergeCells>
  <hyperlinks>
    <hyperlink ref="L9" location="ข้อมูลในการออกแบบ!F16" display="BACK"/>
    <hyperlink ref="H63:I63" location="'wdb data'!I11" tooltip="กลับไปยังหน้าข้อมูลการออกแบบ Working Design Beam" display="กลับหน้าข้อมูลออกแบบ Working Design Beam"/>
    <hyperlink ref="B24:F24" location="'ข้อมูลออกแบบ RC Beam (WD)'!F7" display="กลับข้อมูลออกแบบ RC Beam (WD)"/>
    <hyperlink ref="R6" location="'Design References'!R24" display="คานช่วงเดียวธรรมดา"/>
    <hyperlink ref="R7" location="'Design References'!R40" display="คานต่อเนื่องด้านเดียว"/>
    <hyperlink ref="R8" location="'Design References'!R63" display="คานต่อเนื่องสองด้าน"/>
    <hyperlink ref="R9" location="'Design References'!R85" display="คานยื่น"/>
    <hyperlink ref="Q24:Z24" location="'Design References'!R1" display="BACK TO TOP"/>
    <hyperlink ref="Q40:Z40" location="'Design References'!R1" display="BACK TO TOP"/>
    <hyperlink ref="Q63:Z63" location="'Design References'!R1" display="BACK TO TOP"/>
    <hyperlink ref="Q85:Z85" location="'Design References'!R1" display="BACK TO TOP"/>
    <hyperlink ref="L9:N9" location="'wdb data'!F16" tooltip="กลับไปยังหน้าข้อมูลการออกแบบ Working Design Beam" display="กลับหน้าข้อมูลออกแบบ Working Design Beam"/>
    <hyperlink ref="B25:F25" location="'wdb data'!F7" tooltip="กลับไปยังหน้าข้อมูลการออกแบบ Working Design Beam" display="กลับหน้าข้อมูลออกแบบ Working Design Beam"/>
    <hyperlink ref="Q87:Z87" location="'wdb cal'!D28" tooltip="กลับไปยังหน้าผลการคำนวณ Working Design Beam" display="กลับหน้าผลการคำนวณ Working Design Beam"/>
    <hyperlink ref="AC18:AE18" location="'wds cal'!C23" tooltip="กลับไปยังหน้า ผลการคำนวณออกแบบ Working Design Slab" display="กลับหน้าผลการคำนวณ Working Design Slab"/>
  </hyperlinks>
  <printOptions/>
  <pageMargins left="0.35433070866141736" right="0.35433070866141736" top="0.9055118110236221" bottom="0.3937007874015748" header="0.5118110236220472" footer="0.31496062992125984"/>
  <pageSetup orientation="landscape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O33"/>
  <sheetViews>
    <sheetView zoomScalePageLayoutView="0" workbookViewId="0" topLeftCell="A16">
      <selection activeCell="M24" sqref="M24"/>
    </sheetView>
  </sheetViews>
  <sheetFormatPr defaultColWidth="9.140625" defaultRowHeight="12.75"/>
  <cols>
    <col min="1" max="1" width="9.140625" style="263" customWidth="1"/>
    <col min="2" max="14" width="5.7109375" style="262" customWidth="1"/>
    <col min="15" max="16384" width="9.140625" style="263" customWidth="1"/>
  </cols>
  <sheetData>
    <row r="1" spans="1:14" ht="21.75">
      <c r="A1" s="273" t="s">
        <v>311</v>
      </c>
      <c r="B1" s="265">
        <v>1</v>
      </c>
      <c r="C1" s="265">
        <v>2</v>
      </c>
      <c r="D1" s="265">
        <v>3</v>
      </c>
      <c r="E1" s="265">
        <v>4</v>
      </c>
      <c r="F1" s="265">
        <v>5</v>
      </c>
      <c r="G1" s="265">
        <v>6</v>
      </c>
      <c r="H1" s="265">
        <v>7</v>
      </c>
      <c r="I1" s="265">
        <v>8</v>
      </c>
      <c r="J1" s="265">
        <v>9</v>
      </c>
      <c r="K1" s="265">
        <v>0</v>
      </c>
      <c r="L1" s="265" t="s">
        <v>142</v>
      </c>
      <c r="M1" s="265" t="s">
        <v>258</v>
      </c>
      <c r="N1" s="265" t="s">
        <v>259</v>
      </c>
    </row>
    <row r="2" spans="1:15" s="264" customFormat="1" ht="21.75">
      <c r="A2" s="273" t="s">
        <v>312</v>
      </c>
      <c r="B2" s="266">
        <v>1</v>
      </c>
      <c r="C2" s="266">
        <v>2</v>
      </c>
      <c r="D2" s="266">
        <v>3</v>
      </c>
      <c r="E2" s="266">
        <v>4</v>
      </c>
      <c r="F2" s="266">
        <v>5</v>
      </c>
      <c r="G2" s="266">
        <v>6</v>
      </c>
      <c r="H2" s="266">
        <v>7</v>
      </c>
      <c r="I2" s="266">
        <v>8</v>
      </c>
      <c r="J2" s="266">
        <v>9</v>
      </c>
      <c r="K2" s="266">
        <v>0</v>
      </c>
      <c r="L2" s="266" t="s">
        <v>142</v>
      </c>
      <c r="M2" s="266" t="s">
        <v>258</v>
      </c>
      <c r="N2" s="266" t="s">
        <v>259</v>
      </c>
      <c r="O2" s="263"/>
    </row>
    <row r="3" spans="1:15" ht="21.75">
      <c r="A3" s="273" t="s">
        <v>311</v>
      </c>
      <c r="B3" s="265" t="s">
        <v>270</v>
      </c>
      <c r="C3" s="265" t="s">
        <v>271</v>
      </c>
      <c r="D3" s="265" t="s">
        <v>272</v>
      </c>
      <c r="E3" s="265" t="s">
        <v>273</v>
      </c>
      <c r="F3" s="265" t="s">
        <v>274</v>
      </c>
      <c r="G3" s="265" t="s">
        <v>275</v>
      </c>
      <c r="H3" s="265" t="s">
        <v>276</v>
      </c>
      <c r="I3" s="265" t="s">
        <v>277</v>
      </c>
      <c r="J3" s="265" t="s">
        <v>278</v>
      </c>
      <c r="K3" s="265" t="s">
        <v>279</v>
      </c>
      <c r="L3" s="265" t="s">
        <v>310</v>
      </c>
      <c r="M3" s="265" t="s">
        <v>281</v>
      </c>
      <c r="N3" s="265" t="s">
        <v>282</v>
      </c>
      <c r="O3" s="263" t="s">
        <v>283</v>
      </c>
    </row>
    <row r="4" spans="1:15" s="264" customFormat="1" ht="21.75">
      <c r="A4" s="273" t="s">
        <v>312</v>
      </c>
      <c r="B4" s="266" t="s">
        <v>270</v>
      </c>
      <c r="C4" s="266" t="s">
        <v>271</v>
      </c>
      <c r="D4" s="266" t="s">
        <v>272</v>
      </c>
      <c r="E4" s="266" t="s">
        <v>273</v>
      </c>
      <c r="F4" s="266" t="s">
        <v>274</v>
      </c>
      <c r="G4" s="266" t="s">
        <v>275</v>
      </c>
      <c r="H4" s="266" t="s">
        <v>276</v>
      </c>
      <c r="I4" s="266" t="s">
        <v>277</v>
      </c>
      <c r="J4" s="266" t="s">
        <v>278</v>
      </c>
      <c r="K4" s="266" t="s">
        <v>279</v>
      </c>
      <c r="L4" s="266" t="s">
        <v>280</v>
      </c>
      <c r="M4" s="266" t="s">
        <v>281</v>
      </c>
      <c r="N4" s="266" t="s">
        <v>282</v>
      </c>
      <c r="O4" s="263" t="s">
        <v>283</v>
      </c>
    </row>
    <row r="5" spans="1:14" ht="21.75">
      <c r="A5" s="274" t="s">
        <v>311</v>
      </c>
      <c r="B5" s="271" t="s">
        <v>260</v>
      </c>
      <c r="C5" s="271" t="s">
        <v>40</v>
      </c>
      <c r="D5" s="271" t="s">
        <v>261</v>
      </c>
      <c r="E5" s="271" t="s">
        <v>262</v>
      </c>
      <c r="F5" s="271" t="s">
        <v>4</v>
      </c>
      <c r="G5" s="271" t="s">
        <v>263</v>
      </c>
      <c r="H5" s="271" t="s">
        <v>264</v>
      </c>
      <c r="I5" s="271" t="s">
        <v>265</v>
      </c>
      <c r="J5" s="271" t="s">
        <v>266</v>
      </c>
      <c r="K5" s="271" t="s">
        <v>267</v>
      </c>
      <c r="L5" s="271" t="s">
        <v>268</v>
      </c>
      <c r="M5" s="271" t="s">
        <v>269</v>
      </c>
      <c r="N5" s="270"/>
    </row>
    <row r="6" spans="1:15" s="264" customFormat="1" ht="21.75">
      <c r="A6" s="274" t="s">
        <v>312</v>
      </c>
      <c r="B6" s="272" t="s">
        <v>260</v>
      </c>
      <c r="C6" s="272" t="s">
        <v>40</v>
      </c>
      <c r="D6" s="272" t="s">
        <v>261</v>
      </c>
      <c r="E6" s="272" t="s">
        <v>262</v>
      </c>
      <c r="F6" s="272" t="s">
        <v>4</v>
      </c>
      <c r="G6" s="272" t="s">
        <v>263</v>
      </c>
      <c r="H6" s="272" t="s">
        <v>264</v>
      </c>
      <c r="I6" s="272" t="s">
        <v>265</v>
      </c>
      <c r="J6" s="272" t="s">
        <v>266</v>
      </c>
      <c r="K6" s="272" t="s">
        <v>267</v>
      </c>
      <c r="L6" s="272" t="s">
        <v>268</v>
      </c>
      <c r="M6" s="272" t="s">
        <v>269</v>
      </c>
      <c r="N6" s="267"/>
      <c r="O6" s="263"/>
    </row>
    <row r="7" spans="1:14" ht="21.75">
      <c r="A7" s="274" t="s">
        <v>311</v>
      </c>
      <c r="B7" s="271" t="s">
        <v>284</v>
      </c>
      <c r="C7" s="271" t="s">
        <v>285</v>
      </c>
      <c r="D7" s="271" t="s">
        <v>286</v>
      </c>
      <c r="E7" s="271" t="s">
        <v>202</v>
      </c>
      <c r="F7" s="271" t="s">
        <v>287</v>
      </c>
      <c r="G7" s="271" t="s">
        <v>288</v>
      </c>
      <c r="H7" s="271" t="s">
        <v>289</v>
      </c>
      <c r="I7" s="271" t="s">
        <v>290</v>
      </c>
      <c r="J7" s="271" t="s">
        <v>291</v>
      </c>
      <c r="K7" s="271" t="s">
        <v>292</v>
      </c>
      <c r="L7" s="271" t="s">
        <v>293</v>
      </c>
      <c r="M7" s="271" t="s">
        <v>294</v>
      </c>
      <c r="N7" s="263" t="s">
        <v>283</v>
      </c>
    </row>
    <row r="8" spans="1:14" s="264" customFormat="1" ht="21.75">
      <c r="A8" s="274" t="s">
        <v>312</v>
      </c>
      <c r="B8" s="272" t="s">
        <v>284</v>
      </c>
      <c r="C8" s="272" t="s">
        <v>285</v>
      </c>
      <c r="D8" s="272" t="s">
        <v>286</v>
      </c>
      <c r="E8" s="272" t="s">
        <v>202</v>
      </c>
      <c r="F8" s="272" t="s">
        <v>287</v>
      </c>
      <c r="G8" s="272" t="s">
        <v>288</v>
      </c>
      <c r="H8" s="272" t="s">
        <v>289</v>
      </c>
      <c r="I8" s="272" t="s">
        <v>290</v>
      </c>
      <c r="J8" s="272" t="s">
        <v>291</v>
      </c>
      <c r="K8" s="272" t="s">
        <v>292</v>
      </c>
      <c r="L8" s="272" t="s">
        <v>293</v>
      </c>
      <c r="M8" s="272" t="s">
        <v>294</v>
      </c>
      <c r="N8" s="263" t="s">
        <v>283</v>
      </c>
    </row>
    <row r="9" spans="1:14" ht="21.75">
      <c r="A9" s="275" t="s">
        <v>311</v>
      </c>
      <c r="B9" s="269" t="s">
        <v>303</v>
      </c>
      <c r="C9" s="269" t="s">
        <v>304</v>
      </c>
      <c r="D9" s="269" t="s">
        <v>38</v>
      </c>
      <c r="E9" s="269" t="s">
        <v>305</v>
      </c>
      <c r="F9" s="269" t="s">
        <v>306</v>
      </c>
      <c r="G9" s="269" t="s">
        <v>307</v>
      </c>
      <c r="H9" s="269" t="s">
        <v>37</v>
      </c>
      <c r="I9" s="269" t="s">
        <v>36</v>
      </c>
      <c r="J9" s="269" t="s">
        <v>308</v>
      </c>
      <c r="K9" s="269" t="s">
        <v>309</v>
      </c>
      <c r="L9" s="277" t="s">
        <v>314</v>
      </c>
      <c r="M9" s="270"/>
      <c r="N9" s="270"/>
    </row>
    <row r="10" spans="1:15" s="264" customFormat="1" ht="21.75">
      <c r="A10" s="275" t="s">
        <v>312</v>
      </c>
      <c r="B10" s="268" t="s">
        <v>303</v>
      </c>
      <c r="C10" s="268" t="s">
        <v>304</v>
      </c>
      <c r="D10" s="268" t="s">
        <v>38</v>
      </c>
      <c r="E10" s="268" t="s">
        <v>305</v>
      </c>
      <c r="F10" s="268" t="s">
        <v>306</v>
      </c>
      <c r="G10" s="268" t="s">
        <v>307</v>
      </c>
      <c r="H10" s="268" t="s">
        <v>37</v>
      </c>
      <c r="I10" s="268" t="s">
        <v>36</v>
      </c>
      <c r="J10" s="268" t="s">
        <v>308</v>
      </c>
      <c r="K10" s="268" t="s">
        <v>309</v>
      </c>
      <c r="L10" s="276" t="s">
        <v>313</v>
      </c>
      <c r="M10" s="267"/>
      <c r="N10" s="267"/>
      <c r="O10" s="263"/>
    </row>
    <row r="11" spans="1:14" ht="21.75">
      <c r="A11" s="275" t="s">
        <v>311</v>
      </c>
      <c r="B11" s="269" t="s">
        <v>295</v>
      </c>
      <c r="C11" s="269" t="s">
        <v>176</v>
      </c>
      <c r="D11" s="269" t="s">
        <v>296</v>
      </c>
      <c r="E11" s="269" t="s">
        <v>297</v>
      </c>
      <c r="F11" s="269" t="s">
        <v>298</v>
      </c>
      <c r="G11" s="269" t="s">
        <v>66</v>
      </c>
      <c r="H11" s="269" t="s">
        <v>299</v>
      </c>
      <c r="I11" s="269" t="s">
        <v>300</v>
      </c>
      <c r="J11" s="269" t="s">
        <v>3</v>
      </c>
      <c r="K11" s="269" t="s">
        <v>301</v>
      </c>
      <c r="L11" s="269" t="s">
        <v>302</v>
      </c>
      <c r="M11" s="263" t="s">
        <v>283</v>
      </c>
      <c r="N11" s="270"/>
    </row>
    <row r="12" spans="1:14" s="264" customFormat="1" ht="21.75">
      <c r="A12" s="275" t="s">
        <v>312</v>
      </c>
      <c r="B12" s="268" t="s">
        <v>295</v>
      </c>
      <c r="C12" s="268" t="s">
        <v>176</v>
      </c>
      <c r="D12" s="268" t="s">
        <v>296</v>
      </c>
      <c r="E12" s="268" t="s">
        <v>297</v>
      </c>
      <c r="F12" s="268" t="s">
        <v>298</v>
      </c>
      <c r="G12" s="268" t="s">
        <v>66</v>
      </c>
      <c r="H12" s="268" t="s">
        <v>299</v>
      </c>
      <c r="I12" s="268" t="s">
        <v>300</v>
      </c>
      <c r="J12" s="268" t="s">
        <v>3</v>
      </c>
      <c r="K12" s="268" t="s">
        <v>301</v>
      </c>
      <c r="L12" s="268" t="s">
        <v>302</v>
      </c>
      <c r="M12" s="263" t="s">
        <v>283</v>
      </c>
      <c r="N12" s="267"/>
    </row>
    <row r="13" spans="1:14" ht="21.75">
      <c r="A13" s="278" t="s">
        <v>311</v>
      </c>
      <c r="B13" s="279" t="s">
        <v>315</v>
      </c>
      <c r="C13" s="279" t="s">
        <v>316</v>
      </c>
      <c r="D13" s="279" t="s">
        <v>317</v>
      </c>
      <c r="E13" s="279" t="s">
        <v>318</v>
      </c>
      <c r="F13" s="279" t="s">
        <v>28</v>
      </c>
      <c r="G13" s="279" t="s">
        <v>35</v>
      </c>
      <c r="H13" s="279" t="s">
        <v>18</v>
      </c>
      <c r="I13" s="279" t="s">
        <v>319</v>
      </c>
      <c r="J13" s="279" t="s">
        <v>320</v>
      </c>
      <c r="K13" s="279" t="s">
        <v>321</v>
      </c>
      <c r="L13" s="281"/>
      <c r="M13" s="270"/>
      <c r="N13" s="270"/>
    </row>
    <row r="14" spans="1:15" s="264" customFormat="1" ht="21.75">
      <c r="A14" s="278" t="s">
        <v>312</v>
      </c>
      <c r="B14" s="280" t="s">
        <v>315</v>
      </c>
      <c r="C14" s="280" t="s">
        <v>316</v>
      </c>
      <c r="D14" s="280" t="s">
        <v>317</v>
      </c>
      <c r="E14" s="280" t="s">
        <v>318</v>
      </c>
      <c r="F14" s="280" t="s">
        <v>28</v>
      </c>
      <c r="G14" s="280" t="s">
        <v>35</v>
      </c>
      <c r="H14" s="280" t="s">
        <v>18</v>
      </c>
      <c r="I14" s="280" t="s">
        <v>319</v>
      </c>
      <c r="J14" s="280" t="s">
        <v>320</v>
      </c>
      <c r="K14" s="280"/>
      <c r="L14" s="282"/>
      <c r="M14" s="267"/>
      <c r="N14" s="267"/>
      <c r="O14" s="263"/>
    </row>
    <row r="15" spans="1:14" ht="21.75">
      <c r="A15" s="278" t="s">
        <v>311</v>
      </c>
      <c r="B15" s="279" t="s">
        <v>322</v>
      </c>
      <c r="C15" s="279" t="s">
        <v>323</v>
      </c>
      <c r="D15" s="279" t="s">
        <v>324</v>
      </c>
      <c r="E15" s="279" t="s">
        <v>325</v>
      </c>
      <c r="F15" s="279" t="s">
        <v>326</v>
      </c>
      <c r="G15" s="279" t="s">
        <v>327</v>
      </c>
      <c r="H15" s="279" t="s">
        <v>328</v>
      </c>
      <c r="I15" s="279" t="s">
        <v>329</v>
      </c>
      <c r="J15" s="279" t="s">
        <v>330</v>
      </c>
      <c r="K15" s="279" t="s">
        <v>331</v>
      </c>
      <c r="L15" s="263" t="s">
        <v>283</v>
      </c>
      <c r="M15" s="263"/>
      <c r="N15" s="270"/>
    </row>
    <row r="16" spans="1:14" s="264" customFormat="1" ht="21.75">
      <c r="A16" s="278" t="s">
        <v>312</v>
      </c>
      <c r="B16" s="280" t="s">
        <v>322</v>
      </c>
      <c r="C16" s="280" t="s">
        <v>323</v>
      </c>
      <c r="D16" s="280" t="s">
        <v>324</v>
      </c>
      <c r="E16" s="280" t="s">
        <v>325</v>
      </c>
      <c r="F16" s="280" t="s">
        <v>326</v>
      </c>
      <c r="G16" s="280" t="s">
        <v>327</v>
      </c>
      <c r="H16" s="280" t="s">
        <v>328</v>
      </c>
      <c r="I16" s="280" t="s">
        <v>329</v>
      </c>
      <c r="J16" s="280" t="s">
        <v>330</v>
      </c>
      <c r="K16" s="280" t="s">
        <v>331</v>
      </c>
      <c r="L16" s="263" t="s">
        <v>283</v>
      </c>
      <c r="N16" s="267"/>
    </row>
    <row r="18" spans="1:14" ht="21.75">
      <c r="A18" s="273" t="s">
        <v>332</v>
      </c>
      <c r="B18" s="265">
        <v>1</v>
      </c>
      <c r="C18" s="265"/>
      <c r="D18" s="265" t="s">
        <v>142</v>
      </c>
      <c r="E18" s="265" t="s">
        <v>333</v>
      </c>
      <c r="F18" s="265" t="s">
        <v>334</v>
      </c>
      <c r="G18" s="265" t="s">
        <v>335</v>
      </c>
      <c r="H18" s="265" t="s">
        <v>336</v>
      </c>
      <c r="I18" s="265" t="s">
        <v>337</v>
      </c>
      <c r="J18" s="265" t="s">
        <v>338</v>
      </c>
      <c r="K18" s="265" t="s">
        <v>339</v>
      </c>
      <c r="L18" s="265" t="s">
        <v>340</v>
      </c>
      <c r="M18" s="265" t="s">
        <v>341</v>
      </c>
      <c r="N18" s="265" t="s">
        <v>342</v>
      </c>
    </row>
    <row r="19" spans="1:15" s="264" customFormat="1" ht="21.75">
      <c r="A19" s="273" t="s">
        <v>312</v>
      </c>
      <c r="B19" s="266">
        <v>1</v>
      </c>
      <c r="C19" s="266"/>
      <c r="D19" s="266" t="s">
        <v>142</v>
      </c>
      <c r="E19" s="266" t="s">
        <v>333</v>
      </c>
      <c r="F19" s="266" t="s">
        <v>334</v>
      </c>
      <c r="G19" s="266">
        <v>6</v>
      </c>
      <c r="H19" s="266">
        <v>7</v>
      </c>
      <c r="I19" s="266" t="s">
        <v>337</v>
      </c>
      <c r="J19" s="266" t="s">
        <v>338</v>
      </c>
      <c r="K19" s="266" t="s">
        <v>339</v>
      </c>
      <c r="L19" s="266" t="s">
        <v>340</v>
      </c>
      <c r="M19" s="266" t="s">
        <v>341</v>
      </c>
      <c r="N19" s="266" t="s">
        <v>342</v>
      </c>
      <c r="O19" s="263"/>
    </row>
    <row r="20" spans="1:15" ht="21.75">
      <c r="A20" s="273" t="s">
        <v>332</v>
      </c>
      <c r="B20" s="265" t="s">
        <v>281</v>
      </c>
      <c r="C20" s="283">
        <v>1</v>
      </c>
      <c r="D20" s="283">
        <v>2</v>
      </c>
      <c r="E20" s="283">
        <v>3</v>
      </c>
      <c r="F20" s="283">
        <v>4</v>
      </c>
      <c r="G20" s="265" t="s">
        <v>343</v>
      </c>
      <c r="H20" s="265" t="s">
        <v>344</v>
      </c>
      <c r="I20" s="283">
        <v>5</v>
      </c>
      <c r="J20" s="283">
        <v>6</v>
      </c>
      <c r="K20" s="283">
        <v>7</v>
      </c>
      <c r="L20" s="283">
        <v>8</v>
      </c>
      <c r="M20" s="283">
        <v>9</v>
      </c>
      <c r="N20" s="265" t="s">
        <v>345</v>
      </c>
      <c r="O20" s="263" t="s">
        <v>283</v>
      </c>
    </row>
    <row r="21" spans="1:15" s="264" customFormat="1" ht="21.75">
      <c r="A21" s="273" t="s">
        <v>312</v>
      </c>
      <c r="B21" s="266" t="s">
        <v>281</v>
      </c>
      <c r="C21" s="284">
        <v>1</v>
      </c>
      <c r="D21" s="284">
        <v>2</v>
      </c>
      <c r="E21" s="284">
        <v>3</v>
      </c>
      <c r="F21" s="284">
        <v>4</v>
      </c>
      <c r="G21" s="266" t="s">
        <v>275</v>
      </c>
      <c r="H21" s="266" t="s">
        <v>344</v>
      </c>
      <c r="I21" s="284">
        <v>5</v>
      </c>
      <c r="J21" s="284">
        <v>6</v>
      </c>
      <c r="K21" s="284">
        <v>7</v>
      </c>
      <c r="L21" s="284">
        <v>8</v>
      </c>
      <c r="M21" s="284">
        <v>9</v>
      </c>
      <c r="N21" s="266" t="s">
        <v>345</v>
      </c>
      <c r="O21" s="263" t="s">
        <v>283</v>
      </c>
    </row>
    <row r="22" spans="1:14" ht="21.75">
      <c r="A22" s="274" t="s">
        <v>332</v>
      </c>
      <c r="B22" s="271" t="s">
        <v>346</v>
      </c>
      <c r="C22" s="271" t="s">
        <v>347</v>
      </c>
      <c r="D22" s="271" t="s">
        <v>348</v>
      </c>
      <c r="E22" s="271" t="s">
        <v>349</v>
      </c>
      <c r="F22" s="271" t="s">
        <v>350</v>
      </c>
      <c r="G22" s="271" t="s">
        <v>351</v>
      </c>
      <c r="H22" s="271" t="s">
        <v>352</v>
      </c>
      <c r="I22" s="271" t="s">
        <v>353</v>
      </c>
      <c r="J22" s="271" t="s">
        <v>354</v>
      </c>
      <c r="K22" s="271" t="s">
        <v>355</v>
      </c>
      <c r="L22" s="271" t="s">
        <v>356</v>
      </c>
      <c r="M22" s="271" t="s">
        <v>357</v>
      </c>
      <c r="N22" s="270"/>
    </row>
    <row r="23" spans="1:15" s="264" customFormat="1" ht="21.75">
      <c r="A23" s="274" t="s">
        <v>312</v>
      </c>
      <c r="B23" s="272" t="s">
        <v>346</v>
      </c>
      <c r="C23" s="272" t="s">
        <v>347</v>
      </c>
      <c r="D23" s="272"/>
      <c r="E23" s="272" t="s">
        <v>349</v>
      </c>
      <c r="F23" s="272"/>
      <c r="G23" s="272"/>
      <c r="H23" s="272"/>
      <c r="I23" s="272" t="s">
        <v>353</v>
      </c>
      <c r="J23" s="272" t="s">
        <v>354</v>
      </c>
      <c r="K23" s="272" t="s">
        <v>355</v>
      </c>
      <c r="L23" s="272" t="s">
        <v>356</v>
      </c>
      <c r="M23" s="272" t="s">
        <v>357</v>
      </c>
      <c r="N23" s="267"/>
      <c r="O23" s="263"/>
    </row>
    <row r="24" spans="1:14" ht="21.75">
      <c r="A24" s="274" t="s">
        <v>332</v>
      </c>
      <c r="B24" s="285">
        <v>0</v>
      </c>
      <c r="C24" s="271" t="s">
        <v>302</v>
      </c>
      <c r="D24" s="271" t="s">
        <v>358</v>
      </c>
      <c r="E24" s="271" t="s">
        <v>359</v>
      </c>
      <c r="F24" s="271" t="s">
        <v>360</v>
      </c>
      <c r="G24" s="271" t="s">
        <v>361</v>
      </c>
      <c r="H24" s="271" t="s">
        <v>362</v>
      </c>
      <c r="I24" s="271" t="s">
        <v>193</v>
      </c>
      <c r="J24" s="271" t="s">
        <v>363</v>
      </c>
      <c r="K24" s="271" t="s">
        <v>364</v>
      </c>
      <c r="L24" s="271" t="s">
        <v>365</v>
      </c>
      <c r="M24" s="271" t="s">
        <v>319</v>
      </c>
      <c r="N24" s="263" t="s">
        <v>283</v>
      </c>
    </row>
    <row r="25" spans="1:14" s="264" customFormat="1" ht="21.75">
      <c r="A25" s="274" t="s">
        <v>312</v>
      </c>
      <c r="B25" s="286">
        <v>0</v>
      </c>
      <c r="C25" s="272" t="s">
        <v>302</v>
      </c>
      <c r="D25" s="272" t="s">
        <v>358</v>
      </c>
      <c r="E25" s="272" t="s">
        <v>359</v>
      </c>
      <c r="F25" s="272" t="s">
        <v>360</v>
      </c>
      <c r="G25" s="272"/>
      <c r="H25" s="272"/>
      <c r="I25" s="272" t="s">
        <v>193</v>
      </c>
      <c r="J25" s="272" t="s">
        <v>363</v>
      </c>
      <c r="K25" s="272" t="s">
        <v>364</v>
      </c>
      <c r="L25" s="272" t="s">
        <v>365</v>
      </c>
      <c r="M25" s="272" t="s">
        <v>319</v>
      </c>
      <c r="N25" s="263" t="s">
        <v>283</v>
      </c>
    </row>
    <row r="26" spans="1:14" ht="21.75">
      <c r="A26" s="275" t="s">
        <v>332</v>
      </c>
      <c r="B26" s="269" t="s">
        <v>366</v>
      </c>
      <c r="C26" s="269" t="s">
        <v>367</v>
      </c>
      <c r="D26" s="269" t="s">
        <v>368</v>
      </c>
      <c r="E26" s="269" t="s">
        <v>369</v>
      </c>
      <c r="F26" s="269" t="s">
        <v>370</v>
      </c>
      <c r="G26" s="269" t="s">
        <v>371</v>
      </c>
      <c r="H26" s="269" t="s">
        <v>372</v>
      </c>
      <c r="I26" s="269" t="s">
        <v>373</v>
      </c>
      <c r="J26" s="269" t="s">
        <v>374</v>
      </c>
      <c r="K26" s="269" t="s">
        <v>375</v>
      </c>
      <c r="L26" s="269" t="s">
        <v>376</v>
      </c>
      <c r="M26" s="270"/>
      <c r="N26" s="270"/>
    </row>
    <row r="27" spans="1:15" s="264" customFormat="1" ht="21.75">
      <c r="A27" s="275" t="s">
        <v>312</v>
      </c>
      <c r="B27" s="268" t="s">
        <v>366</v>
      </c>
      <c r="C27" s="268" t="s">
        <v>367</v>
      </c>
      <c r="D27" s="268" t="s">
        <v>368</v>
      </c>
      <c r="E27" s="268" t="s">
        <v>369</v>
      </c>
      <c r="F27" s="268" t="s">
        <v>370</v>
      </c>
      <c r="G27" s="268"/>
      <c r="H27" s="268"/>
      <c r="I27" s="268"/>
      <c r="J27" s="268" t="s">
        <v>374</v>
      </c>
      <c r="K27" s="268" t="s">
        <v>375</v>
      </c>
      <c r="L27" s="268" t="s">
        <v>376</v>
      </c>
      <c r="M27" s="267"/>
      <c r="N27" s="267"/>
      <c r="O27" s="263"/>
    </row>
    <row r="28" spans="1:14" ht="21.75">
      <c r="A28" s="275" t="s">
        <v>332</v>
      </c>
      <c r="B28" s="269" t="s">
        <v>377</v>
      </c>
      <c r="C28" s="269" t="s">
        <v>378</v>
      </c>
      <c r="D28" s="269" t="s">
        <v>379</v>
      </c>
      <c r="E28" s="269" t="s">
        <v>380</v>
      </c>
      <c r="F28" s="269" t="s">
        <v>381</v>
      </c>
      <c r="G28" s="269" t="s">
        <v>382</v>
      </c>
      <c r="H28" s="269" t="s">
        <v>383</v>
      </c>
      <c r="I28" s="269" t="s">
        <v>384</v>
      </c>
      <c r="J28" s="269" t="s">
        <v>385</v>
      </c>
      <c r="K28" s="269" t="s">
        <v>386</v>
      </c>
      <c r="L28" s="269" t="s">
        <v>320</v>
      </c>
      <c r="M28" s="263" t="s">
        <v>283</v>
      </c>
      <c r="N28" s="270"/>
    </row>
    <row r="29" spans="1:14" s="264" customFormat="1" ht="21.75">
      <c r="A29" s="275" t="s">
        <v>312</v>
      </c>
      <c r="B29" s="268" t="s">
        <v>377</v>
      </c>
      <c r="C29" s="268" t="s">
        <v>378</v>
      </c>
      <c r="D29" s="268" t="s">
        <v>379</v>
      </c>
      <c r="E29" s="268" t="s">
        <v>380</v>
      </c>
      <c r="F29" s="268" t="s">
        <v>381</v>
      </c>
      <c r="G29" s="268"/>
      <c r="H29" s="268"/>
      <c r="I29" s="268" t="s">
        <v>384</v>
      </c>
      <c r="J29" s="268" t="s">
        <v>385</v>
      </c>
      <c r="K29" s="268" t="s">
        <v>386</v>
      </c>
      <c r="L29" s="268" t="s">
        <v>320</v>
      </c>
      <c r="M29" s="263" t="s">
        <v>283</v>
      </c>
      <c r="N29" s="267"/>
    </row>
    <row r="30" spans="1:14" ht="21.75">
      <c r="A30" s="278" t="s">
        <v>332</v>
      </c>
      <c r="B30" s="279" t="s">
        <v>387</v>
      </c>
      <c r="C30" s="279" t="s">
        <v>388</v>
      </c>
      <c r="D30" s="279" t="s">
        <v>389</v>
      </c>
      <c r="E30" s="279" t="s">
        <v>390</v>
      </c>
      <c r="F30" s="279" t="s">
        <v>391</v>
      </c>
      <c r="G30" s="279" t="s">
        <v>392</v>
      </c>
      <c r="H30" s="279" t="s">
        <v>393</v>
      </c>
      <c r="I30" s="279" t="s">
        <v>394</v>
      </c>
      <c r="J30" s="279" t="s">
        <v>395</v>
      </c>
      <c r="K30" s="279" t="s">
        <v>396</v>
      </c>
      <c r="L30" s="281"/>
      <c r="M30" s="270"/>
      <c r="N30" s="270"/>
    </row>
    <row r="31" spans="1:15" s="264" customFormat="1" ht="21.75">
      <c r="A31" s="278" t="s">
        <v>312</v>
      </c>
      <c r="B31" s="280" t="s">
        <v>387</v>
      </c>
      <c r="C31" s="280" t="s">
        <v>388</v>
      </c>
      <c r="D31" s="280" t="s">
        <v>389</v>
      </c>
      <c r="E31" s="280" t="s">
        <v>390</v>
      </c>
      <c r="F31" s="280"/>
      <c r="G31" s="280"/>
      <c r="H31" s="280" t="s">
        <v>393</v>
      </c>
      <c r="I31" s="280" t="s">
        <v>394</v>
      </c>
      <c r="J31" s="280" t="s">
        <v>395</v>
      </c>
      <c r="K31" s="280" t="s">
        <v>396</v>
      </c>
      <c r="L31" s="282"/>
      <c r="M31" s="267"/>
      <c r="N31" s="267"/>
      <c r="O31" s="263"/>
    </row>
    <row r="32" spans="1:14" ht="21.75">
      <c r="A32" s="278" t="s">
        <v>332</v>
      </c>
      <c r="B32" s="279" t="s">
        <v>278</v>
      </c>
      <c r="C32" s="279" t="s">
        <v>279</v>
      </c>
      <c r="D32" s="279" t="s">
        <v>397</v>
      </c>
      <c r="E32" s="279" t="s">
        <v>398</v>
      </c>
      <c r="F32" s="279" t="s">
        <v>400</v>
      </c>
      <c r="G32" s="279" t="s">
        <v>399</v>
      </c>
      <c r="H32" s="279" t="s">
        <v>331</v>
      </c>
      <c r="I32" s="279" t="s">
        <v>401</v>
      </c>
      <c r="J32" s="279" t="s">
        <v>402</v>
      </c>
      <c r="K32" s="279" t="s">
        <v>403</v>
      </c>
      <c r="L32" s="263" t="s">
        <v>283</v>
      </c>
      <c r="M32" s="263"/>
      <c r="N32" s="270"/>
    </row>
    <row r="33" spans="1:14" s="264" customFormat="1" ht="21.75">
      <c r="A33" s="278" t="s">
        <v>312</v>
      </c>
      <c r="B33" s="280" t="s">
        <v>278</v>
      </c>
      <c r="C33" s="280" t="s">
        <v>279</v>
      </c>
      <c r="D33" s="280" t="s">
        <v>397</v>
      </c>
      <c r="E33" s="280" t="s">
        <v>398</v>
      </c>
      <c r="F33" s="280"/>
      <c r="G33" s="280"/>
      <c r="H33" s="280" t="s">
        <v>331</v>
      </c>
      <c r="I33" s="280" t="s">
        <v>401</v>
      </c>
      <c r="J33" s="280" t="s">
        <v>402</v>
      </c>
      <c r="K33" s="280" t="s">
        <v>403</v>
      </c>
      <c r="L33" s="263" t="s">
        <v>283</v>
      </c>
      <c r="N33" s="267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6384" width="9.140625" style="381" customWidth="1"/>
  </cols>
  <sheetData/>
  <sheetProtection/>
  <printOptions/>
  <pageMargins left="0.75" right="0.75" top="1" bottom="1" header="0.5" footer="0.5"/>
  <pageSetup orientation="portrait" paperSize="9" r:id="rId12"/>
  <legacyDrawing r:id="rId11"/>
  <oleObjects>
    <oleObject progId="Equation.3" shapeId="295270" r:id="rId1"/>
    <oleObject progId="Equation.3" shapeId="300731" r:id="rId2"/>
    <oleObject progId="Equation.3" shapeId="306278" r:id="rId3"/>
    <oleObject progId="Equation.3" shapeId="330864" r:id="rId4"/>
    <oleObject progId="Equation.3" shapeId="337456" r:id="rId5"/>
    <oleObject progId="Equation.3" shapeId="347289" r:id="rId6"/>
    <oleObject progId="Equation.3" shapeId="371668" r:id="rId7"/>
    <oleObject progId="Equation.3" shapeId="400201" r:id="rId8"/>
    <oleObject progId="Equation.3" shapeId="480650" r:id="rId9"/>
    <oleObject progId="Equation.3" shapeId="886363" r:id="rId10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B2:K26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6.57421875" style="11" customWidth="1"/>
    <col min="2" max="2" width="4.421875" style="11" customWidth="1"/>
    <col min="3" max="3" width="5.7109375" style="11" customWidth="1"/>
    <col min="4" max="4" width="5.28125" style="11" customWidth="1"/>
    <col min="5" max="5" width="11.8515625" style="13" customWidth="1"/>
    <col min="6" max="6" width="6.7109375" style="13" customWidth="1"/>
    <col min="7" max="7" width="11.7109375" style="13" customWidth="1"/>
    <col min="8" max="9" width="9.421875" style="11" customWidth="1"/>
    <col min="10" max="10" width="12.8515625" style="11" customWidth="1"/>
    <col min="11" max="16384" width="9.140625" style="11" customWidth="1"/>
  </cols>
  <sheetData>
    <row r="1" ht="21.75"/>
    <row r="2" spans="2:10" s="1" customFormat="1" ht="30" customHeight="1">
      <c r="B2" s="2" t="s">
        <v>0</v>
      </c>
      <c r="C2" s="2"/>
      <c r="D2" s="2"/>
      <c r="E2" s="545" t="s">
        <v>549</v>
      </c>
      <c r="F2" s="3"/>
      <c r="G2" s="3"/>
      <c r="H2" s="2"/>
      <c r="I2" s="2" t="s">
        <v>169</v>
      </c>
      <c r="J2" s="143">
        <f ca="1">NOW()</f>
        <v>41138.58963634259</v>
      </c>
    </row>
    <row r="3" spans="2:10" s="1" customFormat="1" ht="30" customHeight="1">
      <c r="B3" s="4" t="s">
        <v>170</v>
      </c>
      <c r="C3" s="4"/>
      <c r="D3" s="4"/>
      <c r="E3" s="5"/>
      <c r="F3" s="5"/>
      <c r="G3" s="5"/>
      <c r="H3" s="4"/>
      <c r="I3" s="4" t="s">
        <v>171</v>
      </c>
      <c r="J3" s="144" t="s">
        <v>441</v>
      </c>
    </row>
    <row r="4" spans="2:10" s="6" customFormat="1" ht="12.75">
      <c r="B4" s="145"/>
      <c r="C4" s="145"/>
      <c r="D4" s="145"/>
      <c r="E4" s="42"/>
      <c r="F4" s="42"/>
      <c r="G4" s="42"/>
      <c r="H4" s="145"/>
      <c r="I4" s="145"/>
      <c r="J4" s="146"/>
    </row>
    <row r="5" spans="2:10" s="7" customFormat="1" ht="26.25">
      <c r="B5" s="8" t="s">
        <v>1</v>
      </c>
      <c r="C5" s="8"/>
      <c r="D5" s="8"/>
      <c r="E5" s="9"/>
      <c r="F5" s="9"/>
      <c r="G5" s="9"/>
      <c r="H5" s="8"/>
      <c r="I5" s="8"/>
      <c r="J5" s="10"/>
    </row>
    <row r="6" spans="3:10" ht="21.75">
      <c r="C6" s="12" t="s">
        <v>172</v>
      </c>
      <c r="F6" s="14" t="str">
        <f>J3</f>
        <v>S1</v>
      </c>
      <c r="G6" s="11" t="s">
        <v>173</v>
      </c>
      <c r="I6" s="147">
        <v>2</v>
      </c>
      <c r="J6" s="11" t="s">
        <v>174</v>
      </c>
    </row>
    <row r="7" spans="4:10" ht="21.75">
      <c r="D7" s="11" t="s">
        <v>175</v>
      </c>
      <c r="E7" s="11"/>
      <c r="F7" s="11"/>
      <c r="H7" s="13" t="s">
        <v>176</v>
      </c>
      <c r="I7" s="148">
        <v>4</v>
      </c>
      <c r="J7" s="11" t="s">
        <v>2</v>
      </c>
    </row>
    <row r="8" spans="4:10" ht="21.75">
      <c r="D8" s="11" t="s">
        <v>177</v>
      </c>
      <c r="E8" s="11"/>
      <c r="F8" s="11"/>
      <c r="H8" s="13" t="s">
        <v>3</v>
      </c>
      <c r="I8" s="148">
        <v>6</v>
      </c>
      <c r="J8" s="11" t="s">
        <v>2</v>
      </c>
    </row>
    <row r="9" spans="4:10" ht="21.75">
      <c r="D9" s="11" t="s">
        <v>240</v>
      </c>
      <c r="E9" s="11"/>
      <c r="F9" s="11"/>
      <c r="G9" s="234" t="str">
        <f>ROUNDUP((I7+I8)/90*100,2)&amp;"  cm  ใช้"</f>
        <v>11.12  cm  ใช้</v>
      </c>
      <c r="H9" s="13" t="s">
        <v>4</v>
      </c>
      <c r="I9" s="149">
        <v>12</v>
      </c>
      <c r="J9" s="11" t="s">
        <v>68</v>
      </c>
    </row>
    <row r="10" spans="4:10" ht="21.75">
      <c r="D10" s="11" t="s">
        <v>178</v>
      </c>
      <c r="E10" s="11"/>
      <c r="F10" s="11"/>
      <c r="H10" s="13"/>
      <c r="I10" s="149">
        <v>2.5</v>
      </c>
      <c r="J10" s="11" t="s">
        <v>68</v>
      </c>
    </row>
    <row r="11" spans="7:9" s="15" customFormat="1" ht="12.75">
      <c r="G11" s="16"/>
      <c r="H11" s="16"/>
      <c r="I11" s="17"/>
    </row>
    <row r="12" spans="3:10" ht="24.75">
      <c r="C12" s="12" t="s">
        <v>179</v>
      </c>
      <c r="E12" s="11"/>
      <c r="F12" s="11"/>
      <c r="H12" s="13" t="s">
        <v>41</v>
      </c>
      <c r="I12" s="149">
        <v>200</v>
      </c>
      <c r="J12" s="18" t="s">
        <v>5</v>
      </c>
    </row>
    <row r="13" spans="7:9" s="15" customFormat="1" ht="12.75">
      <c r="G13" s="16"/>
      <c r="H13" s="16"/>
      <c r="I13" s="17"/>
    </row>
    <row r="14" spans="3:6" ht="21.75">
      <c r="C14" s="12" t="s">
        <v>6</v>
      </c>
      <c r="F14" s="19" t="s">
        <v>7</v>
      </c>
    </row>
    <row r="15" spans="4:6" ht="21.75">
      <c r="D15" s="12" t="s">
        <v>8</v>
      </c>
      <c r="F15" s="19" t="s">
        <v>9</v>
      </c>
    </row>
    <row r="16" spans="5:10" ht="24.75">
      <c r="E16" s="11" t="s">
        <v>10</v>
      </c>
      <c r="F16" s="11"/>
      <c r="H16" s="13" t="s">
        <v>11</v>
      </c>
      <c r="I16" s="147">
        <v>145</v>
      </c>
      <c r="J16" s="18" t="s">
        <v>12</v>
      </c>
    </row>
    <row r="17" ht="21.75">
      <c r="D17" s="12" t="s">
        <v>13</v>
      </c>
    </row>
    <row r="18" spans="2:10" s="20" customFormat="1" ht="21.75">
      <c r="B18" s="21"/>
      <c r="C18" s="21"/>
      <c r="D18" s="21"/>
      <c r="E18" s="21" t="s">
        <v>14</v>
      </c>
      <c r="F18" s="150" t="s">
        <v>7</v>
      </c>
      <c r="G18" s="21"/>
      <c r="H18" s="151" t="s">
        <v>180</v>
      </c>
      <c r="I18" s="150">
        <v>9</v>
      </c>
      <c r="J18" s="21" t="s">
        <v>181</v>
      </c>
    </row>
    <row r="19" spans="2:11" s="20" customFormat="1" ht="21.75">
      <c r="B19" s="21"/>
      <c r="C19" s="21"/>
      <c r="D19" s="21"/>
      <c r="E19" s="21" t="s">
        <v>15</v>
      </c>
      <c r="F19" s="150" t="s">
        <v>442</v>
      </c>
      <c r="G19" s="22" t="s">
        <v>175</v>
      </c>
      <c r="H19" s="23" t="s">
        <v>182</v>
      </c>
      <c r="I19" s="152">
        <v>10</v>
      </c>
      <c r="J19" s="21" t="s">
        <v>68</v>
      </c>
      <c r="K19" s="523" t="str">
        <f>'wds cal'!I24</f>
        <v>OK</v>
      </c>
    </row>
    <row r="20" spans="2:11" s="20" customFormat="1" ht="21.75">
      <c r="B20" s="21"/>
      <c r="C20" s="21"/>
      <c r="D20" s="21"/>
      <c r="E20" s="21"/>
      <c r="F20" s="153"/>
      <c r="G20" s="22" t="s">
        <v>177</v>
      </c>
      <c r="H20" s="23" t="s">
        <v>182</v>
      </c>
      <c r="I20" s="152">
        <v>10</v>
      </c>
      <c r="J20" s="21" t="s">
        <v>68</v>
      </c>
      <c r="K20" s="523" t="str">
        <f>'wds cal'!I28</f>
        <v>OK</v>
      </c>
    </row>
    <row r="21" spans="3:10" s="15" customFormat="1" ht="12.75">
      <c r="C21" s="24"/>
      <c r="D21" s="24"/>
      <c r="E21" s="25"/>
      <c r="F21" s="25"/>
      <c r="G21" s="25"/>
      <c r="H21" s="24"/>
      <c r="I21" s="24"/>
      <c r="J21" s="24"/>
    </row>
    <row r="22" spans="5:7" s="15" customFormat="1" ht="12.75">
      <c r="E22" s="16"/>
      <c r="F22" s="16"/>
      <c r="G22" s="16"/>
    </row>
    <row r="23" ht="22.5" thickBot="1">
      <c r="C23" s="12" t="s">
        <v>16</v>
      </c>
    </row>
    <row r="24" spans="5:10" ht="23.25" thickBot="1" thickTop="1">
      <c r="E24" s="26" t="s">
        <v>17</v>
      </c>
      <c r="F24" s="26" t="s">
        <v>18</v>
      </c>
      <c r="G24" s="13" t="s">
        <v>19</v>
      </c>
      <c r="H24" s="27">
        <f>ROUND(I7/I8,1)</f>
        <v>0.7</v>
      </c>
      <c r="I24" s="553" t="s">
        <v>245</v>
      </c>
      <c r="J24" s="554"/>
    </row>
    <row r="25" spans="5:10" ht="24.75" thickBot="1" thickTop="1">
      <c r="E25" s="552" t="str">
        <f>IF(H24&lt;0.5,"One Way Slab Design","Two Way Slab Design")</f>
        <v>Two Way Slab Design</v>
      </c>
      <c r="F25" s="552"/>
      <c r="G25" s="552"/>
      <c r="H25" s="552"/>
      <c r="I25" s="555" t="s">
        <v>246</v>
      </c>
      <c r="J25" s="556"/>
    </row>
    <row r="26" spans="9:10" ht="23.25" thickBot="1" thickTop="1">
      <c r="I26" s="550" t="s">
        <v>248</v>
      </c>
      <c r="J26" s="551"/>
    </row>
    <row r="27" ht="22.5" thickTop="1"/>
  </sheetData>
  <sheetProtection/>
  <mergeCells count="4">
    <mergeCell ref="I26:J26"/>
    <mergeCell ref="E25:H25"/>
    <mergeCell ref="I24:J24"/>
    <mergeCell ref="I25:J25"/>
  </mergeCells>
  <hyperlinks>
    <hyperlink ref="I24:J24" location="'wds cal'!I2" tooltip="ผลการคำนวณออกแบบ Working Design Slab" display="ดูผลคำนวณพื้น"/>
    <hyperlink ref="I25:J25" location="'wds draw'!A1" tooltip="การจัดเรียงเหล็กเสริมการคำนวณออกแบบ Working Design Slab" display="การจัดเรียงเหล็กเสริมพื้น"/>
    <hyperlink ref="I26:J26" location="'MAIN MENU'!B1" tooltip="BACK TO MAIN MENU" display="BACK TO MAIN MENU"/>
  </hyperlinks>
  <printOptions/>
  <pageMargins left="0.7480314960629921" right="0.7480314960629921" top="0.5905511811023623" bottom="0.3937007874015748" header="0.5118110236220472" footer="0.31496062992125984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J40"/>
  <sheetViews>
    <sheetView tabSelected="1" zoomScale="148" zoomScaleNormal="148" zoomScalePageLayoutView="0" workbookViewId="0" topLeftCell="A1">
      <selection activeCell="L5" sqref="L5"/>
    </sheetView>
  </sheetViews>
  <sheetFormatPr defaultColWidth="9.140625" defaultRowHeight="12.75"/>
  <cols>
    <col min="1" max="1" width="2.7109375" style="156" customWidth="1"/>
    <col min="2" max="2" width="12.7109375" style="156" customWidth="1"/>
    <col min="3" max="3" width="7.57421875" style="156" customWidth="1"/>
    <col min="4" max="4" width="9.00390625" style="213" customWidth="1"/>
    <col min="5" max="5" width="10.57421875" style="213" customWidth="1"/>
    <col min="6" max="6" width="11.7109375" style="213" customWidth="1"/>
    <col min="7" max="7" width="5.28125" style="156" customWidth="1"/>
    <col min="8" max="8" width="9.421875" style="156" customWidth="1"/>
    <col min="9" max="9" width="13.8515625" style="156" customWidth="1"/>
    <col min="10" max="10" width="3.00390625" style="156" customWidth="1"/>
    <col min="11" max="16384" width="9.140625" style="156" customWidth="1"/>
  </cols>
  <sheetData>
    <row r="1" spans="1:10" s="155" customFormat="1" ht="24" customHeight="1">
      <c r="A1" s="289" t="s">
        <v>183</v>
      </c>
      <c r="B1" s="154"/>
      <c r="C1" s="528" t="s">
        <v>547</v>
      </c>
      <c r="D1" s="544" t="s">
        <v>550</v>
      </c>
      <c r="E1" s="290"/>
      <c r="F1" s="290"/>
      <c r="G1" s="154"/>
      <c r="H1" s="291" t="s">
        <v>33</v>
      </c>
      <c r="I1" s="565">
        <f ca="1">NOW()</f>
        <v>41138.58963634259</v>
      </c>
      <c r="J1" s="566"/>
    </row>
    <row r="2" spans="1:10" ht="24" customHeight="1">
      <c r="A2" s="210" t="str">
        <f>"  "&amp;IF('wds data'!H24&gt;=0.5,"ออกแบบพื้น ค.ส.ล. : Two Way Slab","ออกแบบพื้น ค.ส.ล. : One Way Slab")</f>
        <v>  ออกแบบพื้น ค.ส.ล. : Two Way Slab</v>
      </c>
      <c r="B2" s="211"/>
      <c r="C2" s="211"/>
      <c r="D2" s="212"/>
      <c r="E2" s="212"/>
      <c r="F2" s="212"/>
      <c r="G2" s="211"/>
      <c r="H2" s="292" t="s">
        <v>184</v>
      </c>
      <c r="I2" s="567" t="str">
        <f>'wds data'!J3</f>
        <v>S1</v>
      </c>
      <c r="J2" s="568"/>
    </row>
    <row r="3" spans="1:10" ht="19.5">
      <c r="A3" s="157" t="s">
        <v>185</v>
      </c>
      <c r="B3" s="158"/>
      <c r="C3" s="159" t="s">
        <v>186</v>
      </c>
      <c r="D3" s="160">
        <f>IF('wds data'!I6=4,1,IF('wds data'!I6=3,2,IF('wds data'!I6=2,3,IF('wds data'!I6=1,4,5))))</f>
        <v>3</v>
      </c>
      <c r="E3" s="161" t="str">
        <f>IF('wds data'!I6=4,"ช่วงพื้นภายใน",IF('wds data'!I6=3,"ไม่ต่อเนื่องกันด้านเดียว",IF('wds data'!I6=2,"ไม่ต่อเนื่องกันสองด้าน",IF('wds data'!I6=1,"ไม่ต่อเนื่องกันสามด้าน","ไม่ต่อเนื่องกันทั้งสี่ด้าน"))))</f>
        <v>ไม่ต่อเนื่องกันสองด้าน</v>
      </c>
      <c r="F3" s="160"/>
      <c r="G3" s="158"/>
      <c r="H3" s="158"/>
      <c r="I3" s="158"/>
      <c r="J3" s="162"/>
    </row>
    <row r="4" spans="1:10" ht="19.5">
      <c r="A4" s="163"/>
      <c r="B4" s="158" t="s">
        <v>187</v>
      </c>
      <c r="C4" s="74" t="s">
        <v>176</v>
      </c>
      <c r="D4" s="164">
        <f>'wds data'!I7</f>
        <v>4</v>
      </c>
      <c r="E4" s="70" t="s">
        <v>18</v>
      </c>
      <c r="F4" s="569" t="s">
        <v>188</v>
      </c>
      <c r="G4" s="570">
        <f>ROUND(D4/D5,1)</f>
        <v>0.7</v>
      </c>
      <c r="H4" s="571" t="str">
        <f>IF(G4&gt;0.5,"&gt;  0.5  :  Two Way Slab…OK",IF(G4=0.5,"=  0.5  :  Two Way Slab…OK","&lt;  0.5  :  One Way Slab…OK"))</f>
        <v>&gt;  0.5  :  Two Way Slab…OK</v>
      </c>
      <c r="I4" s="571"/>
      <c r="J4" s="162"/>
    </row>
    <row r="5" spans="1:10" ht="19.5">
      <c r="A5" s="163"/>
      <c r="B5" s="158" t="s">
        <v>189</v>
      </c>
      <c r="C5" s="74" t="s">
        <v>3</v>
      </c>
      <c r="D5" s="164">
        <f>'wds data'!I8</f>
        <v>6</v>
      </c>
      <c r="E5" s="70" t="s">
        <v>18</v>
      </c>
      <c r="F5" s="569"/>
      <c r="G5" s="570"/>
      <c r="H5" s="571"/>
      <c r="I5" s="571"/>
      <c r="J5" s="162"/>
    </row>
    <row r="6" spans="1:10" ht="19.5">
      <c r="A6" s="163"/>
      <c r="B6" s="158" t="s">
        <v>190</v>
      </c>
      <c r="C6" s="74" t="s">
        <v>4</v>
      </c>
      <c r="D6" s="165">
        <f>'wds data'!I9</f>
        <v>12</v>
      </c>
      <c r="E6" s="70" t="s">
        <v>191</v>
      </c>
      <c r="F6" s="165" t="s">
        <v>192</v>
      </c>
      <c r="G6" s="166" t="s">
        <v>193</v>
      </c>
      <c r="H6" s="167">
        <f>ROUNDUP((D4*100+D5*100)/90,2)</f>
        <v>11.12</v>
      </c>
      <c r="I6" s="70" t="str">
        <f>IF(D6&gt;=H6,"OK.","เพิ่มความหนา t")</f>
        <v>OK.</v>
      </c>
      <c r="J6" s="162"/>
    </row>
    <row r="7" spans="1:10" ht="19.5">
      <c r="A7" s="168"/>
      <c r="B7" s="169" t="s">
        <v>194</v>
      </c>
      <c r="C7" s="170"/>
      <c r="D7" s="171">
        <f>'wds data'!I10</f>
        <v>2.5</v>
      </c>
      <c r="E7" s="169" t="s">
        <v>195</v>
      </c>
      <c r="F7" s="169"/>
      <c r="G7" s="172"/>
      <c r="H7" s="171"/>
      <c r="I7" s="169"/>
      <c r="J7" s="173"/>
    </row>
    <row r="8" spans="1:10" s="180" customFormat="1" ht="18.75">
      <c r="A8" s="174" t="s">
        <v>34</v>
      </c>
      <c r="B8" s="177"/>
      <c r="C8" s="178"/>
      <c r="D8" s="178"/>
      <c r="E8" s="178"/>
      <c r="F8" s="178"/>
      <c r="G8" s="177"/>
      <c r="H8" s="177"/>
      <c r="I8" s="177"/>
      <c r="J8" s="179"/>
    </row>
    <row r="9" spans="1:10" ht="21.75">
      <c r="A9" s="163"/>
      <c r="B9" s="181" t="s">
        <v>406</v>
      </c>
      <c r="C9" s="181"/>
      <c r="D9" s="182">
        <f>ROUNDDOWN(0.375*'wds data'!I16,0)</f>
        <v>54</v>
      </c>
      <c r="E9" s="70" t="s">
        <v>196</v>
      </c>
      <c r="F9" s="176" t="s">
        <v>35</v>
      </c>
      <c r="G9" s="176" t="s">
        <v>19</v>
      </c>
      <c r="H9" s="74">
        <f>ROUND(134/SQRT('wds data'!I16),0)</f>
        <v>11</v>
      </c>
      <c r="I9" s="158"/>
      <c r="J9" s="162"/>
    </row>
    <row r="10" spans="1:10" ht="19.5">
      <c r="A10" s="163"/>
      <c r="B10" s="158" t="s">
        <v>197</v>
      </c>
      <c r="C10" s="158"/>
      <c r="D10" s="74" t="str">
        <f>IF('wds data'!F19="SR24","RB - SR24",IF('wds data'!F19="SD30","DB - SD30",IF('wds data'!F19="SD40","DB - SD40","DB - SD50")))</f>
        <v>RB - SR24</v>
      </c>
      <c r="E10" s="70"/>
      <c r="F10" s="176" t="s">
        <v>36</v>
      </c>
      <c r="G10" s="176" t="s">
        <v>19</v>
      </c>
      <c r="H10" s="74">
        <f>ROUND(1/(1+(D12/H9/D9)),3)</f>
        <v>0.331</v>
      </c>
      <c r="I10" s="158"/>
      <c r="J10" s="162"/>
    </row>
    <row r="11" spans="1:10" ht="19.5">
      <c r="A11" s="163"/>
      <c r="B11" s="158"/>
      <c r="C11" s="176" t="s">
        <v>198</v>
      </c>
      <c r="D11" s="74">
        <f>'wds data'!I18</f>
        <v>9</v>
      </c>
      <c r="E11" s="70" t="s">
        <v>199</v>
      </c>
      <c r="F11" s="176" t="s">
        <v>37</v>
      </c>
      <c r="G11" s="176" t="s">
        <v>19</v>
      </c>
      <c r="H11" s="74">
        <f>ROUND(1-(H10/3),3)</f>
        <v>0.89</v>
      </c>
      <c r="I11" s="158"/>
      <c r="J11" s="162"/>
    </row>
    <row r="12" spans="1:10" ht="21.75">
      <c r="A12" s="168"/>
      <c r="B12" s="172" t="s">
        <v>200</v>
      </c>
      <c r="C12" s="170" t="s">
        <v>201</v>
      </c>
      <c r="D12" s="170">
        <f>IF('wds data'!F19="SR24",1200,IF('wds data'!F19="SD30",1400,1500))</f>
        <v>1200</v>
      </c>
      <c r="E12" s="169" t="s">
        <v>196</v>
      </c>
      <c r="F12" s="183" t="s">
        <v>202</v>
      </c>
      <c r="G12" s="183" t="s">
        <v>19</v>
      </c>
      <c r="H12" s="170">
        <f>ROUND(0.5*D9*H10*H11,2)</f>
        <v>7.95</v>
      </c>
      <c r="I12" s="169" t="s">
        <v>196</v>
      </c>
      <c r="J12" s="173"/>
    </row>
    <row r="13" spans="1:10" s="180" customFormat="1" ht="18.75">
      <c r="A13" s="174" t="s">
        <v>203</v>
      </c>
      <c r="B13" s="177"/>
      <c r="C13" s="177"/>
      <c r="D13" s="178"/>
      <c r="E13" s="178"/>
      <c r="F13" s="178"/>
      <c r="G13" s="177"/>
      <c r="H13" s="177"/>
      <c r="I13" s="177"/>
      <c r="J13" s="179"/>
    </row>
    <row r="14" spans="1:10" ht="21.75">
      <c r="A14" s="163"/>
      <c r="B14" s="184" t="s">
        <v>204</v>
      </c>
      <c r="C14" s="70" t="s">
        <v>205</v>
      </c>
      <c r="D14" s="70"/>
      <c r="E14" s="158"/>
      <c r="F14" s="70"/>
      <c r="G14" s="158"/>
      <c r="H14" s="158"/>
      <c r="I14" s="158"/>
      <c r="J14" s="162"/>
    </row>
    <row r="15" spans="1:10" ht="19.5">
      <c r="A15" s="163"/>
      <c r="B15" s="158"/>
      <c r="C15" s="74" t="s">
        <v>38</v>
      </c>
      <c r="D15" s="74" t="s">
        <v>19</v>
      </c>
      <c r="E15" s="165">
        <f>(D6)-D7-(D11/10/2)</f>
        <v>9.05</v>
      </c>
      <c r="F15" s="70" t="s">
        <v>195</v>
      </c>
      <c r="G15" s="158"/>
      <c r="H15" s="158"/>
      <c r="I15" s="158"/>
      <c r="J15" s="162"/>
    </row>
    <row r="16" spans="1:10" ht="19.5">
      <c r="A16" s="168"/>
      <c r="B16" s="172"/>
      <c r="C16" s="170" t="s">
        <v>206</v>
      </c>
      <c r="D16" s="170" t="s">
        <v>19</v>
      </c>
      <c r="E16" s="170">
        <f>ROUND(H12*1*(E15^2),2)</f>
        <v>651.12</v>
      </c>
      <c r="F16" s="169" t="s">
        <v>405</v>
      </c>
      <c r="G16" s="172"/>
      <c r="H16" s="172"/>
      <c r="I16" s="172"/>
      <c r="J16" s="173"/>
    </row>
    <row r="17" spans="1:10" s="180" customFormat="1" ht="18.75">
      <c r="A17" s="174" t="s">
        <v>207</v>
      </c>
      <c r="B17" s="177"/>
      <c r="C17" s="177"/>
      <c r="D17" s="178"/>
      <c r="E17" s="178"/>
      <c r="F17" s="178"/>
      <c r="G17" s="177"/>
      <c r="H17" s="177"/>
      <c r="I17" s="177"/>
      <c r="J17" s="179"/>
    </row>
    <row r="18" spans="1:10" s="155" customFormat="1" ht="21.75">
      <c r="A18" s="295"/>
      <c r="B18" s="296" t="s">
        <v>39</v>
      </c>
      <c r="C18" s="182" t="s">
        <v>208</v>
      </c>
      <c r="D18" s="182">
        <f>2400*1*D6/100</f>
        <v>288</v>
      </c>
      <c r="E18" s="296" t="s">
        <v>209</v>
      </c>
      <c r="F18" s="572" t="s">
        <v>210</v>
      </c>
      <c r="G18" s="573" t="s">
        <v>40</v>
      </c>
      <c r="H18" s="573">
        <f>SUM(D18:D19)</f>
        <v>488</v>
      </c>
      <c r="I18" s="569" t="s">
        <v>209</v>
      </c>
      <c r="J18" s="297"/>
    </row>
    <row r="19" spans="1:10" s="155" customFormat="1" ht="21.75">
      <c r="A19" s="295"/>
      <c r="B19" s="296" t="s">
        <v>211</v>
      </c>
      <c r="C19" s="182" t="s">
        <v>41</v>
      </c>
      <c r="D19" s="182">
        <f>'wds data'!I12</f>
        <v>200</v>
      </c>
      <c r="E19" s="296" t="s">
        <v>209</v>
      </c>
      <c r="F19" s="572"/>
      <c r="G19" s="573"/>
      <c r="H19" s="573"/>
      <c r="I19" s="569"/>
      <c r="J19" s="297"/>
    </row>
    <row r="20" spans="1:10" ht="9" customHeight="1">
      <c r="A20" s="168"/>
      <c r="B20" s="169"/>
      <c r="C20" s="170"/>
      <c r="D20" s="170"/>
      <c r="E20" s="169"/>
      <c r="F20" s="183"/>
      <c r="G20" s="170"/>
      <c r="H20" s="170"/>
      <c r="I20" s="169"/>
      <c r="J20" s="173"/>
    </row>
    <row r="21" spans="1:10" s="180" customFormat="1" ht="18.75">
      <c r="A21" s="174" t="s">
        <v>212</v>
      </c>
      <c r="B21" s="185"/>
      <c r="C21" s="178"/>
      <c r="D21" s="178"/>
      <c r="E21" s="185"/>
      <c r="F21" s="186"/>
      <c r="G21" s="178"/>
      <c r="H21" s="178"/>
      <c r="I21" s="185"/>
      <c r="J21" s="179"/>
    </row>
    <row r="22" spans="1:10" ht="19.5">
      <c r="A22" s="163"/>
      <c r="B22" s="187" t="s">
        <v>175</v>
      </c>
      <c r="C22" s="188">
        <f>D4</f>
        <v>4</v>
      </c>
      <c r="D22" s="189" t="s">
        <v>18</v>
      </c>
      <c r="E22" s="561" t="s">
        <v>213</v>
      </c>
      <c r="F22" s="561"/>
      <c r="G22" s="561"/>
      <c r="H22" s="561"/>
      <c r="I22" s="561"/>
      <c r="J22" s="162"/>
    </row>
    <row r="23" spans="1:10" ht="21.75">
      <c r="A23" s="163"/>
      <c r="B23" s="175" t="s">
        <v>214</v>
      </c>
      <c r="C23" s="288" t="s">
        <v>215</v>
      </c>
      <c r="D23" s="190" t="s">
        <v>216</v>
      </c>
      <c r="E23" s="191" t="s">
        <v>217</v>
      </c>
      <c r="F23" s="175" t="str">
        <f>'wds data'!F18&amp;'wds data'!I18&amp;'wds data'!J18&amp;'wds data'!H19</f>
        <v>RB9  mm  @</v>
      </c>
      <c r="G23" s="560" t="s">
        <v>218</v>
      </c>
      <c r="H23" s="560"/>
      <c r="I23" s="175" t="s">
        <v>219</v>
      </c>
      <c r="J23" s="162"/>
    </row>
    <row r="24" spans="1:10" ht="19.5">
      <c r="A24" s="163"/>
      <c r="B24" s="175" t="s">
        <v>220</v>
      </c>
      <c r="C24" s="192">
        <f>VLOOKUP(G4,'Design References'!AC5:AE14,2)</f>
        <v>0.071</v>
      </c>
      <c r="D24" s="193">
        <f>ROUNDUP(C24*H18*D4^2,0)</f>
        <v>555</v>
      </c>
      <c r="E24" s="194">
        <f>ROUNDUP(D24/D12/H11/(E15/100),2)</f>
        <v>5.75</v>
      </c>
      <c r="F24" s="192">
        <f>'wds data'!I19/100</f>
        <v>0.1</v>
      </c>
      <c r="G24" s="559">
        <f>ROUND(PI()*(D11/10)^2/4*1/F24,2)</f>
        <v>6.36</v>
      </c>
      <c r="H24" s="559"/>
      <c r="I24" s="490" t="str">
        <f>IF(G24&gt;E24,"OK","ลด @")</f>
        <v>OK</v>
      </c>
      <c r="J24" s="162"/>
    </row>
    <row r="25" spans="1:10" ht="19.5">
      <c r="A25" s="163"/>
      <c r="B25" s="175" t="s">
        <v>42</v>
      </c>
      <c r="C25" s="192">
        <f>VLOOKUP(G4,'Design References'!AC5:AE14,3)</f>
        <v>0.054</v>
      </c>
      <c r="D25" s="193">
        <f>ROUNDUP(C25*H18*D4^2,0)</f>
        <v>422</v>
      </c>
      <c r="E25" s="194">
        <f>ROUNDUP(D25/D12/H11/(E15/100),2)</f>
        <v>4.37</v>
      </c>
      <c r="F25" s="192">
        <f>F24</f>
        <v>0.1</v>
      </c>
      <c r="G25" s="559">
        <f>G24</f>
        <v>6.36</v>
      </c>
      <c r="H25" s="559"/>
      <c r="I25" s="490" t="str">
        <f>IF(G25&gt;E25,"OK","ลด @")</f>
        <v>OK</v>
      </c>
      <c r="J25" s="162"/>
    </row>
    <row r="26" spans="1:10" ht="19.5">
      <c r="A26" s="163"/>
      <c r="B26" s="187" t="s">
        <v>177</v>
      </c>
      <c r="C26" s="188">
        <f>D5</f>
        <v>6</v>
      </c>
      <c r="D26" s="189" t="s">
        <v>18</v>
      </c>
      <c r="E26" s="561" t="s">
        <v>213</v>
      </c>
      <c r="F26" s="561"/>
      <c r="G26" s="561"/>
      <c r="H26" s="561"/>
      <c r="I26" s="561"/>
      <c r="J26" s="162"/>
    </row>
    <row r="27" spans="1:10" ht="21.75">
      <c r="A27" s="163"/>
      <c r="B27" s="175" t="s">
        <v>214</v>
      </c>
      <c r="C27" s="288" t="s">
        <v>215</v>
      </c>
      <c r="D27" s="190" t="s">
        <v>216</v>
      </c>
      <c r="E27" s="191" t="s">
        <v>217</v>
      </c>
      <c r="F27" s="175" t="str">
        <f>'wds data'!F18&amp;'wds data'!I18&amp;'wds data'!J18&amp;'wds data'!H19</f>
        <v>RB9  mm  @</v>
      </c>
      <c r="G27" s="560" t="s">
        <v>218</v>
      </c>
      <c r="H27" s="560"/>
      <c r="I27" s="175" t="s">
        <v>221</v>
      </c>
      <c r="J27" s="162"/>
    </row>
    <row r="28" spans="1:10" ht="19.5">
      <c r="A28" s="163"/>
      <c r="B28" s="175" t="s">
        <v>220</v>
      </c>
      <c r="C28" s="192">
        <f>'Design References'!AD16</f>
        <v>0.049</v>
      </c>
      <c r="D28" s="193">
        <f>ROUNDUP(C28*H18*D4^2,0)</f>
        <v>383</v>
      </c>
      <c r="E28" s="194">
        <f>ROUNDUP(D28/D12/H11/(E15/100),2)</f>
        <v>3.9699999999999998</v>
      </c>
      <c r="F28" s="192">
        <f>'wds data'!I20/100</f>
        <v>0.1</v>
      </c>
      <c r="G28" s="559">
        <f>ROUND(PI()*(D11/10)^2/4*1/F28,2)</f>
        <v>6.36</v>
      </c>
      <c r="H28" s="559"/>
      <c r="I28" s="490" t="str">
        <f>IF(G28&gt;E28,"OK","ลด @")</f>
        <v>OK</v>
      </c>
      <c r="J28" s="162"/>
    </row>
    <row r="29" spans="1:10" ht="19.5">
      <c r="A29" s="163"/>
      <c r="B29" s="175" t="s">
        <v>42</v>
      </c>
      <c r="C29" s="192">
        <f>'Design References'!AE16</f>
        <v>0.037</v>
      </c>
      <c r="D29" s="193">
        <f>ROUNDUP(C29*H18*D4^2,0)</f>
        <v>289</v>
      </c>
      <c r="E29" s="194">
        <f>ROUNDUP(D29/D12/H11/(E15/100),2)</f>
        <v>3</v>
      </c>
      <c r="F29" s="192">
        <f>F28</f>
        <v>0.1</v>
      </c>
      <c r="G29" s="559">
        <f>G28</f>
        <v>6.36</v>
      </c>
      <c r="H29" s="559"/>
      <c r="I29" s="490" t="str">
        <f>IF(G29&gt;E29,"OK","ลด @")</f>
        <v>OK</v>
      </c>
      <c r="J29" s="162"/>
    </row>
    <row r="30" spans="1:10" ht="19.5">
      <c r="A30" s="163"/>
      <c r="B30" s="195"/>
      <c r="C30" s="177" t="s">
        <v>222</v>
      </c>
      <c r="D30" s="195"/>
      <c r="E30" s="196" t="str">
        <f>IF(MAX(D24:D29)&lt;E16,"Max.Actual Moment (M)  &lt;  Resisting Moment (MR)  OK.","Max.Actual Moment (M)  &gt;  Resisting Moment (MR)  เพิ่มความหนา t")</f>
        <v>Max.Actual Moment (M)  &lt;  Resisting Moment (MR)  OK.</v>
      </c>
      <c r="F30" s="197"/>
      <c r="G30" s="198"/>
      <c r="H30" s="198"/>
      <c r="I30" s="199"/>
      <c r="J30" s="162"/>
    </row>
    <row r="31" spans="1:10" s="180" customFormat="1" ht="18.75">
      <c r="A31" s="174" t="s">
        <v>223</v>
      </c>
      <c r="B31" s="177"/>
      <c r="C31" s="185"/>
      <c r="D31" s="177"/>
      <c r="E31" s="200"/>
      <c r="F31" s="201"/>
      <c r="G31" s="202"/>
      <c r="H31" s="202"/>
      <c r="I31" s="178"/>
      <c r="J31" s="179"/>
    </row>
    <row r="32" spans="1:10" ht="19.5">
      <c r="A32" s="163"/>
      <c r="B32" s="158" t="s">
        <v>224</v>
      </c>
      <c r="C32" s="161"/>
      <c r="D32" s="74"/>
      <c r="E32" s="203">
        <f>ROUNDUP(H18*D4/2,2)</f>
        <v>976</v>
      </c>
      <c r="F32" s="70" t="s">
        <v>225</v>
      </c>
      <c r="G32" s="158"/>
      <c r="H32" s="204"/>
      <c r="I32" s="74"/>
      <c r="J32" s="162"/>
    </row>
    <row r="33" spans="1:10" ht="21.75">
      <c r="A33" s="163"/>
      <c r="B33" s="158" t="s">
        <v>226</v>
      </c>
      <c r="C33" s="161"/>
      <c r="D33" s="158"/>
      <c r="E33" s="203">
        <f>ROUNDUP(E32/(100*E15),2)</f>
        <v>1.08</v>
      </c>
      <c r="F33" s="167" t="s">
        <v>227</v>
      </c>
      <c r="G33" s="158"/>
      <c r="H33" s="164"/>
      <c r="I33" s="74"/>
      <c r="J33" s="162"/>
    </row>
    <row r="34" spans="1:10" ht="21.75">
      <c r="A34" s="168"/>
      <c r="B34" s="172" t="s">
        <v>228</v>
      </c>
      <c r="C34" s="205"/>
      <c r="D34" s="172"/>
      <c r="E34" s="206">
        <f>ROUNDDOWN(0.29*'wds data'!I16^0.5,2)</f>
        <v>3.49</v>
      </c>
      <c r="F34" s="207" t="s">
        <v>227</v>
      </c>
      <c r="G34" s="508" t="str">
        <f>IF(E34&gt;E33,"&gt;  "&amp;E33&amp;"    OK","&lt;  "&amp;E33&amp;"    เพิ่มความหนา t")</f>
        <v>&gt;  1.08    OK</v>
      </c>
      <c r="H34" s="208"/>
      <c r="I34" s="170"/>
      <c r="J34" s="173"/>
    </row>
    <row r="35" spans="1:10" s="180" customFormat="1" ht="18.75">
      <c r="A35" s="174" t="s">
        <v>229</v>
      </c>
      <c r="B35" s="177"/>
      <c r="C35" s="177"/>
      <c r="D35" s="178"/>
      <c r="E35" s="178"/>
      <c r="F35" s="178"/>
      <c r="G35" s="177"/>
      <c r="H35" s="177"/>
      <c r="I35" s="177"/>
      <c r="J35" s="179"/>
    </row>
    <row r="36" spans="1:10" ht="19.5">
      <c r="A36" s="163"/>
      <c r="B36" s="557" t="s">
        <v>230</v>
      </c>
      <c r="C36" s="558"/>
      <c r="D36" s="560" t="s">
        <v>231</v>
      </c>
      <c r="E36" s="560"/>
      <c r="F36" s="560" t="s">
        <v>232</v>
      </c>
      <c r="G36" s="560"/>
      <c r="H36" s="560" t="s">
        <v>219</v>
      </c>
      <c r="I36" s="560"/>
      <c r="J36" s="162"/>
    </row>
    <row r="37" spans="1:10" ht="19.5">
      <c r="A37" s="209"/>
      <c r="B37" s="557" t="s">
        <v>233</v>
      </c>
      <c r="C37" s="558"/>
      <c r="D37" s="559">
        <f>ROUND(H18*D4/3,2)</f>
        <v>650.67</v>
      </c>
      <c r="E37" s="559"/>
      <c r="F37" s="559">
        <f>ROUND(D37*(3-G4^2)/2,2)</f>
        <v>816.59</v>
      </c>
      <c r="G37" s="559"/>
      <c r="H37" s="560"/>
      <c r="I37" s="560"/>
      <c r="J37" s="162"/>
    </row>
    <row r="38" spans="1:10" ht="19.5">
      <c r="A38" s="210"/>
      <c r="B38" s="211"/>
      <c r="C38" s="211"/>
      <c r="D38" s="212"/>
      <c r="E38" s="212"/>
      <c r="F38" s="212"/>
      <c r="G38" s="211"/>
      <c r="H38" s="211"/>
      <c r="I38" s="211"/>
      <c r="J38" s="293" t="s">
        <v>241</v>
      </c>
    </row>
    <row r="39" spans="1:10" ht="15" customHeight="1" thickBot="1">
      <c r="A39" s="158"/>
      <c r="B39" s="158"/>
      <c r="C39" s="158"/>
      <c r="D39" s="74"/>
      <c r="E39" s="246"/>
      <c r="F39" s="246"/>
      <c r="G39" s="158"/>
      <c r="H39" s="158"/>
      <c r="I39" s="158"/>
      <c r="J39" s="294"/>
    </row>
    <row r="40" spans="4:6" ht="20.25" thickBot="1">
      <c r="D40" s="562" t="s">
        <v>247</v>
      </c>
      <c r="E40" s="563"/>
      <c r="F40" s="564"/>
    </row>
  </sheetData>
  <sheetProtection/>
  <mergeCells count="26">
    <mergeCell ref="D40:F40"/>
    <mergeCell ref="I1:J1"/>
    <mergeCell ref="I2:J2"/>
    <mergeCell ref="F4:F5"/>
    <mergeCell ref="G4:G5"/>
    <mergeCell ref="H4:I5"/>
    <mergeCell ref="F18:F19"/>
    <mergeCell ref="G18:G19"/>
    <mergeCell ref="H18:H19"/>
    <mergeCell ref="I18:I19"/>
    <mergeCell ref="E26:I26"/>
    <mergeCell ref="G27:H27"/>
    <mergeCell ref="G28:H28"/>
    <mergeCell ref="G29:H29"/>
    <mergeCell ref="E22:I22"/>
    <mergeCell ref="G23:H23"/>
    <mergeCell ref="G24:H24"/>
    <mergeCell ref="G25:H25"/>
    <mergeCell ref="B37:C37"/>
    <mergeCell ref="D37:E37"/>
    <mergeCell ref="F37:G37"/>
    <mergeCell ref="H37:I37"/>
    <mergeCell ref="B36:C36"/>
    <mergeCell ref="D36:E36"/>
    <mergeCell ref="F36:G36"/>
    <mergeCell ref="H36:I36"/>
  </mergeCells>
  <hyperlinks>
    <hyperlink ref="D40:F40" location="'wds data'!J3" tooltip="กลับไปยังหน้าข้อมูลการออกแบบ Working Design Slab" display="กลับหน้าข้อมูลออกแบบพื้น"/>
    <hyperlink ref="C23" location="'Design References'!AC3" tooltip="ดูค่าสัมประสิทธิ์โมเมนต์ C สำหรับออกแบบ Working Design Slab" display="Coeff. C"/>
    <hyperlink ref="C27" location="'Design References'!AC15" tooltip="ดูค่าสัมประสิทธิ์โมเมนต์ C สำหรับการออกแบบ Working Design Slab" display="Coeff. C"/>
  </hyperlinks>
  <printOptions/>
  <pageMargins left="0.86" right="0.5511811023622047" top="0.7874015748031497" bottom="0.5905511811023623" header="0.5118110236220472" footer="0.5118110236220472"/>
  <pageSetup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H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511" customWidth="1"/>
  </cols>
  <sheetData>
    <row r="1" spans="1:5" s="509" customFormat="1" ht="24">
      <c r="A1" s="509" t="s">
        <v>534</v>
      </c>
      <c r="D1" s="510" t="str">
        <f>'wds data'!J3</f>
        <v>S1</v>
      </c>
      <c r="E1" s="509" t="str">
        <f>'wds cal'!E3</f>
        <v>ไม่ต่อเนื่องกันสองด้าน</v>
      </c>
    </row>
    <row r="2" spans="3:6" ht="21.75">
      <c r="C2" s="511" t="s">
        <v>535</v>
      </c>
      <c r="E2" s="517">
        <f>'wds data'!I7</f>
        <v>4</v>
      </c>
      <c r="F2" s="507" t="s">
        <v>18</v>
      </c>
    </row>
    <row r="3" spans="3:6" ht="21.75">
      <c r="C3" s="511" t="s">
        <v>536</v>
      </c>
      <c r="E3" s="517">
        <f>'wds data'!I8</f>
        <v>6</v>
      </c>
      <c r="F3" s="507" t="s">
        <v>18</v>
      </c>
    </row>
    <row r="4" spans="3:6" ht="21.75">
      <c r="C4" s="511" t="s">
        <v>537</v>
      </c>
      <c r="E4" s="517">
        <f>'wds data'!I9/100</f>
        <v>0.12</v>
      </c>
      <c r="F4" s="507" t="s">
        <v>18</v>
      </c>
    </row>
    <row r="5" spans="3:5" ht="21.75">
      <c r="C5" s="511" t="s">
        <v>538</v>
      </c>
      <c r="E5" s="512" t="str">
        <f>IF(E2/E3&gt;0.5,"TWO  WAY  SLAB","ONE  WAY  SLAB")</f>
        <v>TWO  WAY  SLAB</v>
      </c>
    </row>
    <row r="7" spans="2:4" s="509" customFormat="1" ht="24">
      <c r="B7" s="513" t="s">
        <v>539</v>
      </c>
      <c r="D7" s="514"/>
    </row>
    <row r="9" ht="21.75">
      <c r="C9" s="516" t="str">
        <f>'wds data'!F18&amp;'wds data'!I18&amp;"  @  "&amp;'wds data'!I19/100*2&amp;" "&amp;"m"&amp;"  "&amp;"เสริมพิเศษ"</f>
        <v>RB9  @  0.2 m  เสริมพิเศษ</v>
      </c>
    </row>
    <row r="10" ht="21.75">
      <c r="D10" s="515" t="str">
        <f>'wds data'!F18&amp;'wds data'!I18&amp;"  @  "&amp;'wds data'!I19/100&amp;" "&amp;"m"&amp;"  "&amp;"คอม้าเส้นเว้นเส้น"</f>
        <v>RB9  @  0.1 m  คอม้าเส้นเว้นเส้น</v>
      </c>
    </row>
    <row r="11" ht="21.75">
      <c r="E11" s="511" t="str">
        <f>'wds data'!F18&amp;'wds data'!I18&amp;"  @  "&amp;'wds data'!I20/100&amp;" "&amp;"m"&amp;"  "&amp;"คอม้าเส้นเว้นเส้น"</f>
        <v>RB9  @  0.1 m  คอม้าเส้นเว้นเส้น</v>
      </c>
    </row>
    <row r="12" ht="21.75">
      <c r="H12" s="574">
        <f>E4</f>
        <v>0.12</v>
      </c>
    </row>
    <row r="13" ht="21.75">
      <c r="H13" s="574"/>
    </row>
    <row r="15" spans="2:7" ht="21.75">
      <c r="B15" s="574">
        <f>E2/5</f>
        <v>0.8</v>
      </c>
      <c r="C15" s="574"/>
      <c r="F15" s="574">
        <f>B15</f>
        <v>0.8</v>
      </c>
      <c r="G15" s="575"/>
    </row>
    <row r="16" spans="4:5" ht="21.75">
      <c r="D16" s="574">
        <f>E2</f>
        <v>4</v>
      </c>
      <c r="E16" s="574"/>
    </row>
    <row r="18" ht="24">
      <c r="B18" s="513" t="s">
        <v>540</v>
      </c>
    </row>
    <row r="20" ht="21.75">
      <c r="C20" s="516" t="str">
        <f>'wds data'!F18&amp;'wds data'!I18&amp;"  @  "&amp;'wds data'!I20/100*2&amp;" "&amp;"m"&amp;"  "&amp;"เสริมพิเศษ"</f>
        <v>RB9  @  0.2 m  เสริมพิเศษ</v>
      </c>
    </row>
    <row r="21" ht="21.75">
      <c r="D21" s="515" t="str">
        <f>'wds data'!F18&amp;'wds data'!I18&amp;"  @  "&amp;'wds data'!I20/100&amp;" "&amp;"m"&amp;"  "&amp;"คอม้าเส้นเว้นเส้น"</f>
        <v>RB9  @  0.1 m  คอม้าเส้นเว้นเส้น</v>
      </c>
    </row>
    <row r="22" ht="21.75">
      <c r="E22" s="511" t="str">
        <f>'wds data'!F18&amp;'wds data'!I18&amp;"  @  "&amp;'wds data'!I19/100&amp;" "&amp;"m"&amp;"  "&amp;"คอม้าเส้นเว้นเส้น"</f>
        <v>RB9  @  0.1 m  คอม้าเส้นเว้นเส้น</v>
      </c>
    </row>
    <row r="23" ht="21.75">
      <c r="H23" s="574">
        <f>E4</f>
        <v>0.12</v>
      </c>
    </row>
    <row r="24" ht="21.75">
      <c r="H24" s="575"/>
    </row>
    <row r="26" spans="2:7" ht="21.75">
      <c r="B26" s="574">
        <f>E3/5</f>
        <v>1.2</v>
      </c>
      <c r="C26" s="574"/>
      <c r="F26" s="574">
        <f>B26</f>
        <v>1.2</v>
      </c>
      <c r="G26" s="575"/>
    </row>
    <row r="27" spans="4:5" ht="21.75">
      <c r="D27" s="574">
        <f>E3</f>
        <v>6</v>
      </c>
      <c r="E27" s="576"/>
    </row>
  </sheetData>
  <sheetProtection/>
  <mergeCells count="8">
    <mergeCell ref="H23:H24"/>
    <mergeCell ref="B26:C26"/>
    <mergeCell ref="D27:E27"/>
    <mergeCell ref="F26:G26"/>
    <mergeCell ref="H12:H13"/>
    <mergeCell ref="D16:E16"/>
    <mergeCell ref="F15:G15"/>
    <mergeCell ref="B15:C15"/>
  </mergeCells>
  <printOptions/>
  <pageMargins left="1.141732283464567" right="0.7480314960629921" top="0.7874015748031497" bottom="0.984251968503937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B2:M48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6.57421875" style="11" customWidth="1"/>
    <col min="2" max="2" width="4.421875" style="11" customWidth="1"/>
    <col min="3" max="3" width="5.7109375" style="11" customWidth="1"/>
    <col min="4" max="4" width="5.28125" style="11" customWidth="1"/>
    <col min="5" max="5" width="11.8515625" style="13" customWidth="1"/>
    <col min="6" max="6" width="6.7109375" style="13" customWidth="1"/>
    <col min="7" max="7" width="11.7109375" style="13" customWidth="1"/>
    <col min="8" max="9" width="9.421875" style="11" customWidth="1"/>
    <col min="10" max="10" width="15.00390625" style="11" customWidth="1"/>
    <col min="11" max="16384" width="9.140625" style="11" customWidth="1"/>
  </cols>
  <sheetData>
    <row r="1" ht="22.5" thickBot="1"/>
    <row r="2" spans="2:10" s="1" customFormat="1" ht="30" customHeight="1" thickTop="1">
      <c r="B2" s="362" t="s">
        <v>0</v>
      </c>
      <c r="C2" s="362"/>
      <c r="D2" s="362"/>
      <c r="E2" s="543" t="s">
        <v>545</v>
      </c>
      <c r="F2" s="364"/>
      <c r="G2" s="364"/>
      <c r="H2" s="578" t="s">
        <v>25</v>
      </c>
      <c r="I2" s="578"/>
      <c r="J2" s="365">
        <f ca="1">NOW()</f>
        <v>41138.58963634259</v>
      </c>
    </row>
    <row r="3" spans="2:10" s="1" customFormat="1" ht="30" customHeight="1" thickBot="1">
      <c r="B3" s="366" t="s">
        <v>24</v>
      </c>
      <c r="C3" s="367"/>
      <c r="D3" s="367"/>
      <c r="E3" s="368"/>
      <c r="F3" s="368"/>
      <c r="G3" s="368"/>
      <c r="H3" s="579" t="s">
        <v>26</v>
      </c>
      <c r="I3" s="580"/>
      <c r="J3" s="534" t="s">
        <v>542</v>
      </c>
    </row>
    <row r="4" spans="2:10" s="6" customFormat="1" ht="7.5" customHeight="1" thickTop="1">
      <c r="B4" s="584"/>
      <c r="C4" s="584"/>
      <c r="D4" s="584"/>
      <c r="E4" s="584"/>
      <c r="F4" s="584"/>
      <c r="G4" s="584"/>
      <c r="H4" s="584"/>
      <c r="I4" s="584"/>
      <c r="J4" s="584"/>
    </row>
    <row r="5" spans="2:10" s="7" customFormat="1" ht="26.25">
      <c r="B5" s="369" t="s">
        <v>1</v>
      </c>
      <c r="C5" s="369"/>
      <c r="D5" s="369"/>
      <c r="E5" s="370"/>
      <c r="F5" s="9"/>
      <c r="G5" s="9"/>
      <c r="H5" s="8"/>
      <c r="I5" s="8"/>
      <c r="J5" s="10"/>
    </row>
    <row r="6" spans="3:6" ht="21.75">
      <c r="C6" s="12" t="s">
        <v>30</v>
      </c>
      <c r="F6" s="48" t="str">
        <f>J3</f>
        <v>B2</v>
      </c>
    </row>
    <row r="7" spans="3:10" ht="21.75">
      <c r="C7" s="12"/>
      <c r="D7" s="581" t="s">
        <v>31</v>
      </c>
      <c r="E7" s="582"/>
      <c r="F7" s="535">
        <v>1</v>
      </c>
      <c r="G7" s="583" t="str">
        <f>HLOOKUP(F7,'Design References'!C7:F12,2)</f>
        <v>คานช่วงเดียวธรรมดา</v>
      </c>
      <c r="H7" s="576"/>
      <c r="I7" s="576"/>
      <c r="J7" s="576"/>
    </row>
    <row r="8" spans="4:10" ht="21.75">
      <c r="D8" s="11" t="s">
        <v>27</v>
      </c>
      <c r="E8" s="11"/>
      <c r="F8" s="11"/>
      <c r="H8" s="13" t="s">
        <v>3</v>
      </c>
      <c r="I8" s="536">
        <v>4</v>
      </c>
      <c r="J8" s="11" t="s">
        <v>2</v>
      </c>
    </row>
    <row r="9" spans="4:10" ht="21.75">
      <c r="D9" s="11" t="s">
        <v>29</v>
      </c>
      <c r="E9" s="11"/>
      <c r="F9" s="11"/>
      <c r="H9" s="13" t="s">
        <v>28</v>
      </c>
      <c r="I9" s="536">
        <v>0.2</v>
      </c>
      <c r="J9" s="11" t="s">
        <v>2</v>
      </c>
    </row>
    <row r="10" spans="4:10" ht="21.75">
      <c r="D10" s="11" t="s">
        <v>32</v>
      </c>
      <c r="E10" s="11"/>
      <c r="F10" s="11"/>
      <c r="G10" s="28" t="str">
        <f>HLOOKUP(F7,'Design References'!C7:F12,5)&amp;"  m   ใช้"</f>
        <v>0.25  m   ใช้</v>
      </c>
      <c r="H10" s="13" t="s">
        <v>4</v>
      </c>
      <c r="I10" s="536">
        <v>0.4</v>
      </c>
      <c r="J10" s="11" t="s">
        <v>2</v>
      </c>
    </row>
    <row r="11" spans="4:10" ht="21.75">
      <c r="D11" s="585" t="s">
        <v>67</v>
      </c>
      <c r="E11" s="585"/>
      <c r="F11" s="585"/>
      <c r="G11" s="28"/>
      <c r="H11" s="13" t="s">
        <v>404</v>
      </c>
      <c r="I11" s="537">
        <v>2.5</v>
      </c>
      <c r="J11" s="11" t="s">
        <v>68</v>
      </c>
    </row>
    <row r="12" spans="8:9" s="15" customFormat="1" ht="12.75">
      <c r="H12" s="16"/>
      <c r="I12" s="17"/>
    </row>
    <row r="13" spans="3:10" ht="21.75">
      <c r="C13" s="12" t="s">
        <v>20</v>
      </c>
      <c r="F13" s="11"/>
      <c r="H13" s="13"/>
      <c r="J13" s="18"/>
    </row>
    <row r="14" spans="4:10" ht="24.75">
      <c r="D14" s="11" t="s">
        <v>21</v>
      </c>
      <c r="E14" s="11"/>
      <c r="F14" s="11"/>
      <c r="H14" s="13" t="s">
        <v>41</v>
      </c>
      <c r="I14" s="538">
        <v>250</v>
      </c>
      <c r="J14" s="18" t="s">
        <v>5</v>
      </c>
    </row>
    <row r="15" spans="4:10" ht="21.75">
      <c r="D15" s="11" t="s">
        <v>59</v>
      </c>
      <c r="E15" s="11"/>
      <c r="F15" s="11"/>
      <c r="H15" s="13"/>
      <c r="I15" s="31"/>
      <c r="J15" s="18"/>
    </row>
    <row r="16" spans="5:10" ht="21.75">
      <c r="E16" s="30" t="s">
        <v>43</v>
      </c>
      <c r="F16" s="535">
        <v>1</v>
      </c>
      <c r="G16" s="36" t="str">
        <f>IF(F16="","","      "&amp;VLOOKUP(F16,'Design References'!L3:N7,2))</f>
        <v>      ผนังอิฐมอญ ก่อครึ่งแผ่น ฉาบปูน 2 ด้าน</v>
      </c>
      <c r="H16" s="13"/>
      <c r="I16" s="37"/>
      <c r="J16" s="18"/>
    </row>
    <row r="17" spans="5:10" ht="21.75">
      <c r="E17" s="38" t="s">
        <v>65</v>
      </c>
      <c r="F17" s="29"/>
      <c r="G17" s="14"/>
      <c r="H17" s="13" t="s">
        <v>66</v>
      </c>
      <c r="I17" s="536">
        <v>2.2</v>
      </c>
      <c r="J17" s="11" t="s">
        <v>2</v>
      </c>
    </row>
    <row r="18" spans="5:10" ht="24.75">
      <c r="E18" s="38" t="s">
        <v>57</v>
      </c>
      <c r="F18" s="29"/>
      <c r="G18" s="36"/>
      <c r="H18" s="13" t="s">
        <v>58</v>
      </c>
      <c r="I18" s="47">
        <f>IF(F16="",0,VLOOKUP(F16,'Design References'!L3:N7,3))</f>
        <v>180</v>
      </c>
      <c r="J18" s="18" t="s">
        <v>5</v>
      </c>
    </row>
    <row r="19" spans="5:10" ht="9" customHeight="1">
      <c r="E19" s="38"/>
      <c r="F19" s="29"/>
      <c r="G19" s="36"/>
      <c r="H19" s="13"/>
      <c r="I19" s="37"/>
      <c r="J19" s="18"/>
    </row>
    <row r="20" spans="4:10" ht="21.75">
      <c r="D20" s="11" t="s">
        <v>60</v>
      </c>
      <c r="E20" s="11"/>
      <c r="F20" s="11" t="s">
        <v>64</v>
      </c>
      <c r="H20" s="13"/>
      <c r="I20" s="539">
        <v>2</v>
      </c>
      <c r="J20" s="18"/>
    </row>
    <row r="21" spans="5:10" ht="3" customHeight="1">
      <c r="E21" s="11"/>
      <c r="F21" s="11"/>
      <c r="H21" s="13"/>
      <c r="I21" s="39"/>
      <c r="J21" s="18"/>
    </row>
    <row r="22" spans="5:10" ht="21.75">
      <c r="E22" s="586" t="s">
        <v>61</v>
      </c>
      <c r="F22" s="586"/>
      <c r="G22" s="49" t="s">
        <v>62</v>
      </c>
      <c r="H22" s="47" t="s">
        <v>63</v>
      </c>
      <c r="I22" s="49" t="s">
        <v>125</v>
      </c>
      <c r="J22" s="18"/>
    </row>
    <row r="23" spans="5:10" ht="21.75">
      <c r="E23" s="577" t="str">
        <f>IF(I20=0,"-","พื้น 1")</f>
        <v>พื้น 1</v>
      </c>
      <c r="F23" s="577"/>
      <c r="G23" s="536">
        <v>4</v>
      </c>
      <c r="H23" s="536">
        <v>4.5</v>
      </c>
      <c r="I23" s="536">
        <v>0.1</v>
      </c>
      <c r="J23" s="18"/>
    </row>
    <row r="24" spans="5:10" ht="21.75">
      <c r="E24" s="577" t="str">
        <f>IF(I20=2,"พื้น 2","-")</f>
        <v>พื้น 2</v>
      </c>
      <c r="F24" s="577"/>
      <c r="G24" s="536">
        <v>4</v>
      </c>
      <c r="H24" s="536">
        <v>4</v>
      </c>
      <c r="I24" s="536">
        <v>0.1</v>
      </c>
      <c r="J24" s="18"/>
    </row>
    <row r="25" spans="5:10" ht="11.25" customHeight="1">
      <c r="E25" s="11"/>
      <c r="F25" s="40"/>
      <c r="G25" s="40"/>
      <c r="H25" s="29"/>
      <c r="I25" s="41"/>
      <c r="J25" s="18"/>
    </row>
    <row r="26" spans="3:9" ht="21.75">
      <c r="C26" s="12" t="s">
        <v>6</v>
      </c>
      <c r="F26" s="19" t="s">
        <v>7</v>
      </c>
      <c r="H26" s="19" t="s">
        <v>7</v>
      </c>
      <c r="I26" s="19" t="s">
        <v>7</v>
      </c>
    </row>
    <row r="27" spans="4:9" ht="21.75">
      <c r="D27" s="12" t="s">
        <v>8</v>
      </c>
      <c r="F27" s="19" t="s">
        <v>9</v>
      </c>
      <c r="H27" s="19" t="s">
        <v>9</v>
      </c>
      <c r="I27" s="19" t="s">
        <v>9</v>
      </c>
    </row>
    <row r="28" spans="5:10" ht="24.75">
      <c r="E28" s="11" t="s">
        <v>454</v>
      </c>
      <c r="F28" s="11"/>
      <c r="H28" s="287"/>
      <c r="I28" s="540">
        <v>145</v>
      </c>
      <c r="J28" s="18" t="s">
        <v>12</v>
      </c>
    </row>
    <row r="29" spans="5:10" ht="6.75" customHeight="1">
      <c r="E29" s="11"/>
      <c r="F29" s="11"/>
      <c r="H29" s="13"/>
      <c r="I29" s="302" t="s">
        <v>7</v>
      </c>
      <c r="J29" s="18"/>
    </row>
    <row r="30" spans="4:9" ht="21.75">
      <c r="D30" s="12" t="s">
        <v>13</v>
      </c>
      <c r="H30" s="49" t="s">
        <v>408</v>
      </c>
      <c r="I30" s="49" t="s">
        <v>409</v>
      </c>
    </row>
    <row r="31" spans="2:10" s="20" customFormat="1" ht="22.5" thickBot="1">
      <c r="B31" s="21"/>
      <c r="C31" s="21"/>
      <c r="D31" s="21"/>
      <c r="F31" s="23"/>
      <c r="G31" s="21" t="s">
        <v>14</v>
      </c>
      <c r="H31" s="590" t="s">
        <v>9</v>
      </c>
      <c r="I31" s="591"/>
      <c r="J31" s="11"/>
    </row>
    <row r="32" spans="2:12" s="94" customFormat="1" ht="23.25" thickBot="1" thickTop="1">
      <c r="B32" s="50"/>
      <c r="C32" s="50"/>
      <c r="D32" s="50"/>
      <c r="F32" s="51"/>
      <c r="G32" s="50" t="s">
        <v>15</v>
      </c>
      <c r="H32" s="592" t="s">
        <v>250</v>
      </c>
      <c r="I32" s="593"/>
      <c r="J32" s="50"/>
      <c r="K32" s="594" t="s">
        <v>439</v>
      </c>
      <c r="L32" s="595"/>
    </row>
    <row r="33" spans="2:10" s="20" customFormat="1" ht="22.5" thickTop="1">
      <c r="B33" s="21"/>
      <c r="C33" s="21"/>
      <c r="D33" s="21"/>
      <c r="E33" s="21"/>
      <c r="F33" s="23"/>
      <c r="G33" s="372" t="s">
        <v>256</v>
      </c>
      <c r="H33" s="541">
        <v>16</v>
      </c>
      <c r="I33" s="541">
        <v>16</v>
      </c>
      <c r="J33" s="18" t="s">
        <v>181</v>
      </c>
    </row>
    <row r="34" spans="2:10" s="20" customFormat="1" ht="6.75" customHeight="1">
      <c r="B34" s="21"/>
      <c r="C34" s="21"/>
      <c r="D34" s="21"/>
      <c r="E34" s="21"/>
      <c r="F34" s="23"/>
      <c r="G34" s="372"/>
      <c r="H34" s="23"/>
      <c r="I34" s="23"/>
      <c r="J34" s="18"/>
    </row>
    <row r="35" spans="2:10" s="20" customFormat="1" ht="21.75">
      <c r="B35" s="21"/>
      <c r="C35" s="21"/>
      <c r="D35" s="374" t="s">
        <v>445</v>
      </c>
      <c r="E35" s="21"/>
      <c r="F35" s="23"/>
      <c r="G35" s="21" t="s">
        <v>14</v>
      </c>
      <c r="H35" s="541" t="s">
        <v>7</v>
      </c>
      <c r="I35" s="23"/>
      <c r="J35" s="18"/>
    </row>
    <row r="36" spans="2:10" s="20" customFormat="1" ht="21.75">
      <c r="B36" s="21"/>
      <c r="C36" s="21"/>
      <c r="D36" s="374"/>
      <c r="E36" s="21"/>
      <c r="F36" s="23"/>
      <c r="G36" s="50" t="s">
        <v>15</v>
      </c>
      <c r="H36" s="541" t="s">
        <v>442</v>
      </c>
      <c r="I36" s="23"/>
      <c r="J36" s="18"/>
    </row>
    <row r="37" spans="2:10" s="20" customFormat="1" ht="21.75">
      <c r="B37" s="21"/>
      <c r="C37" s="21"/>
      <c r="D37" s="374"/>
      <c r="E37" s="21"/>
      <c r="F37" s="23"/>
      <c r="G37" s="372" t="s">
        <v>256</v>
      </c>
      <c r="H37" s="541">
        <v>6</v>
      </c>
      <c r="J37" s="524" t="s">
        <v>541</v>
      </c>
    </row>
    <row r="38" spans="2:13" s="20" customFormat="1" ht="21.75">
      <c r="B38" s="21"/>
      <c r="C38" s="21"/>
      <c r="D38" s="374"/>
      <c r="E38" s="21"/>
      <c r="F38" s="23"/>
      <c r="G38" s="23" t="s">
        <v>515</v>
      </c>
      <c r="H38" s="542">
        <v>0.15</v>
      </c>
      <c r="I38" s="20" t="s">
        <v>18</v>
      </c>
      <c r="J38" s="525">
        <f>MIN('wdb cal'!G59:G60)</f>
        <v>0.1835</v>
      </c>
      <c r="K38" s="522" t="str">
        <f>'wdb cal'!G65</f>
        <v>&gt;     0.45  sq.cm     O.K.</v>
      </c>
      <c r="L38" s="522"/>
      <c r="M38" s="522"/>
    </row>
    <row r="39" spans="3:10" s="15" customFormat="1" ht="12.75">
      <c r="C39" s="24"/>
      <c r="D39" s="24"/>
      <c r="E39" s="25"/>
      <c r="F39" s="25"/>
      <c r="G39" s="25"/>
      <c r="H39" s="24"/>
      <c r="I39" s="24"/>
      <c r="J39" s="24"/>
    </row>
    <row r="40" spans="5:7" s="15" customFormat="1" ht="12.75">
      <c r="E40" s="16"/>
      <c r="F40" s="16"/>
      <c r="G40" s="16"/>
    </row>
    <row r="41" ht="21.75">
      <c r="C41" s="371" t="s">
        <v>437</v>
      </c>
    </row>
    <row r="42" spans="3:10" ht="21.75">
      <c r="C42" s="596" t="s">
        <v>438</v>
      </c>
      <c r="D42" s="596"/>
      <c r="E42" s="596"/>
      <c r="F42" s="596"/>
      <c r="G42" s="596"/>
      <c r="H42" s="596"/>
      <c r="I42" s="596"/>
      <c r="J42" s="596"/>
    </row>
    <row r="43" spans="3:10" ht="21.75" customHeight="1">
      <c r="C43" s="597" t="str">
        <f>IF('wdb cal'!F34&gt;='wdb cal'!F33,"คานรับแรงดึง","คานรับแรงดึงและแรงอัด")</f>
        <v>คานรับแรงดึงและแรงอัด</v>
      </c>
      <c r="D43" s="597"/>
      <c r="E43" s="597"/>
      <c r="F43" s="597"/>
      <c r="G43" s="597"/>
      <c r="H43" s="597"/>
      <c r="I43" s="597"/>
      <c r="J43" s="597"/>
    </row>
    <row r="44" spans="3:10" ht="21.75">
      <c r="C44" s="598" t="str">
        <f>IF('wdb cal'!F34&gt;='wdb cal'!F33,"( Singly Reinforced Concrete Beam )","( Double Reinforced Concrete Beam )")</f>
        <v>( Double Reinforced Concrete Beam )</v>
      </c>
      <c r="D44" s="598"/>
      <c r="E44" s="598"/>
      <c r="F44" s="598"/>
      <c r="G44" s="598"/>
      <c r="H44" s="598"/>
      <c r="I44" s="598"/>
      <c r="J44" s="598"/>
    </row>
    <row r="45" ht="7.5" customHeight="1"/>
    <row r="46" spans="3:10" ht="21.75">
      <c r="C46" s="599" t="str">
        <f>IF('wdb cal'!F34&gt;='wdb cal'!F33,"หน้าตัดที่เหมาะสมคือ    b  =  "&amp;'wdb cal'!E8&amp;"  m    และ    t  =  "&amp;(CEILING(SQRT('wdb cal'!F33/'wdb cal'!G16/'wdb cal'!E8),5)+I11)/100&amp;"  m","ถ้าต้องการออกแบบคานรับแรงดึง  คลิกด้านล่าง  เพื่อกลับไปเพิ่มความลึกคาน   ( t )")</f>
        <v>ถ้าต้องการออกแบบคานรับแรงดึง  คลิกด้านล่าง  เพื่อกลับไปเพิ่มความลึกคาน   ( t )</v>
      </c>
      <c r="D46" s="599"/>
      <c r="E46" s="599"/>
      <c r="F46" s="599"/>
      <c r="G46" s="599"/>
      <c r="H46" s="599"/>
      <c r="I46" s="599"/>
      <c r="J46" s="599"/>
    </row>
    <row r="47" spans="8:9" ht="9" customHeight="1" thickBot="1">
      <c r="H47" s="13"/>
      <c r="I47" s="13"/>
    </row>
    <row r="48" spans="3:10" ht="23.25" thickBot="1" thickTop="1">
      <c r="C48" s="587" t="str">
        <f>IF('wdb cal'!F34&gt;='wdb cal'!F33,"คลิก..!  เพื่อกลับไปเปลี่ยนหน้าตัดคาน","คลิก..!  เพื่อกลับไปเพิ่มความลึกคาน  ( t )   เป็น    "&amp;(CEILING(SQRT('wdb cal'!F33/'wdb cal'!G16/'wdb cal'!E8),5)+I11)/100&amp;"   m")</f>
        <v>คลิก..!  เพื่อกลับไปเพิ่มความลึกคาน  ( t )   เป็น    0.575   m</v>
      </c>
      <c r="D48" s="588"/>
      <c r="E48" s="588"/>
      <c r="F48" s="588"/>
      <c r="G48" s="588"/>
      <c r="H48" s="588"/>
      <c r="I48" s="588"/>
      <c r="J48" s="589"/>
    </row>
    <row r="49" ht="22.5" thickTop="1"/>
  </sheetData>
  <sheetProtection/>
  <mergeCells count="17">
    <mergeCell ref="C48:J48"/>
    <mergeCell ref="H31:I31"/>
    <mergeCell ref="H32:I32"/>
    <mergeCell ref="K32:L32"/>
    <mergeCell ref="C42:J42"/>
    <mergeCell ref="C43:J43"/>
    <mergeCell ref="C44:J44"/>
    <mergeCell ref="C46:J46"/>
    <mergeCell ref="E24:F24"/>
    <mergeCell ref="H2:I2"/>
    <mergeCell ref="H3:I3"/>
    <mergeCell ref="D7:E7"/>
    <mergeCell ref="G7:J7"/>
    <mergeCell ref="B4:J4"/>
    <mergeCell ref="D11:F11"/>
    <mergeCell ref="E22:F22"/>
    <mergeCell ref="E23:F23"/>
  </mergeCells>
  <hyperlinks>
    <hyperlink ref="E16" location="'Design References'!M1" display="ชนิดกำแพง"/>
    <hyperlink ref="D7:E7" location="'Design References'!B1" tooltip="ดูลักษณะของคานที่ออกแบบ" display="ลักษณะคาน"/>
    <hyperlink ref="D11:F11" location="'Design References'!I1" display="ระยะหุ้มต่ำสุดของคอนกรีต"/>
    <hyperlink ref="C48:J48" location="'wdb data'!I10" display="'wdb data'!I10"/>
    <hyperlink ref="K32:L32" location="'wdb cal'!E4" tooltip="ดูผลการคำนวณ Working Design Beam" display="ดูผลคำนวณ"/>
    <hyperlink ref="G33" location="'wdb cal'!D48" display="SIZE :"/>
    <hyperlink ref="G37" location="'wdb cal'!D48" display="SIZE :"/>
  </hyperlinks>
  <printOptions/>
  <pageMargins left="0.75" right="0.75" top="1" bottom="1" header="0.5" footer="0.5"/>
  <pageSetup orientation="portrait" paperSize="9" r:id="rId4"/>
  <legacyDrawing r:id="rId3"/>
  <oleObjects>
    <oleObject progId="Equation.3" shapeId="37433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B1:I68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5.28125" style="50" customWidth="1"/>
    <col min="2" max="2" width="2.8515625" style="50" customWidth="1"/>
    <col min="3" max="6" width="13.7109375" style="50" customWidth="1"/>
    <col min="7" max="8" width="13.7109375" style="51" customWidth="1"/>
    <col min="9" max="9" width="2.8515625" style="50" customWidth="1"/>
    <col min="10" max="16384" width="9.140625" style="50" customWidth="1"/>
  </cols>
  <sheetData>
    <row r="1" spans="2:9" ht="28.5" customHeight="1" thickTop="1">
      <c r="B1" s="388"/>
      <c r="C1" s="389" t="s">
        <v>0</v>
      </c>
      <c r="D1" s="389"/>
      <c r="E1" s="390" t="s">
        <v>546</v>
      </c>
      <c r="F1" s="389"/>
      <c r="G1" s="391" t="s">
        <v>434</v>
      </c>
      <c r="H1" s="392">
        <f ca="1">NOW()</f>
        <v>41138.58963634259</v>
      </c>
      <c r="I1" s="393"/>
    </row>
    <row r="2" spans="2:9" ht="28.5" customHeight="1" thickBot="1">
      <c r="B2" s="357"/>
      <c r="C2" s="358" t="str">
        <f>'wdb data'!B3</f>
        <v>ออกแบบคานกรีตเสริมเหล็ก RC Beam Design</v>
      </c>
      <c r="D2" s="358"/>
      <c r="E2" s="358"/>
      <c r="G2" s="394" t="s">
        <v>435</v>
      </c>
      <c r="H2" s="395" t="s">
        <v>542</v>
      </c>
      <c r="I2" s="360"/>
    </row>
    <row r="3" spans="2:9" ht="24" customHeight="1" thickTop="1">
      <c r="B3" s="388"/>
      <c r="C3" s="486" t="s">
        <v>118</v>
      </c>
      <c r="D3" s="389"/>
      <c r="E3" s="389"/>
      <c r="F3" s="389"/>
      <c r="G3" s="389"/>
      <c r="H3" s="389"/>
      <c r="I3" s="393"/>
    </row>
    <row r="4" spans="2:9" ht="21.75">
      <c r="B4" s="298"/>
      <c r="C4" s="58"/>
      <c r="D4" s="67"/>
      <c r="E4" s="606" t="str">
        <f>'wdb data'!G7</f>
        <v>คานช่วงเดียวธรรมดา</v>
      </c>
      <c r="F4" s="606"/>
      <c r="G4" s="68"/>
      <c r="H4" s="50"/>
      <c r="I4" s="299"/>
    </row>
    <row r="5" spans="2:9" ht="21.75">
      <c r="B5" s="298"/>
      <c r="D5" s="62" t="s">
        <v>112</v>
      </c>
      <c r="E5" s="604" t="s">
        <v>113</v>
      </c>
      <c r="F5" s="605"/>
      <c r="G5" s="63" t="s">
        <v>114</v>
      </c>
      <c r="I5" s="299"/>
    </row>
    <row r="6" spans="2:9" ht="21.75">
      <c r="B6" s="298"/>
      <c r="D6" s="64" t="s">
        <v>3</v>
      </c>
      <c r="E6" s="64" t="s">
        <v>28</v>
      </c>
      <c r="F6" s="64" t="s">
        <v>4</v>
      </c>
      <c r="G6" s="64" t="s">
        <v>38</v>
      </c>
      <c r="I6" s="299"/>
    </row>
    <row r="7" spans="2:9" ht="21.75">
      <c r="B7" s="298"/>
      <c r="D7" s="65" t="s">
        <v>115</v>
      </c>
      <c r="E7" s="65" t="s">
        <v>115</v>
      </c>
      <c r="F7" s="65" t="s">
        <v>115</v>
      </c>
      <c r="G7" s="65" t="s">
        <v>115</v>
      </c>
      <c r="I7" s="299"/>
    </row>
    <row r="8" spans="2:9" ht="24" customHeight="1">
      <c r="B8" s="298"/>
      <c r="D8" s="57">
        <f>'wdb data'!I8</f>
        <v>4</v>
      </c>
      <c r="E8" s="57">
        <f>'wdb data'!I9</f>
        <v>0.2</v>
      </c>
      <c r="F8" s="57">
        <f>'wdb data'!I10</f>
        <v>0.4</v>
      </c>
      <c r="G8" s="57">
        <f>F8-F9-('wdb data'!I33/1000/2)</f>
        <v>0.367</v>
      </c>
      <c r="H8" s="50"/>
      <c r="I8" s="299"/>
    </row>
    <row r="9" spans="2:9" ht="21.75">
      <c r="B9" s="298"/>
      <c r="D9" s="610" t="s">
        <v>522</v>
      </c>
      <c r="E9" s="611"/>
      <c r="F9" s="241">
        <f>'wdb data'!I11/100</f>
        <v>0.025</v>
      </c>
      <c r="G9" s="242" t="s">
        <v>18</v>
      </c>
      <c r="H9" s="50"/>
      <c r="I9" s="299"/>
    </row>
    <row r="10" spans="2:9" ht="10.5" customHeight="1" thickBot="1">
      <c r="B10" s="357"/>
      <c r="C10" s="358"/>
      <c r="D10" s="359"/>
      <c r="E10" s="359"/>
      <c r="F10" s="359"/>
      <c r="G10" s="359"/>
      <c r="H10" s="358"/>
      <c r="I10" s="360"/>
    </row>
    <row r="11" spans="2:9" s="58" customFormat="1" ht="24" customHeight="1" thickTop="1">
      <c r="B11" s="384"/>
      <c r="C11" s="487" t="s">
        <v>6</v>
      </c>
      <c r="D11" s="385"/>
      <c r="E11" s="385"/>
      <c r="F11" s="386"/>
      <c r="G11" s="386"/>
      <c r="H11" s="386"/>
      <c r="I11" s="387"/>
    </row>
    <row r="12" spans="2:9" ht="21.75">
      <c r="B12" s="298"/>
      <c r="C12" s="50" t="s">
        <v>116</v>
      </c>
      <c r="E12" s="331"/>
      <c r="F12" s="331" t="s">
        <v>455</v>
      </c>
      <c r="G12" s="397">
        <f>ROUNDDOWN(0.375*'wdb data'!I28,0)</f>
        <v>54</v>
      </c>
      <c r="H12" s="52" t="s">
        <v>453</v>
      </c>
      <c r="I12" s="299"/>
    </row>
    <row r="13" spans="2:9" ht="21.75">
      <c r="B13" s="298"/>
      <c r="C13" s="50" t="s">
        <v>117</v>
      </c>
      <c r="D13" s="52" t="s">
        <v>427</v>
      </c>
      <c r="E13" s="52" t="str">
        <f>IF('wdb data'!H32="SR24","RB - SR24",IF('wdb data'!H32="SD30","DB - SD30",IF('wdb data'!H32="SD40","DB - SD40","DB - SD50")))</f>
        <v>DB - SD30</v>
      </c>
      <c r="F13" s="331" t="s">
        <v>456</v>
      </c>
      <c r="G13" s="397">
        <f>IF('wdb data'!H32="SR24",1200,IF('wdb data'!H32="SD30",1400,1500))</f>
        <v>1400</v>
      </c>
      <c r="H13" s="52" t="s">
        <v>453</v>
      </c>
      <c r="I13" s="299"/>
    </row>
    <row r="14" spans="2:9" ht="9" customHeight="1">
      <c r="B14" s="298"/>
      <c r="G14" s="50"/>
      <c r="H14" s="52"/>
      <c r="I14" s="299"/>
    </row>
    <row r="15" spans="2:9" ht="24.75">
      <c r="B15" s="298"/>
      <c r="C15" s="260"/>
      <c r="D15" s="54" t="s">
        <v>35</v>
      </c>
      <c r="E15" s="54" t="s">
        <v>36</v>
      </c>
      <c r="F15" s="54" t="s">
        <v>37</v>
      </c>
      <c r="G15" s="54" t="s">
        <v>426</v>
      </c>
      <c r="I15" s="299"/>
    </row>
    <row r="16" spans="2:9" ht="23.25" customHeight="1">
      <c r="B16" s="298"/>
      <c r="C16" s="260"/>
      <c r="D16" s="54">
        <f>ROUNDDOWN(134/SQRT('wdb data'!I28),0)</f>
        <v>11</v>
      </c>
      <c r="E16" s="351">
        <f>ROUND(1/(1+(G13/D16/G12)),3)</f>
        <v>0.298</v>
      </c>
      <c r="F16" s="351">
        <f>ROUND(1-(E16/3),3)</f>
        <v>0.901</v>
      </c>
      <c r="G16" s="57">
        <f>ROUND(0.5*G12*E16*F16,2)</f>
        <v>7.25</v>
      </c>
      <c r="I16" s="299"/>
    </row>
    <row r="17" spans="2:9" ht="10.5" customHeight="1" thickBot="1">
      <c r="B17" s="357"/>
      <c r="C17" s="358"/>
      <c r="D17" s="358"/>
      <c r="E17" s="358"/>
      <c r="F17" s="358"/>
      <c r="G17" s="361"/>
      <c r="H17" s="358"/>
      <c r="I17" s="360"/>
    </row>
    <row r="18" spans="2:9" s="58" customFormat="1" ht="24.75" thickTop="1">
      <c r="B18" s="384"/>
      <c r="C18" s="486" t="s">
        <v>514</v>
      </c>
      <c r="D18" s="385"/>
      <c r="E18" s="385"/>
      <c r="F18" s="385"/>
      <c r="G18" s="386"/>
      <c r="H18" s="385"/>
      <c r="I18" s="387"/>
    </row>
    <row r="19" spans="2:9" ht="21.75">
      <c r="B19" s="298"/>
      <c r="D19" s="52" t="s">
        <v>121</v>
      </c>
      <c r="H19" s="50"/>
      <c r="I19" s="299"/>
    </row>
    <row r="20" spans="2:9" ht="21.75">
      <c r="B20" s="298"/>
      <c r="D20" s="50" t="s">
        <v>120</v>
      </c>
      <c r="E20" s="51" t="s">
        <v>252</v>
      </c>
      <c r="F20" s="240">
        <f>ROUNDDOWN(G16*E8*(G8*100)^2,2)</f>
        <v>1952.99</v>
      </c>
      <c r="G20" s="52" t="s">
        <v>122</v>
      </c>
      <c r="I20" s="299"/>
    </row>
    <row r="21" spans="2:9" ht="7.5" customHeight="1" thickBot="1">
      <c r="B21" s="357"/>
      <c r="C21" s="358"/>
      <c r="D21" s="358"/>
      <c r="E21" s="358"/>
      <c r="F21" s="358"/>
      <c r="G21" s="361"/>
      <c r="H21" s="361"/>
      <c r="I21" s="360"/>
    </row>
    <row r="22" spans="2:9" s="58" customFormat="1" ht="24" customHeight="1" thickTop="1">
      <c r="B22" s="384"/>
      <c r="C22" s="486" t="s">
        <v>128</v>
      </c>
      <c r="D22" s="385"/>
      <c r="E22" s="385"/>
      <c r="F22" s="385"/>
      <c r="G22" s="386"/>
      <c r="H22" s="386"/>
      <c r="I22" s="387"/>
    </row>
    <row r="23" spans="2:9" ht="21.75">
      <c r="B23" s="298"/>
      <c r="D23" s="55" t="s">
        <v>39</v>
      </c>
      <c r="E23" s="288" t="s">
        <v>126</v>
      </c>
      <c r="F23" s="55" t="s">
        <v>127</v>
      </c>
      <c r="G23" s="55" t="s">
        <v>40</v>
      </c>
      <c r="I23" s="299"/>
    </row>
    <row r="24" spans="2:9" ht="21.75">
      <c r="B24" s="298"/>
      <c r="D24" s="60" t="s">
        <v>123</v>
      </c>
      <c r="E24" s="60" t="s">
        <v>123</v>
      </c>
      <c r="F24" s="60" t="s">
        <v>123</v>
      </c>
      <c r="G24" s="60" t="s">
        <v>123</v>
      </c>
      <c r="I24" s="299"/>
    </row>
    <row r="25" spans="2:9" ht="23.25" customHeight="1">
      <c r="B25" s="298"/>
      <c r="D25" s="66">
        <f>ROUNDUP(2400*E8*F8,2)</f>
        <v>192</v>
      </c>
      <c r="E25" s="66">
        <f>'wdb SL'!F20</f>
        <v>1306.68</v>
      </c>
      <c r="F25" s="66">
        <f>ROUNDUP('wdb data'!I18*'wdb data'!I17,2)</f>
        <v>396</v>
      </c>
      <c r="G25" s="66">
        <f>SUM(D25:F25)</f>
        <v>1894.68</v>
      </c>
      <c r="I25" s="299"/>
    </row>
    <row r="26" spans="2:9" ht="10.5" customHeight="1" thickBot="1">
      <c r="B26" s="357"/>
      <c r="C26" s="358"/>
      <c r="D26" s="358"/>
      <c r="E26" s="358"/>
      <c r="F26" s="358"/>
      <c r="G26" s="361"/>
      <c r="H26" s="361"/>
      <c r="I26" s="360"/>
    </row>
    <row r="27" spans="2:9" s="58" customFormat="1" ht="24" customHeight="1" thickTop="1">
      <c r="B27" s="384"/>
      <c r="C27" s="486" t="s">
        <v>451</v>
      </c>
      <c r="D27" s="385"/>
      <c r="E27" s="385"/>
      <c r="F27" s="385"/>
      <c r="G27" s="386"/>
      <c r="H27" s="386"/>
      <c r="I27" s="387"/>
    </row>
    <row r="28" spans="2:9" s="58" customFormat="1" ht="21">
      <c r="B28" s="300"/>
      <c r="D28" s="607" t="str">
        <f>E4</f>
        <v>คานช่วงเดียวธรรมดา</v>
      </c>
      <c r="E28" s="608"/>
      <c r="F28" s="608"/>
      <c r="G28" s="609"/>
      <c r="H28" s="261"/>
      <c r="I28" s="301"/>
    </row>
    <row r="29" spans="2:9" ht="21.75">
      <c r="B29" s="298"/>
      <c r="D29" s="55" t="s">
        <v>430</v>
      </c>
      <c r="E29" s="55" t="s">
        <v>431</v>
      </c>
      <c r="F29" s="55" t="s">
        <v>432</v>
      </c>
      <c r="G29" s="55" t="s">
        <v>433</v>
      </c>
      <c r="I29" s="299"/>
    </row>
    <row r="30" spans="2:9" ht="21.75">
      <c r="B30" s="298"/>
      <c r="D30" s="56" t="str">
        <f>VLOOKUP('wdb data'!F7,'Design References'!Q6:Z9,7)</f>
        <v>1/2 wL</v>
      </c>
      <c r="E30" s="56" t="str">
        <f>VLOOKUP('wdb data'!F7,'Design References'!Q6:Z9,9)</f>
        <v>1/2 wL</v>
      </c>
      <c r="F30" s="56" t="str">
        <f>VLOOKUP('wdb data'!F7,'Design References'!Q6:Z9,3)</f>
        <v>1/8 w(L^2)</v>
      </c>
      <c r="G30" s="56" t="str">
        <f>VLOOKUP('wdb data'!F7,'Design References'!Q6:Z9,5)</f>
        <v> - </v>
      </c>
      <c r="I30" s="299"/>
    </row>
    <row r="31" spans="2:9" ht="21.75">
      <c r="B31" s="298"/>
      <c r="D31" s="60" t="s">
        <v>145</v>
      </c>
      <c r="E31" s="60" t="s">
        <v>145</v>
      </c>
      <c r="F31" s="60" t="s">
        <v>146</v>
      </c>
      <c r="G31" s="60" t="s">
        <v>146</v>
      </c>
      <c r="I31" s="299"/>
    </row>
    <row r="32" spans="2:9" ht="23.25" customHeight="1">
      <c r="B32" s="298"/>
      <c r="D32" s="69">
        <f>VLOOKUP('wdb data'!F7,'Design References'!Q6:Z9,8)</f>
        <v>3789.36</v>
      </c>
      <c r="E32" s="69">
        <f>VLOOKUP('wdb data'!F7,'Design References'!Q6:Z9,10)</f>
        <v>3789.36</v>
      </c>
      <c r="F32" s="69">
        <f>VLOOKUP('wdb data'!F7,'Design References'!Q6:Z9,4)</f>
        <v>3789.36</v>
      </c>
      <c r="G32" s="69">
        <f>VLOOKUP('wdb data'!F7,'Design References'!Q6:Z9,6)</f>
        <v>0</v>
      </c>
      <c r="I32" s="299"/>
    </row>
    <row r="33" spans="2:9" ht="21.75">
      <c r="B33" s="298"/>
      <c r="D33" s="612" t="s">
        <v>428</v>
      </c>
      <c r="E33" s="613"/>
      <c r="F33" s="354">
        <f>MAX(F32:G32)</f>
        <v>3789.36</v>
      </c>
      <c r="G33" s="59" t="s">
        <v>119</v>
      </c>
      <c r="I33" s="299"/>
    </row>
    <row r="34" spans="2:9" ht="21.75">
      <c r="B34" s="298"/>
      <c r="D34" s="614" t="s">
        <v>429</v>
      </c>
      <c r="E34" s="615"/>
      <c r="F34" s="355">
        <f>F20</f>
        <v>1952.99</v>
      </c>
      <c r="G34" s="243" t="s">
        <v>119</v>
      </c>
      <c r="I34" s="299"/>
    </row>
    <row r="35" spans="2:9" ht="21.75">
      <c r="B35" s="298"/>
      <c r="D35" s="600" t="s">
        <v>440</v>
      </c>
      <c r="E35" s="601"/>
      <c r="F35" s="356">
        <f>IF(F33&lt;=F34,0,F33-F34)</f>
        <v>1836.3700000000001</v>
      </c>
      <c r="G35" s="244" t="s">
        <v>119</v>
      </c>
      <c r="I35" s="299"/>
    </row>
    <row r="36" spans="2:9" ht="10.5" customHeight="1" thickBot="1">
      <c r="B36" s="357"/>
      <c r="C36" s="358"/>
      <c r="D36" s="358"/>
      <c r="E36" s="358"/>
      <c r="F36" s="358"/>
      <c r="G36" s="361"/>
      <c r="H36" s="358"/>
      <c r="I36" s="398"/>
    </row>
    <row r="37" spans="2:9" s="58" customFormat="1" ht="28.5" customHeight="1" thickTop="1">
      <c r="B37" s="384"/>
      <c r="C37" s="486" t="s">
        <v>450</v>
      </c>
      <c r="D37" s="385"/>
      <c r="E37" s="385"/>
      <c r="F37" s="385"/>
      <c r="G37" s="386"/>
      <c r="H37" s="386"/>
      <c r="I37" s="387"/>
    </row>
    <row r="38" spans="2:9" ht="21.75">
      <c r="B38" s="298"/>
      <c r="D38" s="616" t="str">
        <f>IF(F33&lt;=F34,"คานรับแรงดึง (Singly RC Beam)","คานรับแรงดึงและแรงอัด (Double RC Beam)")</f>
        <v>คานรับแรงดึงและแรงอัด (Double RC Beam)</v>
      </c>
      <c r="E38" s="606"/>
      <c r="F38" s="606"/>
      <c r="G38" s="617"/>
      <c r="I38" s="299"/>
    </row>
    <row r="39" spans="2:9" ht="21.75">
      <c r="B39" s="298"/>
      <c r="C39" s="497" t="s">
        <v>513</v>
      </c>
      <c r="D39" s="497"/>
      <c r="E39" s="497"/>
      <c r="F39" s="497"/>
      <c r="G39" s="497"/>
      <c r="H39" s="497"/>
      <c r="I39" s="299"/>
    </row>
    <row r="40" spans="2:9" ht="21.75">
      <c r="B40" s="298"/>
      <c r="C40" s="622" t="s">
        <v>458</v>
      </c>
      <c r="D40" s="622"/>
      <c r="E40" s="622" t="s">
        <v>459</v>
      </c>
      <c r="F40" s="622"/>
      <c r="G40" s="618" t="s">
        <v>462</v>
      </c>
      <c r="H40" s="619"/>
      <c r="I40" s="299"/>
    </row>
    <row r="41" spans="2:9" ht="24.75">
      <c r="B41" s="298"/>
      <c r="C41" s="402">
        <f>ROUNDUP(F34/(G13*F16*G8),2)</f>
        <v>4.22</v>
      </c>
      <c r="D41" s="403" t="s">
        <v>253</v>
      </c>
      <c r="E41" s="402">
        <f>ROUNDUP(F35/(G13*F16*(G8-F9)),2)</f>
        <v>4.26</v>
      </c>
      <c r="F41" s="403" t="s">
        <v>253</v>
      </c>
      <c r="G41" s="402">
        <f>C41+E41</f>
        <v>8.48</v>
      </c>
      <c r="H41" s="403" t="s">
        <v>253</v>
      </c>
      <c r="I41" s="299"/>
    </row>
    <row r="42" spans="2:9" ht="21.75">
      <c r="B42" s="298"/>
      <c r="D42" s="618" t="s">
        <v>461</v>
      </c>
      <c r="E42" s="619"/>
      <c r="F42" s="618" t="s">
        <v>460</v>
      </c>
      <c r="G42" s="619"/>
      <c r="I42" s="299"/>
    </row>
    <row r="43" spans="2:9" ht="24.75">
      <c r="B43" s="298"/>
      <c r="D43" s="404">
        <f>ROUND(G41/3,2)</f>
        <v>2.83</v>
      </c>
      <c r="E43" s="405" t="s">
        <v>253</v>
      </c>
      <c r="F43" s="404">
        <f>G41-D43</f>
        <v>5.65</v>
      </c>
      <c r="G43" s="405" t="s">
        <v>253</v>
      </c>
      <c r="I43" s="299"/>
    </row>
    <row r="44" spans="2:9" ht="21.75">
      <c r="B44" s="298"/>
      <c r="C44" s="58" t="s">
        <v>407</v>
      </c>
      <c r="D44" s="58"/>
      <c r="E44" s="58"/>
      <c r="F44" s="58"/>
      <c r="G44" s="58"/>
      <c r="H44" s="521">
        <f>IF(F33&lt;=F34,"2",IF(ROUNDUP(F46/ROUNDDOWN(PI()*('wdb data'!H33/10)^2/4,2),0)=1,"2",ROUNDUP(F46/ROUNDDOWN(PI()*('wdb data'!H33/10)^2/4,2),0)))</f>
        <v>4</v>
      </c>
      <c r="I44" s="416"/>
    </row>
    <row r="45" spans="2:9" ht="21.75">
      <c r="B45" s="298"/>
      <c r="D45" s="61" t="s">
        <v>463</v>
      </c>
      <c r="E45" s="245"/>
      <c r="F45" s="407">
        <f>IF(F33&lt;=F34,0,ROUNDDOWN(((E16-(F9/G8))/(1-E16))*2*G13,2))</f>
        <v>916.9</v>
      </c>
      <c r="G45" s="59" t="s">
        <v>453</v>
      </c>
      <c r="H45" s="521">
        <f>ROUNDUP(D43/ROUNDDOWN(PI()*('wdb data'!I33/10)^2/4,2),0)</f>
        <v>2</v>
      </c>
      <c r="I45" s="299"/>
    </row>
    <row r="46" spans="2:9" ht="24.75">
      <c r="B46" s="298"/>
      <c r="D46" s="623" t="s">
        <v>464</v>
      </c>
      <c r="E46" s="624"/>
      <c r="F46" s="408">
        <f>IF(F33&lt;=F34,0,ROUNDUP(F35/(F45*F16*(G8-F9)),2))</f>
        <v>6.5</v>
      </c>
      <c r="G46" s="409" t="s">
        <v>253</v>
      </c>
      <c r="H46" s="521">
        <f>ROUNDUP(F43/ROUNDDOWN(PI()*('wdb data'!I33/10)^2/4,2),0)</f>
        <v>3</v>
      </c>
      <c r="I46" s="299"/>
    </row>
    <row r="47" spans="2:9" ht="6.75" customHeight="1">
      <c r="B47" s="298"/>
      <c r="G47" s="50"/>
      <c r="H47" s="50"/>
      <c r="I47" s="299"/>
    </row>
    <row r="48" spans="2:9" ht="21.75">
      <c r="B48" s="298"/>
      <c r="C48" s="620" t="s">
        <v>412</v>
      </c>
      <c r="D48" s="621"/>
      <c r="E48" s="618" t="s">
        <v>443</v>
      </c>
      <c r="F48" s="619"/>
      <c r="G48" s="620" t="s">
        <v>413</v>
      </c>
      <c r="H48" s="621"/>
      <c r="I48" s="299"/>
    </row>
    <row r="49" spans="2:9" ht="21.75">
      <c r="B49" s="298"/>
      <c r="C49" s="602" t="str">
        <f>IF(F33&lt;=F34,"2"&amp;" - "&amp;'wdb data'!H31&amp;'wdb data'!H33,IF(ROUNDUP(F46/ROUNDDOWN(PI()*('wdb data'!H33/10)^2/4,2),0)=1,"2"&amp;" - "&amp;'wdb data'!H31&amp;'wdb data'!H33,ROUNDUP(F46/ROUNDDOWN(PI()*('wdb data'!H33/10)^2/4,2),0)&amp;" - "&amp;'wdb data'!H31&amp;'wdb data'!H33))</f>
        <v>4 - DB16</v>
      </c>
      <c r="D49" s="603"/>
      <c r="E49" s="602" t="str">
        <f>ROUNDUP(D43/ROUNDDOWN(PI()*('wdb data'!I33/10)^2/4,2),0)&amp;" - "&amp;'wdb data'!H31&amp;'wdb data'!I33</f>
        <v>2 - DB16</v>
      </c>
      <c r="F49" s="603"/>
      <c r="G49" s="602" t="str">
        <f>ROUNDUP(F43/ROUNDDOWN(PI()*('wdb data'!I33/10)^2/4,2),0)&amp;" - "&amp;'wdb data'!H31&amp;'wdb data'!I33</f>
        <v>3 - DB16</v>
      </c>
      <c r="H49" s="603"/>
      <c r="I49" s="299"/>
    </row>
    <row r="50" spans="2:9" ht="24.75">
      <c r="B50" s="298"/>
      <c r="C50" s="410" t="str">
        <f>IF(F33&lt;=F34,"Asc  =  "&amp;ROUNDDOWN(PI()*('wdb data'!H33/10)^2/4,2)*2,IF(ROUNDUP(F46/ROUNDDOWN(PI()*('wdb data'!H33/10)^2/4,2),0)=1,"Asc  =  "&amp;ROUNDDOWN(PI()*('wdb data'!H33/10)^2/4,2)*2,"Asc  =  "&amp;ROUNDDOWN(PI()*('wdb data'!H33/10)^2/4,2)*ROUNDUP(F46/ROUNDDOWN(PI()*('wdb data'!H33/10)^2/4,2),0)))</f>
        <v>Asc  =  8.04</v>
      </c>
      <c r="D50" s="405" t="s">
        <v>257</v>
      </c>
      <c r="E50" s="375" t="str">
        <f>"Ast  =  "&amp;ROUNDDOWN(PI()*('wdb data'!I33/10)^2/4,2)*ROUNDUP(D43/ROUNDDOWN(PI()*('wdb data'!I33/10)^2/4,2),0)</f>
        <v>Ast  =  4.02</v>
      </c>
      <c r="F50" s="405" t="s">
        <v>257</v>
      </c>
      <c r="G50" s="411" t="str">
        <f>"Ast  =  "&amp;ROUNDDOWN(PI()*('wdb data'!I33/10)^2/4,2)*ROUNDUP(F43/ROUNDDOWN(PI()*('wdb data'!I33/10)^2/4,2),0)</f>
        <v>Ast  =  6.03</v>
      </c>
      <c r="H50" s="405" t="s">
        <v>257</v>
      </c>
      <c r="I50" s="299"/>
    </row>
    <row r="51" spans="2:9" s="400" customFormat="1" ht="11.25" customHeight="1" thickBot="1">
      <c r="B51" s="399"/>
      <c r="C51" s="417"/>
      <c r="D51" s="406"/>
      <c r="E51" s="418"/>
      <c r="F51" s="406"/>
      <c r="G51" s="419"/>
      <c r="H51" s="406"/>
      <c r="I51" s="488"/>
    </row>
    <row r="52" spans="2:9" ht="29.25" customHeight="1" thickTop="1">
      <c r="B52" s="384"/>
      <c r="C52" s="486" t="s">
        <v>446</v>
      </c>
      <c r="D52" s="385"/>
      <c r="E52" s="385"/>
      <c r="F52" s="385"/>
      <c r="G52" s="386"/>
      <c r="H52" s="386"/>
      <c r="I52" s="393"/>
    </row>
    <row r="53" spans="2:9" ht="21.75">
      <c r="B53" s="298"/>
      <c r="C53" s="625" t="s">
        <v>452</v>
      </c>
      <c r="D53" s="626"/>
      <c r="E53" s="626"/>
      <c r="F53" s="627"/>
      <c r="G53" s="625" t="s">
        <v>457</v>
      </c>
      <c r="H53" s="627"/>
      <c r="I53" s="299"/>
    </row>
    <row r="54" spans="2:9" ht="28.5" customHeight="1">
      <c r="B54" s="298"/>
      <c r="C54" s="378"/>
      <c r="D54" s="59"/>
      <c r="E54" s="378"/>
      <c r="F54" s="59"/>
      <c r="G54" s="378"/>
      <c r="H54" s="59"/>
      <c r="I54" s="299"/>
    </row>
    <row r="55" spans="2:9" s="400" customFormat="1" ht="21.75">
      <c r="B55" s="298"/>
      <c r="C55" s="402">
        <f>0.29*SQRT('wdb data'!I28)</f>
        <v>3.4920624278497656</v>
      </c>
      <c r="D55" s="403" t="s">
        <v>453</v>
      </c>
      <c r="E55" s="402">
        <f>ROUNDDOWN(1.32*SQRT('wdb data'!I28),2)</f>
        <v>15.89</v>
      </c>
      <c r="F55" s="403" t="s">
        <v>453</v>
      </c>
      <c r="G55" s="481">
        <f>ROUNDUP(C57/(E8*100)/(G8*100),2)</f>
        <v>5.17</v>
      </c>
      <c r="H55" s="520" t="str">
        <f>IF(G55&lt;=E55,"&lt;  "&amp;E55&amp;"   O.K.","ออกแบบหน้าตัดใหม่")</f>
        <v>&lt;  15.89   O.K.</v>
      </c>
      <c r="I55" s="401"/>
    </row>
    <row r="56" spans="2:9" ht="21.75">
      <c r="B56" s="298"/>
      <c r="C56" s="628" t="s">
        <v>447</v>
      </c>
      <c r="D56" s="629"/>
      <c r="E56" s="618" t="s">
        <v>449</v>
      </c>
      <c r="F56" s="619"/>
      <c r="G56" s="618" t="s">
        <v>448</v>
      </c>
      <c r="H56" s="619"/>
      <c r="I56" s="299"/>
    </row>
    <row r="57" spans="2:9" ht="21.75">
      <c r="B57" s="298"/>
      <c r="C57" s="482">
        <f>MAX(D32:E32)</f>
        <v>3789.36</v>
      </c>
      <c r="D57" s="483" t="s">
        <v>444</v>
      </c>
      <c r="E57" s="484">
        <f>ROUNDDOWN(C55*(E8*100)*(G8*100),2)</f>
        <v>2563.17</v>
      </c>
      <c r="F57" s="483" t="s">
        <v>444</v>
      </c>
      <c r="G57" s="484">
        <f>C57-E57</f>
        <v>1226.19</v>
      </c>
      <c r="H57" s="485" t="s">
        <v>444</v>
      </c>
      <c r="I57" s="299"/>
    </row>
    <row r="58" spans="2:9" ht="26.25" customHeight="1">
      <c r="B58" s="298"/>
      <c r="C58" s="414" t="s">
        <v>465</v>
      </c>
      <c r="D58" s="382"/>
      <c r="E58" s="373"/>
      <c r="F58" s="382"/>
      <c r="G58" s="373"/>
      <c r="H58" s="413"/>
      <c r="I58" s="299"/>
    </row>
    <row r="59" spans="2:9" ht="29.25" customHeight="1">
      <c r="B59" s="298"/>
      <c r="C59" s="377" t="s">
        <v>466</v>
      </c>
      <c r="D59" s="52"/>
      <c r="G59" s="240">
        <f>ROUNDDOWN((2*PI()*('wdb data'!H37/10)^2/4*1200*G8)/G57,2)</f>
        <v>0.2</v>
      </c>
      <c r="H59" s="52" t="s">
        <v>18</v>
      </c>
      <c r="I59" s="299"/>
    </row>
    <row r="60" spans="2:9" ht="21.75">
      <c r="B60" s="298"/>
      <c r="C60" s="377" t="s">
        <v>467</v>
      </c>
      <c r="F60" s="51"/>
      <c r="G60" s="240">
        <f>G8/2</f>
        <v>0.1835</v>
      </c>
      <c r="H60" s="52" t="s">
        <v>18</v>
      </c>
      <c r="I60" s="299"/>
    </row>
    <row r="61" spans="2:9" s="473" customFormat="1" ht="8.25">
      <c r="B61" s="472"/>
      <c r="C61" s="479"/>
      <c r="F61" s="441"/>
      <c r="G61" s="476"/>
      <c r="H61" s="477"/>
      <c r="I61" s="478"/>
    </row>
    <row r="62" spans="2:9" ht="21.75">
      <c r="B62" s="298"/>
      <c r="C62" s="377"/>
      <c r="D62" s="625" t="str">
        <f>"ใช้เหล็กปลอก  :  "&amp;'wdb data'!H35&amp;'wdb data'!H37&amp;" @ "&amp;'wdb data'!H38&amp;" m"</f>
        <v>ใช้เหล็กปลอก  :  RB6 @ 0.15 m</v>
      </c>
      <c r="E62" s="626"/>
      <c r="F62" s="626"/>
      <c r="G62" s="627"/>
      <c r="H62" s="52"/>
      <c r="I62" s="299"/>
    </row>
    <row r="63" spans="2:9" s="422" customFormat="1" ht="12.75">
      <c r="B63" s="420"/>
      <c r="C63" s="489"/>
      <c r="D63" s="423"/>
      <c r="E63" s="423"/>
      <c r="F63" s="423"/>
      <c r="G63" s="423"/>
      <c r="H63" s="424"/>
      <c r="I63" s="421"/>
    </row>
    <row r="64" spans="2:9" s="58" customFormat="1" ht="21.75">
      <c r="B64" s="298"/>
      <c r="C64" s="415" t="s">
        <v>468</v>
      </c>
      <c r="D64" s="382"/>
      <c r="E64" s="373"/>
      <c r="F64" s="425"/>
      <c r="G64" s="240">
        <f>0.0015*E8*'wdb data'!H38*100*100</f>
        <v>0.45000000000000007</v>
      </c>
      <c r="H64" s="52" t="s">
        <v>487</v>
      </c>
      <c r="I64" s="301"/>
    </row>
    <row r="65" spans="2:9" ht="21.75">
      <c r="B65" s="298"/>
      <c r="D65" s="331" t="s">
        <v>469</v>
      </c>
      <c r="E65" s="240">
        <f>2*PI()*('wdb data'!H37/10)^2/4</f>
        <v>0.5654866776461628</v>
      </c>
      <c r="F65" s="50" t="s">
        <v>487</v>
      </c>
      <c r="G65" s="518" t="str">
        <f>IF(E65&gt;G64,"&gt;     "&amp;G64&amp;"  sq.cm     O.K.","&lt;     "&amp;G64&amp;"  sq.cm     ลดระยะ  s")</f>
        <v>&gt;     0.45  sq.cm     O.K.</v>
      </c>
      <c r="H65" s="50"/>
      <c r="I65" s="299"/>
    </row>
    <row r="66" spans="2:9" ht="21.75">
      <c r="B66" s="298"/>
      <c r="C66" s="377" t="s">
        <v>470</v>
      </c>
      <c r="I66" s="299"/>
    </row>
    <row r="67" spans="2:9" ht="21.75">
      <c r="B67" s="298"/>
      <c r="D67" s="331" t="s">
        <v>19</v>
      </c>
      <c r="E67" s="51">
        <f>ROUND(0.795*SQRT('wdb data'!I28),2)</f>
        <v>9.57</v>
      </c>
      <c r="F67" s="50" t="s">
        <v>453</v>
      </c>
      <c r="G67" s="519" t="str">
        <f>IF(E67&gt;G55,"&gt;    "&amp;G55&amp;"    ksc    O.K.","&lt;     "&amp;G55&amp;"     ksc     ลดระยะ  s  ไม่ให้เกิน  d/4")</f>
        <v>&gt;    5.17    ksc    O.K.</v>
      </c>
      <c r="I67" s="299"/>
    </row>
    <row r="68" spans="2:9" ht="19.5" customHeight="1" thickBot="1">
      <c r="B68" s="357"/>
      <c r="C68" s="358"/>
      <c r="D68" s="358"/>
      <c r="E68" s="358"/>
      <c r="F68" s="358"/>
      <c r="G68" s="361"/>
      <c r="H68" s="361"/>
      <c r="I68" s="360"/>
    </row>
    <row r="69" ht="22.5" thickTop="1"/>
  </sheetData>
  <sheetProtection/>
  <mergeCells count="26">
    <mergeCell ref="C49:D49"/>
    <mergeCell ref="G48:H48"/>
    <mergeCell ref="E48:F48"/>
    <mergeCell ref="E49:F49"/>
    <mergeCell ref="D62:G62"/>
    <mergeCell ref="C56:D56"/>
    <mergeCell ref="E56:F56"/>
    <mergeCell ref="G56:H56"/>
    <mergeCell ref="G53:H53"/>
    <mergeCell ref="C53:F53"/>
    <mergeCell ref="F42:G42"/>
    <mergeCell ref="C48:D48"/>
    <mergeCell ref="C40:D40"/>
    <mergeCell ref="G40:H40"/>
    <mergeCell ref="E40:F40"/>
    <mergeCell ref="D46:E46"/>
    <mergeCell ref="D35:E35"/>
    <mergeCell ref="G49:H49"/>
    <mergeCell ref="E5:F5"/>
    <mergeCell ref="E4:F4"/>
    <mergeCell ref="D28:G28"/>
    <mergeCell ref="D9:E9"/>
    <mergeCell ref="D33:E33"/>
    <mergeCell ref="D34:E34"/>
    <mergeCell ref="D38:G38"/>
    <mergeCell ref="D42:E42"/>
  </mergeCells>
  <hyperlinks>
    <hyperlink ref="D28:G28" location="'Design References'!R1" display="'Design References'!R1"/>
    <hyperlink ref="E23" location="'wdb SL'!B1" tooltip="ดูผลการคำนวณน้ำหนักถ่ายจากแผ่นพื้นลงสู่คาน" display="Slab Load"/>
  </hyperlinks>
  <printOptions/>
  <pageMargins left="0.35433070866141736" right="0.35433070866141736" top="0.7874015748031497" bottom="0.8" header="0.5118110236220472" footer="0.53"/>
  <pageSetup orientation="portrait" paperSize="9" r:id="rId11"/>
  <headerFooter alignWithMargins="0">
    <oddFooter>&amp;R&amp;"CordiaUPC,ตัวเอียง"&amp;14RC Beam Design  &amp;P</oddFooter>
  </headerFooter>
  <drawing r:id="rId10"/>
  <legacyDrawing r:id="rId9"/>
  <oleObjects>
    <oleObject progId="Equation.3" shapeId="393429" r:id="rId2"/>
    <oleObject progId="Equation.3" shapeId="442500" r:id="rId3"/>
    <oleObject progId="Equation.3" shapeId="451899" r:id="rId4"/>
    <oleObject progId="Equation.3" shapeId="483299" r:id="rId5"/>
    <oleObject progId="Equation.3" shapeId="629154" r:id="rId6"/>
    <oleObject progId="Equation.3" shapeId="890095" r:id="rId7"/>
    <oleObject progId="Equation.3" shapeId="912468" r:id="rId8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B1:L22"/>
  <sheetViews>
    <sheetView zoomScalePageLayoutView="0" workbookViewId="0" topLeftCell="A1">
      <selection activeCell="C22" sqref="C22:J22"/>
    </sheetView>
  </sheetViews>
  <sheetFormatPr defaultColWidth="9.140625" defaultRowHeight="12.75"/>
  <cols>
    <col min="1" max="1" width="3.57421875" style="94" customWidth="1"/>
    <col min="2" max="2" width="8.57421875" style="324" customWidth="1"/>
    <col min="3" max="3" width="9.140625" style="94" customWidth="1"/>
    <col min="4" max="4" width="8.00390625" style="94" customWidth="1"/>
    <col min="5" max="5" width="9.140625" style="94" customWidth="1"/>
    <col min="6" max="6" width="4.8515625" style="94" customWidth="1"/>
    <col min="7" max="7" width="9.140625" style="94" customWidth="1"/>
    <col min="8" max="8" width="7.00390625" style="94" customWidth="1"/>
    <col min="9" max="9" width="10.28125" style="94" customWidth="1"/>
    <col min="10" max="10" width="5.421875" style="94" customWidth="1"/>
    <col min="11" max="11" width="12.8515625" style="94" customWidth="1"/>
    <col min="12" max="16384" width="9.140625" style="94" customWidth="1"/>
  </cols>
  <sheetData>
    <row r="1" spans="2:12" s="353" customFormat="1" ht="24">
      <c r="B1" s="634" t="s">
        <v>414</v>
      </c>
      <c r="C1" s="635"/>
      <c r="D1" s="635"/>
      <c r="E1" s="635"/>
      <c r="F1" s="635"/>
      <c r="G1" s="635"/>
      <c r="H1" s="635"/>
      <c r="I1" s="635"/>
      <c r="J1" s="635"/>
      <c r="K1" s="636"/>
      <c r="L1" s="352"/>
    </row>
    <row r="2" spans="2:11" ht="21.75">
      <c r="B2" s="334"/>
      <c r="C2" s="50"/>
      <c r="D2" s="341">
        <f>'wdb data'!H23</f>
        <v>4.5</v>
      </c>
      <c r="E2" s="50"/>
      <c r="F2" s="50"/>
      <c r="G2" s="50"/>
      <c r="H2" s="341">
        <f>IF('wdb data'!I8='wdb data'!G23,IF('wdb data'!I20=2,'wdb data'!H24,0),0)</f>
        <v>4</v>
      </c>
      <c r="I2" s="50"/>
      <c r="J2" s="50"/>
      <c r="K2" s="335"/>
    </row>
    <row r="3" spans="2:11" ht="21.75">
      <c r="B3" s="336"/>
      <c r="C3" s="303"/>
      <c r="D3" s="304"/>
      <c r="E3" s="305"/>
      <c r="F3" s="655" t="str">
        <f>IF('wdb data'!I8='wdb data'!G23,"คานที่ออกแบบ","")</f>
        <v>คานที่ออกแบบ</v>
      </c>
      <c r="G3" s="311"/>
      <c r="H3" s="312"/>
      <c r="I3" s="313"/>
      <c r="J3" s="50"/>
      <c r="K3" s="335"/>
    </row>
    <row r="4" spans="2:11" ht="21.75">
      <c r="B4" s="642">
        <f>'wdb data'!G23</f>
        <v>4</v>
      </c>
      <c r="C4" s="306"/>
      <c r="D4" s="651" t="str">
        <f>'wdb data'!E23</f>
        <v>พื้น 1</v>
      </c>
      <c r="E4" s="307"/>
      <c r="F4" s="656"/>
      <c r="G4" s="314"/>
      <c r="H4" s="653" t="str">
        <f>IF('wdb data'!I8='wdb data'!G23,IF('wdb data'!I20=2,'wdb data'!E24,""),"")</f>
        <v>พื้น 2</v>
      </c>
      <c r="I4" s="315"/>
      <c r="J4" s="647">
        <f>IF('wdb data'!I8='wdb data'!G23,IF('wdb data'!I20=2,'wdb data'!G24,0),0)</f>
        <v>4</v>
      </c>
      <c r="K4" s="335"/>
    </row>
    <row r="5" spans="2:11" ht="21.75">
      <c r="B5" s="642"/>
      <c r="C5" s="306"/>
      <c r="D5" s="651"/>
      <c r="E5" s="307"/>
      <c r="F5" s="656"/>
      <c r="G5" s="314"/>
      <c r="H5" s="653"/>
      <c r="I5" s="315"/>
      <c r="J5" s="647"/>
      <c r="K5" s="335"/>
    </row>
    <row r="6" spans="2:11" ht="21.75">
      <c r="B6" s="336"/>
      <c r="C6" s="316" t="s">
        <v>415</v>
      </c>
      <c r="D6" s="344">
        <f>'wdb data'!I23</f>
        <v>0.1</v>
      </c>
      <c r="E6" s="325" t="s">
        <v>18</v>
      </c>
      <c r="F6" s="657"/>
      <c r="G6" s="317" t="str">
        <f>IF('wdb data'!I8='wdb data'!G23,IF('wdb data'!I20=2,"t     =",""),"")</f>
        <v>t     =</v>
      </c>
      <c r="H6" s="345">
        <f>IF('wdb data'!I8='wdb data'!G23,IF('wdb data'!I20=2,'wdb data'!I24,0),0)</f>
        <v>0.1</v>
      </c>
      <c r="I6" s="326" t="str">
        <f>IF('wdb data'!I8='wdb data'!G23,IF('wdb data'!I20=2,"m",""),"")</f>
        <v>m</v>
      </c>
      <c r="J6" s="50"/>
      <c r="K6" s="335"/>
    </row>
    <row r="7" spans="2:11" ht="22.5" customHeight="1">
      <c r="B7" s="336"/>
      <c r="C7" s="648">
        <f>IF('wdb data'!I8='wdb data'!H23,"คานที่ออกแบบ","")</f>
      </c>
      <c r="D7" s="649"/>
      <c r="E7" s="650"/>
      <c r="F7" s="50"/>
      <c r="G7" s="50"/>
      <c r="H7" s="50"/>
      <c r="I7" s="50"/>
      <c r="J7" s="50"/>
      <c r="K7" s="335"/>
    </row>
    <row r="8" spans="2:11" ht="21.75">
      <c r="B8" s="336"/>
      <c r="C8" s="318"/>
      <c r="D8" s="319"/>
      <c r="E8" s="320"/>
      <c r="F8" s="50"/>
      <c r="G8" s="50"/>
      <c r="H8" s="50"/>
      <c r="I8" s="50"/>
      <c r="J8" s="50"/>
      <c r="K8" s="335"/>
    </row>
    <row r="9" spans="2:11" ht="21.75">
      <c r="B9" s="642">
        <f>IF('wdb data'!I8='wdb data'!H23,IF('wdb data'!I20=2,'wdb data'!G24,0),0)</f>
        <v>0</v>
      </c>
      <c r="C9" s="321"/>
      <c r="D9" s="652">
        <f>IF('wdb data'!I8='wdb data'!H23,IF('wdb data'!I20=2,'wdb data'!E24,""),"")</f>
      </c>
      <c r="E9" s="322"/>
      <c r="F9" s="526" t="s">
        <v>418</v>
      </c>
      <c r="G9" s="50"/>
      <c r="H9" s="50"/>
      <c r="I9" s="52" t="s">
        <v>424</v>
      </c>
      <c r="J9" s="50"/>
      <c r="K9" s="335"/>
    </row>
    <row r="10" spans="2:11" ht="24.75">
      <c r="B10" s="642"/>
      <c r="C10" s="321"/>
      <c r="D10" s="652"/>
      <c r="E10" s="322"/>
      <c r="F10" s="526" t="s">
        <v>419</v>
      </c>
      <c r="G10" s="53"/>
      <c r="H10" s="50"/>
      <c r="I10" s="29">
        <f>'wdb data'!I14</f>
        <v>250</v>
      </c>
      <c r="J10" s="29" t="s">
        <v>417</v>
      </c>
      <c r="K10" s="335"/>
    </row>
    <row r="11" spans="2:11" ht="21.75">
      <c r="B11" s="336"/>
      <c r="C11" s="323">
        <f>IF('wdb data'!I8='wdb data'!H23,IF('wdb data'!I20=2,"t     =",""),"")</f>
      </c>
      <c r="D11" s="343">
        <f>IF('wdb data'!I8='wdb data'!H23,IF('wdb data'!I20=2,'wdb data'!I24,0),0)</f>
        <v>0</v>
      </c>
      <c r="E11" s="327">
        <f>IF('wdb data'!I8='wdb data'!H23,IF('wdb data'!I20=2,"m",""),"")</f>
      </c>
      <c r="F11" s="382" t="s">
        <v>423</v>
      </c>
      <c r="G11" s="50"/>
      <c r="H11" s="50"/>
      <c r="I11" s="240">
        <f>'wdb data'!I8</f>
        <v>4</v>
      </c>
      <c r="J11" s="50" t="s">
        <v>18</v>
      </c>
      <c r="K11" s="335"/>
    </row>
    <row r="12" spans="2:11" ht="21.75">
      <c r="B12" s="334"/>
      <c r="C12" s="331"/>
      <c r="D12" s="342">
        <f>IF('wdb data'!I8='wdb data'!H23,IF('wdb data'!I20=2,'wdb data'!H24,""),"")</f>
      </c>
      <c r="E12" s="50"/>
      <c r="F12" s="50"/>
      <c r="G12" s="50"/>
      <c r="H12" s="50"/>
      <c r="I12" s="50"/>
      <c r="J12" s="50"/>
      <c r="K12" s="335"/>
    </row>
    <row r="13" spans="2:11" ht="6" customHeight="1">
      <c r="B13" s="334"/>
      <c r="C13" s="331"/>
      <c r="D13" s="240"/>
      <c r="E13" s="50"/>
      <c r="F13" s="50"/>
      <c r="G13" s="50"/>
      <c r="H13" s="50"/>
      <c r="I13" s="50"/>
      <c r="J13" s="50"/>
      <c r="K13" s="335"/>
    </row>
    <row r="14" spans="2:11" ht="21.75">
      <c r="B14" s="337"/>
      <c r="C14" s="329"/>
      <c r="D14" s="330" t="s">
        <v>422</v>
      </c>
      <c r="E14" s="328"/>
      <c r="F14" s="328"/>
      <c r="G14" s="328"/>
      <c r="H14" s="330">
        <f>'wdb data'!I20</f>
        <v>2</v>
      </c>
      <c r="I14" s="329" t="s">
        <v>61</v>
      </c>
      <c r="J14" s="328"/>
      <c r="K14" s="338"/>
    </row>
    <row r="15" spans="2:11" ht="21.75">
      <c r="B15" s="632" t="s">
        <v>416</v>
      </c>
      <c r="C15" s="641" t="s">
        <v>235</v>
      </c>
      <c r="D15" s="258" t="s">
        <v>208</v>
      </c>
      <c r="E15" s="258" t="s">
        <v>41</v>
      </c>
      <c r="F15" s="637" t="s">
        <v>40</v>
      </c>
      <c r="G15" s="638"/>
      <c r="H15" s="637" t="s">
        <v>420</v>
      </c>
      <c r="I15" s="638"/>
      <c r="J15" s="637" t="s">
        <v>421</v>
      </c>
      <c r="K15" s="643"/>
    </row>
    <row r="16" spans="2:11" ht="21.75">
      <c r="B16" s="632"/>
      <c r="C16" s="641"/>
      <c r="D16" s="258"/>
      <c r="E16" s="258"/>
      <c r="F16" s="308"/>
      <c r="G16" s="309"/>
      <c r="H16" s="308"/>
      <c r="I16" s="309"/>
      <c r="J16" s="308"/>
      <c r="K16" s="339"/>
    </row>
    <row r="17" spans="2:11" ht="24.75">
      <c r="B17" s="633"/>
      <c r="C17" s="641"/>
      <c r="D17" s="310" t="s">
        <v>417</v>
      </c>
      <c r="E17" s="310" t="s">
        <v>417</v>
      </c>
      <c r="F17" s="639" t="s">
        <v>417</v>
      </c>
      <c r="G17" s="640"/>
      <c r="H17" s="639" t="s">
        <v>124</v>
      </c>
      <c r="I17" s="640"/>
      <c r="J17" s="639" t="s">
        <v>124</v>
      </c>
      <c r="K17" s="644"/>
    </row>
    <row r="18" spans="2:11" ht="21.75">
      <c r="B18" s="340" t="str">
        <f>D4</f>
        <v>พื้น 1</v>
      </c>
      <c r="C18" s="333">
        <f>ROUND(B4/D2,1)</f>
        <v>0.9</v>
      </c>
      <c r="D18" s="332">
        <f>2400*1*D6</f>
        <v>240</v>
      </c>
      <c r="E18" s="332">
        <f>I10</f>
        <v>250</v>
      </c>
      <c r="F18" s="646">
        <f>SUM(D18:E18)</f>
        <v>490</v>
      </c>
      <c r="G18" s="646"/>
      <c r="H18" s="630">
        <f>ROUNDUP(IF(I11=B4,F18*B4/3,0),2)</f>
        <v>653.34</v>
      </c>
      <c r="I18" s="630"/>
      <c r="J18" s="630">
        <f>ROUNDUP(IF(I11=D2,(F18*B4/3)*((3-C18^2)/2),0),2)</f>
        <v>0</v>
      </c>
      <c r="K18" s="631"/>
    </row>
    <row r="19" spans="2:11" ht="21.75">
      <c r="B19" s="340" t="str">
        <f>IF(H14=2,"พื้น 2","-")</f>
        <v>พื้น 2</v>
      </c>
      <c r="C19" s="333">
        <f>ROUND(IF(H14=2,IF(I11=B4,J4/H2,B9/D12),0),1)</f>
        <v>1</v>
      </c>
      <c r="D19" s="332">
        <f>IF(H14=2,IF(I11=B4,2400*1*H6,2400*1*D11),0)</f>
        <v>240</v>
      </c>
      <c r="E19" s="332">
        <f>IF(H14=2,I10,0)</f>
        <v>250</v>
      </c>
      <c r="F19" s="646">
        <f>SUM(D19:E19)</f>
        <v>490</v>
      </c>
      <c r="G19" s="646"/>
      <c r="H19" s="630">
        <f>ROUNDUP(IF(I11=B4,F19*J4/3,0),2)</f>
        <v>653.34</v>
      </c>
      <c r="I19" s="630"/>
      <c r="J19" s="630">
        <f>ROUNDUP(IF(I11=D2,(F19*B9/3)*((3-C19^2)/2),0),2)</f>
        <v>0</v>
      </c>
      <c r="K19" s="631"/>
    </row>
    <row r="20" spans="2:11" s="350" customFormat="1" ht="40.5" customHeight="1" thickBot="1">
      <c r="B20" s="346"/>
      <c r="C20" s="347"/>
      <c r="D20" s="347"/>
      <c r="E20" s="348" t="s">
        <v>425</v>
      </c>
      <c r="F20" s="654">
        <f>IF(C7="",SUM(H18:I19),SUM(J18:K19))</f>
        <v>1306.68</v>
      </c>
      <c r="G20" s="654"/>
      <c r="H20" s="654"/>
      <c r="I20" s="348" t="s">
        <v>124</v>
      </c>
      <c r="J20" s="347"/>
      <c r="K20" s="349"/>
    </row>
    <row r="22" spans="3:10" ht="21.75">
      <c r="C22" s="645" t="s">
        <v>436</v>
      </c>
      <c r="D22" s="645"/>
      <c r="E22" s="645"/>
      <c r="F22" s="645"/>
      <c r="G22" s="645"/>
      <c r="H22" s="645"/>
      <c r="I22" s="645"/>
      <c r="J22" s="645"/>
    </row>
  </sheetData>
  <sheetProtection/>
  <mergeCells count="25">
    <mergeCell ref="F20:H20"/>
    <mergeCell ref="F19:G19"/>
    <mergeCell ref="H17:I17"/>
    <mergeCell ref="B9:B10"/>
    <mergeCell ref="F3:F6"/>
    <mergeCell ref="H15:I15"/>
    <mergeCell ref="C22:J22"/>
    <mergeCell ref="F18:G18"/>
    <mergeCell ref="J4:J5"/>
    <mergeCell ref="C7:E7"/>
    <mergeCell ref="D4:D5"/>
    <mergeCell ref="H18:I18"/>
    <mergeCell ref="J18:K18"/>
    <mergeCell ref="H19:I19"/>
    <mergeCell ref="D9:D10"/>
    <mergeCell ref="H4:H5"/>
    <mergeCell ref="J19:K19"/>
    <mergeCell ref="B15:B17"/>
    <mergeCell ref="B1:K1"/>
    <mergeCell ref="F15:G15"/>
    <mergeCell ref="F17:G17"/>
    <mergeCell ref="C15:C17"/>
    <mergeCell ref="B4:B5"/>
    <mergeCell ref="J15:K15"/>
    <mergeCell ref="J17:K17"/>
  </mergeCells>
  <hyperlinks>
    <hyperlink ref="C22:G22" location="'wdb cal'!A1" display="กลับหน้าคำนวณ Working Design Beam"/>
    <hyperlink ref="C22:J22" location="'wdb cal'!E23" display="กลับหน้าคำนวณ Working Design Beam"/>
  </hyperlinks>
  <printOptions/>
  <pageMargins left="0.35433070866141736" right="0.35433070866141736" top="0.7874015748031497" bottom="0.7874015748031497" header="0.5118110236220472" footer="0.5118110236220472"/>
  <pageSetup orientation="portrait" paperSize="9" r:id="rId4"/>
  <legacyDrawing r:id="rId3"/>
  <oleObjects>
    <oleObject progId="Equation.3" shapeId="353831" r:id="rId1"/>
    <oleObject progId="Equation.3" shapeId="362125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H31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421875" style="11" customWidth="1"/>
    <col min="2" max="2" width="10.7109375" style="11" customWidth="1"/>
    <col min="3" max="4" width="9.140625" style="11" customWidth="1"/>
    <col min="5" max="5" width="10.7109375" style="11" customWidth="1"/>
    <col min="6" max="6" width="9.140625" style="11" customWidth="1"/>
    <col min="7" max="7" width="12.57421875" style="11" customWidth="1"/>
    <col min="8" max="16384" width="9.140625" style="11" customWidth="1"/>
  </cols>
  <sheetData>
    <row r="1" spans="1:5" s="214" customFormat="1" ht="24">
      <c r="A1" s="214" t="s">
        <v>516</v>
      </c>
      <c r="D1" s="494" t="s">
        <v>544</v>
      </c>
      <c r="E1" s="214" t="str">
        <f>'wdb data'!G7</f>
        <v>คานช่วงเดียวธรรมดา</v>
      </c>
    </row>
    <row r="2" s="15" customFormat="1" ht="12.75">
      <c r="D2" s="16"/>
    </row>
    <row r="3" ht="21.75">
      <c r="B3" s="493" t="s">
        <v>517</v>
      </c>
    </row>
    <row r="4" spans="4:6" ht="21.75">
      <c r="D4" s="596" t="str">
        <f>"w   =   "&amp;'wdb cal'!G25&amp;"   kg / m"</f>
        <v>w   =   1894.68   kg / m</v>
      </c>
      <c r="E4" s="596"/>
      <c r="F4" s="596"/>
    </row>
    <row r="5" ht="21.75">
      <c r="G5" s="495">
        <f>IF('wdb cal'!E32&gt;'wdb cal'!D32,"ปลายด้านต่อเนื่อง","")</f>
      </c>
    </row>
    <row r="6" spans="4:6" ht="21.75">
      <c r="D6" s="658" t="str">
        <f>'wdb data'!I8&amp;"  m"</f>
        <v>4  m</v>
      </c>
      <c r="E6" s="658"/>
      <c r="F6" s="658"/>
    </row>
    <row r="7" spans="3:7" ht="21.75">
      <c r="C7" s="660" t="str">
        <f>'wdb cal'!D32&amp;"  kg"</f>
        <v>3789.36  kg</v>
      </c>
      <c r="D7" s="660"/>
      <c r="F7" s="660" t="str">
        <f>'wdb cal'!E32&amp;"  kg"</f>
        <v>3789.36  kg</v>
      </c>
      <c r="G7" s="660"/>
    </row>
    <row r="8" ht="7.5" customHeight="1"/>
    <row r="9" ht="21.75">
      <c r="B9" s="493" t="s">
        <v>518</v>
      </c>
    </row>
    <row r="10" spans="3:5" ht="21.75">
      <c r="C10" s="11" t="s">
        <v>519</v>
      </c>
      <c r="E10" s="11" t="str">
        <f>'wdb cal'!C49&amp;" mm"</f>
        <v>4 - DB16 mm</v>
      </c>
    </row>
    <row r="11" spans="3:5" ht="21.75">
      <c r="C11" s="11" t="s">
        <v>521</v>
      </c>
      <c r="E11" s="11" t="str">
        <f>'wdb cal'!E49&amp;" mm  คอม้า"</f>
        <v>2 - DB16 mm  คอม้า</v>
      </c>
    </row>
    <row r="12" spans="3:5" ht="21.75">
      <c r="C12" s="11" t="s">
        <v>520</v>
      </c>
      <c r="E12" s="11" t="str">
        <f>'wdb cal'!G49&amp;" mm"</f>
        <v>3 - DB16 mm</v>
      </c>
    </row>
    <row r="13" spans="3:5" ht="21.75">
      <c r="C13" s="11" t="s">
        <v>512</v>
      </c>
      <c r="E13" s="11" t="str">
        <f>"ป - "&amp;'wdb data'!H35&amp;'wdb data'!H37&amp;" mm  @ "&amp;'wdb data'!H38&amp;" m"</f>
        <v>ป - RB6 mm  @ 0.15 m</v>
      </c>
    </row>
    <row r="14" ht="10.5" customHeight="1"/>
    <row r="15" ht="21.75">
      <c r="B15" s="493" t="s">
        <v>523</v>
      </c>
    </row>
    <row r="16" ht="21.75">
      <c r="D16" s="491">
        <f>'wdb cal'!E8</f>
        <v>0.2</v>
      </c>
    </row>
    <row r="17" ht="21.75">
      <c r="F17" s="11" t="str">
        <f>E10</f>
        <v>4 - DB16 mm</v>
      </c>
    </row>
    <row r="18" ht="21.75">
      <c r="E18" s="496"/>
    </row>
    <row r="19" spans="2:6" ht="21.75">
      <c r="B19" s="574">
        <f>'wdb cal'!F8</f>
        <v>0.4</v>
      </c>
      <c r="F19" s="11" t="str">
        <f>E13</f>
        <v>ป - RB6 mm  @ 0.15 m</v>
      </c>
    </row>
    <row r="20" spans="2:6" ht="21.75">
      <c r="B20" s="661"/>
      <c r="F20" s="11" t="str">
        <f>E11</f>
        <v>2 - DB16 mm  คอม้า</v>
      </c>
    </row>
    <row r="21" ht="21.75">
      <c r="C21" s="234">
        <f>'wdb cal'!F9</f>
        <v>0.025</v>
      </c>
    </row>
    <row r="22" ht="21.75">
      <c r="F22" s="11" t="str">
        <f>E12</f>
        <v>3 - DB16 mm</v>
      </c>
    </row>
    <row r="24" ht="21.75" hidden="1">
      <c r="B24" s="493" t="s">
        <v>524</v>
      </c>
    </row>
    <row r="25" spans="2:8" ht="21.75" hidden="1">
      <c r="B25" s="659" t="s">
        <v>525</v>
      </c>
      <c r="C25" s="659"/>
      <c r="D25" s="498" t="s">
        <v>527</v>
      </c>
      <c r="E25" s="498" t="s">
        <v>528</v>
      </c>
      <c r="F25" s="498" t="s">
        <v>532</v>
      </c>
      <c r="G25" s="498" t="s">
        <v>529</v>
      </c>
      <c r="H25" s="492"/>
    </row>
    <row r="26" spans="2:7" ht="21.75" hidden="1">
      <c r="B26" s="503" t="s">
        <v>526</v>
      </c>
      <c r="C26" s="502"/>
      <c r="D26" s="500" t="s">
        <v>530</v>
      </c>
      <c r="E26" s="501">
        <f>D16*B19*1</f>
        <v>0.08000000000000002</v>
      </c>
      <c r="F26" s="505">
        <v>1200</v>
      </c>
      <c r="G26" s="506">
        <f>E26*F26</f>
        <v>96.00000000000001</v>
      </c>
    </row>
    <row r="27" spans="2:7" ht="21.75" hidden="1">
      <c r="B27" s="504" t="str">
        <f>E10</f>
        <v>4 - DB16 mm</v>
      </c>
      <c r="C27" s="499"/>
      <c r="D27" s="500" t="s">
        <v>531</v>
      </c>
      <c r="E27" s="500">
        <f>'wdb cal'!H44</f>
        <v>4</v>
      </c>
      <c r="F27" s="505">
        <v>12</v>
      </c>
      <c r="G27" s="506">
        <f>E27*F27</f>
        <v>48</v>
      </c>
    </row>
    <row r="28" spans="2:7" ht="21.75" hidden="1">
      <c r="B28" s="504" t="str">
        <f>E11</f>
        <v>2 - DB16 mm  คอม้า</v>
      </c>
      <c r="C28" s="499"/>
      <c r="D28" s="500" t="s">
        <v>531</v>
      </c>
      <c r="E28" s="500">
        <f>'wdb cal'!H45</f>
        <v>2</v>
      </c>
      <c r="F28" s="505">
        <v>12</v>
      </c>
      <c r="G28" s="506">
        <f>E28*F28</f>
        <v>24</v>
      </c>
    </row>
    <row r="29" spans="2:7" ht="21.75" hidden="1">
      <c r="B29" s="504" t="str">
        <f>E12</f>
        <v>3 - DB16 mm</v>
      </c>
      <c r="C29" s="499"/>
      <c r="D29" s="500" t="s">
        <v>531</v>
      </c>
      <c r="E29" s="500">
        <f>'wdb cal'!H46</f>
        <v>3</v>
      </c>
      <c r="F29" s="505">
        <v>12</v>
      </c>
      <c r="G29" s="506">
        <f>E29*F29</f>
        <v>36</v>
      </c>
    </row>
    <row r="30" spans="2:7" ht="21.75" hidden="1">
      <c r="B30" s="504" t="str">
        <f>E13</f>
        <v>ป - RB6 mm  @ 0.15 m</v>
      </c>
      <c r="C30" s="499"/>
      <c r="D30" s="500" t="s">
        <v>531</v>
      </c>
      <c r="E30" s="500">
        <f>(ROUNDUP(1/'wdb data'!H38,0)+1)*(((B19-C21-C21)+(D16-C21-C21))*2)</f>
        <v>8</v>
      </c>
      <c r="F30" s="505">
        <v>6</v>
      </c>
      <c r="G30" s="506">
        <f>E30*F30</f>
        <v>48</v>
      </c>
    </row>
    <row r="31" spans="2:7" ht="21.75" hidden="1">
      <c r="B31" s="659" t="s">
        <v>533</v>
      </c>
      <c r="C31" s="659"/>
      <c r="D31" s="659"/>
      <c r="E31" s="659"/>
      <c r="F31" s="659"/>
      <c r="G31" s="506">
        <f>SUM(G26:G30)</f>
        <v>252</v>
      </c>
    </row>
  </sheetData>
  <sheetProtection/>
  <mergeCells count="7">
    <mergeCell ref="D4:F4"/>
    <mergeCell ref="D6:F6"/>
    <mergeCell ref="B31:F31"/>
    <mergeCell ref="C7:D7"/>
    <mergeCell ref="F7:G7"/>
    <mergeCell ref="B19:B20"/>
    <mergeCell ref="B25:C25"/>
  </mergeCells>
  <printOptions/>
  <pageMargins left="1.1811023622047245" right="0.7480314960629921" top="0.7874015748031497" bottom="0.984251968503937" header="0.5118110236220472" footer="0.5118110236220472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B2:L28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6.57421875" style="94" customWidth="1"/>
    <col min="2" max="2" width="4.421875" style="94" customWidth="1"/>
    <col min="3" max="3" width="5.7109375" style="94" customWidth="1"/>
    <col min="4" max="4" width="5.28125" style="94" customWidth="1"/>
    <col min="5" max="5" width="14.00390625" style="95" customWidth="1"/>
    <col min="6" max="6" width="6.7109375" style="95" customWidth="1"/>
    <col min="7" max="7" width="11.7109375" style="95" customWidth="1"/>
    <col min="8" max="9" width="9.421875" style="94" customWidth="1"/>
    <col min="10" max="10" width="14.421875" style="94" customWidth="1"/>
    <col min="11" max="16384" width="9.140625" style="94" customWidth="1"/>
  </cols>
  <sheetData>
    <row r="1" ht="22.5" thickBot="1"/>
    <row r="2" spans="2:10" s="1" customFormat="1" ht="30" customHeight="1" thickTop="1">
      <c r="B2" s="362" t="s">
        <v>548</v>
      </c>
      <c r="C2" s="362"/>
      <c r="D2" s="362"/>
      <c r="E2" s="363"/>
      <c r="F2" s="364"/>
      <c r="G2" s="364"/>
      <c r="H2" s="578" t="s">
        <v>25</v>
      </c>
      <c r="I2" s="578"/>
      <c r="J2" s="365">
        <f ca="1">NOW()</f>
        <v>41138.58963634259</v>
      </c>
    </row>
    <row r="3" spans="2:10" s="1" customFormat="1" ht="30" customHeight="1" thickBot="1">
      <c r="B3" s="366" t="s">
        <v>471</v>
      </c>
      <c r="C3" s="367"/>
      <c r="D3" s="367"/>
      <c r="E3" s="368"/>
      <c r="F3" s="368"/>
      <c r="G3" s="368"/>
      <c r="H3" s="579" t="s">
        <v>473</v>
      </c>
      <c r="I3" s="580"/>
      <c r="J3" s="529" t="s">
        <v>472</v>
      </c>
    </row>
    <row r="4" spans="2:10" s="429" customFormat="1" ht="7.5" customHeight="1" thickTop="1">
      <c r="B4" s="670"/>
      <c r="C4" s="670"/>
      <c r="D4" s="670"/>
      <c r="E4" s="670"/>
      <c r="F4" s="670"/>
      <c r="G4" s="670"/>
      <c r="H4" s="670"/>
      <c r="I4" s="670"/>
      <c r="J4" s="670"/>
    </row>
    <row r="5" spans="2:10" s="434" customFormat="1" ht="26.25">
      <c r="B5" s="430" t="s">
        <v>1</v>
      </c>
      <c r="C5" s="430"/>
      <c r="D5" s="430"/>
      <c r="E5" s="431"/>
      <c r="F5" s="432"/>
      <c r="G5" s="432"/>
      <c r="H5" s="433"/>
      <c r="I5" s="433"/>
      <c r="J5" s="376"/>
    </row>
    <row r="6" spans="3:6" ht="21.75">
      <c r="C6" s="435" t="s">
        <v>475</v>
      </c>
      <c r="F6" s="436" t="str">
        <f>J3</f>
        <v>C1</v>
      </c>
    </row>
    <row r="7" spans="3:10" ht="21.75">
      <c r="C7" s="453"/>
      <c r="D7" s="328" t="s">
        <v>478</v>
      </c>
      <c r="E7" s="449"/>
      <c r="F7" s="454"/>
      <c r="G7" s="450"/>
      <c r="H7" s="530">
        <v>1</v>
      </c>
      <c r="I7" s="671" t="str">
        <f>IF(H7=1,"เสาปลอกเดี่ยว","เสาปลอกเกลียว")</f>
        <v>เสาปลอกเดี่ยว</v>
      </c>
      <c r="J7" s="672"/>
    </row>
    <row r="8" spans="3:10" ht="21.75">
      <c r="C8" s="662" t="s">
        <v>501</v>
      </c>
      <c r="D8" s="663"/>
      <c r="E8" s="304" t="s">
        <v>486</v>
      </c>
      <c r="F8" s="304"/>
      <c r="G8" s="455"/>
      <c r="H8" s="456" t="s">
        <v>4</v>
      </c>
      <c r="I8" s="459">
        <v>20</v>
      </c>
      <c r="J8" s="18" t="s">
        <v>195</v>
      </c>
    </row>
    <row r="9" spans="3:10" ht="21.75">
      <c r="C9" s="664"/>
      <c r="D9" s="665"/>
      <c r="E9" s="457" t="s">
        <v>485</v>
      </c>
      <c r="F9" s="457"/>
      <c r="G9" s="458"/>
      <c r="H9" s="325" t="s">
        <v>28</v>
      </c>
      <c r="I9" s="460">
        <v>20</v>
      </c>
      <c r="J9" s="18" t="s">
        <v>195</v>
      </c>
    </row>
    <row r="10" spans="3:10" ht="21.75">
      <c r="C10" s="666" t="s">
        <v>502</v>
      </c>
      <c r="D10" s="667"/>
      <c r="E10" s="461" t="s">
        <v>490</v>
      </c>
      <c r="F10" s="461"/>
      <c r="G10" s="462"/>
      <c r="H10" s="463" t="s">
        <v>296</v>
      </c>
      <c r="I10" s="464"/>
      <c r="J10" s="18" t="s">
        <v>195</v>
      </c>
    </row>
    <row r="11" spans="3:11" ht="23.25">
      <c r="C11" s="451"/>
      <c r="D11" s="328" t="s">
        <v>474</v>
      </c>
      <c r="E11" s="328"/>
      <c r="F11" s="328"/>
      <c r="G11" s="452"/>
      <c r="H11" s="450" t="s">
        <v>307</v>
      </c>
      <c r="I11" s="531">
        <v>1.5</v>
      </c>
      <c r="J11" s="18" t="s">
        <v>506</v>
      </c>
      <c r="K11" s="467">
        <f>I11/I8*100</f>
        <v>7.5</v>
      </c>
    </row>
    <row r="12" spans="8:9" s="437" customFormat="1" ht="8.25">
      <c r="H12" s="438"/>
      <c r="I12" s="439"/>
    </row>
    <row r="13" spans="3:10" ht="21.75">
      <c r="C13" s="435" t="s">
        <v>20</v>
      </c>
      <c r="F13" s="94"/>
      <c r="H13" s="95"/>
      <c r="J13" s="18"/>
    </row>
    <row r="14" spans="4:10" ht="21.75">
      <c r="D14" s="94" t="s">
        <v>476</v>
      </c>
      <c r="E14" s="94"/>
      <c r="F14" s="94"/>
      <c r="H14" s="95"/>
      <c r="I14" s="532">
        <v>2000</v>
      </c>
      <c r="J14" s="18" t="s">
        <v>444</v>
      </c>
    </row>
    <row r="15" spans="4:10" ht="21.75">
      <c r="D15" s="94" t="s">
        <v>477</v>
      </c>
      <c r="E15" s="94"/>
      <c r="F15" s="94"/>
      <c r="H15" s="95"/>
      <c r="I15" s="532">
        <v>3500</v>
      </c>
      <c r="J15" s="18" t="s">
        <v>444</v>
      </c>
    </row>
    <row r="16" spans="4:10" ht="21.75">
      <c r="D16" s="94" t="s">
        <v>477</v>
      </c>
      <c r="E16" s="94"/>
      <c r="F16" s="94"/>
      <c r="H16" s="95"/>
      <c r="I16" s="532">
        <v>3500</v>
      </c>
      <c r="J16" s="18" t="s">
        <v>444</v>
      </c>
    </row>
    <row r="17" spans="4:10" ht="21.75">
      <c r="D17" s="94" t="s">
        <v>477</v>
      </c>
      <c r="E17" s="94"/>
      <c r="F17" s="94"/>
      <c r="H17" s="95"/>
      <c r="I17" s="532">
        <v>3500</v>
      </c>
      <c r="J17" s="18" t="s">
        <v>444</v>
      </c>
    </row>
    <row r="18" spans="4:10" ht="21.75">
      <c r="D18" s="94" t="s">
        <v>477</v>
      </c>
      <c r="E18" s="94"/>
      <c r="F18" s="94"/>
      <c r="H18" s="95"/>
      <c r="I18" s="532"/>
      <c r="J18" s="18" t="s">
        <v>444</v>
      </c>
    </row>
    <row r="19" spans="6:10" s="437" customFormat="1" ht="8.25">
      <c r="F19" s="440"/>
      <c r="G19" s="440"/>
      <c r="H19" s="441"/>
      <c r="I19" s="442"/>
      <c r="J19" s="426"/>
    </row>
    <row r="20" spans="3:9" ht="21.75">
      <c r="C20" s="435" t="s">
        <v>6</v>
      </c>
      <c r="F20" s="443" t="s">
        <v>7</v>
      </c>
      <c r="H20" s="443" t="s">
        <v>7</v>
      </c>
      <c r="I20" s="443" t="s">
        <v>9</v>
      </c>
    </row>
    <row r="21" spans="4:9" ht="21.75">
      <c r="D21" s="435" t="s">
        <v>8</v>
      </c>
      <c r="F21" s="443" t="s">
        <v>9</v>
      </c>
      <c r="H21" s="443" t="s">
        <v>9</v>
      </c>
      <c r="I21" s="443" t="s">
        <v>7</v>
      </c>
    </row>
    <row r="22" spans="5:10" ht="24.75">
      <c r="E22" s="94" t="s">
        <v>454</v>
      </c>
      <c r="F22" s="94"/>
      <c r="H22" s="444"/>
      <c r="I22" s="533">
        <v>145</v>
      </c>
      <c r="J22" s="18" t="s">
        <v>12</v>
      </c>
    </row>
    <row r="23" spans="5:10" ht="6.75" customHeight="1">
      <c r="E23" s="94"/>
      <c r="F23" s="94"/>
      <c r="H23" s="95"/>
      <c r="I23" s="445"/>
      <c r="J23" s="18"/>
    </row>
    <row r="24" spans="4:9" ht="21.75">
      <c r="D24" s="435" t="s">
        <v>13</v>
      </c>
      <c r="H24" s="380" t="s">
        <v>480</v>
      </c>
      <c r="I24" s="380" t="s">
        <v>481</v>
      </c>
    </row>
    <row r="25" spans="2:9" ht="22.5" thickBot="1">
      <c r="B25" s="50"/>
      <c r="C25" s="50"/>
      <c r="D25" s="50"/>
      <c r="E25" s="94"/>
      <c r="F25" s="51"/>
      <c r="G25" s="50" t="s">
        <v>14</v>
      </c>
      <c r="H25" s="533" t="s">
        <v>9</v>
      </c>
      <c r="I25" s="533" t="s">
        <v>7</v>
      </c>
    </row>
    <row r="26" spans="2:12" ht="23.25" thickBot="1" thickTop="1">
      <c r="B26" s="50"/>
      <c r="C26" s="50"/>
      <c r="D26" s="50"/>
      <c r="E26" s="94"/>
      <c r="F26" s="51"/>
      <c r="G26" s="50" t="s">
        <v>15</v>
      </c>
      <c r="H26" s="533" t="s">
        <v>250</v>
      </c>
      <c r="I26" s="533" t="s">
        <v>442</v>
      </c>
      <c r="J26" s="50"/>
      <c r="K26" s="668" t="s">
        <v>439</v>
      </c>
      <c r="L26" s="669"/>
    </row>
    <row r="27" spans="2:10" ht="22.5" thickTop="1">
      <c r="B27" s="50"/>
      <c r="C27" s="50"/>
      <c r="D27" s="50"/>
      <c r="E27" s="50"/>
      <c r="F27" s="51"/>
      <c r="G27" s="446" t="s">
        <v>256</v>
      </c>
      <c r="H27" s="533">
        <v>12</v>
      </c>
      <c r="I27" s="533">
        <v>6</v>
      </c>
      <c r="J27" s="18" t="s">
        <v>479</v>
      </c>
    </row>
    <row r="28" spans="3:10" s="429" customFormat="1" ht="12.75">
      <c r="C28" s="447"/>
      <c r="D28" s="447"/>
      <c r="E28" s="448"/>
      <c r="F28" s="448"/>
      <c r="G28" s="448"/>
      <c r="H28" s="447"/>
      <c r="I28" s="447"/>
      <c r="J28" s="447"/>
    </row>
    <row r="29" ht="21.75"/>
  </sheetData>
  <sheetProtection/>
  <mergeCells count="7">
    <mergeCell ref="C8:D9"/>
    <mergeCell ref="C10:D10"/>
    <mergeCell ref="K26:L26"/>
    <mergeCell ref="H2:I2"/>
    <mergeCell ref="H3:I3"/>
    <mergeCell ref="B4:J4"/>
    <mergeCell ref="I7:J7"/>
  </mergeCells>
  <hyperlinks>
    <hyperlink ref="K26:L26" location="'wsc cal'!H2" tooltip="ดูผลการคำนวณ Working Design Beam" display="ดูผลคำนวณ"/>
    <hyperlink ref="G27" location="'wdb cal'!D48" display="SIZE :"/>
  </hyperlinks>
  <printOptions/>
  <pageMargins left="0.75" right="0.75" top="1" bottom="1" header="0.5" footer="0.5"/>
  <pageSetup orientation="portrait" paperSize="9" r:id="rId4"/>
  <legacyDrawing r:id="rId3"/>
  <oleObjects>
    <oleObject progId="Equation.3" shapeId="3693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KOBPUK</dc:creator>
  <cp:keywords/>
  <dc:description/>
  <cp:lastModifiedBy>ASUS</cp:lastModifiedBy>
  <cp:lastPrinted>2012-03-18T01:28:36Z</cp:lastPrinted>
  <dcterms:created xsi:type="dcterms:W3CDTF">2005-10-30T04:02:20Z</dcterms:created>
  <dcterms:modified xsi:type="dcterms:W3CDTF">2012-08-17T07:09:10Z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