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65" windowHeight="6555" tabRatio="875" activeTab="0"/>
  </bookViews>
  <sheets>
    <sheet name="Hollow Block Slab" sheetId="1" r:id="rId1"/>
  </sheets>
  <definedNames/>
  <calcPr fullCalcOnLoad="1"/>
</workbook>
</file>

<file path=xl/sharedStrings.xml><?xml version="1.0" encoding="utf-8"?>
<sst xmlns="http://schemas.openxmlformats.org/spreadsheetml/2006/main" count="192" uniqueCount="61">
  <si>
    <t>=</t>
  </si>
  <si>
    <t>b</t>
  </si>
  <si>
    <t>t</t>
  </si>
  <si>
    <t>a</t>
  </si>
  <si>
    <t>S</t>
  </si>
  <si>
    <t>DESIGN OF HOLLOW BLOCK SLAB :-</t>
  </si>
  <si>
    <t>SLAB ID :-</t>
  </si>
  <si>
    <t>1)- APPLIED LOADS :-</t>
  </si>
  <si>
    <t xml:space="preserve"> - Mu (+ive)</t>
  </si>
  <si>
    <t>mt</t>
  </si>
  <si>
    <t xml:space="preserve"> - Wu </t>
  </si>
  <si>
    <t>t/m</t>
  </si>
  <si>
    <t>2)- PROPERTIES OF MATERIAL :-</t>
  </si>
  <si>
    <t xml:space="preserve"> - Fcu</t>
  </si>
  <si>
    <t>3)- DIMENSIONS OF SLAB :-</t>
  </si>
  <si>
    <t>cm</t>
  </si>
  <si>
    <t xml:space="preserve"> - Total thickness of H.B.S (t)   =</t>
  </si>
  <si>
    <t xml:space="preserve"> - Width of rib (b)</t>
  </si>
  <si>
    <t>4)- DESIGN OF T-SEC. AT M (+ive) :-</t>
  </si>
  <si>
    <t>c</t>
  </si>
  <si>
    <t>b)- Asb = b.d ( ( 4550 / 6300 + Fy ).Fcu / Fy + ( 0.85 Fcu ( B - b ) ts ) / ( b.d.Fy )</t>
  </si>
  <si>
    <t>Asb  =</t>
  </si>
  <si>
    <t>Use</t>
  </si>
  <si>
    <t>/Rib</t>
  </si>
  <si>
    <t xml:space="preserve">b)- Asb = B.d ( ( 4550 / 6300 + Fy ).Fcu / Fy </t>
  </si>
  <si>
    <t>7)- CHECK MR FOR RIGHT SIDE :-</t>
  </si>
  <si>
    <t>mt/rib</t>
  </si>
  <si>
    <t xml:space="preserve"> - Mact</t>
  </si>
  <si>
    <t>8)- CHECK MR FOR LEFT SIDE :-</t>
  </si>
  <si>
    <t>9)- CHECK SHEAR ON RIBS FROM RIGHT SIDE :-</t>
  </si>
  <si>
    <t>10)- CHECK SHEAR ON RIBS FROM LEFT SIDE :-</t>
  </si>
  <si>
    <r>
      <t xml:space="preserve">S-8 ( </t>
    </r>
    <r>
      <rPr>
        <sz val="10"/>
        <color indexed="12"/>
        <rFont val="GreekC"/>
        <family val="0"/>
      </rPr>
      <t>a</t>
    </r>
    <r>
      <rPr>
        <sz val="10"/>
        <color indexed="12"/>
        <rFont val="Times New Roman"/>
        <family val="1"/>
      </rPr>
      <t>-direction)</t>
    </r>
  </si>
  <si>
    <r>
      <t xml:space="preserve"> - Mu (-ive)</t>
    </r>
    <r>
      <rPr>
        <vertAlign val="subscript"/>
        <sz val="10"/>
        <rFont val="Times New Roman"/>
        <family val="1"/>
      </rPr>
      <t>R</t>
    </r>
  </si>
  <si>
    <r>
      <t xml:space="preserve"> - Mu (-ive)</t>
    </r>
    <r>
      <rPr>
        <vertAlign val="subscript"/>
        <sz val="10"/>
        <rFont val="Times New Roman"/>
        <family val="1"/>
      </rPr>
      <t>L</t>
    </r>
  </si>
  <si>
    <r>
      <t xml:space="preserve"> - Qu</t>
    </r>
    <r>
      <rPr>
        <vertAlign val="subscript"/>
        <sz val="10"/>
        <rFont val="Times New Roman"/>
        <family val="1"/>
      </rPr>
      <t>R</t>
    </r>
  </si>
  <si>
    <r>
      <t xml:space="preserve"> - Qu</t>
    </r>
    <r>
      <rPr>
        <vertAlign val="subscript"/>
        <sz val="10"/>
        <rFont val="Times New Roman"/>
        <family val="1"/>
      </rPr>
      <t>L</t>
    </r>
  </si>
  <si>
    <r>
      <t>Kg/cm</t>
    </r>
    <r>
      <rPr>
        <vertAlign val="superscript"/>
        <sz val="10"/>
        <rFont val="Times New Roman"/>
        <family val="1"/>
      </rPr>
      <t>2</t>
    </r>
  </si>
  <si>
    <r>
      <t xml:space="preserve"> - F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 Steel)</t>
    </r>
  </si>
  <si>
    <r>
      <t xml:space="preserve"> - F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 Stirr.)</t>
    </r>
  </si>
  <si>
    <r>
      <t xml:space="preserve"> - Thickness of solid slab (t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)    =</t>
    </r>
  </si>
  <si>
    <r>
      <t>a)- ( 0.531 F</t>
    </r>
    <r>
      <rPr>
        <vertAlign val="subscript"/>
        <sz val="10"/>
        <rFont val="Times New Roman"/>
        <family val="1"/>
      </rPr>
      <t>y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B.Fcu ) As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( 0.9 F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.d ) As + Mu = 0</t>
    </r>
  </si>
  <si>
    <r>
      <t>As</t>
    </r>
    <r>
      <rPr>
        <vertAlign val="subscript"/>
        <sz val="10"/>
        <rFont val="Times New Roman"/>
        <family val="1"/>
      </rPr>
      <t xml:space="preserve">cal  </t>
    </r>
    <r>
      <rPr>
        <sz val="10"/>
        <rFont val="Times New Roman"/>
        <family val="1"/>
      </rPr>
      <t>=</t>
    </r>
  </si>
  <si>
    <r>
      <t>cm</t>
    </r>
    <r>
      <rPr>
        <vertAlign val="super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</si>
  <si>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</si>
  <si>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</si>
  <si>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c)- As</t>
    </r>
    <r>
      <rPr>
        <vertAlign val="subscript"/>
        <sz val="10"/>
        <rFont val="Times New Roman"/>
        <family val="1"/>
      </rPr>
      <t>min1</t>
    </r>
    <r>
      <rPr>
        <sz val="10"/>
        <rFont val="Times New Roman"/>
        <family val="1"/>
      </rPr>
      <t xml:space="preserve"> = 9 / Fy ( b.d )</t>
    </r>
  </si>
  <si>
    <r>
      <t xml:space="preserve">     As</t>
    </r>
    <r>
      <rPr>
        <vertAlign val="subscript"/>
        <sz val="10"/>
        <rFont val="Times New Roman"/>
        <family val="1"/>
      </rPr>
      <t>min2</t>
    </r>
    <r>
      <rPr>
        <sz val="10"/>
        <rFont val="Times New Roman"/>
        <family val="1"/>
      </rPr>
      <t xml:space="preserve"> = 1.33 As</t>
    </r>
    <r>
      <rPr>
        <vertAlign val="subscript"/>
        <sz val="10"/>
        <rFont val="Times New Roman"/>
        <family val="1"/>
      </rPr>
      <t>cal.</t>
    </r>
  </si>
  <si>
    <r>
      <t>As</t>
    </r>
    <r>
      <rPr>
        <vertAlign val="subscript"/>
        <sz val="10"/>
        <rFont val="Times New Roman"/>
        <family val="1"/>
      </rPr>
      <t xml:space="preserve">min  </t>
    </r>
    <r>
      <rPr>
        <sz val="10"/>
        <rFont val="Times New Roman"/>
        <family val="1"/>
      </rPr>
      <t>=</t>
    </r>
  </si>
  <si>
    <r>
      <t>As</t>
    </r>
    <r>
      <rPr>
        <vertAlign val="subscript"/>
        <sz val="10"/>
        <rFont val="Times New Roman"/>
        <family val="1"/>
      </rPr>
      <t>final</t>
    </r>
  </si>
  <si>
    <r>
      <t>5)- DESIGN OF R-SEC. AT M (-ive)</t>
    </r>
    <r>
      <rPr>
        <b/>
        <u val="single"/>
        <vertAlign val="subscript"/>
        <sz val="9"/>
        <rFont val="Times New Roman"/>
        <family val="1"/>
      </rPr>
      <t>R</t>
    </r>
    <r>
      <rPr>
        <b/>
        <u val="single"/>
        <sz val="9"/>
        <rFont val="Times New Roman"/>
        <family val="1"/>
      </rPr>
      <t xml:space="preserve"> :-</t>
    </r>
  </si>
  <si>
    <r>
      <t>c)- As</t>
    </r>
    <r>
      <rPr>
        <vertAlign val="subscript"/>
        <sz val="10"/>
        <rFont val="Times New Roman"/>
        <family val="1"/>
      </rPr>
      <t>min1</t>
    </r>
    <r>
      <rPr>
        <sz val="10"/>
        <rFont val="Times New Roman"/>
        <family val="1"/>
      </rPr>
      <t xml:space="preserve"> = 9 / Fy ( B.d )</t>
    </r>
  </si>
  <si>
    <r>
      <t>6)- DESIGN OF R-SEC. AT M (-ive)</t>
    </r>
    <r>
      <rPr>
        <b/>
        <u val="single"/>
        <vertAlign val="subscript"/>
        <sz val="9"/>
        <rFont val="Times New Roman"/>
        <family val="1"/>
      </rPr>
      <t>L</t>
    </r>
    <r>
      <rPr>
        <b/>
        <u val="single"/>
        <sz val="9"/>
        <rFont val="Times New Roman"/>
        <family val="1"/>
      </rPr>
      <t xml:space="preserve"> :-</t>
    </r>
  </si>
  <si>
    <r>
      <t xml:space="preserve"> - MR = Rmax ( Fcu / </t>
    </r>
    <r>
      <rPr>
        <sz val="10"/>
        <rFont val="GreekC"/>
        <family val="0"/>
      </rPr>
      <t>g</t>
    </r>
    <r>
      <rPr>
        <sz val="10"/>
        <rFont val="Times New Roman"/>
        <family val="1"/>
      </rPr>
      <t>c ) b.d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 xml:space="preserve">   =</t>
    </r>
  </si>
  <si>
    <r>
      <t>S</t>
    </r>
    <r>
      <rPr>
        <vertAlign val="subscript"/>
        <sz val="10"/>
        <color indexed="10"/>
        <rFont val="Times New Roman"/>
        <family val="1"/>
      </rPr>
      <t>R</t>
    </r>
    <r>
      <rPr>
        <sz val="10"/>
        <color indexed="10"/>
        <rFont val="Times New Roman"/>
        <family val="1"/>
      </rPr>
      <t xml:space="preserve">  =</t>
    </r>
  </si>
  <si>
    <r>
      <t>S</t>
    </r>
    <r>
      <rPr>
        <vertAlign val="subscript"/>
        <sz val="10"/>
        <color indexed="10"/>
        <rFont val="Times New Roman"/>
        <family val="1"/>
      </rPr>
      <t>L</t>
    </r>
    <r>
      <rPr>
        <sz val="10"/>
        <color indexed="10"/>
        <rFont val="Times New Roman"/>
        <family val="1"/>
      </rPr>
      <t xml:space="preserve">  =</t>
    </r>
  </si>
  <si>
    <r>
      <t xml:space="preserve"> - q</t>
    </r>
    <r>
      <rPr>
        <vertAlign val="subscript"/>
        <sz val="10"/>
        <rFont val="Times New Roman"/>
        <family val="1"/>
      </rPr>
      <t>cu</t>
    </r>
    <r>
      <rPr>
        <sz val="10"/>
        <rFont val="Times New Roman"/>
        <family val="1"/>
      </rPr>
      <t xml:space="preserve"> = 0.73    Fcu  =</t>
    </r>
  </si>
  <si>
    <r>
      <t xml:space="preserve"> - q</t>
    </r>
    <r>
      <rPr>
        <vertAlign val="subscript"/>
        <sz val="10"/>
        <rFont val="Times New Roman"/>
        <family val="1"/>
      </rPr>
      <t>umax</t>
    </r>
    <r>
      <rPr>
        <sz val="10"/>
        <rFont val="Times New Roman"/>
        <family val="1"/>
      </rPr>
      <t xml:space="preserve"> = 2.04   Fcu  =</t>
    </r>
  </si>
  <si>
    <r>
      <t xml:space="preserve"> - Qu</t>
    </r>
    <r>
      <rPr>
        <vertAlign val="subscript"/>
        <sz val="10"/>
        <rFont val="Times New Roman"/>
        <family val="1"/>
      </rPr>
      <t>act</t>
    </r>
    <r>
      <rPr>
        <sz val="10"/>
        <rFont val="Times New Roman"/>
        <family val="1"/>
      </rPr>
      <t xml:space="preserve"> / Rib = ( Qu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- Wu . S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) / 2  =</t>
    </r>
  </si>
  <si>
    <r>
      <t xml:space="preserve"> - q</t>
    </r>
    <r>
      <rPr>
        <vertAlign val="subscript"/>
        <sz val="10"/>
        <rFont val="Times New Roman"/>
        <family val="1"/>
      </rPr>
      <t>u</t>
    </r>
    <r>
      <rPr>
        <sz val="10"/>
        <rFont val="Times New Roman"/>
        <family val="1"/>
      </rPr>
      <t xml:space="preserve"> = ( Qu / 0.85 ( b.d + B.t</t>
    </r>
    <r>
      <rPr>
        <vertAlign val="subscript"/>
        <sz val="10"/>
        <rFont val="Times New Roman"/>
        <family val="1"/>
      </rPr>
      <t xml:space="preserve">s </t>
    </r>
    <r>
      <rPr>
        <sz val="10"/>
        <rFont val="Times New Roman"/>
        <family val="1"/>
      </rPr>
      <t xml:space="preserve">) )  = </t>
    </r>
  </si>
  <si>
    <r>
      <t xml:space="preserve"> - Qu</t>
    </r>
    <r>
      <rPr>
        <vertAlign val="subscript"/>
        <sz val="10"/>
        <rFont val="Times New Roman"/>
        <family val="1"/>
      </rPr>
      <t>act</t>
    </r>
    <r>
      <rPr>
        <sz val="10"/>
        <rFont val="Times New Roman"/>
        <family val="1"/>
      </rPr>
      <t xml:space="preserve"> / Rib = ( Qu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- Wu . S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) / 2  =</t>
    </r>
  </si>
  <si>
    <r>
      <t>S</t>
    </r>
    <r>
      <rPr>
        <vertAlign val="subscript"/>
        <sz val="10"/>
        <color indexed="10"/>
        <rFont val="Times New Roman"/>
        <family val="1"/>
      </rPr>
      <t>L</t>
    </r>
    <r>
      <rPr>
        <sz val="10"/>
        <color indexed="10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</si>
</sst>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4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00"/>
    <numFmt numFmtId="185" formatCode="0.000000000000"/>
    <numFmt numFmtId="186" formatCode="0.000000000"/>
    <numFmt numFmtId="187" formatCode="0.00000000"/>
    <numFmt numFmtId="188" formatCode="&quot;ل.س.&quot;\ #,##0_-;&quot;ل.س.&quot;\ #,##0\-"/>
    <numFmt numFmtId="189" formatCode="&quot;ل.س.&quot;\ #,##0_-;[Red]&quot;ل.س.&quot;\ #,##0\-"/>
    <numFmt numFmtId="190" formatCode="&quot;ل.س.&quot;\ #,##0.00_-;&quot;ل.س.&quot;\ #,##0.00\-"/>
    <numFmt numFmtId="191" formatCode="&quot;ل.س.&quot;\ #,##0.00_-;[Red]&quot;ل.س.&quot;\ #,##0.00\-"/>
    <numFmt numFmtId="192" formatCode="_-&quot;ل.س.&quot;\ * #,##0_-;_-&quot;ل.س.&quot;\ * #,##0\-;_-&quot;ل.س.&quot;\ * &quot;-&quot;_-;_-@_-"/>
    <numFmt numFmtId="193" formatCode="_-&quot;ل.س.&quot;\ * #,##0.00_-;_-&quot;ل.س.&quot;\ * #,##0.00\-;_-&quot;ل.س.&quot;\ * &quot;-&quot;??_-;_-@_-"/>
    <numFmt numFmtId="194" formatCode="00000"/>
    <numFmt numFmtId="195" formatCode="B1mmm\-yy"/>
    <numFmt numFmtId="196" formatCode="mmmm\-yy"/>
    <numFmt numFmtId="197" formatCode="0.0"/>
    <numFmt numFmtId="198" formatCode="mm/dd/yyyy"/>
    <numFmt numFmtId="199" formatCode="m/d"/>
    <numFmt numFmtId="200" formatCode="&quot;ر.س.&quot;\ #,##0.00_-"/>
  </numFmts>
  <fonts count="1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Greek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color indexed="12"/>
      <name val="GreekC"/>
      <family val="0"/>
    </font>
    <font>
      <sz val="10"/>
      <color indexed="12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vertAlign val="subscript"/>
      <sz val="9"/>
      <name val="Times New Roman"/>
      <family val="1"/>
    </font>
    <font>
      <sz val="9"/>
      <name val="Times New Roman"/>
      <family val="1"/>
    </font>
    <font>
      <vertAlign val="subscript"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1" fontId="14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3">
    <cellStyle name="Normal" xfId="0"/>
    <cellStyle name="Comma" xfId="15"/>
    <cellStyle name="Comma [0]" xfId="16"/>
    <cellStyle name="Comma [0]_Deflection" xfId="17"/>
    <cellStyle name="Comma_Deflection" xfId="18"/>
    <cellStyle name="Currency" xfId="19"/>
    <cellStyle name="Currency [0]" xfId="20"/>
    <cellStyle name="Currency [0]_Deflection" xfId="21"/>
    <cellStyle name="Currency_Deflection" xfId="22"/>
    <cellStyle name="Followed Hyperlink" xfId="23"/>
    <cellStyle name="Hyperlink" xfId="24"/>
    <cellStyle name="Normal_F-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37</xdr:row>
      <xdr:rowOff>47625</xdr:rowOff>
    </xdr:from>
    <xdr:to>
      <xdr:col>4</xdr:col>
      <xdr:colOff>209550</xdr:colOff>
      <xdr:row>37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638425" y="6572250"/>
          <a:ext cx="9525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37</xdr:row>
      <xdr:rowOff>19050</xdr:rowOff>
    </xdr:from>
    <xdr:to>
      <xdr:col>4</xdr:col>
      <xdr:colOff>152400</xdr:colOff>
      <xdr:row>37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676525" y="6543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19050</xdr:rowOff>
    </xdr:from>
    <xdr:to>
      <xdr:col>4</xdr:col>
      <xdr:colOff>171450</xdr:colOff>
      <xdr:row>37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95575" y="6543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52</xdr:row>
      <xdr:rowOff>47625</xdr:rowOff>
    </xdr:from>
    <xdr:to>
      <xdr:col>4</xdr:col>
      <xdr:colOff>209550</xdr:colOff>
      <xdr:row>52</xdr:row>
      <xdr:rowOff>114300</xdr:rowOff>
    </xdr:to>
    <xdr:sp>
      <xdr:nvSpPr>
        <xdr:cNvPr id="4" name="Oval 4"/>
        <xdr:cNvSpPr>
          <a:spLocks/>
        </xdr:cNvSpPr>
      </xdr:nvSpPr>
      <xdr:spPr>
        <a:xfrm>
          <a:off x="2638425" y="9324975"/>
          <a:ext cx="9525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52</xdr:row>
      <xdr:rowOff>19050</xdr:rowOff>
    </xdr:from>
    <xdr:to>
      <xdr:col>4</xdr:col>
      <xdr:colOff>152400</xdr:colOff>
      <xdr:row>52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676525" y="9296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52</xdr:row>
      <xdr:rowOff>19050</xdr:rowOff>
    </xdr:from>
    <xdr:to>
      <xdr:col>4</xdr:col>
      <xdr:colOff>171450</xdr:colOff>
      <xdr:row>52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695575" y="9296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67</xdr:row>
      <xdr:rowOff>47625</xdr:rowOff>
    </xdr:from>
    <xdr:to>
      <xdr:col>4</xdr:col>
      <xdr:colOff>209550</xdr:colOff>
      <xdr:row>67</xdr:row>
      <xdr:rowOff>114300</xdr:rowOff>
    </xdr:to>
    <xdr:sp>
      <xdr:nvSpPr>
        <xdr:cNvPr id="7" name="Oval 7"/>
        <xdr:cNvSpPr>
          <a:spLocks/>
        </xdr:cNvSpPr>
      </xdr:nvSpPr>
      <xdr:spPr>
        <a:xfrm>
          <a:off x="2638425" y="12058650"/>
          <a:ext cx="9525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67</xdr:row>
      <xdr:rowOff>19050</xdr:rowOff>
    </xdr:from>
    <xdr:to>
      <xdr:col>4</xdr:col>
      <xdr:colOff>152400</xdr:colOff>
      <xdr:row>67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676525" y="12030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67</xdr:row>
      <xdr:rowOff>19050</xdr:rowOff>
    </xdr:from>
    <xdr:to>
      <xdr:col>4</xdr:col>
      <xdr:colOff>171450</xdr:colOff>
      <xdr:row>67</xdr:row>
      <xdr:rowOff>142875</xdr:rowOff>
    </xdr:to>
    <xdr:sp>
      <xdr:nvSpPr>
        <xdr:cNvPr id="9" name="Line 9"/>
        <xdr:cNvSpPr>
          <a:spLocks/>
        </xdr:cNvSpPr>
      </xdr:nvSpPr>
      <xdr:spPr>
        <a:xfrm>
          <a:off x="2695575" y="12030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16</xdr:row>
      <xdr:rowOff>0</xdr:rowOff>
    </xdr:from>
    <xdr:to>
      <xdr:col>8</xdr:col>
      <xdr:colOff>238125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3019425" y="2762250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95250</xdr:rowOff>
    </xdr:from>
    <xdr:to>
      <xdr:col>5</xdr:col>
      <xdr:colOff>342900</xdr:colOff>
      <xdr:row>19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476625" y="28575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16</xdr:row>
      <xdr:rowOff>95250</xdr:rowOff>
    </xdr:from>
    <xdr:to>
      <xdr:col>5</xdr:col>
      <xdr:colOff>571500</xdr:colOff>
      <xdr:row>19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3705225" y="28575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95250</xdr:rowOff>
    </xdr:from>
    <xdr:to>
      <xdr:col>7</xdr:col>
      <xdr:colOff>142875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4495800" y="28575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95250</xdr:rowOff>
    </xdr:from>
    <xdr:to>
      <xdr:col>7</xdr:col>
      <xdr:colOff>371475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4724400" y="28575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95250</xdr:rowOff>
    </xdr:from>
    <xdr:to>
      <xdr:col>5</xdr:col>
      <xdr:colOff>342900</xdr:colOff>
      <xdr:row>16</xdr:row>
      <xdr:rowOff>95250</xdr:rowOff>
    </xdr:to>
    <xdr:sp>
      <xdr:nvSpPr>
        <xdr:cNvPr id="15" name="Line 15"/>
        <xdr:cNvSpPr>
          <a:spLocks/>
        </xdr:cNvSpPr>
      </xdr:nvSpPr>
      <xdr:spPr>
        <a:xfrm flipH="1">
          <a:off x="3009900" y="2857500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16</xdr:row>
      <xdr:rowOff>95250</xdr:rowOff>
    </xdr:from>
    <xdr:to>
      <xdr:col>7</xdr:col>
      <xdr:colOff>133350</xdr:colOff>
      <xdr:row>16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3705225" y="285750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14</xdr:row>
      <xdr:rowOff>9525</xdr:rowOff>
    </xdr:from>
    <xdr:to>
      <xdr:col>4</xdr:col>
      <xdr:colOff>485775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3009900" y="23717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</xdr:row>
      <xdr:rowOff>0</xdr:rowOff>
    </xdr:from>
    <xdr:to>
      <xdr:col>8</xdr:col>
      <xdr:colOff>238125</xdr:colOff>
      <xdr:row>19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200650" y="23622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95250</xdr:rowOff>
    </xdr:from>
    <xdr:to>
      <xdr:col>8</xdr:col>
      <xdr:colOff>238125</xdr:colOff>
      <xdr:row>16</xdr:row>
      <xdr:rowOff>95250</xdr:rowOff>
    </xdr:to>
    <xdr:sp>
      <xdr:nvSpPr>
        <xdr:cNvPr id="19" name="Line 19"/>
        <xdr:cNvSpPr>
          <a:spLocks/>
        </xdr:cNvSpPr>
      </xdr:nvSpPr>
      <xdr:spPr>
        <a:xfrm flipH="1">
          <a:off x="4724400" y="285750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9525</xdr:rowOff>
    </xdr:from>
    <xdr:to>
      <xdr:col>8</xdr:col>
      <xdr:colOff>238125</xdr:colOff>
      <xdr:row>19</xdr:row>
      <xdr:rowOff>9525</xdr:rowOff>
    </xdr:to>
    <xdr:sp>
      <xdr:nvSpPr>
        <xdr:cNvPr id="20" name="Line 20"/>
        <xdr:cNvSpPr>
          <a:spLocks/>
        </xdr:cNvSpPr>
      </xdr:nvSpPr>
      <xdr:spPr>
        <a:xfrm>
          <a:off x="3019425" y="3295650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19</xdr:row>
      <xdr:rowOff>104775</xdr:rowOff>
    </xdr:from>
    <xdr:to>
      <xdr:col>5</xdr:col>
      <xdr:colOff>342900</xdr:colOff>
      <xdr:row>20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3476625" y="3390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19</xdr:row>
      <xdr:rowOff>104775</xdr:rowOff>
    </xdr:from>
    <xdr:to>
      <xdr:col>5</xdr:col>
      <xdr:colOff>561975</xdr:colOff>
      <xdr:row>20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3695700" y="3390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20</xdr:row>
      <xdr:rowOff>0</xdr:rowOff>
    </xdr:from>
    <xdr:to>
      <xdr:col>5</xdr:col>
      <xdr:colOff>561975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3476625" y="3448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20</xdr:row>
      <xdr:rowOff>9525</xdr:rowOff>
    </xdr:from>
    <xdr:to>
      <xdr:col>5</xdr:col>
      <xdr:colOff>542925</xdr:colOff>
      <xdr:row>21</xdr:row>
      <xdr:rowOff>38100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543300" y="345757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4</xdr:col>
      <xdr:colOff>152400</xdr:colOff>
      <xdr:row>16</xdr:row>
      <xdr:rowOff>0</xdr:rowOff>
    </xdr:from>
    <xdr:to>
      <xdr:col>4</xdr:col>
      <xdr:colOff>409575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676525" y="2762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16</xdr:row>
      <xdr:rowOff>95250</xdr:rowOff>
    </xdr:from>
    <xdr:to>
      <xdr:col>4</xdr:col>
      <xdr:colOff>419100</xdr:colOff>
      <xdr:row>16</xdr:row>
      <xdr:rowOff>95250</xdr:rowOff>
    </xdr:to>
    <xdr:sp>
      <xdr:nvSpPr>
        <xdr:cNvPr id="26" name="Line 26"/>
        <xdr:cNvSpPr>
          <a:spLocks/>
        </xdr:cNvSpPr>
      </xdr:nvSpPr>
      <xdr:spPr>
        <a:xfrm flipH="1">
          <a:off x="2828925" y="2857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19</xdr:row>
      <xdr:rowOff>19050</xdr:rowOff>
    </xdr:from>
    <xdr:to>
      <xdr:col>4</xdr:col>
      <xdr:colOff>333375</xdr:colOff>
      <xdr:row>19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676525" y="3305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16</xdr:row>
      <xdr:rowOff>0</xdr:rowOff>
    </xdr:from>
    <xdr:to>
      <xdr:col>4</xdr:col>
      <xdr:colOff>257175</xdr:colOff>
      <xdr:row>19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2781300" y="2762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9525</xdr:rowOff>
    </xdr:from>
    <xdr:to>
      <xdr:col>4</xdr:col>
      <xdr:colOff>323850</xdr:colOff>
      <xdr:row>18</xdr:row>
      <xdr:rowOff>28575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676525" y="297180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</a:t>
          </a:r>
        </a:p>
      </xdr:txBody>
    </xdr:sp>
    <xdr:clientData/>
  </xdr:twoCellAnchor>
  <xdr:twoCellAnchor>
    <xdr:from>
      <xdr:col>5</xdr:col>
      <xdr:colOff>581025</xdr:colOff>
      <xdr:row>16</xdr:row>
      <xdr:rowOff>104775</xdr:rowOff>
    </xdr:from>
    <xdr:to>
      <xdr:col>7</xdr:col>
      <xdr:colOff>142875</xdr:colOff>
      <xdr:row>19</xdr:row>
      <xdr:rowOff>9525</xdr:rowOff>
    </xdr:to>
    <xdr:sp>
      <xdr:nvSpPr>
        <xdr:cNvPr id="30" name="Line 30"/>
        <xdr:cNvSpPr>
          <a:spLocks/>
        </xdr:cNvSpPr>
      </xdr:nvSpPr>
      <xdr:spPr>
        <a:xfrm>
          <a:off x="3714750" y="2867025"/>
          <a:ext cx="78105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16</xdr:row>
      <xdr:rowOff>95250</xdr:rowOff>
    </xdr:from>
    <xdr:to>
      <xdr:col>7</xdr:col>
      <xdr:colOff>142875</xdr:colOff>
      <xdr:row>19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705225" y="2857500"/>
          <a:ext cx="79057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95250</xdr:rowOff>
    </xdr:from>
    <xdr:to>
      <xdr:col>5</xdr:col>
      <xdr:colOff>342900</xdr:colOff>
      <xdr:row>17</xdr:row>
      <xdr:rowOff>133350</xdr:rowOff>
    </xdr:to>
    <xdr:sp>
      <xdr:nvSpPr>
        <xdr:cNvPr id="32" name="Line 32"/>
        <xdr:cNvSpPr>
          <a:spLocks/>
        </xdr:cNvSpPr>
      </xdr:nvSpPr>
      <xdr:spPr>
        <a:xfrm flipH="1">
          <a:off x="3009900" y="2857500"/>
          <a:ext cx="46672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17</xdr:row>
      <xdr:rowOff>123825</xdr:rowOff>
    </xdr:from>
    <xdr:to>
      <xdr:col>5</xdr:col>
      <xdr:colOff>342900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009900" y="3086100"/>
          <a:ext cx="4667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15</xdr:row>
      <xdr:rowOff>38100</xdr:rowOff>
    </xdr:from>
    <xdr:to>
      <xdr:col>4</xdr:col>
      <xdr:colOff>361950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886075" y="2600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95250</xdr:rowOff>
    </xdr:from>
    <xdr:to>
      <xdr:col>4</xdr:col>
      <xdr:colOff>371475</xdr:colOff>
      <xdr:row>17</xdr:row>
      <xdr:rowOff>9525</xdr:rowOff>
    </xdr:to>
    <xdr:sp>
      <xdr:nvSpPr>
        <xdr:cNvPr id="35" name="Line 35"/>
        <xdr:cNvSpPr>
          <a:spLocks/>
        </xdr:cNvSpPr>
      </xdr:nvSpPr>
      <xdr:spPr>
        <a:xfrm>
          <a:off x="2895600" y="285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14</xdr:row>
      <xdr:rowOff>47625</xdr:rowOff>
    </xdr:from>
    <xdr:to>
      <xdr:col>4</xdr:col>
      <xdr:colOff>514350</xdr:colOff>
      <xdr:row>15</xdr:row>
      <xdr:rowOff>180975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828925" y="2409825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s</a:t>
          </a:r>
        </a:p>
      </xdr:txBody>
    </xdr:sp>
    <xdr:clientData/>
  </xdr:twoCellAnchor>
  <xdr:twoCellAnchor>
    <xdr:from>
      <xdr:col>7</xdr:col>
      <xdr:colOff>381000</xdr:colOff>
      <xdr:row>16</xdr:row>
      <xdr:rowOff>95250</xdr:rowOff>
    </xdr:from>
    <xdr:to>
      <xdr:col>8</xdr:col>
      <xdr:colOff>238125</xdr:colOff>
      <xdr:row>17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733925" y="2857500"/>
          <a:ext cx="46672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17</xdr:row>
      <xdr:rowOff>152400</xdr:rowOff>
    </xdr:from>
    <xdr:to>
      <xdr:col>8</xdr:col>
      <xdr:colOff>238125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4724400" y="3114675"/>
          <a:ext cx="4762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15</xdr:row>
      <xdr:rowOff>0</xdr:rowOff>
    </xdr:from>
    <xdr:to>
      <xdr:col>6</xdr:col>
      <xdr:colOff>371475</xdr:colOff>
      <xdr:row>15</xdr:row>
      <xdr:rowOff>0</xdr:rowOff>
    </xdr:to>
    <xdr:sp>
      <xdr:nvSpPr>
        <xdr:cNvPr id="39" name="Line 39"/>
        <xdr:cNvSpPr>
          <a:spLocks/>
        </xdr:cNvSpPr>
      </xdr:nvSpPr>
      <xdr:spPr>
        <a:xfrm>
          <a:off x="3000375" y="25622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152400</xdr:rowOff>
    </xdr:from>
    <xdr:to>
      <xdr:col>6</xdr:col>
      <xdr:colOff>19050</xdr:colOff>
      <xdr:row>15</xdr:row>
      <xdr:rowOff>38100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514725" y="23526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6</xdr:col>
      <xdr:colOff>361950</xdr:colOff>
      <xdr:row>14</xdr:row>
      <xdr:rowOff>0</xdr:rowOff>
    </xdr:from>
    <xdr:to>
      <xdr:col>6</xdr:col>
      <xdr:colOff>361950</xdr:colOff>
      <xdr:row>15</xdr:row>
      <xdr:rowOff>76200</xdr:rowOff>
    </xdr:to>
    <xdr:sp>
      <xdr:nvSpPr>
        <xdr:cNvPr id="41" name="Line 41"/>
        <xdr:cNvSpPr>
          <a:spLocks/>
        </xdr:cNvSpPr>
      </xdr:nvSpPr>
      <xdr:spPr>
        <a:xfrm flipV="1">
          <a:off x="4105275" y="2362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8</xdr:col>
      <xdr:colOff>247650</xdr:colOff>
      <xdr:row>15</xdr:row>
      <xdr:rowOff>0</xdr:rowOff>
    </xdr:to>
    <xdr:sp>
      <xdr:nvSpPr>
        <xdr:cNvPr id="42" name="Line 42"/>
        <xdr:cNvSpPr>
          <a:spLocks/>
        </xdr:cNvSpPr>
      </xdr:nvSpPr>
      <xdr:spPr>
        <a:xfrm>
          <a:off x="4095750" y="25622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152400</xdr:rowOff>
    </xdr:from>
    <xdr:to>
      <xdr:col>7</xdr:col>
      <xdr:colOff>504825</xdr:colOff>
      <xdr:row>15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610100" y="23526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B</a:t>
          </a:r>
        </a:p>
      </xdr:txBody>
    </xdr:sp>
    <xdr:clientData/>
  </xdr:twoCellAnchor>
  <xdr:twoCellAnchor>
    <xdr:from>
      <xdr:col>5</xdr:col>
      <xdr:colOff>381000</xdr:colOff>
      <xdr:row>16</xdr:row>
      <xdr:rowOff>28575</xdr:rowOff>
    </xdr:from>
    <xdr:to>
      <xdr:col>5</xdr:col>
      <xdr:colOff>381000</xdr:colOff>
      <xdr:row>18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3514725" y="2790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28575</xdr:rowOff>
    </xdr:from>
    <xdr:to>
      <xdr:col>5</xdr:col>
      <xdr:colOff>533400</xdr:colOff>
      <xdr:row>18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3667125" y="2790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133350</xdr:rowOff>
    </xdr:from>
    <xdr:to>
      <xdr:col>5</xdr:col>
      <xdr:colOff>533400</xdr:colOff>
      <xdr:row>18</xdr:row>
      <xdr:rowOff>133350</xdr:rowOff>
    </xdr:to>
    <xdr:sp>
      <xdr:nvSpPr>
        <xdr:cNvPr id="46" name="Line 46"/>
        <xdr:cNvSpPr>
          <a:spLocks/>
        </xdr:cNvSpPr>
      </xdr:nvSpPr>
      <xdr:spPr>
        <a:xfrm>
          <a:off x="3514725" y="3257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16</xdr:row>
      <xdr:rowOff>28575</xdr:rowOff>
    </xdr:from>
    <xdr:to>
      <xdr:col>5</xdr:col>
      <xdr:colOff>381000</xdr:colOff>
      <xdr:row>16</xdr:row>
      <xdr:rowOff>28575</xdr:rowOff>
    </xdr:to>
    <xdr:sp>
      <xdr:nvSpPr>
        <xdr:cNvPr id="47" name="Line 47"/>
        <xdr:cNvSpPr>
          <a:spLocks/>
        </xdr:cNvSpPr>
      </xdr:nvSpPr>
      <xdr:spPr>
        <a:xfrm flipH="1">
          <a:off x="3343275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28575</xdr:rowOff>
    </xdr:from>
    <xdr:to>
      <xdr:col>6</xdr:col>
      <xdr:colOff>95250</xdr:colOff>
      <xdr:row>16</xdr:row>
      <xdr:rowOff>28575</xdr:rowOff>
    </xdr:to>
    <xdr:sp>
      <xdr:nvSpPr>
        <xdr:cNvPr id="48" name="Line 48"/>
        <xdr:cNvSpPr>
          <a:spLocks/>
        </xdr:cNvSpPr>
      </xdr:nvSpPr>
      <xdr:spPr>
        <a:xfrm flipH="1">
          <a:off x="3667125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18</xdr:row>
      <xdr:rowOff>95250</xdr:rowOff>
    </xdr:from>
    <xdr:to>
      <xdr:col>5</xdr:col>
      <xdr:colOff>419100</xdr:colOff>
      <xdr:row>18</xdr:row>
      <xdr:rowOff>123825</xdr:rowOff>
    </xdr:to>
    <xdr:sp>
      <xdr:nvSpPr>
        <xdr:cNvPr id="49" name="Oval 49"/>
        <xdr:cNvSpPr>
          <a:spLocks/>
        </xdr:cNvSpPr>
      </xdr:nvSpPr>
      <xdr:spPr>
        <a:xfrm>
          <a:off x="3524250" y="32194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18</xdr:row>
      <xdr:rowOff>95250</xdr:rowOff>
    </xdr:from>
    <xdr:to>
      <xdr:col>5</xdr:col>
      <xdr:colOff>523875</xdr:colOff>
      <xdr:row>18</xdr:row>
      <xdr:rowOff>123825</xdr:rowOff>
    </xdr:to>
    <xdr:sp>
      <xdr:nvSpPr>
        <xdr:cNvPr id="50" name="Oval 50"/>
        <xdr:cNvSpPr>
          <a:spLocks/>
        </xdr:cNvSpPr>
      </xdr:nvSpPr>
      <xdr:spPr>
        <a:xfrm>
          <a:off x="3629025" y="32194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28575</xdr:rowOff>
    </xdr:from>
    <xdr:to>
      <xdr:col>7</xdr:col>
      <xdr:colOff>180975</xdr:colOff>
      <xdr:row>18</xdr:row>
      <xdr:rowOff>133350</xdr:rowOff>
    </xdr:to>
    <xdr:sp>
      <xdr:nvSpPr>
        <xdr:cNvPr id="51" name="Line 51"/>
        <xdr:cNvSpPr>
          <a:spLocks/>
        </xdr:cNvSpPr>
      </xdr:nvSpPr>
      <xdr:spPr>
        <a:xfrm>
          <a:off x="4533900" y="2790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16</xdr:row>
      <xdr:rowOff>28575</xdr:rowOff>
    </xdr:from>
    <xdr:to>
      <xdr:col>7</xdr:col>
      <xdr:colOff>333375</xdr:colOff>
      <xdr:row>18</xdr:row>
      <xdr:rowOff>123825</xdr:rowOff>
    </xdr:to>
    <xdr:sp>
      <xdr:nvSpPr>
        <xdr:cNvPr id="52" name="Line 52"/>
        <xdr:cNvSpPr>
          <a:spLocks/>
        </xdr:cNvSpPr>
      </xdr:nvSpPr>
      <xdr:spPr>
        <a:xfrm>
          <a:off x="4686300" y="2790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133350</xdr:rowOff>
    </xdr:from>
    <xdr:to>
      <xdr:col>7</xdr:col>
      <xdr:colOff>333375</xdr:colOff>
      <xdr:row>18</xdr:row>
      <xdr:rowOff>133350</xdr:rowOff>
    </xdr:to>
    <xdr:sp>
      <xdr:nvSpPr>
        <xdr:cNvPr id="53" name="Line 53"/>
        <xdr:cNvSpPr>
          <a:spLocks/>
        </xdr:cNvSpPr>
      </xdr:nvSpPr>
      <xdr:spPr>
        <a:xfrm>
          <a:off x="4533900" y="3257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28575</xdr:rowOff>
    </xdr:from>
    <xdr:to>
      <xdr:col>7</xdr:col>
      <xdr:colOff>180975</xdr:colOff>
      <xdr:row>16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4362450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16</xdr:row>
      <xdr:rowOff>28575</xdr:rowOff>
    </xdr:from>
    <xdr:to>
      <xdr:col>7</xdr:col>
      <xdr:colOff>504825</xdr:colOff>
      <xdr:row>16</xdr:row>
      <xdr:rowOff>28575</xdr:rowOff>
    </xdr:to>
    <xdr:sp>
      <xdr:nvSpPr>
        <xdr:cNvPr id="55" name="Line 55"/>
        <xdr:cNvSpPr>
          <a:spLocks/>
        </xdr:cNvSpPr>
      </xdr:nvSpPr>
      <xdr:spPr>
        <a:xfrm flipH="1">
          <a:off x="4686300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95250</xdr:rowOff>
    </xdr:from>
    <xdr:to>
      <xdr:col>7</xdr:col>
      <xdr:colOff>219075</xdr:colOff>
      <xdr:row>18</xdr:row>
      <xdr:rowOff>123825</xdr:rowOff>
    </xdr:to>
    <xdr:sp>
      <xdr:nvSpPr>
        <xdr:cNvPr id="56" name="Oval 56"/>
        <xdr:cNvSpPr>
          <a:spLocks/>
        </xdr:cNvSpPr>
      </xdr:nvSpPr>
      <xdr:spPr>
        <a:xfrm>
          <a:off x="4543425" y="32194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18</xdr:row>
      <xdr:rowOff>95250</xdr:rowOff>
    </xdr:from>
    <xdr:to>
      <xdr:col>7</xdr:col>
      <xdr:colOff>323850</xdr:colOff>
      <xdr:row>18</xdr:row>
      <xdr:rowOff>123825</xdr:rowOff>
    </xdr:to>
    <xdr:sp>
      <xdr:nvSpPr>
        <xdr:cNvPr id="57" name="Oval 57"/>
        <xdr:cNvSpPr>
          <a:spLocks/>
        </xdr:cNvSpPr>
      </xdr:nvSpPr>
      <xdr:spPr>
        <a:xfrm>
          <a:off x="4648200" y="32194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114300</xdr:rowOff>
    </xdr:from>
    <xdr:to>
      <xdr:col>8</xdr:col>
      <xdr:colOff>466725</xdr:colOff>
      <xdr:row>18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4676775" y="3238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0</xdr:rowOff>
    </xdr:from>
    <xdr:to>
      <xdr:col>8</xdr:col>
      <xdr:colOff>419100</xdr:colOff>
      <xdr:row>16</xdr:row>
      <xdr:rowOff>0</xdr:rowOff>
    </xdr:to>
    <xdr:sp>
      <xdr:nvSpPr>
        <xdr:cNvPr id="59" name="Line 59"/>
        <xdr:cNvSpPr>
          <a:spLocks/>
        </xdr:cNvSpPr>
      </xdr:nvSpPr>
      <xdr:spPr>
        <a:xfrm>
          <a:off x="5210175" y="2762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16</xdr:row>
      <xdr:rowOff>0</xdr:rowOff>
    </xdr:from>
    <xdr:to>
      <xdr:col>8</xdr:col>
      <xdr:colOff>381000</xdr:colOff>
      <xdr:row>18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5343525" y="27622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16</xdr:row>
      <xdr:rowOff>152400</xdr:rowOff>
    </xdr:from>
    <xdr:to>
      <xdr:col>8</xdr:col>
      <xdr:colOff>561975</xdr:colOff>
      <xdr:row>17</xdr:row>
      <xdr:rowOff>161925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5353050" y="29146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8</xdr:col>
      <xdr:colOff>19050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3133725" y="9906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</xdr:row>
      <xdr:rowOff>0</xdr:rowOff>
    </xdr:from>
    <xdr:to>
      <xdr:col>5</xdr:col>
      <xdr:colOff>0</xdr:colOff>
      <xdr:row>6</xdr:row>
      <xdr:rowOff>133350</xdr:rowOff>
    </xdr:to>
    <xdr:sp>
      <xdr:nvSpPr>
        <xdr:cNvPr id="63" name="Line 63"/>
        <xdr:cNvSpPr>
          <a:spLocks/>
        </xdr:cNvSpPr>
      </xdr:nvSpPr>
      <xdr:spPr>
        <a:xfrm flipH="1">
          <a:off x="3067050" y="9906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5</xdr:col>
      <xdr:colOff>85725</xdr:colOff>
      <xdr:row>6</xdr:row>
      <xdr:rowOff>133350</xdr:rowOff>
    </xdr:to>
    <xdr:sp>
      <xdr:nvSpPr>
        <xdr:cNvPr id="64" name="Line 64"/>
        <xdr:cNvSpPr>
          <a:spLocks/>
        </xdr:cNvSpPr>
      </xdr:nvSpPr>
      <xdr:spPr>
        <a:xfrm>
          <a:off x="3143250" y="99060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6</xdr:row>
      <xdr:rowOff>133350</xdr:rowOff>
    </xdr:from>
    <xdr:to>
      <xdr:col>5</xdr:col>
      <xdr:colOff>171450</xdr:colOff>
      <xdr:row>6</xdr:row>
      <xdr:rowOff>133350</xdr:rowOff>
    </xdr:to>
    <xdr:sp>
      <xdr:nvSpPr>
        <xdr:cNvPr id="65" name="Line 65"/>
        <xdr:cNvSpPr>
          <a:spLocks/>
        </xdr:cNvSpPr>
      </xdr:nvSpPr>
      <xdr:spPr>
        <a:xfrm>
          <a:off x="3000375" y="1123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0</xdr:rowOff>
    </xdr:from>
    <xdr:to>
      <xdr:col>8</xdr:col>
      <xdr:colOff>0</xdr:colOff>
      <xdr:row>6</xdr:row>
      <xdr:rowOff>133350</xdr:rowOff>
    </xdr:to>
    <xdr:sp>
      <xdr:nvSpPr>
        <xdr:cNvPr id="66" name="Line 66"/>
        <xdr:cNvSpPr>
          <a:spLocks/>
        </xdr:cNvSpPr>
      </xdr:nvSpPr>
      <xdr:spPr>
        <a:xfrm flipH="1">
          <a:off x="4895850" y="99060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8</xdr:col>
      <xdr:colOff>85725</xdr:colOff>
      <xdr:row>6</xdr:row>
      <xdr:rowOff>133350</xdr:rowOff>
    </xdr:to>
    <xdr:sp>
      <xdr:nvSpPr>
        <xdr:cNvPr id="67" name="Line 67"/>
        <xdr:cNvSpPr>
          <a:spLocks/>
        </xdr:cNvSpPr>
      </xdr:nvSpPr>
      <xdr:spPr>
        <a:xfrm>
          <a:off x="4972050" y="99060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6</xdr:row>
      <xdr:rowOff>133350</xdr:rowOff>
    </xdr:from>
    <xdr:to>
      <xdr:col>8</xdr:col>
      <xdr:colOff>171450</xdr:colOff>
      <xdr:row>6</xdr:row>
      <xdr:rowOff>133350</xdr:rowOff>
    </xdr:to>
    <xdr:sp>
      <xdr:nvSpPr>
        <xdr:cNvPr id="68" name="Line 68"/>
        <xdr:cNvSpPr>
          <a:spLocks/>
        </xdr:cNvSpPr>
      </xdr:nvSpPr>
      <xdr:spPr>
        <a:xfrm>
          <a:off x="4829175" y="1123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142875</xdr:rowOff>
    </xdr:from>
    <xdr:to>
      <xdr:col>5</xdr:col>
      <xdr:colOff>333375</xdr:colOff>
      <xdr:row>6</xdr:row>
      <xdr:rowOff>57150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847975" y="809625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Mu (-ive)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 L</a:t>
          </a:r>
        </a:p>
      </xdr:txBody>
    </xdr:sp>
    <xdr:clientData/>
  </xdr:twoCellAnchor>
  <xdr:twoCellAnchor>
    <xdr:from>
      <xdr:col>7</xdr:col>
      <xdr:colOff>352425</xdr:colOff>
      <xdr:row>4</xdr:row>
      <xdr:rowOff>142875</xdr:rowOff>
    </xdr:from>
    <xdr:to>
      <xdr:col>8</xdr:col>
      <xdr:colOff>361950</xdr:colOff>
      <xdr:row>6</xdr:row>
      <xdr:rowOff>57150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705350" y="809625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Mu (-ive)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 R</a:t>
          </a:r>
        </a:p>
      </xdr:txBody>
    </xdr:sp>
    <xdr:clientData/>
  </xdr:twoCellAnchor>
  <xdr:twoCellAnchor>
    <xdr:from>
      <xdr:col>6</xdr:col>
      <xdr:colOff>38100</xdr:colOff>
      <xdr:row>6</xdr:row>
      <xdr:rowOff>19050</xdr:rowOff>
    </xdr:from>
    <xdr:to>
      <xdr:col>7</xdr:col>
      <xdr:colOff>47625</xdr:colOff>
      <xdr:row>7</xdr:row>
      <xdr:rowOff>114300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3781425" y="1009650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Mu (+ive)</a:t>
          </a:r>
        </a:p>
      </xdr:txBody>
    </xdr:sp>
    <xdr:clientData/>
  </xdr:twoCellAnchor>
  <xdr:twoCellAnchor>
    <xdr:from>
      <xdr:col>5</xdr:col>
      <xdr:colOff>9525</xdr:colOff>
      <xdr:row>6</xdr:row>
      <xdr:rowOff>123825</xdr:rowOff>
    </xdr:from>
    <xdr:to>
      <xdr:col>5</xdr:col>
      <xdr:colOff>9525</xdr:colOff>
      <xdr:row>8</xdr:row>
      <xdr:rowOff>133350</xdr:rowOff>
    </xdr:to>
    <xdr:sp>
      <xdr:nvSpPr>
        <xdr:cNvPr id="72" name="Line 72"/>
        <xdr:cNvSpPr>
          <a:spLocks/>
        </xdr:cNvSpPr>
      </xdr:nvSpPr>
      <xdr:spPr>
        <a:xfrm>
          <a:off x="3143250" y="11144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7</xdr:row>
      <xdr:rowOff>161925</xdr:rowOff>
    </xdr:from>
    <xdr:to>
      <xdr:col>5</xdr:col>
      <xdr:colOff>228600</xdr:colOff>
      <xdr:row>9</xdr:row>
      <xdr:rowOff>95250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876550" y="1333500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Qu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L</a:t>
          </a:r>
        </a:p>
      </xdr:txBody>
    </xdr:sp>
    <xdr:clientData/>
  </xdr:twoCellAnchor>
  <xdr:twoCellAnchor>
    <xdr:from>
      <xdr:col>8</xdr:col>
      <xdr:colOff>9525</xdr:colOff>
      <xdr:row>6</xdr:row>
      <xdr:rowOff>123825</xdr:rowOff>
    </xdr:from>
    <xdr:to>
      <xdr:col>8</xdr:col>
      <xdr:colOff>9525</xdr:colOff>
      <xdr:row>8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4972050" y="11144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161925</xdr:rowOff>
    </xdr:from>
    <xdr:to>
      <xdr:col>8</xdr:col>
      <xdr:colOff>523875</xdr:colOff>
      <xdr:row>9</xdr:row>
      <xdr:rowOff>95250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000625" y="1333500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Qu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0</xdr:col>
      <xdr:colOff>657225</xdr:colOff>
      <xdr:row>83</xdr:row>
      <xdr:rowOff>95250</xdr:rowOff>
    </xdr:from>
    <xdr:to>
      <xdr:col>1</xdr:col>
      <xdr:colOff>9525</xdr:colOff>
      <xdr:row>83</xdr:row>
      <xdr:rowOff>171450</xdr:rowOff>
    </xdr:to>
    <xdr:sp>
      <xdr:nvSpPr>
        <xdr:cNvPr id="76" name="Line 76"/>
        <xdr:cNvSpPr>
          <a:spLocks/>
        </xdr:cNvSpPr>
      </xdr:nvSpPr>
      <xdr:spPr>
        <a:xfrm>
          <a:off x="657225" y="1485900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83</xdr:row>
      <xdr:rowOff>19050</xdr:rowOff>
    </xdr:from>
    <xdr:to>
      <xdr:col>1</xdr:col>
      <xdr:colOff>19050</xdr:colOff>
      <xdr:row>83</xdr:row>
      <xdr:rowOff>171450</xdr:rowOff>
    </xdr:to>
    <xdr:sp>
      <xdr:nvSpPr>
        <xdr:cNvPr id="77" name="Line 77"/>
        <xdr:cNvSpPr>
          <a:spLocks/>
        </xdr:cNvSpPr>
      </xdr:nvSpPr>
      <xdr:spPr>
        <a:xfrm flipV="1">
          <a:off x="704850" y="1478280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83</xdr:row>
      <xdr:rowOff>19050</xdr:rowOff>
    </xdr:from>
    <xdr:to>
      <xdr:col>1</xdr:col>
      <xdr:colOff>247650</xdr:colOff>
      <xdr:row>83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714375" y="14782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84</xdr:row>
      <xdr:rowOff>104775</xdr:rowOff>
    </xdr:from>
    <xdr:to>
      <xdr:col>1</xdr:col>
      <xdr:colOff>95250</xdr:colOff>
      <xdr:row>84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742950" y="150685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84</xdr:row>
      <xdr:rowOff>28575</xdr:rowOff>
    </xdr:from>
    <xdr:to>
      <xdr:col>1</xdr:col>
      <xdr:colOff>104775</xdr:colOff>
      <xdr:row>84</xdr:row>
      <xdr:rowOff>180975</xdr:rowOff>
    </xdr:to>
    <xdr:sp>
      <xdr:nvSpPr>
        <xdr:cNvPr id="80" name="Line 80"/>
        <xdr:cNvSpPr>
          <a:spLocks/>
        </xdr:cNvSpPr>
      </xdr:nvSpPr>
      <xdr:spPr>
        <a:xfrm flipV="1">
          <a:off x="790575" y="149923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84</xdr:row>
      <xdr:rowOff>28575</xdr:rowOff>
    </xdr:from>
    <xdr:to>
      <xdr:col>1</xdr:col>
      <xdr:colOff>333375</xdr:colOff>
      <xdr:row>84</xdr:row>
      <xdr:rowOff>28575</xdr:rowOff>
    </xdr:to>
    <xdr:sp>
      <xdr:nvSpPr>
        <xdr:cNvPr id="81" name="Line 81"/>
        <xdr:cNvSpPr>
          <a:spLocks/>
        </xdr:cNvSpPr>
      </xdr:nvSpPr>
      <xdr:spPr>
        <a:xfrm>
          <a:off x="800100" y="149923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0.421875" style="0" customWidth="1"/>
  </cols>
  <sheetData>
    <row r="1" spans="1:9" ht="12.75">
      <c r="A1" s="5" t="s">
        <v>5</v>
      </c>
      <c r="B1" s="3"/>
      <c r="C1" s="1"/>
      <c r="D1" s="1"/>
      <c r="H1" s="1"/>
      <c r="I1" s="1"/>
    </row>
    <row r="2" spans="1:4" ht="12.75">
      <c r="A2" s="2"/>
      <c r="B2" s="2"/>
      <c r="C2" s="2"/>
      <c r="D2" s="2"/>
    </row>
    <row r="3" spans="1:9" ht="14.25">
      <c r="A3" s="6" t="s">
        <v>6</v>
      </c>
      <c r="B3" s="7" t="s">
        <v>31</v>
      </c>
      <c r="C3" s="7"/>
      <c r="D3" s="2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6" t="s">
        <v>7</v>
      </c>
      <c r="B5" s="3"/>
      <c r="C5" s="3"/>
      <c r="D5" s="3"/>
      <c r="E5" s="3"/>
      <c r="F5" s="1"/>
      <c r="G5" s="1"/>
      <c r="H5" s="1"/>
      <c r="I5" s="1"/>
    </row>
    <row r="6" spans="1:9" ht="12.75">
      <c r="A6" s="1" t="s">
        <v>8</v>
      </c>
      <c r="B6" s="4" t="s">
        <v>0</v>
      </c>
      <c r="C6" s="8">
        <v>6.2</v>
      </c>
      <c r="D6" s="1" t="s">
        <v>9</v>
      </c>
      <c r="E6" s="1"/>
      <c r="F6" s="1"/>
      <c r="G6" s="1"/>
      <c r="H6" s="1"/>
      <c r="I6" s="1"/>
    </row>
    <row r="7" spans="1:9" ht="14.25">
      <c r="A7" s="1" t="s">
        <v>32</v>
      </c>
      <c r="B7" s="4" t="s">
        <v>0</v>
      </c>
      <c r="C7" s="8">
        <v>0</v>
      </c>
      <c r="D7" s="1" t="s">
        <v>9</v>
      </c>
      <c r="E7" s="9"/>
      <c r="F7" s="9"/>
      <c r="G7" s="9"/>
      <c r="H7" s="9"/>
      <c r="I7" s="9"/>
    </row>
    <row r="8" spans="1:9" ht="14.25">
      <c r="A8" s="1" t="s">
        <v>33</v>
      </c>
      <c r="B8" s="4" t="s">
        <v>0</v>
      </c>
      <c r="C8" s="8">
        <v>0</v>
      </c>
      <c r="D8" s="1" t="s">
        <v>9</v>
      </c>
      <c r="E8" s="9"/>
      <c r="F8" s="9"/>
      <c r="G8" s="9"/>
      <c r="H8" s="9"/>
      <c r="I8" s="9"/>
    </row>
    <row r="9" spans="1:9" ht="14.25">
      <c r="A9" s="1" t="s">
        <v>34</v>
      </c>
      <c r="B9" s="4" t="s">
        <v>0</v>
      </c>
      <c r="C9" s="8">
        <v>4.4</v>
      </c>
      <c r="D9" s="1" t="s">
        <v>2</v>
      </c>
      <c r="E9" s="9"/>
      <c r="F9" s="9"/>
      <c r="G9" s="9"/>
      <c r="H9" s="9"/>
      <c r="I9" s="9"/>
    </row>
    <row r="10" spans="1:9" ht="14.25">
      <c r="A10" s="1" t="s">
        <v>35</v>
      </c>
      <c r="B10" s="4" t="s">
        <v>0</v>
      </c>
      <c r="C10" s="8">
        <v>4.4</v>
      </c>
      <c r="D10" s="1" t="s">
        <v>2</v>
      </c>
      <c r="E10" s="9"/>
      <c r="F10" s="9"/>
      <c r="G10" s="9"/>
      <c r="H10" s="9"/>
      <c r="I10" s="9"/>
    </row>
    <row r="11" spans="1:9" ht="12.75">
      <c r="A11" s="1" t="s">
        <v>10</v>
      </c>
      <c r="B11" s="4" t="s">
        <v>0</v>
      </c>
      <c r="C11" s="8">
        <v>1.17</v>
      </c>
      <c r="D11" s="1" t="s">
        <v>11</v>
      </c>
      <c r="E11" s="9"/>
      <c r="F11" s="9"/>
      <c r="G11" s="9"/>
      <c r="H11" s="9"/>
      <c r="I11" s="9"/>
    </row>
    <row r="12" spans="1:9" ht="12.75">
      <c r="A12" s="3"/>
      <c r="B12" s="3"/>
      <c r="C12" s="3"/>
      <c r="D12" s="3"/>
      <c r="E12" s="9"/>
      <c r="F12" s="9"/>
      <c r="G12" s="9"/>
      <c r="H12" s="9"/>
      <c r="I12" s="9"/>
    </row>
    <row r="13" spans="1:9" ht="12.75">
      <c r="A13" s="3"/>
      <c r="B13" s="3"/>
      <c r="C13" s="3"/>
      <c r="D13" s="3"/>
      <c r="E13" s="9"/>
      <c r="F13" s="9"/>
      <c r="G13" s="9"/>
      <c r="H13" s="9"/>
      <c r="I13" s="9"/>
    </row>
    <row r="14" spans="1:9" ht="12.75">
      <c r="A14" s="6" t="s">
        <v>12</v>
      </c>
      <c r="B14" s="10"/>
      <c r="C14" s="10"/>
      <c r="D14" s="3"/>
      <c r="E14" s="9"/>
      <c r="F14" s="9"/>
      <c r="G14" s="9"/>
      <c r="H14" s="9"/>
      <c r="I14" s="9"/>
    </row>
    <row r="15" spans="1:9" ht="15.75">
      <c r="A15" s="1" t="s">
        <v>13</v>
      </c>
      <c r="B15" s="4" t="s">
        <v>0</v>
      </c>
      <c r="C15" s="11">
        <v>250</v>
      </c>
      <c r="D15" s="12" t="s">
        <v>36</v>
      </c>
      <c r="E15" s="9"/>
      <c r="F15" s="9"/>
      <c r="G15" s="9"/>
      <c r="H15" s="9"/>
      <c r="I15" s="9"/>
    </row>
    <row r="16" spans="1:9" ht="15.75">
      <c r="A16" s="1" t="s">
        <v>37</v>
      </c>
      <c r="B16" s="4" t="s">
        <v>0</v>
      </c>
      <c r="C16" s="11">
        <v>3600</v>
      </c>
      <c r="D16" s="12" t="s">
        <v>36</v>
      </c>
      <c r="E16" s="1"/>
      <c r="F16" s="1"/>
      <c r="G16" s="1"/>
      <c r="H16" s="1"/>
      <c r="I16" s="1"/>
    </row>
    <row r="17" spans="1:9" ht="15.75">
      <c r="A17" s="1" t="s">
        <v>38</v>
      </c>
      <c r="B17" s="4" t="s">
        <v>0</v>
      </c>
      <c r="C17" s="11">
        <v>2400</v>
      </c>
      <c r="D17" s="12" t="s">
        <v>36</v>
      </c>
      <c r="E17" s="1"/>
      <c r="F17" s="1"/>
      <c r="G17" s="1"/>
      <c r="H17" s="1"/>
      <c r="I17" s="1"/>
    </row>
    <row r="18" spans="1:9" ht="12.75">
      <c r="A18" s="3"/>
      <c r="B18" s="3"/>
      <c r="C18" s="3"/>
      <c r="D18" s="3"/>
      <c r="E18" s="1"/>
      <c r="F18" s="1"/>
      <c r="G18" s="1"/>
      <c r="H18" s="1"/>
      <c r="I18" s="1"/>
    </row>
    <row r="19" spans="1:9" ht="12.75">
      <c r="A19" s="3"/>
      <c r="B19" s="3"/>
      <c r="C19" s="3"/>
      <c r="D19" s="3"/>
      <c r="E19" s="1"/>
      <c r="F19" s="1"/>
      <c r="G19" s="1"/>
      <c r="H19" s="1"/>
      <c r="I19" s="1"/>
    </row>
    <row r="20" spans="1:9" ht="12.75">
      <c r="A20" s="6" t="s">
        <v>14</v>
      </c>
      <c r="B20" s="10"/>
      <c r="C20" s="10"/>
      <c r="D20" s="3"/>
      <c r="E20" s="9"/>
      <c r="F20" s="1"/>
      <c r="G20" s="1"/>
      <c r="H20" s="1"/>
      <c r="I20" s="1"/>
    </row>
    <row r="21" spans="1:9" ht="14.25">
      <c r="A21" s="1" t="s">
        <v>39</v>
      </c>
      <c r="B21" s="1"/>
      <c r="C21" s="1"/>
      <c r="D21" s="11">
        <v>5</v>
      </c>
      <c r="E21" s="1" t="s">
        <v>15</v>
      </c>
      <c r="F21" s="1"/>
      <c r="G21" s="1"/>
      <c r="H21" s="1"/>
      <c r="I21" s="1"/>
    </row>
    <row r="22" spans="1:9" ht="12.75">
      <c r="A22" s="1" t="s">
        <v>16</v>
      </c>
      <c r="B22" s="1"/>
      <c r="C22" s="1"/>
      <c r="D22" s="11">
        <v>25</v>
      </c>
      <c r="E22" s="1" t="s">
        <v>15</v>
      </c>
      <c r="F22" s="1"/>
      <c r="G22" s="1"/>
      <c r="H22" s="1"/>
      <c r="I22" s="1"/>
    </row>
    <row r="23" spans="1:9" ht="12.75">
      <c r="A23" s="1" t="s">
        <v>17</v>
      </c>
      <c r="B23" s="1"/>
      <c r="C23" s="4" t="s">
        <v>0</v>
      </c>
      <c r="D23" s="11">
        <v>10</v>
      </c>
      <c r="E23" s="1" t="s">
        <v>15</v>
      </c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21" ht="12.75">
      <c r="A26" s="6" t="s">
        <v>18</v>
      </c>
      <c r="B26" s="10"/>
      <c r="C26" s="10"/>
      <c r="D26" s="3"/>
      <c r="E26" s="3"/>
      <c r="F26" s="1"/>
      <c r="G26" s="1"/>
      <c r="H26" s="1"/>
      <c r="I26" s="1"/>
      <c r="J26" s="2"/>
      <c r="K26" s="2"/>
      <c r="S26" s="13" t="s">
        <v>3</v>
      </c>
      <c r="T26" s="14" t="s">
        <v>0</v>
      </c>
      <c r="U26" s="14">
        <f>(0.531*C16^2/(50*C15))</f>
        <v>550.5408</v>
      </c>
    </row>
    <row r="27" spans="1:21" ht="15.75">
      <c r="A27" s="1" t="s">
        <v>40</v>
      </c>
      <c r="B27" s="1"/>
      <c r="C27" s="1"/>
      <c r="D27" s="1"/>
      <c r="E27" s="1"/>
      <c r="F27" s="1"/>
      <c r="G27" s="1"/>
      <c r="H27" s="3"/>
      <c r="I27" s="3"/>
      <c r="J27" s="2"/>
      <c r="K27" s="2"/>
      <c r="S27" s="13" t="s">
        <v>1</v>
      </c>
      <c r="T27" s="14" t="s">
        <v>0</v>
      </c>
      <c r="U27" s="14">
        <f>-0.9*C16*(D22-2.5)</f>
        <v>-72900</v>
      </c>
    </row>
    <row r="28" spans="1:21" ht="15.75">
      <c r="A28" s="15" t="s">
        <v>41</v>
      </c>
      <c r="B28" s="16">
        <f>MIN(U29,U30)</f>
        <v>4.398508140074755</v>
      </c>
      <c r="C28" s="17" t="s">
        <v>42</v>
      </c>
      <c r="D28" s="3"/>
      <c r="E28" s="1"/>
      <c r="F28" s="1"/>
      <c r="G28" s="1"/>
      <c r="H28" s="3"/>
      <c r="I28" s="3"/>
      <c r="J28" s="2"/>
      <c r="K28" s="2"/>
      <c r="S28" s="13" t="s">
        <v>19</v>
      </c>
      <c r="T28" s="14" t="s">
        <v>0</v>
      </c>
      <c r="U28" s="14">
        <f>C6*100000/2</f>
        <v>310000</v>
      </c>
    </row>
    <row r="29" spans="1:21" ht="14.25">
      <c r="A29" s="1"/>
      <c r="B29" s="1"/>
      <c r="C29" s="1"/>
      <c r="D29" s="1"/>
      <c r="E29" s="1"/>
      <c r="F29" s="1"/>
      <c r="G29" s="1"/>
      <c r="H29" s="3"/>
      <c r="I29" s="3"/>
      <c r="J29" s="2"/>
      <c r="K29" s="2"/>
      <c r="S29" s="13" t="s">
        <v>43</v>
      </c>
      <c r="T29" s="14" t="s">
        <v>0</v>
      </c>
      <c r="U29" s="18">
        <f>(-U27+(U27^2-4*U26*U28)^0.5)/(2*U26)</f>
        <v>128.0167460972134</v>
      </c>
    </row>
    <row r="30" spans="1:21" ht="14.25">
      <c r="A30" s="1" t="s">
        <v>20</v>
      </c>
      <c r="B30" s="1"/>
      <c r="C30" s="1"/>
      <c r="D30" s="1"/>
      <c r="E30" s="1"/>
      <c r="F30" s="1"/>
      <c r="G30" s="1"/>
      <c r="H30" s="3"/>
      <c r="I30" s="3"/>
      <c r="J30" s="2"/>
      <c r="K30" s="2"/>
      <c r="S30" s="13" t="s">
        <v>44</v>
      </c>
      <c r="T30" s="14" t="s">
        <v>0</v>
      </c>
      <c r="U30" s="18">
        <f>(-U27-(U27^2-4*U26*U28)^0.5)/(2*U26)</f>
        <v>4.398508140074755</v>
      </c>
    </row>
    <row r="31" spans="1:11" ht="15.75">
      <c r="A31" s="15" t="s">
        <v>21</v>
      </c>
      <c r="B31" s="16">
        <f>D23*(D22-2.5)*((4550*C15/(6300+C16)/C16)+(0.85*C15*(50-D23)*D21)/(D23*(D22-2.5)*C16))</f>
        <v>18.986742424242422</v>
      </c>
      <c r="C31" s="17" t="s">
        <v>42</v>
      </c>
      <c r="D31" s="19" t="str">
        <f>IF(AND(B28&lt;0.5*B31),"Ascal &lt; 0.5 Asb -- ( O.K )","Increase Slab Thickness")</f>
        <v>Ascal &lt; 0.5 Asb -- ( O.K )</v>
      </c>
      <c r="E31" s="1"/>
      <c r="F31" s="1"/>
      <c r="G31" s="3"/>
      <c r="H31" s="3"/>
      <c r="I31" s="3"/>
      <c r="J31" s="2"/>
      <c r="K31" s="2"/>
    </row>
    <row r="32" spans="1:20" ht="12.75">
      <c r="A32" s="1"/>
      <c r="B32" s="1"/>
      <c r="C32" s="1"/>
      <c r="D32" s="1"/>
      <c r="E32" s="1"/>
      <c r="F32" s="1"/>
      <c r="G32" s="1"/>
      <c r="H32" s="3"/>
      <c r="I32" s="3"/>
      <c r="J32" s="2"/>
      <c r="K32" s="2"/>
      <c r="T32" s="20"/>
    </row>
    <row r="33" spans="1:11" ht="15.75">
      <c r="A33" s="1" t="s">
        <v>45</v>
      </c>
      <c r="B33" s="1"/>
      <c r="C33" s="4" t="s">
        <v>0</v>
      </c>
      <c r="D33" s="21">
        <f>9/C16*D23*(D22-2.5)</f>
        <v>0.5625</v>
      </c>
      <c r="E33" s="17" t="s">
        <v>42</v>
      </c>
      <c r="F33" s="1"/>
      <c r="G33" s="1"/>
      <c r="H33" s="3"/>
      <c r="I33" s="3"/>
      <c r="J33" s="2"/>
      <c r="K33" s="2"/>
    </row>
    <row r="34" spans="1:11" ht="15.75">
      <c r="A34" s="1" t="s">
        <v>46</v>
      </c>
      <c r="B34" s="1"/>
      <c r="C34" s="4" t="s">
        <v>0</v>
      </c>
      <c r="D34" s="21">
        <f>1.33*B28</f>
        <v>5.850015826299424</v>
      </c>
      <c r="E34" s="17" t="s">
        <v>42</v>
      </c>
      <c r="F34" s="1"/>
      <c r="G34" s="1"/>
      <c r="H34" s="3"/>
      <c r="I34" s="3"/>
      <c r="J34" s="2"/>
      <c r="K34" s="2"/>
    </row>
    <row r="35" spans="1:11" ht="15.75">
      <c r="A35" s="15" t="s">
        <v>47</v>
      </c>
      <c r="B35" s="22">
        <f>IF(AND(D33&gt;B28),(MIN(D33,D34)),(D33))</f>
        <v>0.5625</v>
      </c>
      <c r="C35" s="17" t="s">
        <v>42</v>
      </c>
      <c r="D35" s="3"/>
      <c r="E35" s="1"/>
      <c r="F35" s="1"/>
      <c r="G35" s="1"/>
      <c r="H35" s="3"/>
      <c r="I35" s="3"/>
      <c r="J35" s="2"/>
      <c r="K35" s="2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</row>
    <row r="37" spans="1:11" ht="15.75">
      <c r="A37" s="1"/>
      <c r="B37" s="1"/>
      <c r="C37" s="23" t="s">
        <v>48</v>
      </c>
      <c r="D37" s="23" t="s">
        <v>0</v>
      </c>
      <c r="E37" s="24">
        <f>MAX(B28,B35)</f>
        <v>4.398508140074755</v>
      </c>
      <c r="F37" s="25" t="s">
        <v>42</v>
      </c>
      <c r="G37" s="1"/>
      <c r="H37" s="1"/>
      <c r="I37" s="1"/>
      <c r="J37" s="2"/>
      <c r="K37" s="2"/>
    </row>
    <row r="38" spans="1:11" ht="13.5" thickBot="1">
      <c r="A38" s="1"/>
      <c r="B38" s="1"/>
      <c r="C38" s="26" t="s">
        <v>22</v>
      </c>
      <c r="D38" s="27">
        <f>MAX(E37/(3.1415926*(E38/10)^2/4)+0.5,2)</f>
        <v>2.2285045053439623</v>
      </c>
      <c r="E38" s="28">
        <v>18</v>
      </c>
      <c r="F38" s="29" t="s">
        <v>23</v>
      </c>
      <c r="G38" s="1"/>
      <c r="H38" s="1"/>
      <c r="I38" s="1"/>
      <c r="J38" s="2"/>
      <c r="K38" s="2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2"/>
      <c r="K40" s="2"/>
    </row>
    <row r="41" spans="1:21" ht="13.5">
      <c r="A41" s="6" t="s">
        <v>49</v>
      </c>
      <c r="B41" s="10"/>
      <c r="C41" s="10"/>
      <c r="D41" s="10"/>
      <c r="E41" s="3"/>
      <c r="F41" s="1"/>
      <c r="G41" s="1"/>
      <c r="H41" s="1"/>
      <c r="I41" s="1"/>
      <c r="J41" s="2"/>
      <c r="K41" s="2"/>
      <c r="S41" s="13" t="s">
        <v>3</v>
      </c>
      <c r="T41" s="14" t="s">
        <v>0</v>
      </c>
      <c r="U41" s="14">
        <f>(0.531*C16^2/(50*C15))</f>
        <v>550.5408</v>
      </c>
    </row>
    <row r="42" spans="1:21" ht="15.75">
      <c r="A42" s="1" t="s">
        <v>40</v>
      </c>
      <c r="B42" s="1"/>
      <c r="C42" s="1"/>
      <c r="D42" s="1"/>
      <c r="E42" s="1"/>
      <c r="F42" s="1"/>
      <c r="G42" s="1"/>
      <c r="H42" s="3"/>
      <c r="I42" s="3"/>
      <c r="J42" s="2"/>
      <c r="K42" s="2"/>
      <c r="S42" s="13" t="s">
        <v>1</v>
      </c>
      <c r="T42" s="14" t="s">
        <v>0</v>
      </c>
      <c r="U42" s="14">
        <f>-0.9*C16*(D22-2.5)</f>
        <v>-72900</v>
      </c>
    </row>
    <row r="43" spans="1:21" ht="15.75">
      <c r="A43" s="15" t="s">
        <v>41</v>
      </c>
      <c r="B43" s="16">
        <f>MIN(U44,U45)</f>
        <v>0</v>
      </c>
      <c r="C43" s="17" t="s">
        <v>42</v>
      </c>
      <c r="D43" s="3"/>
      <c r="E43" s="1"/>
      <c r="F43" s="1"/>
      <c r="G43" s="1"/>
      <c r="H43" s="3"/>
      <c r="I43" s="3"/>
      <c r="J43" s="2"/>
      <c r="K43" s="2"/>
      <c r="S43" s="13" t="s">
        <v>19</v>
      </c>
      <c r="T43" s="14" t="s">
        <v>0</v>
      </c>
      <c r="U43" s="14">
        <f>C7*100000/2</f>
        <v>0</v>
      </c>
    </row>
    <row r="44" spans="1:21" ht="14.25">
      <c r="A44" s="1"/>
      <c r="B44" s="1"/>
      <c r="C44" s="1"/>
      <c r="D44" s="1"/>
      <c r="E44" s="1"/>
      <c r="F44" s="1"/>
      <c r="G44" s="1"/>
      <c r="H44" s="3"/>
      <c r="I44" s="3"/>
      <c r="J44" s="2"/>
      <c r="K44" s="2"/>
      <c r="S44" s="13" t="s">
        <v>43</v>
      </c>
      <c r="T44" s="14" t="s">
        <v>0</v>
      </c>
      <c r="U44" s="18">
        <f>(-U42+(U42^2-4*U41*U43)^0.5)/(2*U41)</f>
        <v>132.41525423728814</v>
      </c>
    </row>
    <row r="45" spans="1:21" ht="14.25">
      <c r="A45" s="1" t="s">
        <v>24</v>
      </c>
      <c r="B45" s="1"/>
      <c r="C45" s="1"/>
      <c r="D45" s="1"/>
      <c r="E45" s="1"/>
      <c r="F45" s="1"/>
      <c r="G45" s="1"/>
      <c r="H45" s="3"/>
      <c r="I45" s="3"/>
      <c r="J45" s="2"/>
      <c r="K45" s="2"/>
      <c r="S45" s="13" t="s">
        <v>44</v>
      </c>
      <c r="T45" s="14" t="s">
        <v>0</v>
      </c>
      <c r="U45" s="18">
        <f>(-U42-(U42^2-4*U41*U43)^0.5)/(2*U41)</f>
        <v>0</v>
      </c>
    </row>
    <row r="46" spans="1:11" ht="15.75">
      <c r="A46" s="15" t="s">
        <v>21</v>
      </c>
      <c r="B46" s="16">
        <f>50*(D22-2.5)*((4550*C15/(6300+C16)/C16))</f>
        <v>35.905934343434346</v>
      </c>
      <c r="C46" s="17" t="s">
        <v>42</v>
      </c>
      <c r="D46" s="19" t="str">
        <f>IF(AND(B43&lt;0.5*B46),"Ascal &lt; 0.5 Asb -- ( O.K )","Increase Slab Thickness")</f>
        <v>Ascal &lt; 0.5 Asb -- ( O.K )</v>
      </c>
      <c r="E46" s="1"/>
      <c r="F46" s="1"/>
      <c r="G46" s="3"/>
      <c r="H46" s="3"/>
      <c r="I46" s="3"/>
      <c r="J46" s="2"/>
      <c r="K46" s="2"/>
    </row>
    <row r="47" spans="1:20" ht="12.75">
      <c r="A47" s="1"/>
      <c r="B47" s="1"/>
      <c r="C47" s="1"/>
      <c r="D47" s="1"/>
      <c r="E47" s="1"/>
      <c r="F47" s="1"/>
      <c r="G47" s="1"/>
      <c r="H47" s="3"/>
      <c r="I47" s="3"/>
      <c r="J47" s="2"/>
      <c r="K47" s="2"/>
      <c r="T47" s="20"/>
    </row>
    <row r="48" spans="1:11" ht="15.75">
      <c r="A48" s="1" t="s">
        <v>50</v>
      </c>
      <c r="B48" s="1"/>
      <c r="C48" s="4" t="s">
        <v>0</v>
      </c>
      <c r="D48" s="21">
        <f>9/C16*50*(D22-2.5)</f>
        <v>2.8125</v>
      </c>
      <c r="E48" s="17" t="s">
        <v>42</v>
      </c>
      <c r="F48" s="1"/>
      <c r="G48" s="1"/>
      <c r="H48" s="3"/>
      <c r="I48" s="3"/>
      <c r="J48" s="2"/>
      <c r="K48" s="2"/>
    </row>
    <row r="49" spans="1:11" ht="15.75">
      <c r="A49" s="1" t="s">
        <v>46</v>
      </c>
      <c r="B49" s="1"/>
      <c r="C49" s="4" t="s">
        <v>0</v>
      </c>
      <c r="D49" s="21">
        <f>1.33*B43</f>
        <v>0</v>
      </c>
      <c r="E49" s="17" t="s">
        <v>42</v>
      </c>
      <c r="F49" s="1"/>
      <c r="G49" s="1"/>
      <c r="H49" s="3"/>
      <c r="I49" s="3"/>
      <c r="J49" s="2"/>
      <c r="K49" s="2"/>
    </row>
    <row r="50" spans="1:11" ht="15.75">
      <c r="A50" s="15" t="s">
        <v>47</v>
      </c>
      <c r="B50" s="22">
        <f>IF(AND(D48&gt;B43),(MIN(D48,D49)),(D48))</f>
        <v>0</v>
      </c>
      <c r="C50" s="17" t="s">
        <v>42</v>
      </c>
      <c r="D50" s="3"/>
      <c r="E50" s="1"/>
      <c r="F50" s="1"/>
      <c r="G50" s="1"/>
      <c r="H50" s="3"/>
      <c r="I50" s="3"/>
      <c r="J50" s="2"/>
      <c r="K50" s="2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</row>
    <row r="52" spans="1:11" ht="15.75">
      <c r="A52" s="1"/>
      <c r="B52" s="1"/>
      <c r="C52" s="23" t="s">
        <v>48</v>
      </c>
      <c r="D52" s="23" t="s">
        <v>0</v>
      </c>
      <c r="E52" s="24">
        <f>MAX(B43,B50)</f>
        <v>0</v>
      </c>
      <c r="F52" s="25" t="s">
        <v>42</v>
      </c>
      <c r="G52" s="1"/>
      <c r="H52" s="1"/>
      <c r="I52" s="1"/>
      <c r="J52" s="2"/>
      <c r="K52" s="2"/>
    </row>
    <row r="53" spans="1:11" ht="13.5" thickBot="1">
      <c r="A53" s="1"/>
      <c r="B53" s="1"/>
      <c r="C53" s="30" t="s">
        <v>22</v>
      </c>
      <c r="D53" s="27">
        <f>MAX(E52/(3.1415926*(E53/10)^2/4)+0.5,2)</f>
        <v>2</v>
      </c>
      <c r="E53" s="28">
        <v>12</v>
      </c>
      <c r="F53" s="29" t="s">
        <v>23</v>
      </c>
      <c r="G53" s="1"/>
      <c r="H53" s="1"/>
      <c r="I53" s="1"/>
      <c r="J53" s="2"/>
      <c r="K53" s="2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2"/>
      <c r="K55" s="2"/>
    </row>
    <row r="56" spans="1:11" ht="13.5">
      <c r="A56" s="6" t="s">
        <v>51</v>
      </c>
      <c r="B56" s="31"/>
      <c r="C56" s="31"/>
      <c r="D56" s="31"/>
      <c r="E56" s="3"/>
      <c r="F56" s="1"/>
      <c r="G56" s="1"/>
      <c r="H56" s="1"/>
      <c r="I56" s="1"/>
      <c r="J56" s="2"/>
      <c r="K56" s="2"/>
    </row>
    <row r="57" spans="1:11" ht="15.75">
      <c r="A57" s="1" t="s">
        <v>40</v>
      </c>
      <c r="B57" s="1"/>
      <c r="C57" s="1"/>
      <c r="D57" s="1"/>
      <c r="E57" s="1"/>
      <c r="F57" s="1"/>
      <c r="G57" s="1"/>
      <c r="H57" s="3"/>
      <c r="I57" s="3"/>
      <c r="J57" s="2"/>
      <c r="K57" s="2"/>
    </row>
    <row r="58" spans="1:21" ht="15.75">
      <c r="A58" s="15" t="s">
        <v>41</v>
      </c>
      <c r="B58" s="16">
        <f>MIN(U61,U62)</f>
        <v>0</v>
      </c>
      <c r="C58" s="17" t="s">
        <v>42</v>
      </c>
      <c r="D58" s="3"/>
      <c r="E58" s="1"/>
      <c r="F58" s="1"/>
      <c r="G58" s="1"/>
      <c r="H58" s="3"/>
      <c r="I58" s="3"/>
      <c r="J58" s="2"/>
      <c r="K58" s="2"/>
      <c r="S58" s="13" t="s">
        <v>3</v>
      </c>
      <c r="T58" s="14" t="s">
        <v>0</v>
      </c>
      <c r="U58" s="14">
        <f>(0.531*C16^2/(50*C15))</f>
        <v>550.5408</v>
      </c>
    </row>
    <row r="59" spans="1:21" ht="12.75">
      <c r="A59" s="1"/>
      <c r="B59" s="1"/>
      <c r="C59" s="1"/>
      <c r="D59" s="1"/>
      <c r="E59" s="1"/>
      <c r="F59" s="1"/>
      <c r="G59" s="1"/>
      <c r="H59" s="3"/>
      <c r="I59" s="3"/>
      <c r="J59" s="2"/>
      <c r="K59" s="2"/>
      <c r="S59" s="13" t="s">
        <v>1</v>
      </c>
      <c r="T59" s="14" t="s">
        <v>0</v>
      </c>
      <c r="U59" s="14">
        <f>-0.9*C16*(D22-2.5)</f>
        <v>-72900</v>
      </c>
    </row>
    <row r="60" spans="1:21" ht="12.75">
      <c r="A60" s="1" t="s">
        <v>24</v>
      </c>
      <c r="B60" s="1"/>
      <c r="C60" s="1"/>
      <c r="D60" s="1"/>
      <c r="E60" s="1"/>
      <c r="F60" s="1"/>
      <c r="G60" s="1"/>
      <c r="H60" s="3"/>
      <c r="I60" s="3"/>
      <c r="J60" s="2"/>
      <c r="K60" s="2"/>
      <c r="S60" s="13" t="s">
        <v>19</v>
      </c>
      <c r="T60" s="14" t="s">
        <v>0</v>
      </c>
      <c r="U60" s="14">
        <f>C8*100000/2</f>
        <v>0</v>
      </c>
    </row>
    <row r="61" spans="1:21" ht="15.75">
      <c r="A61" s="15" t="s">
        <v>21</v>
      </c>
      <c r="B61" s="16">
        <f>50*(D22-2.5)*((4550*C15/(6300+C16)/C16))</f>
        <v>35.905934343434346</v>
      </c>
      <c r="C61" s="17" t="s">
        <v>42</v>
      </c>
      <c r="D61" s="19" t="str">
        <f>IF(AND(B58&lt;0.5*B61),"Ascal &lt; 0.5 Asb -- ( O.K )","Increase Slab Thickness")</f>
        <v>Ascal &lt; 0.5 Asb -- ( O.K )</v>
      </c>
      <c r="E61" s="1"/>
      <c r="F61" s="1"/>
      <c r="G61" s="3"/>
      <c r="H61" s="3"/>
      <c r="I61" s="3"/>
      <c r="J61" s="2"/>
      <c r="K61" s="2"/>
      <c r="S61" s="13" t="s">
        <v>43</v>
      </c>
      <c r="T61" s="14" t="s">
        <v>0</v>
      </c>
      <c r="U61" s="18">
        <f>(-U59+(U59^2-4*U58*U60)^0.5)/(2*U58)</f>
        <v>132.41525423728814</v>
      </c>
    </row>
    <row r="62" spans="1:21" ht="14.25">
      <c r="A62" s="1"/>
      <c r="B62" s="1"/>
      <c r="C62" s="1"/>
      <c r="D62" s="1"/>
      <c r="E62" s="1"/>
      <c r="F62" s="1"/>
      <c r="G62" s="1"/>
      <c r="H62" s="3"/>
      <c r="I62" s="3"/>
      <c r="J62" s="2"/>
      <c r="K62" s="2"/>
      <c r="S62" s="13" t="s">
        <v>44</v>
      </c>
      <c r="T62" s="14" t="s">
        <v>0</v>
      </c>
      <c r="U62" s="18">
        <f>(-U59-(U59^2-4*U58*U60)^0.5)/(2*U58)</f>
        <v>0</v>
      </c>
    </row>
    <row r="63" spans="1:11" ht="15.75">
      <c r="A63" s="1" t="s">
        <v>50</v>
      </c>
      <c r="B63" s="1"/>
      <c r="C63" s="4" t="s">
        <v>0</v>
      </c>
      <c r="D63" s="21">
        <f>9/C16*50*(D22-2.5)</f>
        <v>2.8125</v>
      </c>
      <c r="E63" s="17" t="s">
        <v>42</v>
      </c>
      <c r="F63" s="1"/>
      <c r="G63" s="1"/>
      <c r="H63" s="3"/>
      <c r="I63" s="3"/>
      <c r="J63" s="2"/>
      <c r="K63" s="2"/>
    </row>
    <row r="64" spans="1:11" ht="15.75">
      <c r="A64" s="1" t="s">
        <v>46</v>
      </c>
      <c r="B64" s="1"/>
      <c r="C64" s="4" t="s">
        <v>0</v>
      </c>
      <c r="D64" s="21">
        <f>1.33*B58</f>
        <v>0</v>
      </c>
      <c r="E64" s="17" t="s">
        <v>42</v>
      </c>
      <c r="F64" s="1"/>
      <c r="G64" s="1"/>
      <c r="H64" s="3"/>
      <c r="I64" s="3"/>
      <c r="J64" s="2"/>
      <c r="K64" s="2"/>
    </row>
    <row r="65" spans="1:11" ht="15.75">
      <c r="A65" s="15" t="s">
        <v>47</v>
      </c>
      <c r="B65" s="22">
        <f>IF(AND(D63&gt;B58),(MIN(D63,D64)),(D63))</f>
        <v>0</v>
      </c>
      <c r="C65" s="17" t="s">
        <v>42</v>
      </c>
      <c r="D65" s="3"/>
      <c r="E65" s="1"/>
      <c r="F65" s="1"/>
      <c r="G65" s="1"/>
      <c r="H65" s="3"/>
      <c r="I65" s="3"/>
      <c r="J65" s="2"/>
      <c r="K65" s="2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</row>
    <row r="67" spans="1:11" ht="15.75">
      <c r="A67" s="1"/>
      <c r="B67" s="1"/>
      <c r="C67" s="23" t="s">
        <v>48</v>
      </c>
      <c r="D67" s="23" t="s">
        <v>0</v>
      </c>
      <c r="E67" s="24">
        <f>MAX(B58,B65)</f>
        <v>0</v>
      </c>
      <c r="F67" s="25" t="s">
        <v>42</v>
      </c>
      <c r="G67" s="1"/>
      <c r="H67" s="1"/>
      <c r="I67" s="1"/>
      <c r="J67" s="2"/>
      <c r="K67" s="2"/>
    </row>
    <row r="68" spans="1:11" ht="13.5" thickBot="1">
      <c r="A68" s="1"/>
      <c r="B68" s="1"/>
      <c r="C68" s="30" t="s">
        <v>22</v>
      </c>
      <c r="D68" s="27">
        <f>MAX(E67/(3.1415926*(E68/10)^2/4)+0.5,2)</f>
        <v>2</v>
      </c>
      <c r="E68" s="28">
        <v>12</v>
      </c>
      <c r="F68" s="29" t="s">
        <v>23</v>
      </c>
      <c r="G68" s="1"/>
      <c r="H68" s="1"/>
      <c r="I68" s="1"/>
      <c r="J68" s="2"/>
      <c r="K68" s="2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2"/>
      <c r="K69" s="2"/>
    </row>
    <row r="70" spans="1:11" ht="12.75">
      <c r="A70" s="3"/>
      <c r="B70" s="3"/>
      <c r="C70" s="3"/>
      <c r="D70" s="3"/>
      <c r="E70" s="3"/>
      <c r="F70" s="1"/>
      <c r="G70" s="1"/>
      <c r="H70" s="1"/>
      <c r="I70" s="1"/>
      <c r="J70" s="2"/>
      <c r="K70" s="2"/>
    </row>
    <row r="71" spans="1:11" ht="12.75">
      <c r="A71" s="6" t="s">
        <v>25</v>
      </c>
      <c r="B71" s="10"/>
      <c r="C71" s="10"/>
      <c r="D71" s="3"/>
      <c r="E71" s="1"/>
      <c r="F71" s="1"/>
      <c r="G71" s="1"/>
      <c r="H71" s="1"/>
      <c r="I71" s="1"/>
      <c r="J71" s="2"/>
      <c r="K71" s="2"/>
    </row>
    <row r="72" spans="1:11" ht="15.75">
      <c r="A72" s="32" t="s">
        <v>52</v>
      </c>
      <c r="B72" s="32"/>
      <c r="C72" s="32"/>
      <c r="D72" s="21">
        <f>0.198*(C15/1.5)*D23*(D22-2.5)^2/100000</f>
        <v>1.670625</v>
      </c>
      <c r="E72" s="32" t="s">
        <v>26</v>
      </c>
      <c r="F72" s="1"/>
      <c r="G72" s="1"/>
      <c r="H72" s="1"/>
      <c r="I72" s="1"/>
      <c r="J72" s="2"/>
      <c r="K72" s="2"/>
    </row>
    <row r="73" spans="1:11" ht="12.75">
      <c r="A73" s="32" t="s">
        <v>27</v>
      </c>
      <c r="B73" s="21" t="s">
        <v>0</v>
      </c>
      <c r="C73" s="21">
        <f>C7/2</f>
        <v>0</v>
      </c>
      <c r="D73" s="32" t="s">
        <v>26</v>
      </c>
      <c r="E73" s="32"/>
      <c r="F73" s="1"/>
      <c r="G73" s="1"/>
      <c r="H73" s="1"/>
      <c r="I73" s="1"/>
      <c r="J73" s="2"/>
      <c r="K73" s="2"/>
    </row>
    <row r="74" spans="1:11" ht="12.75">
      <c r="A74" s="3"/>
      <c r="B74" s="3"/>
      <c r="C74" s="3"/>
      <c r="D74" s="1" t="str">
        <f>IF(AND(D72&gt;=C73),"MR &gt; Mact --- Use Min. Solid Part","MR &lt; Mact --- Calculate Solid Part")</f>
        <v>MR &gt; Mact --- Use Min. Solid Part</v>
      </c>
      <c r="E74" s="1"/>
      <c r="F74" s="1"/>
      <c r="G74" s="1"/>
      <c r="H74" s="1"/>
      <c r="I74" s="1"/>
      <c r="J74" s="2"/>
      <c r="K74" s="2"/>
    </row>
    <row r="75" spans="1:21" ht="15" thickBot="1">
      <c r="A75" s="1"/>
      <c r="B75" s="1"/>
      <c r="C75" s="1"/>
      <c r="D75" s="30" t="s">
        <v>53</v>
      </c>
      <c r="E75" s="33">
        <f>MAX(U81,30)</f>
        <v>30</v>
      </c>
      <c r="F75" s="29" t="s">
        <v>15</v>
      </c>
      <c r="G75" s="1"/>
      <c r="H75" s="1"/>
      <c r="I75" s="1"/>
      <c r="J75" s="2"/>
      <c r="K75" s="2"/>
      <c r="S75" s="13" t="s">
        <v>3</v>
      </c>
      <c r="T75" s="14" t="s">
        <v>0</v>
      </c>
      <c r="U75" s="18">
        <f>C11/2</f>
        <v>0.585</v>
      </c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S76" s="13" t="s">
        <v>1</v>
      </c>
      <c r="T76" s="14" t="s">
        <v>0</v>
      </c>
      <c r="U76" s="34">
        <f>-C9</f>
        <v>-4.4</v>
      </c>
    </row>
    <row r="77" spans="1:21" ht="12.75">
      <c r="A77" s="6" t="s">
        <v>28</v>
      </c>
      <c r="B77" s="10"/>
      <c r="C77" s="10"/>
      <c r="D77" s="3"/>
      <c r="E77" s="1"/>
      <c r="F77" s="1"/>
      <c r="G77" s="1"/>
      <c r="H77" s="1"/>
      <c r="I77" s="1"/>
      <c r="J77" s="2"/>
      <c r="K77" s="2"/>
      <c r="S77" s="13" t="s">
        <v>19</v>
      </c>
      <c r="T77" s="14" t="s">
        <v>0</v>
      </c>
      <c r="U77" s="18">
        <f>2*C73-2*D72</f>
        <v>-3.34125</v>
      </c>
    </row>
    <row r="78" spans="1:21" ht="15.75">
      <c r="A78" s="32" t="s">
        <v>52</v>
      </c>
      <c r="B78" s="32"/>
      <c r="C78" s="32"/>
      <c r="D78" s="21">
        <f>0.198*(C15/1.5)*D23*(D22-2.5)^2/100000</f>
        <v>1.670625</v>
      </c>
      <c r="E78" s="32" t="s">
        <v>26</v>
      </c>
      <c r="F78" s="1"/>
      <c r="G78" s="1"/>
      <c r="H78" s="1"/>
      <c r="I78" s="1"/>
      <c r="J78" s="2"/>
      <c r="K78" s="2"/>
      <c r="S78" s="13" t="s">
        <v>43</v>
      </c>
      <c r="T78" s="14" t="s">
        <v>0</v>
      </c>
      <c r="U78" s="18">
        <f>(-U76+(U76^2-4*U75*U77)^0.5)/(2*U75)</f>
        <v>8.216498030759325</v>
      </c>
    </row>
    <row r="79" spans="1:21" ht="14.25">
      <c r="A79" s="32" t="s">
        <v>27</v>
      </c>
      <c r="B79" s="21" t="s">
        <v>0</v>
      </c>
      <c r="C79" s="21">
        <f>C8/2</f>
        <v>0</v>
      </c>
      <c r="D79" s="32" t="s">
        <v>26</v>
      </c>
      <c r="E79" s="32"/>
      <c r="F79" s="1"/>
      <c r="G79" s="1"/>
      <c r="H79" s="1"/>
      <c r="I79" s="1"/>
      <c r="J79" s="2"/>
      <c r="K79" s="2"/>
      <c r="S79" s="13" t="s">
        <v>44</v>
      </c>
      <c r="T79" s="14" t="s">
        <v>0</v>
      </c>
      <c r="U79" s="18">
        <f>(-U76-(U76^2-4*U75*U77)^0.5)/(2*U75)</f>
        <v>-0.6951305093918013</v>
      </c>
    </row>
    <row r="80" spans="1:21" ht="12.75">
      <c r="A80" s="3"/>
      <c r="B80" s="3"/>
      <c r="C80" s="3"/>
      <c r="D80" s="1" t="str">
        <f>IF(AND(D78&gt;=C79),"MR &gt; Mact --- Use Min. Solid Part","MR &lt; Mact --- Calculate Solid Part")</f>
        <v>MR &gt; Mact --- Use Min. Solid Part</v>
      </c>
      <c r="E80" s="1"/>
      <c r="F80" s="1"/>
      <c r="G80" s="1"/>
      <c r="H80" s="1"/>
      <c r="I80" s="1"/>
      <c r="J80" s="2"/>
      <c r="K80" s="2"/>
      <c r="S80" s="13" t="s">
        <v>4</v>
      </c>
      <c r="T80" s="14" t="s">
        <v>0</v>
      </c>
      <c r="U80" s="18">
        <f>MIN(U78,U79)*100</f>
        <v>-69.51305093918013</v>
      </c>
    </row>
    <row r="81" spans="1:21" ht="15" thickBot="1">
      <c r="A81" s="1"/>
      <c r="B81" s="1"/>
      <c r="C81" s="1"/>
      <c r="D81" s="30" t="s">
        <v>54</v>
      </c>
      <c r="E81" s="33">
        <f>MAX(U88,30)</f>
        <v>30</v>
      </c>
      <c r="F81" s="29" t="s">
        <v>15</v>
      </c>
      <c r="G81" s="1"/>
      <c r="H81" s="1"/>
      <c r="I81" s="1"/>
      <c r="J81" s="2"/>
      <c r="K81" s="2"/>
      <c r="S81" s="35" t="s">
        <v>4</v>
      </c>
      <c r="T81" s="36" t="s">
        <v>0</v>
      </c>
      <c r="U81" s="37">
        <f>U80+0.5</f>
        <v>-69.01305093918013</v>
      </c>
    </row>
    <row r="82" spans="1:21" ht="12.75">
      <c r="A82" s="3"/>
      <c r="B82" s="3"/>
      <c r="C82" s="3"/>
      <c r="D82" s="3"/>
      <c r="E82" s="3"/>
      <c r="F82" s="3"/>
      <c r="G82" s="1"/>
      <c r="H82" s="1"/>
      <c r="I82" s="1"/>
      <c r="J82" s="2"/>
      <c r="K82" s="2"/>
      <c r="S82" s="13" t="s">
        <v>3</v>
      </c>
      <c r="T82" s="14" t="s">
        <v>0</v>
      </c>
      <c r="U82" s="18">
        <f>C11/2</f>
        <v>0.585</v>
      </c>
    </row>
    <row r="83" spans="1:21" ht="12.75">
      <c r="A83" s="6" t="s">
        <v>29</v>
      </c>
      <c r="B83" s="10"/>
      <c r="C83" s="10"/>
      <c r="D83" s="1"/>
      <c r="E83" s="1"/>
      <c r="F83" s="1"/>
      <c r="G83" s="1"/>
      <c r="H83" s="1"/>
      <c r="I83" s="1"/>
      <c r="J83" s="2"/>
      <c r="K83" s="2"/>
      <c r="S83" s="13" t="s">
        <v>1</v>
      </c>
      <c r="T83" s="14" t="s">
        <v>0</v>
      </c>
      <c r="U83" s="34">
        <f>-C10</f>
        <v>-4.4</v>
      </c>
    </row>
    <row r="84" spans="1:21" ht="15.75">
      <c r="A84" s="1" t="s">
        <v>55</v>
      </c>
      <c r="B84" s="1"/>
      <c r="C84" s="21">
        <f>0.73*(C15)^0.5</f>
        <v>11.542313459614585</v>
      </c>
      <c r="D84" s="1" t="s">
        <v>36</v>
      </c>
      <c r="E84" s="1"/>
      <c r="F84" s="1"/>
      <c r="G84" s="1"/>
      <c r="H84" s="1"/>
      <c r="I84" s="1"/>
      <c r="J84" s="2"/>
      <c r="K84" s="2"/>
      <c r="S84" s="13" t="s">
        <v>19</v>
      </c>
      <c r="T84" s="14" t="s">
        <v>0</v>
      </c>
      <c r="U84" s="18">
        <f>2*C79-2*D78</f>
        <v>-3.34125</v>
      </c>
    </row>
    <row r="85" spans="1:21" ht="15.75">
      <c r="A85" s="1" t="s">
        <v>56</v>
      </c>
      <c r="B85" s="1"/>
      <c r="C85" s="21">
        <f>2.04*(C15)^0.5</f>
        <v>32.25523213371747</v>
      </c>
      <c r="D85" s="1" t="s">
        <v>36</v>
      </c>
      <c r="E85" s="1"/>
      <c r="F85" s="1"/>
      <c r="G85" s="1"/>
      <c r="H85" s="1"/>
      <c r="I85" s="1"/>
      <c r="J85" s="2"/>
      <c r="K85" s="2"/>
      <c r="S85" s="13" t="s">
        <v>43</v>
      </c>
      <c r="T85" s="14" t="s">
        <v>0</v>
      </c>
      <c r="U85" s="18">
        <f>(-U83+(U83^2-4*U82*U84)^0.5)/(2*U82)</f>
        <v>8.216498030759325</v>
      </c>
    </row>
    <row r="86" spans="1:21" ht="14.25">
      <c r="A86" s="1" t="s">
        <v>57</v>
      </c>
      <c r="B86" s="1"/>
      <c r="C86" s="3"/>
      <c r="D86" s="21">
        <f>(C9-C11*E75/100)/2</f>
        <v>2.0245</v>
      </c>
      <c r="E86" s="1" t="s">
        <v>2</v>
      </c>
      <c r="F86" s="1"/>
      <c r="G86" s="1"/>
      <c r="H86" s="1"/>
      <c r="I86" s="1"/>
      <c r="J86" s="2"/>
      <c r="K86" s="2"/>
      <c r="S86" s="13" t="s">
        <v>44</v>
      </c>
      <c r="T86" s="14" t="s">
        <v>0</v>
      </c>
      <c r="U86" s="18">
        <f>(-U83-(U83^2-4*U82*U84)^0.5)/(2*U82)</f>
        <v>-0.6951305093918013</v>
      </c>
    </row>
    <row r="87" spans="1:21" ht="15.75">
      <c r="A87" s="1" t="s">
        <v>58</v>
      </c>
      <c r="B87" s="1"/>
      <c r="C87" s="3"/>
      <c r="D87" s="21">
        <f>D86*1000/(0.85*(D23*(D22-D21)+(50*D21)))</f>
        <v>5.292810457516341</v>
      </c>
      <c r="E87" s="1" t="s">
        <v>36</v>
      </c>
      <c r="F87" s="1"/>
      <c r="G87" s="1"/>
      <c r="H87" s="1"/>
      <c r="I87" s="1"/>
      <c r="J87" s="2"/>
      <c r="K87" s="2"/>
      <c r="S87" s="13" t="s">
        <v>4</v>
      </c>
      <c r="T87" s="14" t="s">
        <v>0</v>
      </c>
      <c r="U87" s="18">
        <f>MIN(U85,U86)*100</f>
        <v>-69.51305093918013</v>
      </c>
    </row>
    <row r="88" spans="1:21" ht="12.75">
      <c r="A88" s="3"/>
      <c r="B88" s="3"/>
      <c r="C88" s="3"/>
      <c r="D88" s="1" t="str">
        <f>IF(AND(D87&lt;C84),"qu &lt; qcu --- Use Solid Part as calculated above","qu &gt; qcu --- Increase Solid Part")</f>
        <v>qu &lt; qcu --- Use Solid Part as calculated above</v>
      </c>
      <c r="E88" s="1"/>
      <c r="F88" s="1"/>
      <c r="G88" s="1"/>
      <c r="H88" s="1"/>
      <c r="I88" s="1"/>
      <c r="J88" s="2"/>
      <c r="K88" s="2"/>
      <c r="S88" s="13" t="s">
        <v>4</v>
      </c>
      <c r="T88" s="14" t="s">
        <v>0</v>
      </c>
      <c r="U88" s="38">
        <f>U87+0.5</f>
        <v>-69.01305093918013</v>
      </c>
    </row>
    <row r="89" spans="1:11" ht="15" thickBot="1">
      <c r="A89" s="3"/>
      <c r="B89" s="3"/>
      <c r="C89" s="3"/>
      <c r="D89" s="30" t="s">
        <v>53</v>
      </c>
      <c r="E89" s="33">
        <f>MAX((C9/2-C84*0.85*(D23*(D22-D21)+50*D21)/1000)/(C11/2)*100+0.5,E75)</f>
        <v>30</v>
      </c>
      <c r="F89" s="29" t="s">
        <v>15</v>
      </c>
      <c r="G89" s="1"/>
      <c r="H89" s="1"/>
      <c r="I89" s="1"/>
      <c r="J89" s="2"/>
      <c r="K89" s="2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</row>
    <row r="91" spans="1:11" ht="12.75">
      <c r="A91" s="6" t="s">
        <v>30</v>
      </c>
      <c r="B91" s="10"/>
      <c r="C91" s="10"/>
      <c r="D91" s="1"/>
      <c r="E91" s="1"/>
      <c r="F91" s="1"/>
      <c r="G91" s="1"/>
      <c r="H91" s="1"/>
      <c r="I91" s="1"/>
      <c r="J91" s="2"/>
      <c r="K91" s="2"/>
    </row>
    <row r="92" spans="1:11" ht="14.25">
      <c r="A92" s="1" t="s">
        <v>59</v>
      </c>
      <c r="B92" s="1"/>
      <c r="C92" s="3"/>
      <c r="D92" s="21">
        <f>(C10-C11*E75/100)/2</f>
        <v>2.0245</v>
      </c>
      <c r="E92" s="1" t="s">
        <v>2</v>
      </c>
      <c r="F92" s="1"/>
      <c r="G92" s="1"/>
      <c r="H92" s="1"/>
      <c r="I92" s="1"/>
      <c r="J92" s="2"/>
      <c r="K92" s="2"/>
    </row>
    <row r="93" spans="1:11" ht="15.75">
      <c r="A93" s="1" t="s">
        <v>58</v>
      </c>
      <c r="B93" s="1"/>
      <c r="C93" s="3"/>
      <c r="D93" s="21">
        <f>D92*1000/(0.85*(D23*(D22-D21)+(50*D21)))</f>
        <v>5.292810457516341</v>
      </c>
      <c r="E93" s="1" t="s">
        <v>36</v>
      </c>
      <c r="F93" s="1"/>
      <c r="G93" s="1"/>
      <c r="H93" s="1"/>
      <c r="I93" s="1"/>
      <c r="J93" s="2"/>
      <c r="K93" s="2"/>
    </row>
    <row r="94" spans="1:11" ht="12.75">
      <c r="A94" s="3"/>
      <c r="B94" s="3"/>
      <c r="C94" s="3"/>
      <c r="D94" s="1" t="str">
        <f>IF(AND(D93&lt;C84),"qu &lt; qcu --- Use Solid Part as calculated above","qu &gt; qcu --- Increase Solid Part")</f>
        <v>qu &lt; qcu --- Use Solid Part as calculated above</v>
      </c>
      <c r="E94" s="1"/>
      <c r="F94" s="1"/>
      <c r="G94" s="1"/>
      <c r="H94" s="1"/>
      <c r="I94" s="1"/>
      <c r="J94" s="2"/>
      <c r="K94" s="2"/>
    </row>
    <row r="95" spans="1:11" ht="15" thickBot="1">
      <c r="A95" s="3"/>
      <c r="B95" s="3"/>
      <c r="C95" s="3"/>
      <c r="D95" s="30" t="s">
        <v>60</v>
      </c>
      <c r="E95" s="33">
        <f>MAX((C10/2-C84*0.85*(D23*(D22-D21)+50*D21)/1000)/(C11/2)*100+0.5,E81)</f>
        <v>30</v>
      </c>
      <c r="F95" s="29" t="s">
        <v>15</v>
      </c>
      <c r="G95" s="1"/>
      <c r="H95" s="1"/>
      <c r="I95" s="1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4:9" ht="12.75">
      <c r="D97" s="18"/>
      <c r="E97" s="18"/>
      <c r="F97" s="1"/>
      <c r="G97" s="1"/>
      <c r="H97" s="1"/>
      <c r="I97" s="1"/>
    </row>
    <row r="98" spans="4:9" ht="12.75">
      <c r="D98" s="23"/>
      <c r="E98" s="39"/>
      <c r="F98" s="40"/>
      <c r="G98" s="1"/>
      <c r="H98" s="1"/>
      <c r="I98" s="1"/>
    </row>
    <row r="99" spans="1:9" ht="12.75">
      <c r="A99" s="1"/>
      <c r="B99" s="1"/>
      <c r="C99" s="1"/>
      <c r="D99" s="40"/>
      <c r="E99" s="40"/>
      <c r="F99" s="40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2.7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2.7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2.7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2.7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2.7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2.7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2.7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2.75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2.75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2.75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2.75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2.7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2.75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2.7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2.7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2.7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2.75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2.75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2.75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2.75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2.75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2.75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2.75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2.75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2.75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2.75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2.75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2.75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2.75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2.75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2.75">
      <c r="A193" s="18"/>
      <c r="B193" s="18"/>
      <c r="C193" s="18"/>
      <c r="D193" s="18"/>
      <c r="E193" s="18"/>
      <c r="F193" s="18"/>
      <c r="G193" s="18"/>
      <c r="H193" s="18"/>
      <c r="I193" s="18"/>
    </row>
  </sheetData>
  <printOptions/>
  <pageMargins left="0.984251968503937" right="0.3937007874015748" top="1.968503937007874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Mohsen</dc:creator>
  <cp:keywords/>
  <dc:description/>
  <cp:lastModifiedBy>{{   A D I B   }}</cp:lastModifiedBy>
  <cp:lastPrinted>2000-06-17T16:42:07Z</cp:lastPrinted>
  <dcterms:created xsi:type="dcterms:W3CDTF">1999-08-25T20:50:55Z</dcterms:created>
  <dcterms:modified xsi:type="dcterms:W3CDTF">2000-06-14T13:00:23Z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