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GB1" sheetId="1" r:id="rId1"/>
  </sheets>
  <definedNames/>
  <calcPr fullCalcOnLoad="1"/>
</workbook>
</file>

<file path=xl/sharedStrings.xml><?xml version="1.0" encoding="utf-8"?>
<sst xmlns="http://schemas.openxmlformats.org/spreadsheetml/2006/main" count="199" uniqueCount="131">
  <si>
    <t>cm.</t>
  </si>
  <si>
    <t>m.</t>
  </si>
  <si>
    <t>-</t>
  </si>
  <si>
    <t>ksc.</t>
  </si>
  <si>
    <t>fc' =</t>
  </si>
  <si>
    <t>d =</t>
  </si>
  <si>
    <t>Data</t>
  </si>
  <si>
    <t xml:space="preserve">L = </t>
  </si>
  <si>
    <t>ช่วงคานต่อเนื่อง</t>
  </si>
  <si>
    <t>ความสูงของคานโดยไม่คำนวณการโก่งตัว H =</t>
  </si>
  <si>
    <t>B =</t>
  </si>
  <si>
    <t>H =</t>
  </si>
  <si>
    <t>d' =</t>
  </si>
  <si>
    <t>สภาพการใช้งาน</t>
  </si>
  <si>
    <t>fy =</t>
  </si>
  <si>
    <t>การคำนวณหาเหล็กเสริมAs</t>
  </si>
  <si>
    <t>ออกแบบช่วงกลางคาน</t>
  </si>
  <si>
    <t>kg-m.</t>
  </si>
  <si>
    <t>As1 =</t>
  </si>
  <si>
    <t>DB</t>
  </si>
  <si>
    <t>จำนวน</t>
  </si>
  <si>
    <t>แถวต่ำสุด</t>
  </si>
  <si>
    <t>ในร่ม</t>
  </si>
  <si>
    <t>As'=</t>
  </si>
  <si>
    <t>ออกแบบเหล็กลูกตั้ง</t>
  </si>
  <si>
    <t>V max =</t>
  </si>
  <si>
    <t>kg</t>
  </si>
  <si>
    <t>w =</t>
  </si>
  <si>
    <t>kg/m.</t>
  </si>
  <si>
    <t>Vc =</t>
  </si>
  <si>
    <t xml:space="preserve">ให้เหล็กปลอก </t>
  </si>
  <si>
    <t>Av =</t>
  </si>
  <si>
    <t>s =</t>
  </si>
  <si>
    <t>0.795xBxdx√fc' =</t>
  </si>
  <si>
    <t>s =(V&gt;Vc)</t>
  </si>
  <si>
    <t>เหล็กรับแรงดึง</t>
  </si>
  <si>
    <t>เหล็กรับแรงอัด</t>
  </si>
  <si>
    <t>เหล็กที่เลือก</t>
  </si>
  <si>
    <t>M =</t>
  </si>
  <si>
    <t>ระยะหุ้มล่าง</t>
  </si>
  <si>
    <t>วิเคราะห์หาค่าโมเมนต์ที่ได้จากคานคำนวณ</t>
  </si>
  <si>
    <t>s min =</t>
  </si>
  <si>
    <t>เหล็กรับแรงดึง =</t>
  </si>
  <si>
    <t>เหล็กรับแรงอัด =</t>
  </si>
  <si>
    <t>As =</t>
  </si>
  <si>
    <t>As' =</t>
  </si>
  <si>
    <t>ρ' =</t>
  </si>
  <si>
    <t>ρ =</t>
  </si>
  <si>
    <r>
      <t>cm</t>
    </r>
    <r>
      <rPr>
        <vertAlign val="superscript"/>
        <sz val="8"/>
        <rFont val="Arial"/>
        <family val="0"/>
      </rPr>
      <t>2</t>
    </r>
  </si>
  <si>
    <r>
      <t>As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</si>
  <si>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cm</t>
    </r>
    <r>
      <rPr>
        <vertAlign val="superscript"/>
        <sz val="10"/>
        <rFont val="Arial"/>
        <family val="0"/>
      </rPr>
      <t>2</t>
    </r>
  </si>
  <si>
    <r>
      <t>cm.</t>
    </r>
    <r>
      <rPr>
        <vertAlign val="superscript"/>
        <sz val="10"/>
        <rFont val="Arial"/>
        <family val="0"/>
      </rPr>
      <t xml:space="preserve">2   </t>
    </r>
    <r>
      <rPr>
        <sz val="10"/>
        <rFont val="Arial"/>
        <family val="0"/>
      </rPr>
      <t xml:space="preserve">fv = </t>
    </r>
  </si>
  <si>
    <t>ม.</t>
  </si>
  <si>
    <t>Mn =</t>
  </si>
  <si>
    <t>ρb =</t>
  </si>
  <si>
    <t>Mu =</t>
  </si>
  <si>
    <t>β1 =</t>
  </si>
  <si>
    <t>a</t>
  </si>
  <si>
    <t>ค่าประมาณρ  =</t>
  </si>
  <si>
    <r>
      <t>cm</t>
    </r>
  </si>
  <si>
    <t>Mn1 =</t>
  </si>
  <si>
    <t>Mn2 =</t>
  </si>
  <si>
    <r>
      <t>cm</t>
    </r>
    <r>
      <rPr>
        <vertAlign val="superscript"/>
        <sz val="8"/>
        <rFont val="Arial"/>
        <family val="0"/>
      </rPr>
      <t>2</t>
    </r>
  </si>
  <si>
    <t>Ast=</t>
  </si>
  <si>
    <t>ρ - ρ' =</t>
  </si>
  <si>
    <t>ρmin=</t>
  </si>
  <si>
    <t>a =</t>
  </si>
  <si>
    <t>c =</t>
  </si>
  <si>
    <t>Vn =</t>
  </si>
  <si>
    <t>Vn-Vc =</t>
  </si>
  <si>
    <t>1.1√fc'xbwxd =</t>
  </si>
  <si>
    <t xml:space="preserve">ช่วงความยาวคาน </t>
  </si>
  <si>
    <t>FS =</t>
  </si>
  <si>
    <t>50/(L+125) = 50/(27x3.28+125) =</t>
  </si>
  <si>
    <t>จากตารางในหนังสือ</t>
  </si>
  <si>
    <t>Mmax = 182.39x1.234x 1.3x1.6 =</t>
  </si>
  <si>
    <t>t-m.เผื่อ 10% =</t>
  </si>
  <si>
    <t>t-m.</t>
  </si>
  <si>
    <t>Vmax = 29.23x1.234x1.3x1.6    =</t>
  </si>
  <si>
    <t>t.    เผื่อ 10% =</t>
  </si>
  <si>
    <t>t.</t>
  </si>
  <si>
    <t>ออกแบบคานสะพานช่วงยาว 27 ม.</t>
  </si>
  <si>
    <t>RB9</t>
  </si>
  <si>
    <t>ใช้ระยะห่างเหล็กปลอก =</t>
  </si>
  <si>
    <t>@</t>
  </si>
  <si>
    <t xml:space="preserve"> น้ำหนักบรรทุก</t>
  </si>
  <si>
    <t>ตรวจสอบการโก่งตัว</t>
  </si>
  <si>
    <t xml:space="preserve">n = Es/Ec = </t>
  </si>
  <si>
    <t>k =</t>
  </si>
  <si>
    <r>
      <t>หาตำแหน่งแกนสะเทิน k =  2</t>
    </r>
    <r>
      <rPr>
        <sz val="10"/>
        <rFont val="Microsoft Sans Serif"/>
        <family val="2"/>
      </rPr>
      <t>n(ρ+(2ρ'd'/d)+n</t>
    </r>
    <r>
      <rPr>
        <vertAlign val="superscript"/>
        <sz val="10"/>
        <rFont val="Microsoft Sans Serif"/>
        <family val="2"/>
      </rPr>
      <t>2</t>
    </r>
    <r>
      <rPr>
        <sz val="10"/>
        <rFont val="Microsoft Sans Serif"/>
        <family val="2"/>
      </rPr>
      <t>(ρ+2ρ')</t>
    </r>
    <r>
      <rPr>
        <vertAlign val="superscript"/>
        <sz val="10"/>
        <rFont val="Microsoft Sans Serif"/>
        <family val="2"/>
      </rPr>
      <t>2</t>
    </r>
    <r>
      <rPr>
        <sz val="10"/>
        <rFont val="Microsoft Sans Serif"/>
        <family val="2"/>
      </rPr>
      <t>-n(ρ-2ρ')</t>
    </r>
  </si>
  <si>
    <t>kd =</t>
  </si>
  <si>
    <r>
      <t>cm</t>
    </r>
    <r>
      <rPr>
        <vertAlign val="superscript"/>
        <sz val="10"/>
        <rFont val="Arial"/>
        <family val="2"/>
      </rPr>
      <t>4</t>
    </r>
  </si>
  <si>
    <t xml:space="preserve">       =</t>
  </si>
  <si>
    <r>
      <t>โมเมนต์อินเนอร์เชียของหน้าตัดแปลงร้าว Icr = b(kd)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/3 + nAs(d-kd)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+(n-1)As'(kd-d')</t>
    </r>
    <r>
      <rPr>
        <vertAlign val="superscript"/>
        <sz val="10"/>
        <rFont val="Arial"/>
        <family val="2"/>
      </rPr>
      <t>2</t>
    </r>
  </si>
  <si>
    <t>หาค่าโมเมนต์อินเนอร์เชียประสิทธิผลที่สภาวะต่างๆของารบรรทุกน้ำหนัก</t>
  </si>
  <si>
    <r>
      <t>โมเมนต์อินเนอร์เชีย Ig = bh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/12 =</t>
    </r>
  </si>
  <si>
    <t>โมเมนต์ของคานเริ่มแตกร้าว Mcr = 2.0    fc' x Ig /(h/2)=</t>
  </si>
  <si>
    <t>kg.-m.</t>
  </si>
  <si>
    <t>น้ำหนักคอนกรีต =</t>
  </si>
  <si>
    <t>kg./m.</t>
  </si>
  <si>
    <t>Md =</t>
  </si>
  <si>
    <t>โมมเนต์อินเนอร์เชียของหน้าตัด</t>
  </si>
  <si>
    <r>
      <t>(Mcr/Md)</t>
    </r>
    <r>
      <rPr>
        <vertAlign val="superscript"/>
        <sz val="10"/>
        <rFont val="Arial"/>
        <family val="2"/>
      </rPr>
      <t>3</t>
    </r>
  </si>
  <si>
    <t xml:space="preserve"> =</t>
  </si>
  <si>
    <r>
      <t>Ie =(Mcr/Md)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xIg+[ 1-(Mcr/Md)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]xIcr &lt; Ig</t>
    </r>
  </si>
  <si>
    <t>จะได้ Ie(d) =</t>
  </si>
  <si>
    <r>
      <t>(Mcr/Msus)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=</t>
    </r>
  </si>
  <si>
    <t>จะได้ Ie(sus) =</t>
  </si>
  <si>
    <r>
      <t>cm.</t>
    </r>
    <r>
      <rPr>
        <vertAlign val="superscript"/>
        <sz val="10"/>
        <rFont val="Arial"/>
        <family val="2"/>
      </rPr>
      <t>4</t>
    </r>
  </si>
  <si>
    <r>
      <t>(Mcr/Md+l)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=</t>
    </r>
  </si>
  <si>
    <t>จะได้ Ie(d+l) =</t>
  </si>
  <si>
    <t>จาก         i</t>
  </si>
  <si>
    <r>
      <t xml:space="preserve"> =  5 M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/(48Ec Ie) =</t>
    </r>
  </si>
  <si>
    <t xml:space="preserve">           i(d)</t>
  </si>
  <si>
    <t>โก่งทันทีเนื่องจากน้ำหนักบรรทุกคงที่</t>
  </si>
  <si>
    <t>โก่งทันทีเนื่องจากน้ำหนักบรรทุกคงที่+น้ำหนักบรรทุกจร</t>
  </si>
  <si>
    <t xml:space="preserve">           i(d+l)  =</t>
  </si>
  <si>
    <t>โก่งทันทีเนื่องจากน้ำหนักบรรทุกจร</t>
  </si>
  <si>
    <t xml:space="preserve">           i(l)  =</t>
  </si>
  <si>
    <t>cm.&gt;</t>
  </si>
  <si>
    <t>การโก่งตัวที่ยอมให้ = L/360 =</t>
  </si>
  <si>
    <t>การโก่งตัวเมื่อมีน้ำหนักบรรทุกค้างไว้ 5ปีหรือมากกว่า</t>
  </si>
  <si>
    <t>ระยะโก่งตัวทั้งหมด      T</t>
  </si>
  <si>
    <r>
      <t xml:space="preserve"> =  (     i)l +(    i)sus(</t>
    </r>
    <r>
      <rPr>
        <sz val="10"/>
        <rFont val="Microsoft Sans Serif"/>
        <family val="2"/>
      </rPr>
      <t>§/(1+50ρ') =</t>
    </r>
  </si>
  <si>
    <t>7.5 cm.ใช้ได้</t>
  </si>
  <si>
    <t>cm.&lt;</t>
  </si>
  <si>
    <t>0086 cm.ใช้ได้</t>
  </si>
  <si>
    <t>b =</t>
  </si>
  <si>
    <t>h =</t>
  </si>
  <si>
    <t>ช่วงหัวเสา</t>
  </si>
  <si>
    <t xml:space="preserve">ρ max= 0.75ρb =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</si>
</sst>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"/>
    <numFmt numFmtId="204" formatCode="0.0000"/>
    <numFmt numFmtId="205" formatCode="0.0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_-* #,##0.0_-;\-* #,##0.0_-;_-* &quot;-&quot;??_-;_-@_-"/>
    <numFmt numFmtId="211" formatCode="_-* #,##0.0_-;\-* #,##0.0_-;_-* &quot;-&quot;?_-;_-@_-"/>
    <numFmt numFmtId="212" formatCode="0.00000"/>
    <numFmt numFmtId="213" formatCode="_-* #,##0_-;\-* #,##0_-;_-* &quot;-&quot;??_-;_-@_-"/>
    <numFmt numFmtId="214" formatCode="0.000000"/>
  </numFmts>
  <fonts count="22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Cordia New"/>
      <family val="2"/>
    </font>
    <font>
      <b/>
      <sz val="10"/>
      <name val="Arial"/>
      <family val="2"/>
    </font>
    <font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53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0"/>
    </font>
    <font>
      <vertAlign val="superscript"/>
      <sz val="8"/>
      <name val="Arial"/>
      <family val="0"/>
    </font>
    <font>
      <b/>
      <vertAlign val="superscript"/>
      <sz val="10"/>
      <name val="Arial"/>
      <family val="2"/>
    </font>
    <font>
      <sz val="10"/>
      <color indexed="19"/>
      <name val="Arial"/>
      <family val="0"/>
    </font>
    <font>
      <sz val="10"/>
      <color indexed="8"/>
      <name val="Arial"/>
      <family val="0"/>
    </font>
    <font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5"/>
      <name val="Arial"/>
      <family val="0"/>
    </font>
    <font>
      <vertAlign val="superscript"/>
      <sz val="10"/>
      <name val="Arial"/>
      <family val="0"/>
    </font>
    <font>
      <sz val="10"/>
      <name val="Microsoft Sans Serif"/>
      <family val="2"/>
    </font>
    <font>
      <vertAlign val="superscript"/>
      <sz val="10"/>
      <name val="Microsoft Sans Serif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20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205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205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203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203" fontId="0" fillId="0" borderId="1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0" fillId="2" borderId="15" xfId="0" applyNumberFormat="1" applyFont="1" applyFill="1" applyBorder="1" applyAlignment="1" applyProtection="1">
      <alignment horizontal="center"/>
      <protection/>
    </xf>
    <xf numFmtId="0" fontId="0" fillId="2" borderId="15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203" fontId="0" fillId="0" borderId="0" xfId="0" applyNumberFormat="1" applyFont="1" applyFill="1" applyBorder="1" applyAlignment="1" applyProtection="1">
      <alignment horizontal="right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203" fontId="14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03" fontId="0" fillId="0" borderId="0" xfId="0" applyNumberFormat="1" applyAlignment="1">
      <alignment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/>
      <protection/>
    </xf>
    <xf numFmtId="210" fontId="7" fillId="0" borderId="0" xfId="15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204" fontId="0" fillId="0" borderId="0" xfId="0" applyNumberFormat="1" applyFont="1" applyFill="1" applyBorder="1" applyAlignment="1" applyProtection="1">
      <alignment horizontal="center"/>
      <protection/>
    </xf>
    <xf numFmtId="204" fontId="0" fillId="0" borderId="0" xfId="0" applyNumberFormat="1" applyFont="1" applyFill="1" applyBorder="1" applyAlignment="1" applyProtection="1">
      <alignment horizontal="center"/>
      <protection/>
    </xf>
    <xf numFmtId="204" fontId="0" fillId="0" borderId="0" xfId="0" applyNumberFormat="1" applyFont="1" applyFill="1" applyBorder="1" applyAlignment="1" applyProtection="1">
      <alignment horizontal="center"/>
      <protection/>
    </xf>
    <xf numFmtId="210" fontId="0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203" fontId="8" fillId="0" borderId="0" xfId="0" applyNumberFormat="1" applyFont="1" applyFill="1" applyBorder="1" applyAlignment="1" applyProtection="1">
      <alignment horizontal="center"/>
      <protection/>
    </xf>
    <xf numFmtId="203" fontId="7" fillId="0" borderId="0" xfId="0" applyNumberFormat="1" applyFont="1" applyFill="1" applyBorder="1" applyAlignment="1" applyProtection="1">
      <alignment horizontal="center"/>
      <protection/>
    </xf>
    <xf numFmtId="205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212" fontId="7" fillId="0" borderId="0" xfId="0" applyNumberFormat="1" applyFont="1" applyAlignment="1">
      <alignment horizontal="center"/>
    </xf>
    <xf numFmtId="205" fontId="0" fillId="2" borderId="15" xfId="0" applyNumberFormat="1" applyFont="1" applyFill="1" applyBorder="1" applyAlignment="1" applyProtection="1">
      <alignment horizontal="center"/>
      <protection/>
    </xf>
    <xf numFmtId="212" fontId="7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1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05" fontId="0" fillId="3" borderId="15" xfId="0" applyNumberFormat="1" applyFont="1" applyFill="1" applyBorder="1" applyAlignment="1" applyProtection="1">
      <alignment horizontal="center"/>
      <protection/>
    </xf>
    <xf numFmtId="203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3" fillId="0" borderId="18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 horizontal="center"/>
      <protection/>
    </xf>
    <xf numFmtId="0" fontId="13" fillId="0" borderId="2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205" fontId="0" fillId="2" borderId="15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0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129</xdr:row>
      <xdr:rowOff>38100</xdr:rowOff>
    </xdr:from>
    <xdr:to>
      <xdr:col>5</xdr:col>
      <xdr:colOff>514350</xdr:colOff>
      <xdr:row>145</xdr:row>
      <xdr:rowOff>104775</xdr:rowOff>
    </xdr:to>
    <xdr:grpSp>
      <xdr:nvGrpSpPr>
        <xdr:cNvPr id="1" name="Group 39"/>
        <xdr:cNvGrpSpPr>
          <a:grpSpLocks/>
        </xdr:cNvGrpSpPr>
      </xdr:nvGrpSpPr>
      <xdr:grpSpPr>
        <a:xfrm>
          <a:off x="1590675" y="21383625"/>
          <a:ext cx="2085975" cy="2867025"/>
          <a:chOff x="702" y="264"/>
          <a:chExt cx="180" cy="255"/>
        </a:xfrm>
        <a:solidFill>
          <a:srgbClr val="FFFFFF"/>
        </a:solidFill>
      </xdr:grpSpPr>
      <xdr:grpSp>
        <xdr:nvGrpSpPr>
          <xdr:cNvPr id="2" name="Group 30"/>
          <xdr:cNvGrpSpPr>
            <a:grpSpLocks/>
          </xdr:cNvGrpSpPr>
        </xdr:nvGrpSpPr>
        <xdr:grpSpPr>
          <a:xfrm>
            <a:off x="762" y="270"/>
            <a:ext cx="120" cy="243"/>
            <a:chOff x="671" y="513"/>
            <a:chExt cx="120" cy="243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671" y="513"/>
              <a:ext cx="120" cy="24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29"/>
            <xdr:cNvGrpSpPr>
              <a:grpSpLocks/>
            </xdr:cNvGrpSpPr>
          </xdr:nvGrpSpPr>
          <xdr:grpSpPr>
            <a:xfrm>
              <a:off x="685" y="527"/>
              <a:ext cx="90" cy="214"/>
              <a:chOff x="865" y="531"/>
              <a:chExt cx="90" cy="214"/>
            </a:xfrm>
            <a:solidFill>
              <a:srgbClr val="FFFFFF"/>
            </a:solidFill>
          </xdr:grpSpPr>
          <xdr:grpSp>
            <xdr:nvGrpSpPr>
              <xdr:cNvPr id="5" name="Group 26"/>
              <xdr:cNvGrpSpPr>
                <a:grpSpLocks/>
              </xdr:cNvGrpSpPr>
            </xdr:nvGrpSpPr>
            <xdr:grpSpPr>
              <a:xfrm>
                <a:off x="865" y="531"/>
                <a:ext cx="90" cy="214"/>
                <a:chOff x="865" y="531"/>
                <a:chExt cx="90" cy="214"/>
              </a:xfrm>
              <a:solidFill>
                <a:srgbClr val="FFFFFF"/>
              </a:solidFill>
            </xdr:grpSpPr>
            <xdr:sp>
              <xdr:nvSpPr>
                <xdr:cNvPr id="6" name="Rectangle 2"/>
                <xdr:cNvSpPr>
                  <a:spLocks/>
                </xdr:cNvSpPr>
              </xdr:nvSpPr>
              <xdr:spPr>
                <a:xfrm>
                  <a:off x="865" y="531"/>
                  <a:ext cx="90" cy="21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" name="Oval 3"/>
                <xdr:cNvSpPr>
                  <a:spLocks/>
                </xdr:cNvSpPr>
              </xdr:nvSpPr>
              <xdr:spPr>
                <a:xfrm>
                  <a:off x="866" y="736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" name="Oval 4"/>
                <xdr:cNvSpPr>
                  <a:spLocks/>
                </xdr:cNvSpPr>
              </xdr:nvSpPr>
              <xdr:spPr>
                <a:xfrm>
                  <a:off x="948" y="531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Oval 5"/>
                <xdr:cNvSpPr>
                  <a:spLocks/>
                </xdr:cNvSpPr>
              </xdr:nvSpPr>
              <xdr:spPr>
                <a:xfrm>
                  <a:off x="881" y="736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Oval 6"/>
                <xdr:cNvSpPr>
                  <a:spLocks/>
                </xdr:cNvSpPr>
              </xdr:nvSpPr>
              <xdr:spPr>
                <a:xfrm>
                  <a:off x="897" y="736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Oval 7"/>
                <xdr:cNvSpPr>
                  <a:spLocks/>
                </xdr:cNvSpPr>
              </xdr:nvSpPr>
              <xdr:spPr>
                <a:xfrm>
                  <a:off x="890" y="531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Oval 8"/>
                <xdr:cNvSpPr>
                  <a:spLocks/>
                </xdr:cNvSpPr>
              </xdr:nvSpPr>
              <xdr:spPr>
                <a:xfrm>
                  <a:off x="931" y="736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Oval 9"/>
                <xdr:cNvSpPr>
                  <a:spLocks/>
                </xdr:cNvSpPr>
              </xdr:nvSpPr>
              <xdr:spPr>
                <a:xfrm>
                  <a:off x="865" y="531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Oval 10"/>
                <xdr:cNvSpPr>
                  <a:spLocks/>
                </xdr:cNvSpPr>
              </xdr:nvSpPr>
              <xdr:spPr>
                <a:xfrm>
                  <a:off x="913" y="736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Oval 11"/>
                <xdr:cNvSpPr>
                  <a:spLocks/>
                </xdr:cNvSpPr>
              </xdr:nvSpPr>
              <xdr:spPr>
                <a:xfrm>
                  <a:off x="948" y="736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Oval 12"/>
                <xdr:cNvSpPr>
                  <a:spLocks/>
                </xdr:cNvSpPr>
              </xdr:nvSpPr>
              <xdr:spPr>
                <a:xfrm>
                  <a:off x="866" y="723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Oval 13"/>
                <xdr:cNvSpPr>
                  <a:spLocks/>
                </xdr:cNvSpPr>
              </xdr:nvSpPr>
              <xdr:spPr>
                <a:xfrm>
                  <a:off x="880" y="723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" name="Oval 14"/>
                <xdr:cNvSpPr>
                  <a:spLocks/>
                </xdr:cNvSpPr>
              </xdr:nvSpPr>
              <xdr:spPr>
                <a:xfrm>
                  <a:off x="896" y="723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9" name="Oval 15"/>
                <xdr:cNvSpPr>
                  <a:spLocks/>
                </xdr:cNvSpPr>
              </xdr:nvSpPr>
              <xdr:spPr>
                <a:xfrm>
                  <a:off x="930" y="723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" name="Oval 16"/>
                <xdr:cNvSpPr>
                  <a:spLocks/>
                </xdr:cNvSpPr>
              </xdr:nvSpPr>
              <xdr:spPr>
                <a:xfrm>
                  <a:off x="912" y="723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" name="Oval 17"/>
                <xdr:cNvSpPr>
                  <a:spLocks/>
                </xdr:cNvSpPr>
              </xdr:nvSpPr>
              <xdr:spPr>
                <a:xfrm>
                  <a:off x="947" y="723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" name="Oval 18"/>
                <xdr:cNvSpPr>
                  <a:spLocks/>
                </xdr:cNvSpPr>
              </xdr:nvSpPr>
              <xdr:spPr>
                <a:xfrm>
                  <a:off x="866" y="709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" name="Oval 19"/>
                <xdr:cNvSpPr>
                  <a:spLocks/>
                </xdr:cNvSpPr>
              </xdr:nvSpPr>
              <xdr:spPr>
                <a:xfrm>
                  <a:off x="880" y="709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" name="Oval 20"/>
                <xdr:cNvSpPr>
                  <a:spLocks/>
                </xdr:cNvSpPr>
              </xdr:nvSpPr>
              <xdr:spPr>
                <a:xfrm>
                  <a:off x="896" y="709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" name="Oval 21"/>
                <xdr:cNvSpPr>
                  <a:spLocks/>
                </xdr:cNvSpPr>
              </xdr:nvSpPr>
              <xdr:spPr>
                <a:xfrm>
                  <a:off x="930" y="709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" name="Oval 22"/>
                <xdr:cNvSpPr>
                  <a:spLocks/>
                </xdr:cNvSpPr>
              </xdr:nvSpPr>
              <xdr:spPr>
                <a:xfrm>
                  <a:off x="912" y="709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" name="Oval 23"/>
                <xdr:cNvSpPr>
                  <a:spLocks/>
                </xdr:cNvSpPr>
              </xdr:nvSpPr>
              <xdr:spPr>
                <a:xfrm>
                  <a:off x="947" y="709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Oval 24"/>
                <xdr:cNvSpPr>
                  <a:spLocks/>
                </xdr:cNvSpPr>
              </xdr:nvSpPr>
              <xdr:spPr>
                <a:xfrm>
                  <a:off x="919" y="531"/>
                  <a:ext cx="7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9" name="Rectangle 27"/>
              <xdr:cNvSpPr>
                <a:spLocks/>
              </xdr:cNvSpPr>
            </xdr:nvSpPr>
            <xdr:spPr>
              <a:xfrm>
                <a:off x="865" y="722"/>
                <a:ext cx="90" cy="2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Rectangle 28"/>
              <xdr:cNvSpPr>
                <a:spLocks/>
              </xdr:cNvSpPr>
            </xdr:nvSpPr>
            <xdr:spPr>
              <a:xfrm>
                <a:off x="865" y="708"/>
                <a:ext cx="89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31" name="Group 38"/>
          <xdr:cNvGrpSpPr>
            <a:grpSpLocks/>
          </xdr:cNvGrpSpPr>
        </xdr:nvGrpSpPr>
        <xdr:grpSpPr>
          <a:xfrm>
            <a:off x="702" y="264"/>
            <a:ext cx="40" cy="255"/>
            <a:chOff x="702" y="264"/>
            <a:chExt cx="40" cy="255"/>
          </a:xfrm>
          <a:solidFill>
            <a:srgbClr val="FFFFFF"/>
          </a:solidFill>
        </xdr:grpSpPr>
        <xdr:sp>
          <xdr:nvSpPr>
            <xdr:cNvPr id="32" name="Line 31"/>
            <xdr:cNvSpPr>
              <a:spLocks/>
            </xdr:cNvSpPr>
          </xdr:nvSpPr>
          <xdr:spPr>
            <a:xfrm>
              <a:off x="702" y="269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3"/>
            <xdr:cNvSpPr>
              <a:spLocks/>
            </xdr:cNvSpPr>
          </xdr:nvSpPr>
          <xdr:spPr>
            <a:xfrm>
              <a:off x="702" y="515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719" y="264"/>
              <a:ext cx="0" cy="2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6"/>
            <xdr:cNvSpPr>
              <a:spLocks/>
            </xdr:cNvSpPr>
          </xdr:nvSpPr>
          <xdr:spPr>
            <a:xfrm flipV="1">
              <a:off x="715" y="264"/>
              <a:ext cx="1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7"/>
            <xdr:cNvSpPr>
              <a:spLocks/>
            </xdr:cNvSpPr>
          </xdr:nvSpPr>
          <xdr:spPr>
            <a:xfrm flipV="1">
              <a:off x="715" y="510"/>
              <a:ext cx="1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333375</xdr:colOff>
      <xdr:row>126</xdr:row>
      <xdr:rowOff>47625</xdr:rowOff>
    </xdr:from>
    <xdr:to>
      <xdr:col>5</xdr:col>
      <xdr:colOff>533400</xdr:colOff>
      <xdr:row>128</xdr:row>
      <xdr:rowOff>66675</xdr:rowOff>
    </xdr:to>
    <xdr:grpSp>
      <xdr:nvGrpSpPr>
        <xdr:cNvPr id="37" name="Group 48"/>
        <xdr:cNvGrpSpPr>
          <a:grpSpLocks/>
        </xdr:cNvGrpSpPr>
      </xdr:nvGrpSpPr>
      <xdr:grpSpPr>
        <a:xfrm>
          <a:off x="1581150" y="20907375"/>
          <a:ext cx="2114550" cy="342900"/>
          <a:chOff x="756" y="208"/>
          <a:chExt cx="128" cy="36"/>
        </a:xfrm>
        <a:solidFill>
          <a:srgbClr val="FFFFFF"/>
        </a:solidFill>
      </xdr:grpSpPr>
      <xdr:sp>
        <xdr:nvSpPr>
          <xdr:cNvPr id="38" name="Line 41"/>
          <xdr:cNvSpPr>
            <a:spLocks/>
          </xdr:cNvSpPr>
        </xdr:nvSpPr>
        <xdr:spPr>
          <a:xfrm>
            <a:off x="760" y="208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4"/>
          <xdr:cNvSpPr>
            <a:spLocks/>
          </xdr:cNvSpPr>
        </xdr:nvSpPr>
        <xdr:spPr>
          <a:xfrm>
            <a:off x="881" y="209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5"/>
          <xdr:cNvSpPr>
            <a:spLocks/>
          </xdr:cNvSpPr>
        </xdr:nvSpPr>
        <xdr:spPr>
          <a:xfrm>
            <a:off x="756" y="221"/>
            <a:ext cx="1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6"/>
          <xdr:cNvSpPr>
            <a:spLocks/>
          </xdr:cNvSpPr>
        </xdr:nvSpPr>
        <xdr:spPr>
          <a:xfrm flipV="1">
            <a:off x="757" y="216"/>
            <a:ext cx="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7"/>
          <xdr:cNvSpPr>
            <a:spLocks/>
          </xdr:cNvSpPr>
        </xdr:nvSpPr>
        <xdr:spPr>
          <a:xfrm flipV="1">
            <a:off x="878" y="216"/>
            <a:ext cx="6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129</xdr:row>
      <xdr:rowOff>152400</xdr:rowOff>
    </xdr:from>
    <xdr:to>
      <xdr:col>5</xdr:col>
      <xdr:colOff>419100</xdr:colOff>
      <xdr:row>130</xdr:row>
      <xdr:rowOff>200025</xdr:rowOff>
    </xdr:to>
    <xdr:sp>
      <xdr:nvSpPr>
        <xdr:cNvPr id="43" name="Oval 49"/>
        <xdr:cNvSpPr>
          <a:spLocks/>
        </xdr:cNvSpPr>
      </xdr:nvSpPr>
      <xdr:spPr>
        <a:xfrm>
          <a:off x="3314700" y="21497925"/>
          <a:ext cx="26670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130</xdr:row>
      <xdr:rowOff>66675</xdr:rowOff>
    </xdr:from>
    <xdr:to>
      <xdr:col>5</xdr:col>
      <xdr:colOff>714375</xdr:colOff>
      <xdr:row>130</xdr:row>
      <xdr:rowOff>66675</xdr:rowOff>
    </xdr:to>
    <xdr:sp>
      <xdr:nvSpPr>
        <xdr:cNvPr id="44" name="Line 50"/>
        <xdr:cNvSpPr>
          <a:spLocks/>
        </xdr:cNvSpPr>
      </xdr:nvSpPr>
      <xdr:spPr>
        <a:xfrm flipH="1">
          <a:off x="3590925" y="21678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138</xdr:row>
      <xdr:rowOff>95250</xdr:rowOff>
    </xdr:from>
    <xdr:to>
      <xdr:col>5</xdr:col>
      <xdr:colOff>714375</xdr:colOff>
      <xdr:row>138</xdr:row>
      <xdr:rowOff>95250</xdr:rowOff>
    </xdr:to>
    <xdr:sp>
      <xdr:nvSpPr>
        <xdr:cNvPr id="45" name="Line 51"/>
        <xdr:cNvSpPr>
          <a:spLocks/>
        </xdr:cNvSpPr>
      </xdr:nvSpPr>
      <xdr:spPr>
        <a:xfrm flipH="1">
          <a:off x="3524250" y="23107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142</xdr:row>
      <xdr:rowOff>57150</xdr:rowOff>
    </xdr:from>
    <xdr:to>
      <xdr:col>5</xdr:col>
      <xdr:colOff>419100</xdr:colOff>
      <xdr:row>143</xdr:row>
      <xdr:rowOff>104775</xdr:rowOff>
    </xdr:to>
    <xdr:sp>
      <xdr:nvSpPr>
        <xdr:cNvPr id="46" name="Oval 53"/>
        <xdr:cNvSpPr>
          <a:spLocks/>
        </xdr:cNvSpPr>
      </xdr:nvSpPr>
      <xdr:spPr>
        <a:xfrm>
          <a:off x="3371850" y="23717250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142</xdr:row>
      <xdr:rowOff>123825</xdr:rowOff>
    </xdr:from>
    <xdr:to>
      <xdr:col>5</xdr:col>
      <xdr:colOff>714375</xdr:colOff>
      <xdr:row>142</xdr:row>
      <xdr:rowOff>123825</xdr:rowOff>
    </xdr:to>
    <xdr:sp>
      <xdr:nvSpPr>
        <xdr:cNvPr id="47" name="Line 54"/>
        <xdr:cNvSpPr>
          <a:spLocks/>
        </xdr:cNvSpPr>
      </xdr:nvSpPr>
      <xdr:spPr>
        <a:xfrm flipH="1">
          <a:off x="3562350" y="23783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90</xdr:row>
      <xdr:rowOff>133350</xdr:rowOff>
    </xdr:from>
    <xdr:to>
      <xdr:col>5</xdr:col>
      <xdr:colOff>85725</xdr:colOff>
      <xdr:row>91</xdr:row>
      <xdr:rowOff>133350</xdr:rowOff>
    </xdr:to>
    <xdr:grpSp>
      <xdr:nvGrpSpPr>
        <xdr:cNvPr id="48" name="Group 66"/>
        <xdr:cNvGrpSpPr>
          <a:grpSpLocks/>
        </xdr:cNvGrpSpPr>
      </xdr:nvGrpSpPr>
      <xdr:grpSpPr>
        <a:xfrm>
          <a:off x="1362075" y="14992350"/>
          <a:ext cx="1885950" cy="161925"/>
          <a:chOff x="143" y="1385"/>
          <a:chExt cx="198" cy="17"/>
        </a:xfrm>
        <a:solidFill>
          <a:srgbClr val="FFFFFF"/>
        </a:solidFill>
      </xdr:grpSpPr>
      <xdr:sp>
        <xdr:nvSpPr>
          <xdr:cNvPr id="49" name="Line 58"/>
          <xdr:cNvSpPr>
            <a:spLocks/>
          </xdr:cNvSpPr>
        </xdr:nvSpPr>
        <xdr:spPr>
          <a:xfrm flipV="1">
            <a:off x="145" y="1385"/>
            <a:ext cx="7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9"/>
          <xdr:cNvSpPr>
            <a:spLocks/>
          </xdr:cNvSpPr>
        </xdr:nvSpPr>
        <xdr:spPr>
          <a:xfrm flipV="1">
            <a:off x="152" y="1385"/>
            <a:ext cx="1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60"/>
          <xdr:cNvSpPr>
            <a:spLocks/>
          </xdr:cNvSpPr>
        </xdr:nvSpPr>
        <xdr:spPr>
          <a:xfrm flipH="1" flipV="1">
            <a:off x="143" y="1397"/>
            <a:ext cx="2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100</xdr:row>
      <xdr:rowOff>142875</xdr:rowOff>
    </xdr:from>
    <xdr:to>
      <xdr:col>3</xdr:col>
      <xdr:colOff>238125</xdr:colOff>
      <xdr:row>101</xdr:row>
      <xdr:rowOff>142875</xdr:rowOff>
    </xdr:to>
    <xdr:grpSp>
      <xdr:nvGrpSpPr>
        <xdr:cNvPr id="52" name="Group 96"/>
        <xdr:cNvGrpSpPr>
          <a:grpSpLocks/>
        </xdr:cNvGrpSpPr>
      </xdr:nvGrpSpPr>
      <xdr:grpSpPr>
        <a:xfrm>
          <a:off x="2009775" y="16706850"/>
          <a:ext cx="200025" cy="161925"/>
          <a:chOff x="219" y="1456"/>
          <a:chExt cx="21" cy="17"/>
        </a:xfrm>
        <a:solidFill>
          <a:srgbClr val="FFFFFF"/>
        </a:solidFill>
      </xdr:grpSpPr>
      <xdr:sp>
        <xdr:nvSpPr>
          <xdr:cNvPr id="53" name="Line 93"/>
          <xdr:cNvSpPr>
            <a:spLocks/>
          </xdr:cNvSpPr>
        </xdr:nvSpPr>
        <xdr:spPr>
          <a:xfrm flipV="1">
            <a:off x="221" y="1456"/>
            <a:ext cx="7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94"/>
          <xdr:cNvSpPr>
            <a:spLocks/>
          </xdr:cNvSpPr>
        </xdr:nvSpPr>
        <xdr:spPr>
          <a:xfrm flipV="1">
            <a:off x="228" y="1456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95"/>
          <xdr:cNvSpPr>
            <a:spLocks/>
          </xdr:cNvSpPr>
        </xdr:nvSpPr>
        <xdr:spPr>
          <a:xfrm flipH="1" flipV="1">
            <a:off x="219" y="1468"/>
            <a:ext cx="2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438150</xdr:colOff>
      <xdr:row>108</xdr:row>
      <xdr:rowOff>9525</xdr:rowOff>
    </xdr:from>
    <xdr:to>
      <xdr:col>0</xdr:col>
      <xdr:colOff>514350</xdr:colOff>
      <xdr:row>108</xdr:row>
      <xdr:rowOff>123825</xdr:rowOff>
    </xdr:to>
    <xdr:sp>
      <xdr:nvSpPr>
        <xdr:cNvPr id="56" name="AutoShape 97"/>
        <xdr:cNvSpPr>
          <a:spLocks/>
        </xdr:cNvSpPr>
      </xdr:nvSpPr>
      <xdr:spPr>
        <a:xfrm>
          <a:off x="438150" y="17945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110</xdr:row>
      <xdr:rowOff>9525</xdr:rowOff>
    </xdr:from>
    <xdr:to>
      <xdr:col>0</xdr:col>
      <xdr:colOff>352425</xdr:colOff>
      <xdr:row>110</xdr:row>
      <xdr:rowOff>123825</xdr:rowOff>
    </xdr:to>
    <xdr:sp>
      <xdr:nvSpPr>
        <xdr:cNvPr id="57" name="AutoShape 98"/>
        <xdr:cNvSpPr>
          <a:spLocks/>
        </xdr:cNvSpPr>
      </xdr:nvSpPr>
      <xdr:spPr>
        <a:xfrm>
          <a:off x="276225" y="182880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112</xdr:row>
      <xdr:rowOff>0</xdr:rowOff>
    </xdr:from>
    <xdr:to>
      <xdr:col>0</xdr:col>
      <xdr:colOff>352425</xdr:colOff>
      <xdr:row>112</xdr:row>
      <xdr:rowOff>114300</xdr:rowOff>
    </xdr:to>
    <xdr:sp>
      <xdr:nvSpPr>
        <xdr:cNvPr id="58" name="AutoShape 99"/>
        <xdr:cNvSpPr>
          <a:spLocks/>
        </xdr:cNvSpPr>
      </xdr:nvSpPr>
      <xdr:spPr>
        <a:xfrm>
          <a:off x="276225" y="18602325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114</xdr:row>
      <xdr:rowOff>9525</xdr:rowOff>
    </xdr:from>
    <xdr:to>
      <xdr:col>0</xdr:col>
      <xdr:colOff>352425</xdr:colOff>
      <xdr:row>114</xdr:row>
      <xdr:rowOff>123825</xdr:rowOff>
    </xdr:to>
    <xdr:sp>
      <xdr:nvSpPr>
        <xdr:cNvPr id="59" name="AutoShape 100"/>
        <xdr:cNvSpPr>
          <a:spLocks/>
        </xdr:cNvSpPr>
      </xdr:nvSpPr>
      <xdr:spPr>
        <a:xfrm>
          <a:off x="276225" y="18926175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118</xdr:row>
      <xdr:rowOff>19050</xdr:rowOff>
    </xdr:from>
    <xdr:to>
      <xdr:col>1</xdr:col>
      <xdr:colOff>495300</xdr:colOff>
      <xdr:row>118</xdr:row>
      <xdr:rowOff>133350</xdr:rowOff>
    </xdr:to>
    <xdr:sp>
      <xdr:nvSpPr>
        <xdr:cNvPr id="60" name="AutoShape 101"/>
        <xdr:cNvSpPr>
          <a:spLocks/>
        </xdr:cNvSpPr>
      </xdr:nvSpPr>
      <xdr:spPr>
        <a:xfrm>
          <a:off x="1028700" y="195834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118</xdr:row>
      <xdr:rowOff>9525</xdr:rowOff>
    </xdr:from>
    <xdr:to>
      <xdr:col>2</xdr:col>
      <xdr:colOff>333375</xdr:colOff>
      <xdr:row>118</xdr:row>
      <xdr:rowOff>123825</xdr:rowOff>
    </xdr:to>
    <xdr:sp>
      <xdr:nvSpPr>
        <xdr:cNvPr id="61" name="AutoShape 102"/>
        <xdr:cNvSpPr>
          <a:spLocks/>
        </xdr:cNvSpPr>
      </xdr:nvSpPr>
      <xdr:spPr>
        <a:xfrm>
          <a:off x="1504950" y="19573875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118</xdr:row>
      <xdr:rowOff>9525</xdr:rowOff>
    </xdr:from>
    <xdr:to>
      <xdr:col>3</xdr:col>
      <xdr:colOff>47625</xdr:colOff>
      <xdr:row>118</xdr:row>
      <xdr:rowOff>123825</xdr:rowOff>
    </xdr:to>
    <xdr:sp>
      <xdr:nvSpPr>
        <xdr:cNvPr id="62" name="AutoShape 103"/>
        <xdr:cNvSpPr>
          <a:spLocks/>
        </xdr:cNvSpPr>
      </xdr:nvSpPr>
      <xdr:spPr>
        <a:xfrm>
          <a:off x="1943100" y="19573875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tabSelected="1" zoomScale="85" zoomScaleNormal="85" workbookViewId="0" topLeftCell="A1">
      <selection activeCell="K17" sqref="K17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10.8515625" style="1" customWidth="1"/>
    <col min="4" max="4" width="10.00390625" style="1" customWidth="1"/>
    <col min="5" max="5" width="7.8515625" style="1" customWidth="1"/>
    <col min="6" max="6" width="10.7109375" style="1" customWidth="1"/>
    <col min="7" max="7" width="5.7109375" style="1" customWidth="1"/>
    <col min="8" max="8" width="9.140625" style="1" customWidth="1"/>
    <col min="9" max="9" width="9.7109375" style="1" customWidth="1"/>
    <col min="10" max="10" width="9.140625" style="1" customWidth="1"/>
    <col min="11" max="11" width="11.140625" style="1" customWidth="1"/>
    <col min="12" max="12" width="5.57421875" style="1" customWidth="1"/>
    <col min="13" max="13" width="2.8515625" style="1" customWidth="1"/>
    <col min="14" max="14" width="6.8515625" style="1" customWidth="1"/>
    <col min="15" max="15" width="12.28125" style="1" customWidth="1"/>
    <col min="16" max="16" width="5.28125" style="1" customWidth="1"/>
    <col min="17" max="17" width="5.00390625" style="1" customWidth="1"/>
    <col min="18" max="18" width="7.00390625" style="1" customWidth="1"/>
    <col min="19" max="19" width="5.7109375" style="1" customWidth="1"/>
    <col min="20" max="20" width="7.28125" style="1" customWidth="1"/>
    <col min="21" max="16384" width="9.140625" style="1" customWidth="1"/>
  </cols>
  <sheetData>
    <row r="1" ht="12.75">
      <c r="A1" s="4" t="s">
        <v>81</v>
      </c>
    </row>
    <row r="2" ht="12.75"/>
    <row r="3" spans="1:4" ht="12.75">
      <c r="A3" t="s">
        <v>71</v>
      </c>
      <c r="C3">
        <v>27</v>
      </c>
      <c r="D3" t="s">
        <v>52</v>
      </c>
    </row>
    <row r="4" ht="12.75">
      <c r="A4" t="s">
        <v>85</v>
      </c>
    </row>
    <row r="5" spans="1:5" ht="12.75">
      <c r="A5" t="s">
        <v>72</v>
      </c>
      <c r="B5" t="s">
        <v>73</v>
      </c>
      <c r="E5">
        <f>ROUND(50/(27*3.28+125),3)</f>
        <v>0.234</v>
      </c>
    </row>
    <row r="6" ht="12.75">
      <c r="A6" t="s">
        <v>74</v>
      </c>
    </row>
    <row r="7" spans="1:9" ht="12.75">
      <c r="A7" t="s">
        <v>75</v>
      </c>
      <c r="E7">
        <f>ROUNDUP(182.39*1.234*1.3*1.6,0)</f>
        <v>469</v>
      </c>
      <c r="F7" t="s">
        <v>76</v>
      </c>
      <c r="H7">
        <f>ROUNDUP(E7*1.1,0)</f>
        <v>516</v>
      </c>
      <c r="I7" t="s">
        <v>77</v>
      </c>
    </row>
    <row r="8" spans="1:9" ht="12.75">
      <c r="A8" t="s">
        <v>78</v>
      </c>
      <c r="E8">
        <f>ROUNDUP(29.23*1.234*1.3*1.6,0)</f>
        <v>76</v>
      </c>
      <c r="F8" t="s">
        <v>79</v>
      </c>
      <c r="H8">
        <f>ROUNDUP(E8*1.1,0)</f>
        <v>84</v>
      </c>
      <c r="I8" t="s">
        <v>80</v>
      </c>
    </row>
    <row r="9" ht="12.75">
      <c r="A9" s="3" t="s">
        <v>6</v>
      </c>
    </row>
    <row r="10" spans="1:3" ht="12.75">
      <c r="A10" s="1" t="s">
        <v>7</v>
      </c>
      <c r="B10" s="5">
        <v>27</v>
      </c>
      <c r="C10" s="1" t="s">
        <v>1</v>
      </c>
    </row>
    <row r="11" spans="1:4" ht="12.75">
      <c r="A11" s="1" t="s">
        <v>8</v>
      </c>
      <c r="C11" s="6">
        <v>1</v>
      </c>
      <c r="D11" s="105" t="str">
        <f>IF(C11="คานยื่น"," ",IF(C11="-","คานช่วงเดียว","ช่วง"))</f>
        <v>ช่วง</v>
      </c>
    </row>
    <row r="12" spans="1:6" ht="12.75">
      <c r="A12" s="1" t="s">
        <v>9</v>
      </c>
      <c r="E12" s="35">
        <f>ROUND((B10*100/(IF(C11="คานยื่น",8,IF(C11="-",16,IF(C11=1,18.5,IF(C11=2,21,21)))))*(0.4+(B19/7000))),0.1)</f>
        <v>142</v>
      </c>
      <c r="F12" s="1" t="s">
        <v>0</v>
      </c>
    </row>
    <row r="13" spans="1:6" ht="12.75">
      <c r="A13" s="1" t="s">
        <v>10</v>
      </c>
      <c r="B13" s="9">
        <v>0.6</v>
      </c>
      <c r="C13" s="1" t="s">
        <v>1</v>
      </c>
      <c r="D13" s="1" t="s">
        <v>39</v>
      </c>
      <c r="E13" s="9">
        <v>0.1</v>
      </c>
      <c r="F13" s="1" t="s">
        <v>1</v>
      </c>
    </row>
    <row r="14" spans="1:3" ht="12.75">
      <c r="A14" s="1" t="s">
        <v>11</v>
      </c>
      <c r="B14" s="9">
        <v>1.5</v>
      </c>
      <c r="C14" s="68" t="s">
        <v>1</v>
      </c>
    </row>
    <row r="15" spans="1:3" ht="12.75">
      <c r="A15" s="1" t="s">
        <v>12</v>
      </c>
      <c r="B15" s="9">
        <v>0.05</v>
      </c>
      <c r="C15" s="1" t="s">
        <v>1</v>
      </c>
    </row>
    <row r="16" spans="1:3" ht="12.75">
      <c r="A16" s="1" t="s">
        <v>5</v>
      </c>
      <c r="B16" s="14">
        <f>B14-E13</f>
        <v>1.4</v>
      </c>
      <c r="C16" s="1" t="s">
        <v>1</v>
      </c>
    </row>
    <row r="17" spans="1:4" ht="12.75">
      <c r="A17" s="1" t="s">
        <v>98</v>
      </c>
      <c r="B17" s="14"/>
      <c r="C17" s="1">
        <f>B13*B14*2400</f>
        <v>2160</v>
      </c>
      <c r="D17" s="68" t="s">
        <v>99</v>
      </c>
    </row>
    <row r="18" spans="1:3" ht="12.75">
      <c r="A18" s="1" t="s">
        <v>13</v>
      </c>
      <c r="C18" s="21" t="s">
        <v>22</v>
      </c>
    </row>
    <row r="19" spans="1:7" ht="12.75">
      <c r="A19" s="20" t="s">
        <v>14</v>
      </c>
      <c r="B19" s="22">
        <v>4000</v>
      </c>
      <c r="C19" s="23" t="s">
        <v>3</v>
      </c>
      <c r="G19" s="15"/>
    </row>
    <row r="20" spans="1:5" ht="12.75">
      <c r="A20" s="20" t="s">
        <v>4</v>
      </c>
      <c r="B20" s="22">
        <v>350</v>
      </c>
      <c r="C20" s="23" t="s">
        <v>3</v>
      </c>
      <c r="D20" s="27" t="s">
        <v>56</v>
      </c>
      <c r="E20" s="61">
        <f>IF(B20&lt;=280,0.85,IF(B20&lt;560,(0.85-0.05*(B20-280)/70),0.65))</f>
        <v>0.7999999999999999</v>
      </c>
    </row>
    <row r="21" spans="1:5" ht="12.75">
      <c r="A21" s="27" t="s">
        <v>100</v>
      </c>
      <c r="B21" s="94">
        <f>C17*B10^2/8</f>
        <v>196830</v>
      </c>
      <c r="C21" s="70" t="s">
        <v>17</v>
      </c>
      <c r="D21" s="27"/>
      <c r="E21" s="61"/>
    </row>
    <row r="22" spans="1:6" ht="12.75">
      <c r="A22" s="27" t="s">
        <v>55</v>
      </c>
      <c r="B22" s="69">
        <f>H7*1000+B21</f>
        <v>712830</v>
      </c>
      <c r="C22" s="70" t="s">
        <v>17</v>
      </c>
      <c r="F22" s="59"/>
    </row>
    <row r="23" spans="1:6" ht="12.75">
      <c r="A23" s="20" t="s">
        <v>27</v>
      </c>
      <c r="B23" s="36">
        <v>0</v>
      </c>
      <c r="C23" s="1" t="s">
        <v>28</v>
      </c>
      <c r="D23" s="59"/>
      <c r="E23" s="62"/>
      <c r="F23"/>
    </row>
    <row r="24" spans="1:6" ht="12.75">
      <c r="A24" s="27" t="s">
        <v>53</v>
      </c>
      <c r="B24" s="67">
        <f>B22/0.9</f>
        <v>792033.3333333333</v>
      </c>
      <c r="C24" s="28" t="s">
        <v>17</v>
      </c>
      <c r="D24" s="59"/>
      <c r="E24" s="62"/>
      <c r="F24"/>
    </row>
    <row r="25" spans="1:6" ht="12.75">
      <c r="A25" s="27" t="s">
        <v>54</v>
      </c>
      <c r="B25" s="84">
        <f>0.85*E20*(B20/B19)*(6120/(6120+B19))</f>
        <v>0.03598221343873517</v>
      </c>
      <c r="C25" s="28"/>
      <c r="D25" s="27"/>
      <c r="E25" s="32"/>
      <c r="F25" s="29"/>
    </row>
    <row r="26" spans="1:3" ht="12.75">
      <c r="A26" s="33" t="s">
        <v>15</v>
      </c>
      <c r="B26" s="23"/>
      <c r="C26" s="23"/>
    </row>
    <row r="27" ht="12.75">
      <c r="A27" s="15" t="s">
        <v>16</v>
      </c>
    </row>
    <row r="28" spans="1:10" ht="12.75">
      <c r="A28" s="68" t="s">
        <v>58</v>
      </c>
      <c r="C28" s="21">
        <v>0.4</v>
      </c>
      <c r="D28" s="35"/>
      <c r="J28" s="15"/>
    </row>
    <row r="29" spans="1:2" ht="12.75">
      <c r="A29" s="60" t="s">
        <v>47</v>
      </c>
      <c r="B29" s="82">
        <f>C28*B25</f>
        <v>0.01439288537549407</v>
      </c>
    </row>
    <row r="30" spans="1:10" ht="12.75">
      <c r="A30" s="27" t="s">
        <v>18</v>
      </c>
      <c r="B30" s="78">
        <f>B29*B13*B16*10000</f>
        <v>120.90023715415018</v>
      </c>
      <c r="C30" s="29" t="s">
        <v>48</v>
      </c>
      <c r="D30" s="37"/>
      <c r="J30" s="3"/>
    </row>
    <row r="31" spans="1:11" ht="12.75">
      <c r="A31" s="20" t="s">
        <v>57</v>
      </c>
      <c r="B31" s="79">
        <f>B30*B19/(0.85*B20*B13*100)</f>
        <v>27.09249011857707</v>
      </c>
      <c r="C31" s="29" t="s">
        <v>59</v>
      </c>
      <c r="J31" s="3"/>
      <c r="K31" s="24"/>
    </row>
    <row r="32" spans="1:17" ht="12.75">
      <c r="A32" s="71" t="s">
        <v>60</v>
      </c>
      <c r="B32" s="80">
        <f>B30*B19*(B16*100-(B31/2))/100</f>
        <v>611531.5584545922</v>
      </c>
      <c r="C32" s="29" t="s">
        <v>17</v>
      </c>
      <c r="H32" s="23"/>
      <c r="J32" s="3"/>
      <c r="K32" s="15"/>
      <c r="N32" s="25"/>
      <c r="O32" s="15"/>
      <c r="Q32" s="31"/>
    </row>
    <row r="33" spans="1:8" ht="12.75">
      <c r="A33" s="27" t="s">
        <v>61</v>
      </c>
      <c r="B33" s="76">
        <f>IF(B32&gt;B24,"-",B24-B32)</f>
        <v>180501.774878741</v>
      </c>
      <c r="C33" s="29" t="s">
        <v>17</v>
      </c>
      <c r="D33" s="29"/>
      <c r="E33" s="29"/>
      <c r="F33" s="29"/>
      <c r="H33" s="23"/>
    </row>
    <row r="34" spans="1:8" ht="12.75">
      <c r="A34" s="27" t="s">
        <v>23</v>
      </c>
      <c r="B34" s="77">
        <f>IF(B32&gt;B24,"-",B33*100/(B19*(B16-B15)*100))</f>
        <v>33.42625460717427</v>
      </c>
      <c r="C34" s="29" t="s">
        <v>62</v>
      </c>
      <c r="D34" s="29"/>
      <c r="E34" s="29"/>
      <c r="F34" s="29"/>
      <c r="H34" s="23"/>
    </row>
    <row r="35" spans="1:8" ht="12.75">
      <c r="A35" s="27" t="s">
        <v>63</v>
      </c>
      <c r="B35" s="78">
        <f>IF(B32&gt;B24,B30,B34+B30)</f>
        <v>154.32649176132446</v>
      </c>
      <c r="C35" s="29" t="s">
        <v>48</v>
      </c>
      <c r="D35" s="29"/>
      <c r="E35" s="29"/>
      <c r="F35" s="29"/>
      <c r="H35" s="23"/>
    </row>
    <row r="36" ht="13.5" thickBot="1">
      <c r="A36" s="3" t="s">
        <v>35</v>
      </c>
    </row>
    <row r="37" spans="1:7" ht="15" thickBot="1">
      <c r="A37" s="38" t="s">
        <v>19</v>
      </c>
      <c r="B37" s="39" t="s">
        <v>49</v>
      </c>
      <c r="C37" s="39" t="s">
        <v>20</v>
      </c>
      <c r="D37" s="40" t="s">
        <v>21</v>
      </c>
      <c r="E37" s="63"/>
      <c r="F37" s="64"/>
      <c r="G37" s="8"/>
    </row>
    <row r="38" spans="1:6" ht="12.75">
      <c r="A38" s="41">
        <v>12</v>
      </c>
      <c r="B38" s="42">
        <f>(PI()/4*(A38/10)^2)</f>
        <v>1.1309733552923256</v>
      </c>
      <c r="C38" s="43">
        <f>ROUNDUP($B$35/B38,0.1)</f>
        <v>137</v>
      </c>
      <c r="D38" s="41">
        <f>ROUNDUP((C38*(A38/10)+(C38-1)*(A38/10)+4*2)/(B$13*100),0.1)</f>
        <v>6</v>
      </c>
      <c r="E38" s="96" t="str">
        <f>IF(D38&gt;(1+(E$13/0.05-1)*2),"ให้เปลี่ยนระยะหุ้มใหม่","d'หนาพอเพียง")</f>
        <v>ให้เปลี่ยนระยะหุ้มใหม่</v>
      </c>
      <c r="F38" s="97"/>
    </row>
    <row r="39" spans="1:6" ht="12.75">
      <c r="A39" s="41">
        <v>16</v>
      </c>
      <c r="B39" s="42">
        <f>(PI()/4*(A39/10)^2)</f>
        <v>2.0106192982974678</v>
      </c>
      <c r="C39" s="43">
        <f>ROUNDUP($B$35/B39,0.1)</f>
        <v>77</v>
      </c>
      <c r="D39" s="41">
        <f>ROUNDUP((C39*(A39/10)+(C39-1)*(A39/10)+4*2)/(B$13*100),0.1)</f>
        <v>5</v>
      </c>
      <c r="E39" s="96" t="str">
        <f>IF(D39&gt;(1+(E$13/0.05-1)*2),"ให้เปลี่ยนระยะหุ้มใหม่","d'หนาพอเพียง")</f>
        <v>ให้เปลี่ยนระยะหุ้มใหม่</v>
      </c>
      <c r="F39" s="97"/>
    </row>
    <row r="40" spans="1:6" ht="12.75">
      <c r="A40" s="41">
        <v>20</v>
      </c>
      <c r="B40" s="42">
        <f>(PI()/4*(A40/10)^2)</f>
        <v>3.141592653589793</v>
      </c>
      <c r="C40" s="43">
        <f>ROUNDUP($B$35/B40,0.1)</f>
        <v>50</v>
      </c>
      <c r="D40" s="41">
        <f>ROUNDUP((C40*(A40/10)+(C40-1)*(A40/10)+5*2)/(B$13*100),0.1)</f>
        <v>4</v>
      </c>
      <c r="E40" s="96" t="str">
        <f>IF(D40&gt;(1+(E$13/0.05-1)*2),"ให้เปลี่ยนระยะหุ้มใหม่","d'หนาพอเพียง")</f>
        <v>ให้เปลี่ยนระยะหุ้มใหม่</v>
      </c>
      <c r="F40" s="97"/>
    </row>
    <row r="41" spans="1:9" ht="12.75">
      <c r="A41" s="41">
        <v>25</v>
      </c>
      <c r="B41" s="42">
        <f>(PI()/4*(A41/10)^2)</f>
        <v>4.908738521234052</v>
      </c>
      <c r="C41" s="43">
        <f>ROUNDUP($B$35/B41,0.1)</f>
        <v>32</v>
      </c>
      <c r="D41" s="41">
        <f>ROUNDUP((C41*(A41/10)+(C41-1)*(A41/10)+5*2)/(B$13*100),0.1)</f>
        <v>3</v>
      </c>
      <c r="E41" s="96" t="str">
        <f>IF(D41&gt;(1+(E$13/0.05-1)*2),"ให้เปลี่ยนระยะหุ้มใหม่","d'หนาพอเพียง")</f>
        <v>d'หนาพอเพียง</v>
      </c>
      <c r="F41" s="97"/>
      <c r="H41" s="8"/>
      <c r="I41" s="8"/>
    </row>
    <row r="42" spans="1:6" ht="12.75">
      <c r="A42" s="44">
        <v>28</v>
      </c>
      <c r="B42" s="45">
        <f>(PI()/4*(A42/10)^2)</f>
        <v>6.157521601035993</v>
      </c>
      <c r="C42" s="100">
        <f>ROUNDUP($B$35/B42,0.1)</f>
        <v>26</v>
      </c>
      <c r="D42" s="44">
        <f>ROUNDUP((C42*(A42/10)+(C42-1)*(A42/10)+5*2)/(B$13*100),0.1)</f>
        <v>3</v>
      </c>
      <c r="E42" s="98" t="str">
        <f>IF(D42&gt;(1+(E$13/0.05-1)*2),"ให้เปลี่ยนระยะหุ้มใหม่","d'หนาพอเพียง")</f>
        <v>d'หนาพอเพียง</v>
      </c>
      <c r="F42" s="99"/>
    </row>
    <row r="43" spans="1:5" ht="13.5" thickBot="1">
      <c r="A43" s="3" t="s">
        <v>36</v>
      </c>
      <c r="E43" s="46"/>
    </row>
    <row r="44" spans="1:6" ht="15" thickBot="1">
      <c r="A44" s="47" t="s">
        <v>19</v>
      </c>
      <c r="B44" s="48" t="s">
        <v>49</v>
      </c>
      <c r="C44" s="48" t="s">
        <v>20</v>
      </c>
      <c r="D44" s="49" t="s">
        <v>21</v>
      </c>
      <c r="E44" s="65"/>
      <c r="F44" s="66"/>
    </row>
    <row r="45" spans="1:6" ht="12.75">
      <c r="A45" s="41">
        <v>12</v>
      </c>
      <c r="B45" s="42">
        <f>(PI()/4*(A45/10)^2)</f>
        <v>1.1309733552923256</v>
      </c>
      <c r="C45" s="43">
        <f>IF(B$32&gt;B$24,"  ",ROUNDUP($B$34/B45,0.1))</f>
        <v>30</v>
      </c>
      <c r="D45" s="41">
        <f>IF(B$32&gt;B$24,"  ",IF(D$28&gt;B$31,"-",ROUNDUP((C45*(A45/10)+(C45-1)*(A45/10)+4*2)/(B$13*100),0.1)))</f>
        <v>2</v>
      </c>
      <c r="E45" s="96" t="str">
        <f>IF(B$24&lt;B$32,"  ",IF(D$28&gt;B$31,"-",IF(D45&gt;1+(B$15/0.05-1)*2,"ให้เปลี่ยนระยะหุ้มใหม่","d'หนาพอเพียง")))</f>
        <v>ให้เปลี่ยนระยะหุ้มใหม่</v>
      </c>
      <c r="F45" s="97"/>
    </row>
    <row r="46" spans="1:6" ht="12.75">
      <c r="A46" s="41">
        <v>16</v>
      </c>
      <c r="B46" s="42">
        <f>(PI()/4*(A46/10)^2)</f>
        <v>2.0106192982974678</v>
      </c>
      <c r="C46" s="43">
        <f>IF(B$32&gt;B$24,"  ",ROUNDUP($B$34/B46,0.1))</f>
        <v>17</v>
      </c>
      <c r="D46" s="41">
        <f>IF(B$32&gt;B$24,"  ",IF(D$28&gt;B$31,"-",ROUNDUP((C46*(A46/10)+(C46-1)*(A46/10)+4*2)/(B$13*100),0.1)))</f>
        <v>2</v>
      </c>
      <c r="E46" s="96" t="str">
        <f>IF(B$24&lt;B$32,"  ",IF(D$28&gt;B$31,"-",IF(D46&gt;1+(B$15/0.05-1)*2,"ให้เปลี่ยนระยะหุ้มใหม่","d'หนาพอเพียง")))</f>
        <v>ให้เปลี่ยนระยะหุ้มใหม่</v>
      </c>
      <c r="F46" s="97"/>
    </row>
    <row r="47" spans="1:6" ht="12.75">
      <c r="A47" s="41">
        <v>20</v>
      </c>
      <c r="B47" s="42">
        <f>(PI()/4*(A47/10)^2)</f>
        <v>3.141592653589793</v>
      </c>
      <c r="C47" s="43">
        <f>IF(B$32&gt;B$24,"  ",ROUNDUP($B$34/B47,0.1))</f>
        <v>11</v>
      </c>
      <c r="D47" s="41">
        <f>IF(B$32&gt;B$24,"  ",IF(D$28&gt;B$31,"-",ROUNDUP((C47*(A47/10)+(C47-1)*(A47/10)+5*2)/(B$13*100),0.1)))</f>
        <v>1</v>
      </c>
      <c r="E47" s="96" t="str">
        <f>IF(B$24&lt;B$32,"  ",IF(D$28&gt;B$31,"-",IF(D47&gt;1+(B$15/0.05-1)*2,"ให้เปลี่ยนระยะหุ้มใหม่","d'หนาพอเพียง")))</f>
        <v>d'หนาพอเพียง</v>
      </c>
      <c r="F47" s="97"/>
    </row>
    <row r="48" spans="1:6" ht="12.75">
      <c r="A48" s="41">
        <v>25</v>
      </c>
      <c r="B48" s="42">
        <f>(PI()/4*(A48/10)^2)</f>
        <v>4.908738521234052</v>
      </c>
      <c r="C48" s="43">
        <f>IF(B$32&gt;B$24,"  ",ROUNDUP($B$34/B48,0.1))</f>
        <v>7</v>
      </c>
      <c r="D48" s="41">
        <f>IF(B$32&gt;B$24,"  ",IF(D$28&gt;B$31,"-",ROUNDUP((C48*(A48/10)+(C48-1)*(A48/10)+5*2)/(B$13*100),0.1)))</f>
        <v>1</v>
      </c>
      <c r="E48" s="96" t="str">
        <f>IF(B$24&lt;B$32,"  ",IF(D$28&gt;B$31,"-",IF(D48&gt;1+(B$15/0.05-1)*2,"ให้เปลี่ยนระยะหุ้มใหม่","d'หนาพอเพียง")))</f>
        <v>d'หนาพอเพียง</v>
      </c>
      <c r="F48" s="97"/>
    </row>
    <row r="49" spans="1:6" ht="12.75">
      <c r="A49" s="44">
        <v>28</v>
      </c>
      <c r="B49" s="45">
        <f>(PI()/4*(A49/10)^2)</f>
        <v>6.157521601035993</v>
      </c>
      <c r="C49" s="100">
        <f>IF(B$32&gt;B$24,"  ",ROUNDUP($B$34/B49,0.1))</f>
        <v>6</v>
      </c>
      <c r="D49" s="44">
        <f>IF(B$32&gt;B$24,"  ",IF(D$28&gt;B$31,"-",ROUNDUP((C49*(A49/10)+(C49-1)*(A49/10)+5*2)/(B$13*100),0.1)))</f>
        <v>1</v>
      </c>
      <c r="E49" s="98" t="str">
        <f>IF(B$24&lt;B$32,"  ",IF(D$28&gt;B$31,"-",IF(D49&gt;1+(B$15/0.05-1)*2,"ให้เปลี่ยนระยะหุ้มใหม่","d'หนาพอเพียง")))</f>
        <v>d'หนาพอเพียง</v>
      </c>
      <c r="F49" s="99"/>
    </row>
    <row r="50" spans="1:6" ht="12.75">
      <c r="A50" s="20"/>
      <c r="B50" s="14"/>
      <c r="C50" s="58"/>
      <c r="D50" s="20"/>
      <c r="E50" s="92"/>
      <c r="F50" s="92"/>
    </row>
    <row r="51" ht="12.75">
      <c r="A51" s="3" t="s">
        <v>24</v>
      </c>
    </row>
    <row r="52" spans="1:7" ht="12.75">
      <c r="A52" s="1" t="s">
        <v>25</v>
      </c>
      <c r="B52" s="21">
        <f>H8*1000</f>
        <v>84000</v>
      </c>
      <c r="C52" s="1" t="s">
        <v>26</v>
      </c>
      <c r="D52" s="68" t="s">
        <v>68</v>
      </c>
      <c r="E52" s="46">
        <f>(B52-B16*(B23))/0.85</f>
        <v>98823.52941176471</v>
      </c>
      <c r="F52" s="1" t="s">
        <v>26</v>
      </c>
      <c r="G52" s="1" t="str">
        <f>IF(B53*0.5&gt;E52,"&lt;V/2","&gt;V/2")</f>
        <v>&gt;V/2</v>
      </c>
    </row>
    <row r="53" spans="1:5" ht="12.75">
      <c r="A53" s="1" t="s">
        <v>29</v>
      </c>
      <c r="B53" s="35">
        <f>0.59*SQRT(B20)*B13*100*B16*100</f>
        <v>92718.27004425827</v>
      </c>
      <c r="C53" s="1" t="s">
        <v>26</v>
      </c>
      <c r="E53" s="1" t="str">
        <f>IF(E52&gt;2.1*SQRT(B20)*B13*100*B16*100,"เปลี่ยนหน้าตัด","ออกแบบเหล็กลูกตั้ง")</f>
        <v>ออกแบบเหล็กลูกตั้ง</v>
      </c>
    </row>
    <row r="54" spans="1:8" ht="14.25">
      <c r="A54" s="1" t="s">
        <v>30</v>
      </c>
      <c r="C54" s="21" t="s">
        <v>82</v>
      </c>
      <c r="D54" s="1" t="s">
        <v>31</v>
      </c>
      <c r="E54" s="14">
        <f>2*PI()/4*IF(C54="RB9",0.9^2,IF(C54="Db12",1.2^2,0.6^2))</f>
        <v>1.2723450247038663</v>
      </c>
      <c r="F54" s="1" t="s">
        <v>51</v>
      </c>
      <c r="G54" s="1">
        <f>IF(C54="RB9",1200,IF(C54="Rb6",1200,1500))</f>
        <v>1200</v>
      </c>
      <c r="H54" s="1" t="s">
        <v>3</v>
      </c>
    </row>
    <row r="55" spans="1:4" ht="12.75">
      <c r="A55" s="1" t="s">
        <v>69</v>
      </c>
      <c r="C55" s="81">
        <f>E52-B53</f>
        <v>6105.259367506442</v>
      </c>
      <c r="D55" s="1" t="s">
        <v>26</v>
      </c>
    </row>
    <row r="56" spans="1:5" ht="13.5" thickBot="1">
      <c r="A56" s="1" t="s">
        <v>70</v>
      </c>
      <c r="C56" s="81">
        <f>1.1*SQRT(B20)*B13*B16*10000</f>
        <v>172864.5712689561</v>
      </c>
      <c r="D56" s="1" t="s">
        <v>26</v>
      </c>
      <c r="E56" s="1" t="str">
        <f>IF(C56&gt;C55,"&gt;Vn-Vc","&lt;Vn-Vc")</f>
        <v>&gt;Vn-Vc</v>
      </c>
    </row>
    <row r="57" spans="1:3" ht="13.5" thickBot="1">
      <c r="A57" s="1" t="s">
        <v>34</v>
      </c>
      <c r="B57" s="83">
        <f>IF(E52&gt;B53,E54*G54/(C55)*B16*100,"-")</f>
        <v>35.01144689902873</v>
      </c>
      <c r="C57" s="1" t="s">
        <v>0</v>
      </c>
    </row>
    <row r="58" spans="1:4" ht="13.5" thickBot="1">
      <c r="A58" s="1" t="s">
        <v>33</v>
      </c>
      <c r="C58" s="30">
        <f>0.795*B13*B16*SQRT(B20)*10000</f>
        <v>124933.9401443819</v>
      </c>
      <c r="D58" s="1" t="str">
        <f>IF(C58&gt;E52-B53,"kg. &gt; Vn-Vc","kg. &lt;Vn-Vc")</f>
        <v>kg. &gt; Vn-Vc</v>
      </c>
    </row>
    <row r="59" spans="1:6" ht="13.5" thickBot="1">
      <c r="A59" s="1" t="s">
        <v>32</v>
      </c>
      <c r="B59" s="50">
        <f>IF(C58&gt;(E52-B53),0.25*B16*100,"-")</f>
        <v>35</v>
      </c>
      <c r="C59" s="1" t="s">
        <v>0</v>
      </c>
      <c r="D59" s="1" t="s">
        <v>41</v>
      </c>
      <c r="E59" s="102">
        <f>ROUNDDOWN(E54*G54/(3.5*B13*100),0.1)</f>
        <v>7</v>
      </c>
      <c r="F59" s="1" t="s">
        <v>0</v>
      </c>
    </row>
    <row r="60" spans="1:3" ht="13.5" thickBot="1">
      <c r="A60" s="1" t="s">
        <v>32</v>
      </c>
      <c r="B60" s="83" t="str">
        <f>IF(E52&lt;B53,"-",IF(C58&gt;E52-B53,"-",IF(0.25*B16*100&lt;30,0.25*B16*100,30)))</f>
        <v>-</v>
      </c>
      <c r="C60" s="1" t="s">
        <v>0</v>
      </c>
    </row>
    <row r="61" spans="1:5" ht="12.75">
      <c r="A61" s="1" t="s">
        <v>83</v>
      </c>
      <c r="D61" s="1">
        <v>5</v>
      </c>
      <c r="E61" s="68" t="s">
        <v>0</v>
      </c>
    </row>
    <row r="62" spans="1:5" ht="12.75">
      <c r="A62" s="1" t="s">
        <v>129</v>
      </c>
      <c r="E62" s="68"/>
    </row>
    <row r="63" spans="1:5" ht="12.75">
      <c r="A63" s="1" t="s">
        <v>127</v>
      </c>
      <c r="B63" s="101">
        <v>0.6</v>
      </c>
      <c r="C63" s="68" t="s">
        <v>1</v>
      </c>
      <c r="E63" s="68"/>
    </row>
    <row r="64" spans="1:5" ht="12.75">
      <c r="A64" s="1" t="s">
        <v>128</v>
      </c>
      <c r="B64" s="1">
        <v>0.75</v>
      </c>
      <c r="C64" s="68" t="s">
        <v>1</v>
      </c>
      <c r="E64" s="68"/>
    </row>
    <row r="65" spans="1:5" ht="12.75">
      <c r="A65" s="1" t="s">
        <v>29</v>
      </c>
      <c r="B65" s="35">
        <f>0.59*SQRT(B20)*B63*100*B64*100</f>
        <v>49670.50180942407</v>
      </c>
      <c r="C65" s="1" t="s">
        <v>26</v>
      </c>
      <c r="E65" s="1" t="str">
        <f>IF(B52&gt;2.1*SQRT(B20)*B63*100*B64*100,"เปลี่ยนหน้าตัด","ออกแบบเหล็กลูกตั้ง")</f>
        <v>ออกแบบเหล็กลูกตั้ง</v>
      </c>
    </row>
    <row r="66" spans="1:8" ht="14.25">
      <c r="A66" s="1" t="s">
        <v>30</v>
      </c>
      <c r="C66" s="21" t="s">
        <v>82</v>
      </c>
      <c r="D66" s="1" t="s">
        <v>31</v>
      </c>
      <c r="E66" s="14">
        <f>2*PI()/4*IF(C66="RB9",0.9^2,IF(C66="Db12",1.2^2,0.6^2))</f>
        <v>1.2723450247038663</v>
      </c>
      <c r="F66" s="1" t="s">
        <v>51</v>
      </c>
      <c r="G66" s="1">
        <f>IF(C66="RB9",1200,IF(C66="Rb6",1200,1500))</f>
        <v>1200</v>
      </c>
      <c r="H66" s="1" t="s">
        <v>3</v>
      </c>
    </row>
    <row r="67" spans="1:4" ht="12.75">
      <c r="A67" s="1" t="s">
        <v>69</v>
      </c>
      <c r="C67" s="81">
        <f>E52-B65</f>
        <v>49153.02760234064</v>
      </c>
      <c r="D67" s="1" t="s">
        <v>26</v>
      </c>
    </row>
    <row r="68" spans="1:5" ht="13.5" thickBot="1">
      <c r="A68" s="1" t="s">
        <v>70</v>
      </c>
      <c r="C68" s="81">
        <f>1.1*SQRT(B20)*B63*B64*10000</f>
        <v>92606.02032265507</v>
      </c>
      <c r="D68" s="1" t="s">
        <v>26</v>
      </c>
      <c r="E68" s="1" t="str">
        <f>IF(C68&gt;C67,"&gt;Vn-Vc","&lt;Vn-Vc")</f>
        <v>&gt;Vn-Vc</v>
      </c>
    </row>
    <row r="69" spans="1:3" ht="13.5" thickBot="1">
      <c r="A69" s="1" t="s">
        <v>34</v>
      </c>
      <c r="B69" s="83">
        <f>IF(E52&gt;B65,E66*G66/(C67)*B30*100,"-")</f>
        <v>375.54589672016544</v>
      </c>
      <c r="C69" s="1" t="s">
        <v>0</v>
      </c>
    </row>
    <row r="70" spans="1:4" ht="13.5" thickBot="1">
      <c r="A70" s="1" t="s">
        <v>33</v>
      </c>
      <c r="C70" s="30">
        <f>0.795*B64*B63*SQRT(B20)*10000</f>
        <v>66928.89650591888</v>
      </c>
      <c r="D70" s="1" t="str">
        <f>IF(C70&gt;B65-B65,"kg. &gt; Vn-Vc","kg. &lt;Vn-Vc")</f>
        <v>kg. &gt; Vn-Vc</v>
      </c>
    </row>
    <row r="71" spans="1:6" ht="13.5" thickBot="1">
      <c r="A71" s="1" t="s">
        <v>32</v>
      </c>
      <c r="B71" s="50">
        <f>IF(C70&gt;C67,0.25*(B64-E13)*100,"-")</f>
        <v>16.25</v>
      </c>
      <c r="C71" s="1" t="s">
        <v>0</v>
      </c>
      <c r="D71" s="1" t="s">
        <v>41</v>
      </c>
      <c r="E71" s="51">
        <f>ROUNDDOWN(E66*G66/(3.5*B63*100),0.1)</f>
        <v>7</v>
      </c>
      <c r="F71" s="1" t="s">
        <v>0</v>
      </c>
    </row>
    <row r="72" spans="1:3" ht="13.5" thickBot="1">
      <c r="A72" s="1" t="s">
        <v>32</v>
      </c>
      <c r="B72" s="83" t="str">
        <f>IF(E52&lt;B65,"-",IF(C70&gt;E52-B65,"-",IF(0.25*(B64-E13)*100&lt;30,0.25*(B64-E13)*100,30)))</f>
        <v>-</v>
      </c>
      <c r="C72" s="1" t="s">
        <v>0</v>
      </c>
    </row>
    <row r="73" spans="1:5" ht="12.75">
      <c r="A73" s="1" t="s">
        <v>83</v>
      </c>
      <c r="D73" s="1">
        <v>5</v>
      </c>
      <c r="E73" s="68" t="s">
        <v>0</v>
      </c>
    </row>
    <row r="74" ht="12.75">
      <c r="E74" s="68"/>
    </row>
    <row r="76" ht="12.75">
      <c r="A76" s="52" t="s">
        <v>40</v>
      </c>
    </row>
    <row r="77" spans="1:2" ht="13.5" thickBot="1">
      <c r="A77" s="7" t="s">
        <v>37</v>
      </c>
      <c r="B77" s="8"/>
    </row>
    <row r="78" spans="1:9" ht="14.25">
      <c r="A78" s="7" t="s">
        <v>42</v>
      </c>
      <c r="C78" s="10">
        <v>26</v>
      </c>
      <c r="D78" s="11" t="s">
        <v>2</v>
      </c>
      <c r="E78" s="12" t="s">
        <v>19</v>
      </c>
      <c r="F78" s="13">
        <v>28</v>
      </c>
      <c r="G78" s="1" t="s">
        <v>44</v>
      </c>
      <c r="H78" s="14">
        <f>C78*PI()/4*(F78/10)^2</f>
        <v>160.09556162693585</v>
      </c>
      <c r="I78" s="1" t="s">
        <v>50</v>
      </c>
    </row>
    <row r="79" spans="1:9" ht="15" thickBot="1">
      <c r="A79" s="15" t="s">
        <v>43</v>
      </c>
      <c r="B79" s="14"/>
      <c r="C79" s="16">
        <v>6</v>
      </c>
      <c r="D79" s="17" t="s">
        <v>2</v>
      </c>
      <c r="E79" s="18" t="s">
        <v>19</v>
      </c>
      <c r="F79" s="19">
        <v>28</v>
      </c>
      <c r="G79" s="1" t="s">
        <v>45</v>
      </c>
      <c r="H79" s="14">
        <f>C79*PI()/4*(F79/10)^2</f>
        <v>36.945129606215964</v>
      </c>
      <c r="I79" s="1" t="s">
        <v>50</v>
      </c>
    </row>
    <row r="80" spans="1:9" ht="12.75">
      <c r="A80" s="8" t="s">
        <v>47</v>
      </c>
      <c r="B80" s="73">
        <f>H78/(B$13*B$16*10000)</f>
        <v>0.019058995431778077</v>
      </c>
      <c r="D80" s="8" t="s">
        <v>130</v>
      </c>
      <c r="F80" s="104">
        <f>B25*0.75</f>
        <v>0.02698666007905138</v>
      </c>
      <c r="H80" s="8"/>
      <c r="I80" s="14"/>
    </row>
    <row r="81" spans="1:2" ht="12.75">
      <c r="A81" s="8" t="s">
        <v>46</v>
      </c>
      <c r="B81" s="73">
        <f>H79/(B$13*B$16*10000)</f>
        <v>0.00439822971502571</v>
      </c>
    </row>
    <row r="82" spans="1:8" ht="12.75">
      <c r="A82" s="8" t="s">
        <v>64</v>
      </c>
      <c r="B82" s="74">
        <f>B80-B81</f>
        <v>0.014660765716752368</v>
      </c>
      <c r="E82" s="25" t="str">
        <f>IF(B82&gt;F82,"&gt;","&lt;")</f>
        <v>&gt;</v>
      </c>
      <c r="F82" s="73">
        <f>(0.85*E20*B20*B15)/(B19*B16)*(6120/(6120-B19))</f>
        <v>0.00613443396226415</v>
      </c>
      <c r="H82" s="26" t="str">
        <f>IF(B82&lt;F82,"เหล็กรับแรงอัดไม่คราก","ใช้ได้ แสดงว่าเหล็กรับแรงอัดคราก")</f>
        <v>ใช้ได้ แสดงว่าเหล็กรับแรงอัดคราก</v>
      </c>
    </row>
    <row r="83" spans="1:8" ht="12.75">
      <c r="A83" s="8" t="s">
        <v>64</v>
      </c>
      <c r="B83" s="74">
        <f>B82</f>
        <v>0.014660765716752368</v>
      </c>
      <c r="E83" s="25" t="str">
        <f>IF(B83&gt;F83,"&gt;","&lt;")</f>
        <v>&lt;</v>
      </c>
      <c r="F83" s="103">
        <f>ROUND(0.75*B25,4)</f>
        <v>0.027</v>
      </c>
      <c r="H83" s="26" t="str">
        <f>IF(B83&gt;F83,".=ใช้ไม่ได้ออกแบบใหม่","ใช้ได้ ")</f>
        <v>ใช้ได้ </v>
      </c>
    </row>
    <row r="84" spans="1:8" ht="12.75">
      <c r="A84" s="8" t="s">
        <v>65</v>
      </c>
      <c r="B84" s="72">
        <f>14/B19</f>
        <v>0.0035</v>
      </c>
      <c r="E84" s="25" t="str">
        <f>IF(B84&gt;F84,"&gt;","&lt;")</f>
        <v>&lt;</v>
      </c>
      <c r="F84" s="74">
        <f>B80</f>
        <v>0.019058995431778077</v>
      </c>
      <c r="H84" s="26" t="str">
        <f>IF(B84&gt;F84,".=ใช้ไม่ได้ออกแบบใหม่","ใช้ได้ ")</f>
        <v>ใช้ได้ </v>
      </c>
    </row>
    <row r="85" spans="1:6" ht="12.75">
      <c r="A85" s="8" t="s">
        <v>67</v>
      </c>
      <c r="B85" s="86">
        <f>IF(F82&lt;B82,B86/0.8,-((H78*B19-0.003*H79*2.04*10^6)+SQRT(((H78*B19-0.003*H79*2.04*10^6)^2-4*((-0.85*B20*B13*100*E20)*(0.003*H79*2.04*10^6*B15*100)))))/(2*(-0.85*B20*B13*100*E20)))</f>
        <v>34.49591933353498</v>
      </c>
      <c r="C85" s="68" t="s">
        <v>0</v>
      </c>
      <c r="D85" s="15"/>
      <c r="E85" s="25"/>
      <c r="F85" s="15"/>
    </row>
    <row r="86" spans="1:8" ht="12.75">
      <c r="A86" s="8" t="s">
        <v>66</v>
      </c>
      <c r="B86" s="86">
        <f>IF(F82&lt;B82,(H78-H79)*B19/(0.85*B20*B13*100),0.8*B85)</f>
        <v>27.596735466827983</v>
      </c>
      <c r="C86" s="68" t="s">
        <v>0</v>
      </c>
      <c r="D86" s="15"/>
      <c r="E86" s="25"/>
      <c r="F86" s="31"/>
      <c r="H86" s="31"/>
    </row>
    <row r="87" spans="2:6" ht="12.75">
      <c r="B87" s="87" t="str">
        <f>IF(F82&lt;B82,"  ",0.003*(B85-B15*100)/B85)</f>
        <v>  </v>
      </c>
      <c r="D87" s="15"/>
      <c r="E87" s="25"/>
      <c r="F87" s="15"/>
    </row>
    <row r="88" spans="1:7" ht="13.5" thickBot="1">
      <c r="A88" s="85" t="str">
        <f>IF(F82&lt;B82," ","fs'=")</f>
        <v> </v>
      </c>
      <c r="B88" s="88" t="str">
        <f>IF(F82&lt;B82,"  ",B87*2.04*10^6)</f>
        <v>  </v>
      </c>
      <c r="E88" s="25" t="str">
        <f>IF(F82&lt;B82," ",IF(B88&gt;F88,"&gt;","&lt;"))</f>
        <v> </v>
      </c>
      <c r="F88" s="1" t="str">
        <f>IF(F82&lt;B82,"  ",B19)</f>
        <v>  </v>
      </c>
      <c r="G88" s="68" t="str">
        <f>IF(F82&lt;B82,"  ","ksc.")</f>
        <v>  </v>
      </c>
    </row>
    <row r="89" spans="1:8" ht="13.5" thickBot="1">
      <c r="A89" s="8" t="s">
        <v>38</v>
      </c>
      <c r="B89" s="89">
        <f>IF(F82&gt;B82,(0.85*B20*B13*100*B86*(B16*100-(B86/2))+H79*B88*(B16*100-B15*100))/100,((H78-H79)*B19*(B16*100-((H78-H79)*B19)/(2*0.85*B20*B13*100))+B19*H79*(B16-B15)*100)/100)</f>
        <v>821175.1212875698</v>
      </c>
      <c r="C89" s="1" t="s">
        <v>17</v>
      </c>
      <c r="D89" s="15"/>
      <c r="E89" s="25" t="str">
        <f>IF(B89&gt;B31,"&gt;","&lt;")</f>
        <v>&gt;</v>
      </c>
      <c r="F89" s="75">
        <f>B24</f>
        <v>792033.3333333333</v>
      </c>
      <c r="G89" s="1" t="s">
        <v>17</v>
      </c>
      <c r="H89" s="31" t="str">
        <f>IF(B89&gt;F89,"ใช้ได้","ออกแบบใหม่")</f>
        <v>ใช้ได้</v>
      </c>
    </row>
    <row r="90" spans="1:6" ht="12.75">
      <c r="A90" s="34"/>
      <c r="B90" s="15"/>
      <c r="C90" s="15"/>
      <c r="D90" s="15"/>
      <c r="E90" s="15"/>
      <c r="F90" s="15"/>
    </row>
    <row r="91" ht="12.75">
      <c r="A91" s="3" t="s">
        <v>86</v>
      </c>
    </row>
    <row r="92" ht="15">
      <c r="A92" s="68" t="s">
        <v>89</v>
      </c>
    </row>
    <row r="94" spans="1:3" ht="12.75">
      <c r="A94" s="68" t="s">
        <v>87</v>
      </c>
      <c r="C94" s="91">
        <f>ROUNDUP(2.04*10^6/(15120*SQRT(B20)),0)</f>
        <v>8</v>
      </c>
    </row>
    <row r="95" ht="12.75">
      <c r="A95" s="68"/>
    </row>
    <row r="96" spans="1:2" ht="12.75">
      <c r="A96" s="68" t="s">
        <v>88</v>
      </c>
      <c r="B96" s="1">
        <f>ROUND(SQRT(2*C94*(B80+(2*B81*B15/B16))+C94^2*(B80+2*B81)^2-C94*(B80-2*B81)),3)</f>
        <v>0.527</v>
      </c>
    </row>
    <row r="97" spans="1:2" ht="12.75">
      <c r="A97" s="68" t="s">
        <v>90</v>
      </c>
      <c r="B97" s="1">
        <f>ROUND(B96*B16*100,3)</f>
        <v>73.78</v>
      </c>
    </row>
    <row r="98" spans="1:5" ht="14.25">
      <c r="A98" s="7" t="s">
        <v>95</v>
      </c>
      <c r="D98" s="1">
        <f>B13*100*(B14*100)^3/12</f>
        <v>16875000</v>
      </c>
      <c r="E98" s="68" t="s">
        <v>91</v>
      </c>
    </row>
    <row r="99" ht="14.25">
      <c r="A99" s="7" t="s">
        <v>93</v>
      </c>
    </row>
    <row r="100" spans="4:6" ht="14.25">
      <c r="D100" s="68" t="s">
        <v>92</v>
      </c>
      <c r="E100" s="1">
        <f>B13*100*B97^3/3+C94*H78*(B16-B97)^2+(C94-1)*H79*(B97-B15)^2</f>
        <v>16148028.25979454</v>
      </c>
      <c r="F100" s="68" t="s">
        <v>91</v>
      </c>
    </row>
    <row r="101" ht="12.75">
      <c r="A101" s="68" t="s">
        <v>94</v>
      </c>
    </row>
    <row r="102" spans="1:7" ht="12.75">
      <c r="A102" s="68" t="s">
        <v>96</v>
      </c>
      <c r="F102" s="93">
        <f>2*SQRT(B20)*D98/(B14*100/2)/100</f>
        <v>84187.29120241367</v>
      </c>
      <c r="G102" s="68" t="s">
        <v>97</v>
      </c>
    </row>
    <row r="103" ht="12.75">
      <c r="A103" s="68" t="s">
        <v>101</v>
      </c>
    </row>
    <row r="104" ht="14.25">
      <c r="A104" s="68" t="s">
        <v>104</v>
      </c>
    </row>
    <row r="105" spans="1:8" ht="14.25">
      <c r="A105" s="68" t="s">
        <v>102</v>
      </c>
      <c r="B105" s="68" t="s">
        <v>103</v>
      </c>
      <c r="C105" s="1">
        <f>(F102/B21)^3</f>
        <v>0.0782466459279845</v>
      </c>
      <c r="D105" s="68" t="s">
        <v>105</v>
      </c>
      <c r="F105" s="95">
        <f>C105*D98+(1-C105)*E100</f>
        <v>16204911.360150049</v>
      </c>
      <c r="G105" s="95"/>
      <c r="H105" s="68" t="s">
        <v>108</v>
      </c>
    </row>
    <row r="106" spans="1:8" ht="14.25">
      <c r="A106" s="68" t="s">
        <v>106</v>
      </c>
      <c r="C106" s="1">
        <f>(F102/(H7*1000))^3</f>
        <v>0.004343006736166625</v>
      </c>
      <c r="D106" s="68" t="s">
        <v>107</v>
      </c>
      <c r="F106" s="95">
        <f>C106*D98+(1-C106)*E100</f>
        <v>16151185.502959255</v>
      </c>
      <c r="G106" s="95"/>
      <c r="H106" s="68" t="s">
        <v>108</v>
      </c>
    </row>
    <row r="107" spans="1:8" ht="14.25">
      <c r="A107" s="68" t="s">
        <v>109</v>
      </c>
      <c r="C107" s="1">
        <f>F102/(B22)^3</f>
        <v>2.324280982885269E-13</v>
      </c>
      <c r="D107" s="68" t="s">
        <v>110</v>
      </c>
      <c r="F107" s="95">
        <f>C107*D98+(1-C107)*E100</f>
        <v>16148028.25979471</v>
      </c>
      <c r="G107" s="95"/>
      <c r="H107" s="68" t="s">
        <v>108</v>
      </c>
    </row>
    <row r="109" spans="1:2" ht="14.25">
      <c r="A109" s="68" t="s">
        <v>111</v>
      </c>
      <c r="B109" s="68" t="s">
        <v>112</v>
      </c>
    </row>
    <row r="110" spans="1:2" ht="12.75">
      <c r="A110" s="68" t="s">
        <v>114</v>
      </c>
      <c r="B110" s="68"/>
    </row>
    <row r="111" spans="1:4" ht="12.75">
      <c r="A111" s="68" t="s">
        <v>113</v>
      </c>
      <c r="B111" s="68" t="s">
        <v>103</v>
      </c>
      <c r="C111" s="1">
        <f>ROUND(5*B21*($B$10*100)^2/(48*15120*SQRT($B$20)*F105),3)</f>
        <v>0.033</v>
      </c>
      <c r="D111" s="1" t="s">
        <v>0</v>
      </c>
    </row>
    <row r="112" spans="1:256" ht="12.75">
      <c r="A112" s="68" t="s">
        <v>115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  <c r="GX112" s="68"/>
      <c r="GY112" s="68"/>
      <c r="GZ112" s="68"/>
      <c r="HA112" s="68"/>
      <c r="HB112" s="68"/>
      <c r="HC112" s="68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68"/>
      <c r="HU112" s="68"/>
      <c r="HV112" s="68"/>
      <c r="HW112" s="68"/>
      <c r="HX112" s="68"/>
      <c r="HY112" s="68"/>
      <c r="HZ112" s="68"/>
      <c r="IA112" s="68"/>
      <c r="IB112" s="68"/>
      <c r="IC112" s="68"/>
      <c r="ID112" s="68"/>
      <c r="IE112" s="68"/>
      <c r="IF112" s="68"/>
      <c r="IG112" s="68"/>
      <c r="IH112" s="68"/>
      <c r="II112" s="68"/>
      <c r="IJ112" s="68"/>
      <c r="IK112" s="68"/>
      <c r="IL112" s="68"/>
      <c r="IM112" s="68"/>
      <c r="IN112" s="68"/>
      <c r="IO112" s="68"/>
      <c r="IP112" s="68"/>
      <c r="IQ112" s="68"/>
      <c r="IR112" s="68"/>
      <c r="IS112" s="68"/>
      <c r="IT112" s="68"/>
      <c r="IU112" s="68"/>
      <c r="IV112" s="68"/>
    </row>
    <row r="113" spans="1:4" ht="12.75">
      <c r="A113" s="68" t="s">
        <v>116</v>
      </c>
      <c r="B113" s="68"/>
      <c r="C113" s="1">
        <f>ROUND(5*B22*($B$10*100)^2/(48*15120*SQRT($B$20)*F106),3)</f>
        <v>0.118</v>
      </c>
      <c r="D113" s="1" t="s">
        <v>0</v>
      </c>
    </row>
    <row r="114" ht="12" customHeight="1">
      <c r="A114" s="68" t="s">
        <v>117</v>
      </c>
    </row>
    <row r="115" spans="1:4" ht="12.75">
      <c r="A115" s="68" t="s">
        <v>118</v>
      </c>
      <c r="B115" s="68"/>
      <c r="C115" s="1">
        <f>ROUND(5*H7*1000*($B$10*100)^2/(48*15120*SQRT($B$20)*F107),3)</f>
        <v>0.086</v>
      </c>
      <c r="D115" s="1" t="s">
        <v>0</v>
      </c>
    </row>
    <row r="116" spans="1:6" ht="12.75">
      <c r="A116" s="68" t="s">
        <v>120</v>
      </c>
      <c r="D116" s="1">
        <f>27*100/360</f>
        <v>7.5</v>
      </c>
      <c r="E116" s="68" t="s">
        <v>119</v>
      </c>
      <c r="F116" s="68" t="s">
        <v>126</v>
      </c>
    </row>
    <row r="118" ht="12.75">
      <c r="A118" s="68" t="s">
        <v>121</v>
      </c>
    </row>
    <row r="119" spans="1:8" ht="12.75">
      <c r="A119" s="68" t="s">
        <v>122</v>
      </c>
      <c r="C119" s="68" t="s">
        <v>123</v>
      </c>
      <c r="F119" s="1">
        <f>ROUND(C115+C113*(2/(1+50*B81)),3)</f>
        <v>0.279</v>
      </c>
      <c r="G119" s="68" t="s">
        <v>125</v>
      </c>
      <c r="H119" s="68" t="s">
        <v>124</v>
      </c>
    </row>
    <row r="125" spans="2:10" ht="12.75">
      <c r="B125"/>
      <c r="C125"/>
      <c r="D125"/>
      <c r="E125"/>
      <c r="F125"/>
      <c r="G125"/>
      <c r="H125"/>
      <c r="I125"/>
      <c r="J125"/>
    </row>
    <row r="127" ht="12.75">
      <c r="E127" s="90">
        <f>B13</f>
        <v>0.6</v>
      </c>
    </row>
    <row r="128" ht="12.75"/>
    <row r="129" ht="12.75">
      <c r="A129" s="52"/>
    </row>
    <row r="130" ht="21">
      <c r="A130" s="2"/>
    </row>
    <row r="131" spans="1:9" ht="21">
      <c r="A131" s="2"/>
      <c r="G131" s="3">
        <f>C79</f>
        <v>6</v>
      </c>
      <c r="H131" s="3" t="str">
        <f>E78</f>
        <v>DB</v>
      </c>
      <c r="I131" s="33">
        <f>F78</f>
        <v>28</v>
      </c>
    </row>
    <row r="132" ht="12.75">
      <c r="A132" s="3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spans="1:10" ht="12.75">
      <c r="A139" s="15"/>
      <c r="B139" s="90">
        <f>ROUND(B14,2)</f>
        <v>1.5</v>
      </c>
      <c r="G139" s="3" t="str">
        <f>C54</f>
        <v>RB9</v>
      </c>
      <c r="H139" s="3" t="s">
        <v>84</v>
      </c>
      <c r="I139" s="33">
        <f>D61</f>
        <v>5</v>
      </c>
      <c r="J139" s="3" t="s">
        <v>0</v>
      </c>
    </row>
    <row r="140" ht="12.75">
      <c r="A140" s="15"/>
    </row>
    <row r="141" ht="12.75">
      <c r="A141" s="20"/>
    </row>
    <row r="142" spans="1:9" ht="12.75">
      <c r="A142" s="20"/>
      <c r="G142" s="3"/>
      <c r="H142" s="3"/>
      <c r="I142" s="3"/>
    </row>
    <row r="143" spans="1:9" ht="12.75">
      <c r="A143" s="20"/>
      <c r="G143" s="3">
        <f>C78</f>
        <v>26</v>
      </c>
      <c r="H143" s="3" t="str">
        <f>E79</f>
        <v>DB</v>
      </c>
      <c r="I143" s="33">
        <f>F79</f>
        <v>28</v>
      </c>
    </row>
    <row r="144" ht="12.75">
      <c r="A144" s="20"/>
    </row>
    <row r="145" spans="1:6" ht="12.75">
      <c r="A145" s="20"/>
      <c r="B145" s="15"/>
      <c r="C145" s="15"/>
      <c r="D145" s="15"/>
      <c r="E145" s="15"/>
      <c r="F145" s="15"/>
    </row>
    <row r="146" ht="12.75">
      <c r="A146" s="20"/>
    </row>
    <row r="147" spans="1:3" ht="12.75">
      <c r="A147" s="33"/>
      <c r="C147" s="15"/>
    </row>
    <row r="148" spans="1:9" ht="12.75">
      <c r="A148" s="20"/>
      <c r="B148" s="15"/>
      <c r="C148" s="15"/>
      <c r="D148" s="15"/>
      <c r="E148" s="15"/>
      <c r="F148" s="15"/>
      <c r="G148" s="15"/>
      <c r="H148" s="15"/>
      <c r="I148" s="15"/>
    </row>
    <row r="149" spans="1:9" ht="12.75">
      <c r="A149" s="20"/>
      <c r="B149" s="15"/>
      <c r="C149" s="15"/>
      <c r="D149" s="35"/>
      <c r="E149" s="15"/>
      <c r="F149" s="15"/>
      <c r="G149" s="15"/>
      <c r="H149" s="15"/>
      <c r="I149" s="15"/>
    </row>
    <row r="150" spans="1:9" ht="12.75">
      <c r="A150" s="20"/>
      <c r="B150" s="21"/>
      <c r="C150" s="15"/>
      <c r="D150" s="15"/>
      <c r="E150" s="15"/>
      <c r="F150" s="15"/>
      <c r="G150" s="15"/>
      <c r="H150" s="15"/>
      <c r="I150" s="15"/>
    </row>
    <row r="151" spans="1:9" ht="12.75">
      <c r="A151" s="20"/>
      <c r="B151" s="21"/>
      <c r="C151" s="15"/>
      <c r="D151" s="37"/>
      <c r="E151" s="15"/>
      <c r="F151" s="15"/>
      <c r="G151" s="15"/>
      <c r="H151" s="15"/>
      <c r="I151" s="15"/>
    </row>
    <row r="152" spans="1:9" ht="12.75">
      <c r="A152" s="20"/>
      <c r="B152" s="14"/>
      <c r="C152" s="15"/>
      <c r="D152" s="15"/>
      <c r="E152" s="15"/>
      <c r="F152" s="15"/>
      <c r="G152" s="15"/>
      <c r="H152" s="15"/>
      <c r="I152" s="15"/>
    </row>
    <row r="153" spans="1:9" ht="12.75">
      <c r="A153" s="33"/>
      <c r="B153" s="15"/>
      <c r="C153" s="15"/>
      <c r="D153" s="15"/>
      <c r="E153" s="15"/>
      <c r="F153" s="15"/>
      <c r="G153" s="15"/>
      <c r="H153" s="23"/>
      <c r="I153" s="15"/>
    </row>
    <row r="154" spans="1:9" ht="12.75">
      <c r="A154" s="20"/>
      <c r="B154" s="54"/>
      <c r="C154" s="15"/>
      <c r="D154" s="15"/>
      <c r="E154" s="15"/>
      <c r="F154" s="15"/>
      <c r="G154" s="15"/>
      <c r="H154" s="23"/>
      <c r="I154" s="15"/>
    </row>
    <row r="155" spans="1:9" ht="12.75">
      <c r="A155" s="20"/>
      <c r="B155" s="55"/>
      <c r="C155" s="15"/>
      <c r="D155" s="15"/>
      <c r="E155" s="15"/>
      <c r="F155" s="15"/>
      <c r="G155" s="15"/>
      <c r="H155" s="23"/>
      <c r="I155" s="15"/>
    </row>
    <row r="156" spans="1:9" ht="12.75">
      <c r="A156" s="20"/>
      <c r="B156" s="53"/>
      <c r="C156" s="15"/>
      <c r="D156" s="15"/>
      <c r="E156" s="15"/>
      <c r="F156" s="15"/>
      <c r="G156" s="15"/>
      <c r="H156" s="23"/>
      <c r="I156" s="15"/>
    </row>
    <row r="157" spans="1:9" ht="12.75">
      <c r="A157" s="20"/>
      <c r="B157" s="53"/>
      <c r="C157" s="15"/>
      <c r="D157" s="15"/>
      <c r="E157" s="15"/>
      <c r="F157" s="15"/>
      <c r="G157" s="15"/>
      <c r="H157" s="23"/>
      <c r="I157" s="15"/>
    </row>
    <row r="158" spans="1:9" ht="12.75">
      <c r="A158" s="56"/>
      <c r="B158" s="57"/>
      <c r="C158" s="15"/>
      <c r="D158" s="15"/>
      <c r="E158" s="15"/>
      <c r="F158" s="15"/>
      <c r="G158" s="15"/>
      <c r="H158" s="15"/>
      <c r="I158" s="15"/>
    </row>
    <row r="159" spans="1:9" ht="12.75">
      <c r="A159" s="20"/>
      <c r="B159" s="53"/>
      <c r="C159" s="20"/>
      <c r="D159" s="15"/>
      <c r="E159" s="15"/>
      <c r="F159" s="15"/>
      <c r="G159" s="15"/>
      <c r="H159" s="15"/>
      <c r="I159" s="15"/>
    </row>
    <row r="160" spans="1:9" ht="12.75">
      <c r="A160" s="20"/>
      <c r="B160" s="35"/>
      <c r="C160" s="15"/>
      <c r="D160" s="46"/>
      <c r="E160" s="15"/>
      <c r="F160" s="15"/>
      <c r="G160" s="8"/>
      <c r="H160" s="15"/>
      <c r="I160" s="15"/>
    </row>
    <row r="161" spans="1:9" ht="12.75">
      <c r="A161" s="3"/>
      <c r="B161" s="15"/>
      <c r="C161" s="15"/>
      <c r="D161" s="15"/>
      <c r="E161" s="15"/>
      <c r="F161" s="15"/>
      <c r="G161" s="15"/>
      <c r="H161" s="15"/>
      <c r="I161" s="15"/>
    </row>
    <row r="162" spans="1:9" ht="12.75">
      <c r="A162" s="8"/>
      <c r="B162" s="8"/>
      <c r="C162" s="8"/>
      <c r="D162" s="8"/>
      <c r="E162" s="15"/>
      <c r="F162" s="15"/>
      <c r="G162" s="8"/>
      <c r="H162" s="15"/>
      <c r="I162" s="15"/>
    </row>
    <row r="163" spans="1:9" ht="12.75">
      <c r="A163" s="20"/>
      <c r="B163" s="14"/>
      <c r="C163" s="58"/>
      <c r="D163" s="20"/>
      <c r="E163" s="46"/>
      <c r="F163" s="15"/>
      <c r="G163" s="15"/>
      <c r="H163" s="15"/>
      <c r="I163" s="15"/>
    </row>
    <row r="164" spans="1:9" ht="12.75">
      <c r="A164" s="20"/>
      <c r="B164" s="14"/>
      <c r="C164" s="58"/>
      <c r="D164" s="20"/>
      <c r="E164" s="46"/>
      <c r="F164" s="15"/>
      <c r="G164" s="15"/>
      <c r="H164" s="15"/>
      <c r="I164" s="15"/>
    </row>
    <row r="165" spans="1:9" ht="12.75">
      <c r="A165" s="20"/>
      <c r="B165" s="14"/>
      <c r="C165" s="58"/>
      <c r="D165" s="20"/>
      <c r="E165" s="46"/>
      <c r="F165" s="15"/>
      <c r="G165" s="15"/>
      <c r="H165" s="15"/>
      <c r="I165" s="15"/>
    </row>
    <row r="166" spans="1:9" ht="12.75">
      <c r="A166" s="20"/>
      <c r="B166" s="14"/>
      <c r="C166" s="58"/>
      <c r="D166" s="20"/>
      <c r="E166" s="46"/>
      <c r="F166" s="15"/>
      <c r="G166" s="15"/>
      <c r="H166" s="8"/>
      <c r="I166" s="8"/>
    </row>
    <row r="167" spans="1:9" ht="12.75">
      <c r="A167" s="20"/>
      <c r="B167" s="14"/>
      <c r="C167" s="58"/>
      <c r="D167" s="20"/>
      <c r="E167" s="46"/>
      <c r="F167" s="15"/>
      <c r="G167" s="15"/>
      <c r="H167" s="15"/>
      <c r="I167" s="15"/>
    </row>
    <row r="168" spans="1:9" ht="12.75">
      <c r="A168" s="3"/>
      <c r="B168" s="15"/>
      <c r="C168" s="15"/>
      <c r="D168" s="15"/>
      <c r="E168" s="46"/>
      <c r="F168" s="15"/>
      <c r="G168" s="15"/>
      <c r="H168" s="15"/>
      <c r="I168" s="15"/>
    </row>
    <row r="169" spans="1:9" ht="12.75">
      <c r="A169" s="8"/>
      <c r="B169" s="8"/>
      <c r="C169" s="8"/>
      <c r="D169" s="8"/>
      <c r="E169" s="46"/>
      <c r="F169" s="15"/>
      <c r="G169" s="15"/>
      <c r="H169" s="15"/>
      <c r="I169" s="15"/>
    </row>
    <row r="170" spans="1:9" ht="12.75">
      <c r="A170" s="20"/>
      <c r="B170" s="14"/>
      <c r="C170" s="58"/>
      <c r="D170" s="20"/>
      <c r="E170" s="46"/>
      <c r="F170" s="15"/>
      <c r="G170" s="15"/>
      <c r="H170" s="15"/>
      <c r="I170" s="15"/>
    </row>
    <row r="171" spans="1:9" ht="12.75">
      <c r="A171" s="20"/>
      <c r="B171" s="14"/>
      <c r="C171" s="58"/>
      <c r="D171" s="20"/>
      <c r="E171" s="46"/>
      <c r="F171" s="15"/>
      <c r="G171" s="15"/>
      <c r="H171" s="15"/>
      <c r="I171" s="15"/>
    </row>
    <row r="172" spans="1:9" ht="12.75">
      <c r="A172" s="20"/>
      <c r="B172" s="14"/>
      <c r="C172" s="58"/>
      <c r="D172" s="20"/>
      <c r="E172" s="46"/>
      <c r="F172" s="15"/>
      <c r="G172" s="15"/>
      <c r="H172" s="15"/>
      <c r="I172" s="15"/>
    </row>
    <row r="173" spans="1:9" ht="12.75">
      <c r="A173" s="20"/>
      <c r="B173" s="14"/>
      <c r="C173" s="58"/>
      <c r="D173" s="20"/>
      <c r="E173" s="46"/>
      <c r="F173" s="15"/>
      <c r="G173" s="15"/>
      <c r="H173" s="15"/>
      <c r="I173" s="15"/>
    </row>
    <row r="174" spans="1:9" ht="12.75">
      <c r="A174" s="20"/>
      <c r="B174" s="14"/>
      <c r="C174" s="58"/>
      <c r="D174" s="20"/>
      <c r="E174" s="46"/>
      <c r="F174" s="15"/>
      <c r="G174" s="15"/>
      <c r="H174" s="15"/>
      <c r="I174" s="15"/>
    </row>
    <row r="175" spans="1:9" ht="12.7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2.75">
      <c r="A176" s="15"/>
      <c r="B176" s="21"/>
      <c r="C176" s="15"/>
      <c r="D176" s="15"/>
      <c r="E176" s="46"/>
      <c r="F176" s="15"/>
      <c r="G176" s="15"/>
      <c r="H176" s="15"/>
      <c r="I176" s="15"/>
    </row>
    <row r="177" spans="1:9" ht="12.75">
      <c r="A177" s="15"/>
      <c r="B177" s="35"/>
      <c r="C177" s="15"/>
      <c r="D177" s="15"/>
      <c r="E177" s="15"/>
      <c r="F177" s="15"/>
      <c r="G177" s="15"/>
      <c r="H177" s="15"/>
      <c r="I177" s="15"/>
    </row>
    <row r="178" spans="1:9" ht="12.75">
      <c r="A178" s="15"/>
      <c r="B178" s="15"/>
      <c r="C178" s="21"/>
      <c r="D178" s="15"/>
      <c r="E178" s="14"/>
      <c r="F178" s="15"/>
      <c r="G178" s="15"/>
      <c r="H178" s="15"/>
      <c r="I178" s="15"/>
    </row>
    <row r="179" spans="1:9" ht="12.75">
      <c r="A179" s="15"/>
      <c r="B179" s="20"/>
      <c r="C179" s="15"/>
      <c r="D179" s="15"/>
      <c r="E179" s="15"/>
      <c r="F179" s="15"/>
      <c r="G179" s="15"/>
      <c r="H179" s="15"/>
      <c r="I179" s="15"/>
    </row>
    <row r="180" spans="1:9" ht="12.75">
      <c r="A180" s="15"/>
      <c r="B180" s="15"/>
      <c r="C180" s="30"/>
      <c r="D180" s="15"/>
      <c r="E180" s="15"/>
      <c r="F180" s="15"/>
      <c r="G180" s="15"/>
      <c r="H180" s="15"/>
      <c r="I180" s="15"/>
    </row>
    <row r="181" spans="1:9" ht="12.75">
      <c r="A181" s="15"/>
      <c r="B181" s="20"/>
      <c r="C181" s="15"/>
      <c r="D181" s="15"/>
      <c r="E181" s="15"/>
      <c r="F181" s="15"/>
      <c r="G181" s="15"/>
      <c r="H181" s="15"/>
      <c r="I181" s="15"/>
    </row>
    <row r="182" spans="1:9" ht="12.75">
      <c r="A182" s="15"/>
      <c r="B182" s="20"/>
      <c r="C182" s="15"/>
      <c r="D182" s="15"/>
      <c r="E182" s="15"/>
      <c r="F182" s="15"/>
      <c r="G182" s="15"/>
      <c r="H182" s="15"/>
      <c r="I182" s="15"/>
    </row>
  </sheetData>
  <mergeCells count="13">
    <mergeCell ref="E38:F38"/>
    <mergeCell ref="E39:F39"/>
    <mergeCell ref="E40:F40"/>
    <mergeCell ref="E49:F49"/>
    <mergeCell ref="E42:F42"/>
    <mergeCell ref="E45:F45"/>
    <mergeCell ref="E46:F46"/>
    <mergeCell ref="E47:F47"/>
    <mergeCell ref="F105:G105"/>
    <mergeCell ref="F106:G106"/>
    <mergeCell ref="F107:G107"/>
    <mergeCell ref="E41:F41"/>
    <mergeCell ref="E48:F48"/>
  </mergeCells>
  <printOptions/>
  <pageMargins left="0.75" right="0.29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SYNSIRI 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FM9FY-TMF7Q-KCKCT-V9T29-TBBBG</dc:creator>
  <cp:keywords/>
  <dc:description/>
  <cp:lastModifiedBy>FM9FY-TMF7Q-KCKCT-V9T29-TBBBG</cp:lastModifiedBy>
  <cp:lastPrinted>2006-03-17T07:45:33Z</cp:lastPrinted>
  <dcterms:created xsi:type="dcterms:W3CDTF">2003-09-20T17:38:34Z</dcterms:created>
  <dcterms:modified xsi:type="dcterms:W3CDTF">2006-03-17T07:46:49Z</dcterms:modified>
  <cp:category/>
  <cp:version/>
  <cp:contentType/>
  <cp:contentStatus/>
</cp:coreProperties>
</file>