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KITTIKUN PHONSUWAN\สร้างเพจ วิศวะจับฉ่าย\Excel ออกแบบกำแพงกันดิน สมาชิกเพจฝากแจก\"/>
    </mc:Choice>
  </mc:AlternateContent>
  <bookViews>
    <workbookView xWindow="0" yWindow="0" windowWidth="9360" windowHeight="5715"/>
  </bookViews>
  <sheets>
    <sheet name="RETAINING WALL" sheetId="13542" r:id="rId1"/>
    <sheet name="WALL TYPE" sheetId="13541" r:id="rId2"/>
    <sheet name="TYPICAL RETAINING WALL" sheetId="13543" r:id="rId3"/>
  </sheets>
  <externalReferences>
    <externalReference r:id="rId4"/>
  </externalReferences>
  <definedNames>
    <definedName name="_1_1">#REF!</definedName>
    <definedName name="_2_2">#REF!</definedName>
    <definedName name="_3_3">#REF!</definedName>
    <definedName name="A">#REF!</definedName>
    <definedName name="B">#REF!</definedName>
    <definedName name="CALLDATA">OFFSET('[1]PHOTO(9)'!$D$5,'[1]PHOTOCALL(8)'!$B$10*1-1,0,1,1)</definedName>
    <definedName name="_xlnm.Print_Area" localSheetId="0">'RETAINING WALL'!$A$1:$O$155</definedName>
  </definedNames>
  <calcPr calcId="162913"/>
</workbook>
</file>

<file path=xl/calcChain.xml><?xml version="1.0" encoding="utf-8"?>
<calcChain xmlns="http://schemas.openxmlformats.org/spreadsheetml/2006/main">
  <c r="F28" i="13542" l="1"/>
  <c r="A5" i="13543"/>
  <c r="A6" i="13543" s="1"/>
  <c r="A7" i="13543" s="1"/>
  <c r="A8" i="13543" s="1"/>
  <c r="A9" i="13543" s="1"/>
  <c r="A10" i="13543" s="1"/>
  <c r="A11" i="13543" s="1"/>
  <c r="A12" i="13543" s="1"/>
  <c r="A13" i="13543" s="1"/>
  <c r="A14" i="13543" s="1"/>
  <c r="H27" i="13542"/>
  <c r="F23" i="13542"/>
  <c r="A20" i="13543"/>
  <c r="A21" i="13543" s="1"/>
  <c r="A22" i="13543" s="1"/>
  <c r="A23" i="13543" s="1"/>
  <c r="A24" i="13543" s="1"/>
  <c r="A25" i="13543" s="1"/>
  <c r="A26" i="13543" s="1"/>
  <c r="A27" i="13543" s="1"/>
  <c r="A28" i="13543" s="1"/>
  <c r="A29" i="13543" s="1"/>
  <c r="J4" i="13542" l="1"/>
  <c r="E144" i="13542" l="1"/>
  <c r="F143" i="13542"/>
  <c r="E140" i="13542"/>
  <c r="F139" i="13542"/>
  <c r="E129" i="13542"/>
  <c r="E125" i="13542"/>
  <c r="F120" i="13542"/>
  <c r="F93" i="13542"/>
  <c r="F109" i="13542"/>
  <c r="J122" i="13542"/>
  <c r="F116" i="13542"/>
  <c r="E114" i="13542"/>
  <c r="J95" i="13542"/>
  <c r="J111" i="13542"/>
  <c r="F106" i="13542"/>
  <c r="F107" i="13542" s="1"/>
  <c r="F110" i="13542" s="1"/>
  <c r="F111" i="13542" s="1"/>
  <c r="F101" i="13542"/>
  <c r="E102" i="13542"/>
  <c r="E98" i="13542"/>
  <c r="R13" i="13542"/>
  <c r="R14" i="13542"/>
  <c r="R15" i="13542"/>
  <c r="R16" i="13542"/>
  <c r="R17" i="13542"/>
  <c r="R18" i="13542"/>
  <c r="R19" i="13542"/>
  <c r="R20" i="13542"/>
  <c r="R12" i="13542"/>
  <c r="E132" i="13542" l="1"/>
  <c r="F37" i="13542" s="1"/>
  <c r="F142" i="13542"/>
  <c r="G144" i="13542" s="1"/>
  <c r="H36" i="13542" s="1"/>
  <c r="E138" i="13542"/>
  <c r="G140" i="13542" s="1"/>
  <c r="H35" i="13542" s="1"/>
  <c r="F112" i="13542"/>
  <c r="F113" i="13542" s="1"/>
  <c r="G114" i="13542" s="1"/>
  <c r="F100" i="13542"/>
  <c r="G102" i="13542" s="1"/>
  <c r="H31" i="13542" s="1"/>
  <c r="F108" i="13542"/>
  <c r="H109" i="13542" s="1"/>
  <c r="K109" i="13542" s="1"/>
  <c r="M111" i="13542"/>
  <c r="H32" i="13542" l="1"/>
  <c r="G132" i="13542"/>
  <c r="H37" i="13542" s="1"/>
  <c r="D74" i="13542"/>
  <c r="K55" i="13542"/>
  <c r="F65" i="13542"/>
  <c r="F64" i="13542"/>
  <c r="F68" i="13542"/>
  <c r="F67" i="13542"/>
  <c r="H20" i="13542"/>
  <c r="F66" i="13542"/>
  <c r="K56" i="13542"/>
  <c r="G49" i="13542"/>
  <c r="E61" i="13542" s="1"/>
  <c r="G48" i="13542"/>
  <c r="E60" i="13542" s="1"/>
  <c r="G47" i="13542"/>
  <c r="E59" i="13542" s="1"/>
  <c r="G46" i="13542"/>
  <c r="E58" i="13542" s="1"/>
  <c r="G45" i="13542"/>
  <c r="E57" i="13542" s="1"/>
  <c r="I41" i="13542"/>
  <c r="F86" i="13542" s="1"/>
  <c r="G88" i="13542" s="1"/>
  <c r="H23" i="13542" l="1"/>
  <c r="F128" i="13542"/>
  <c r="F127" i="13542" s="1"/>
  <c r="G129" i="13542" s="1"/>
  <c r="H34" i="13542" s="1"/>
  <c r="K86" i="13542"/>
  <c r="G89" i="13542" s="1"/>
  <c r="F91" i="13542" s="1"/>
  <c r="F94" i="13542" s="1"/>
  <c r="G42" i="13542"/>
  <c r="E54" i="13542" s="1"/>
  <c r="G44" i="13542"/>
  <c r="E56" i="13542" s="1"/>
  <c r="G43" i="13542"/>
  <c r="E55" i="13542" s="1"/>
  <c r="F92" i="13542" l="1"/>
  <c r="I55" i="13542"/>
  <c r="L55" i="13542" s="1"/>
  <c r="J57" i="13542"/>
  <c r="I57" i="13542"/>
  <c r="K57" i="13542"/>
  <c r="D68" i="13542"/>
  <c r="D66" i="13542"/>
  <c r="C65" i="13542"/>
  <c r="J56" i="13542"/>
  <c r="M57" i="13542" l="1"/>
  <c r="M56" i="13542"/>
  <c r="L57" i="13542"/>
  <c r="I56" i="13542"/>
  <c r="L56" i="13542" s="1"/>
  <c r="C66" i="13542"/>
  <c r="G66" i="13542" s="1"/>
  <c r="G65" i="13542"/>
  <c r="D65" i="13542"/>
  <c r="H65" i="13542" s="1"/>
  <c r="C68" i="13542"/>
  <c r="G68" i="13542" s="1"/>
  <c r="H66" i="13542"/>
  <c r="H68" i="13542"/>
  <c r="D64" i="13542"/>
  <c r="J55" i="13542"/>
  <c r="M55" i="13542" s="1"/>
  <c r="C64" i="13542"/>
  <c r="C67" i="13542"/>
  <c r="G67" i="13542" s="1"/>
  <c r="D67" i="13542"/>
  <c r="H67" i="13542" s="1"/>
  <c r="J58" i="13542" l="1"/>
  <c r="M58" i="13542"/>
  <c r="C69" i="13542"/>
  <c r="G64" i="13542"/>
  <c r="G69" i="13542" s="1"/>
  <c r="D69" i="13542"/>
  <c r="H64" i="13542"/>
  <c r="H69" i="13542" s="1"/>
  <c r="L58" i="13542"/>
  <c r="I58" i="13542"/>
  <c r="L62" i="13542" l="1"/>
  <c r="M62" i="13542" s="1"/>
  <c r="L63" i="13542" s="1"/>
  <c r="M74" i="13542"/>
  <c r="H79" i="13542" s="1"/>
  <c r="L67" i="13542"/>
  <c r="M67" i="13542" s="1"/>
  <c r="L68" i="13542" s="1"/>
  <c r="H81" i="13542" l="1"/>
  <c r="F117" i="13542" s="1"/>
  <c r="F118" i="13542" s="1"/>
  <c r="F121" i="13542" s="1"/>
  <c r="F122" i="13542" s="1"/>
  <c r="F123" i="13542" s="1"/>
  <c r="J79" i="13542"/>
  <c r="M79" i="13542" s="1"/>
  <c r="F119" i="13542" l="1"/>
  <c r="H120" i="13542" s="1"/>
  <c r="K120" i="13542" s="1"/>
  <c r="F124" i="13542"/>
  <c r="G125" i="13542" s="1"/>
  <c r="H33" i="13542" s="1"/>
  <c r="M122" i="13542"/>
  <c r="F95" i="13542" l="1"/>
  <c r="F96" i="13542" s="1"/>
  <c r="M95" i="13542" l="1"/>
  <c r="F97" i="13542" l="1"/>
  <c r="G98" i="13542" s="1"/>
  <c r="H30" i="13542" s="1"/>
  <c r="H93" i="13542" s="1"/>
  <c r="K93" i="13542" s="1"/>
  <c r="J33" i="13542" s="1"/>
</calcChain>
</file>

<file path=xl/sharedStrings.xml><?xml version="1.0" encoding="utf-8"?>
<sst xmlns="http://schemas.openxmlformats.org/spreadsheetml/2006/main" count="599" uniqueCount="269">
  <si>
    <t>=</t>
  </si>
  <si>
    <t>#</t>
  </si>
  <si>
    <t xml:space="preserve">PROJECT :  </t>
  </si>
  <si>
    <t xml:space="preserve">PAGE :  </t>
  </si>
  <si>
    <t xml:space="preserve">CLIENT :  </t>
  </si>
  <si>
    <t xml:space="preserve">DESIGN BY :  </t>
  </si>
  <si>
    <t xml:space="preserve">JOB NO. :  </t>
  </si>
  <si>
    <t xml:space="preserve">DATE :  </t>
  </si>
  <si>
    <t xml:space="preserve">REVIEW BY :  </t>
  </si>
  <si>
    <t>ANALYSIS</t>
  </si>
  <si>
    <t>REBAR YIELD STRESS</t>
  </si>
  <si>
    <t>in</t>
  </si>
  <si>
    <t xml:space="preserve">BAR </t>
  </si>
  <si>
    <t>DIA</t>
  </si>
  <si>
    <t>As</t>
  </si>
  <si>
    <t>sq in</t>
  </si>
  <si>
    <t xml:space="preserve">  R E B A R   D A T A</t>
  </si>
  <si>
    <t>.</t>
  </si>
  <si>
    <t>@</t>
  </si>
  <si>
    <t>INPUT DATA &amp; DESIGN SUMMARY</t>
  </si>
  <si>
    <r>
      <t>f</t>
    </r>
    <r>
      <rPr>
        <vertAlign val="subscript"/>
        <sz val="8"/>
        <rFont val="Arial"/>
        <family val="2"/>
      </rPr>
      <t>y</t>
    </r>
  </si>
  <si>
    <r>
      <t>A</t>
    </r>
    <r>
      <rPr>
        <vertAlign val="subscript"/>
        <sz val="8"/>
        <rFont val="Arial"/>
        <family val="2"/>
      </rPr>
      <t>s</t>
    </r>
  </si>
  <si>
    <t xml:space="preserve">     Techincal References:</t>
  </si>
  <si>
    <t>CONCRETE STRENGTH</t>
  </si>
  <si>
    <r>
      <t>f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>'</t>
    </r>
  </si>
  <si>
    <r>
      <t>P</t>
    </r>
    <r>
      <rPr>
        <vertAlign val="subscript"/>
        <sz val="8"/>
        <rFont val="Arial"/>
        <family val="2"/>
      </rPr>
      <t>a</t>
    </r>
  </si>
  <si>
    <t>PASSIVE PRESSURE</t>
  </si>
  <si>
    <t>SURCHARGE WEIGHT</t>
  </si>
  <si>
    <r>
      <t>w</t>
    </r>
    <r>
      <rPr>
        <vertAlign val="subscript"/>
        <sz val="8"/>
        <rFont val="Arial"/>
        <family val="2"/>
      </rPr>
      <t>s</t>
    </r>
  </si>
  <si>
    <t>FRICTION COEFFICIENT</t>
  </si>
  <si>
    <t>m</t>
  </si>
  <si>
    <r>
      <t>t</t>
    </r>
    <r>
      <rPr>
        <sz val="6"/>
        <rFont val="Arial"/>
        <family val="2"/>
      </rPr>
      <t>t</t>
    </r>
  </si>
  <si>
    <r>
      <t>L</t>
    </r>
    <r>
      <rPr>
        <sz val="6"/>
        <rFont val="Arial"/>
        <family val="2"/>
      </rPr>
      <t>T</t>
    </r>
  </si>
  <si>
    <r>
      <t>L</t>
    </r>
    <r>
      <rPr>
        <sz val="6"/>
        <rFont val="Arial"/>
        <family val="2"/>
      </rPr>
      <t>H</t>
    </r>
  </si>
  <si>
    <r>
      <t>H</t>
    </r>
    <r>
      <rPr>
        <sz val="6"/>
        <rFont val="Arial"/>
        <family val="2"/>
      </rPr>
      <t>T</t>
    </r>
  </si>
  <si>
    <r>
      <t>H</t>
    </r>
    <r>
      <rPr>
        <sz val="6"/>
        <rFont val="Arial"/>
        <family val="2"/>
      </rPr>
      <t>B</t>
    </r>
  </si>
  <si>
    <r>
      <t>h</t>
    </r>
    <r>
      <rPr>
        <sz val="6"/>
        <rFont val="Arial"/>
        <family val="2"/>
      </rPr>
      <t>f</t>
    </r>
  </si>
  <si>
    <t>FOOTING THICKNESS</t>
  </si>
  <si>
    <t>THICKNESS OF TOP STEM</t>
  </si>
  <si>
    <t>HEIGHT OF TOP STEM</t>
  </si>
  <si>
    <t>HEIGHT OF BOT. STEM</t>
  </si>
  <si>
    <t>SERVICE LOADS</t>
  </si>
  <si>
    <r>
      <t>H</t>
    </r>
    <r>
      <rPr>
        <sz val="6"/>
        <rFont val="Arial"/>
        <family val="2"/>
      </rPr>
      <t>b</t>
    </r>
  </si>
  <si>
    <r>
      <t>W</t>
    </r>
    <r>
      <rPr>
        <sz val="6"/>
        <rFont val="Arial"/>
        <family val="2"/>
      </rPr>
      <t>f</t>
    </r>
    <r>
      <rPr>
        <sz val="8"/>
        <rFont val="Arial"/>
        <family val="2"/>
      </rPr>
      <t xml:space="preserve">  =  h</t>
    </r>
    <r>
      <rPr>
        <sz val="6"/>
        <rFont val="Arial"/>
        <family val="2"/>
      </rPr>
      <t>f</t>
    </r>
    <r>
      <rPr>
        <sz val="8"/>
        <rFont val="Arial"/>
        <family val="2"/>
      </rPr>
      <t xml:space="preserve"> (L</t>
    </r>
    <r>
      <rPr>
        <sz val="6"/>
        <rFont val="Arial"/>
        <family val="2"/>
      </rPr>
      <t>H</t>
    </r>
    <r>
      <rPr>
        <sz val="8"/>
        <rFont val="Arial"/>
        <family val="2"/>
      </rPr>
      <t xml:space="preserve"> + t</t>
    </r>
    <r>
      <rPr>
        <sz val="6"/>
        <rFont val="Arial"/>
        <family val="2"/>
      </rPr>
      <t>b</t>
    </r>
    <r>
      <rPr>
        <sz val="8"/>
        <rFont val="Arial"/>
        <family val="2"/>
      </rPr>
      <t xml:space="preserve"> + L</t>
    </r>
    <r>
      <rPr>
        <sz val="6"/>
        <rFont val="Arial"/>
        <family val="2"/>
      </rPr>
      <t>T</t>
    </r>
    <r>
      <rPr>
        <sz val="8"/>
        <rFont val="Arial"/>
        <family val="2"/>
      </rPr>
      <t xml:space="preserve">) </t>
    </r>
    <r>
      <rPr>
        <sz val="8"/>
        <rFont val="Symbol"/>
        <family val="1"/>
        <charset val="2"/>
      </rPr>
      <t>g</t>
    </r>
    <r>
      <rPr>
        <sz val="6"/>
        <rFont val="Arial"/>
        <family val="2"/>
      </rPr>
      <t>c</t>
    </r>
  </si>
  <si>
    <r>
      <t>h</t>
    </r>
    <r>
      <rPr>
        <sz val="6"/>
        <rFont val="Arial"/>
        <family val="2"/>
      </rPr>
      <t>p</t>
    </r>
  </si>
  <si>
    <r>
      <t>P</t>
    </r>
    <r>
      <rPr>
        <vertAlign val="subscript"/>
        <sz val="8"/>
        <rFont val="Arial"/>
        <family val="2"/>
      </rPr>
      <t>p</t>
    </r>
  </si>
  <si>
    <t>SOIL OVER TOE</t>
  </si>
  <si>
    <r>
      <t>g</t>
    </r>
    <r>
      <rPr>
        <sz val="8"/>
        <rFont val="Arial"/>
        <family val="2"/>
      </rPr>
      <t>H</t>
    </r>
    <r>
      <rPr>
        <sz val="6"/>
        <rFont val="Arial"/>
        <family val="2"/>
      </rPr>
      <t>b</t>
    </r>
    <r>
      <rPr>
        <sz val="8"/>
        <rFont val="Arial"/>
        <family val="2"/>
      </rPr>
      <t xml:space="preserve">  =  1.6 H</t>
    </r>
    <r>
      <rPr>
        <sz val="6"/>
        <rFont val="Arial"/>
        <family val="2"/>
      </rPr>
      <t>b</t>
    </r>
    <r>
      <rPr>
        <sz val="8"/>
        <rFont val="Arial"/>
        <family val="2"/>
      </rPr>
      <t/>
    </r>
  </si>
  <si>
    <r>
      <t>g</t>
    </r>
    <r>
      <rPr>
        <sz val="8"/>
        <rFont val="Arial"/>
        <family val="2"/>
      </rPr>
      <t>H</t>
    </r>
    <r>
      <rPr>
        <sz val="6"/>
        <rFont val="Arial"/>
        <family val="2"/>
      </rPr>
      <t>s</t>
    </r>
    <r>
      <rPr>
        <sz val="8"/>
        <rFont val="Arial"/>
        <family val="2"/>
      </rPr>
      <t xml:space="preserve">  =  1.6 H</t>
    </r>
    <r>
      <rPr>
        <sz val="6"/>
        <rFont val="Arial"/>
        <family val="2"/>
      </rPr>
      <t>s</t>
    </r>
    <r>
      <rPr>
        <sz val="8"/>
        <rFont val="Arial"/>
        <family val="2"/>
      </rPr>
      <t/>
    </r>
  </si>
  <si>
    <r>
      <t>g</t>
    </r>
    <r>
      <rPr>
        <sz val="8"/>
        <rFont val="Arial"/>
        <family val="2"/>
      </rPr>
      <t>W</t>
    </r>
    <r>
      <rPr>
        <sz val="6"/>
        <rFont val="Arial"/>
        <family val="2"/>
      </rPr>
      <t>b</t>
    </r>
    <r>
      <rPr>
        <sz val="8"/>
        <rFont val="Arial"/>
        <family val="2"/>
      </rPr>
      <t xml:space="preserve">  =  1.2 W</t>
    </r>
    <r>
      <rPr>
        <sz val="6"/>
        <rFont val="Arial"/>
        <family val="2"/>
      </rPr>
      <t>b</t>
    </r>
    <r>
      <rPr>
        <sz val="8"/>
        <rFont val="Arial"/>
        <family val="2"/>
      </rPr>
      <t/>
    </r>
  </si>
  <si>
    <r>
      <t>g</t>
    </r>
    <r>
      <rPr>
        <sz val="8"/>
        <rFont val="Arial"/>
        <family val="2"/>
      </rPr>
      <t>W</t>
    </r>
    <r>
      <rPr>
        <sz val="6"/>
        <rFont val="Arial"/>
        <family val="2"/>
      </rPr>
      <t>f</t>
    </r>
    <r>
      <rPr>
        <sz val="8"/>
        <rFont val="Arial"/>
        <family val="2"/>
      </rPr>
      <t xml:space="preserve">  =  1.2 W</t>
    </r>
    <r>
      <rPr>
        <sz val="6"/>
        <rFont val="Arial"/>
        <family val="2"/>
      </rPr>
      <t>f</t>
    </r>
    <r>
      <rPr>
        <sz val="8"/>
        <rFont val="Arial"/>
        <family val="2"/>
      </rPr>
      <t/>
    </r>
  </si>
  <si>
    <r>
      <t>g</t>
    </r>
    <r>
      <rPr>
        <sz val="8"/>
        <rFont val="Arial"/>
        <family val="2"/>
      </rPr>
      <t>W</t>
    </r>
    <r>
      <rPr>
        <sz val="6"/>
        <rFont val="Arial"/>
        <family val="2"/>
      </rPr>
      <t>w,t</t>
    </r>
    <r>
      <rPr>
        <sz val="8"/>
        <rFont val="Arial"/>
        <family val="2"/>
      </rPr>
      <t xml:space="preserve">  =  1.2 W</t>
    </r>
    <r>
      <rPr>
        <sz val="6"/>
        <rFont val="Arial"/>
        <family val="2"/>
      </rPr>
      <t>w,t</t>
    </r>
    <r>
      <rPr>
        <sz val="8"/>
        <rFont val="Arial"/>
        <family val="2"/>
      </rPr>
      <t/>
    </r>
  </si>
  <si>
    <r>
      <t>g</t>
    </r>
    <r>
      <rPr>
        <sz val="8"/>
        <rFont val="Arial"/>
        <family val="2"/>
      </rPr>
      <t>W</t>
    </r>
    <r>
      <rPr>
        <sz val="6"/>
        <rFont val="Arial"/>
        <family val="2"/>
      </rPr>
      <t>w,b</t>
    </r>
    <r>
      <rPr>
        <sz val="8"/>
        <rFont val="Arial"/>
        <family val="2"/>
      </rPr>
      <t xml:space="preserve">  =  1.2 W</t>
    </r>
    <r>
      <rPr>
        <sz val="6"/>
        <rFont val="Arial"/>
        <family val="2"/>
      </rPr>
      <t>w,b</t>
    </r>
  </si>
  <si>
    <t>OVERTURNING MOMENT</t>
  </si>
  <si>
    <t>H</t>
  </si>
  <si>
    <r>
      <t>g</t>
    </r>
    <r>
      <rPr>
        <sz val="8"/>
        <rFont val="Arial"/>
        <family val="2"/>
      </rPr>
      <t>H</t>
    </r>
  </si>
  <si>
    <t>y</t>
  </si>
  <si>
    <t>H y</t>
  </si>
  <si>
    <r>
      <t>g</t>
    </r>
    <r>
      <rPr>
        <sz val="8"/>
        <rFont val="Arial"/>
        <family val="2"/>
      </rPr>
      <t>H y</t>
    </r>
  </si>
  <si>
    <r>
      <t>H</t>
    </r>
    <r>
      <rPr>
        <sz val="6"/>
        <rFont val="Arial"/>
        <family val="2"/>
      </rPr>
      <t>s</t>
    </r>
  </si>
  <si>
    <t>S</t>
  </si>
  <si>
    <t>W</t>
  </si>
  <si>
    <r>
      <t>g</t>
    </r>
    <r>
      <rPr>
        <sz val="8"/>
        <rFont val="Arial"/>
        <family val="2"/>
      </rPr>
      <t>W</t>
    </r>
  </si>
  <si>
    <t>RESISTING MOMENT</t>
  </si>
  <si>
    <r>
      <t>W</t>
    </r>
    <r>
      <rPr>
        <sz val="6"/>
        <rFont val="Arial"/>
        <family val="2"/>
      </rPr>
      <t>b</t>
    </r>
  </si>
  <si>
    <r>
      <t>W</t>
    </r>
    <r>
      <rPr>
        <sz val="6"/>
        <rFont val="Arial"/>
        <family val="2"/>
      </rPr>
      <t>s</t>
    </r>
  </si>
  <si>
    <r>
      <t>W</t>
    </r>
    <r>
      <rPr>
        <sz val="6"/>
        <rFont val="Arial"/>
        <family val="2"/>
      </rPr>
      <t>f</t>
    </r>
  </si>
  <si>
    <r>
      <t>W</t>
    </r>
    <r>
      <rPr>
        <sz val="6"/>
        <rFont val="Arial"/>
        <family val="2"/>
      </rPr>
      <t>w,t</t>
    </r>
  </si>
  <si>
    <r>
      <t>W</t>
    </r>
    <r>
      <rPr>
        <sz val="6"/>
        <rFont val="Arial"/>
        <family val="2"/>
      </rPr>
      <t>w,b</t>
    </r>
  </si>
  <si>
    <t>OVERTURNING FACTOR OF SAFETY</t>
  </si>
  <si>
    <t>x</t>
  </si>
  <si>
    <t>W x</t>
  </si>
  <si>
    <r>
      <t>g</t>
    </r>
    <r>
      <rPr>
        <sz val="8"/>
        <rFont val="Arial"/>
        <family val="2"/>
      </rPr>
      <t>W x</t>
    </r>
  </si>
  <si>
    <t>FACTORED LOADS</t>
  </si>
  <si>
    <t>ALLOW SOIL PRESSURE</t>
  </si>
  <si>
    <r>
      <t>Q</t>
    </r>
    <r>
      <rPr>
        <sz val="6"/>
        <rFont val="Arial"/>
        <family val="2"/>
      </rPr>
      <t>a</t>
    </r>
  </si>
  <si>
    <r>
      <t>g</t>
    </r>
    <r>
      <rPr>
        <sz val="8"/>
        <rFont val="Arial"/>
        <family val="2"/>
      </rPr>
      <t>W</t>
    </r>
    <r>
      <rPr>
        <sz val="6"/>
        <rFont val="Arial"/>
        <family val="2"/>
      </rPr>
      <t>s</t>
    </r>
    <r>
      <rPr>
        <sz val="8"/>
        <rFont val="Arial"/>
        <family val="2"/>
      </rPr>
      <t xml:space="preserve">  =  1.6 W</t>
    </r>
    <r>
      <rPr>
        <sz val="6"/>
        <rFont val="Arial"/>
        <family val="2"/>
      </rPr>
      <t>s</t>
    </r>
    <r>
      <rPr>
        <sz val="8"/>
        <rFont val="Arial"/>
        <family val="2"/>
      </rPr>
      <t/>
    </r>
  </si>
  <si>
    <t>HEIGHT OF FENCE STEM</t>
  </si>
  <si>
    <r>
      <t>H</t>
    </r>
    <r>
      <rPr>
        <sz val="6"/>
        <rFont val="Arial"/>
        <family val="2"/>
      </rPr>
      <t>F</t>
    </r>
  </si>
  <si>
    <t>LATERAL SOIL PRESSURE</t>
  </si>
  <si>
    <t>ksc</t>
  </si>
  <si>
    <r>
      <t>kg/m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/ m</t>
    </r>
  </si>
  <si>
    <r>
      <t>kg/m</t>
    </r>
    <r>
      <rPr>
        <vertAlign val="superscript"/>
        <sz val="8"/>
        <rFont val="Arial"/>
        <family val="2"/>
      </rPr>
      <t>2</t>
    </r>
  </si>
  <si>
    <t>cm</t>
  </si>
  <si>
    <t>THICKNESS OF BOT STEM</t>
  </si>
  <si>
    <r>
      <t>t</t>
    </r>
    <r>
      <rPr>
        <vertAlign val="subscript"/>
        <sz val="8"/>
        <rFont val="Arial"/>
        <family val="2"/>
      </rPr>
      <t>b</t>
    </r>
  </si>
  <si>
    <t>TOE LENGTH</t>
  </si>
  <si>
    <t>HEEL LENGTH</t>
  </si>
  <si>
    <r>
      <t>kg/m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(equivalent fluid pressure)</t>
    </r>
  </si>
  <si>
    <t>SOIL SLOPE</t>
  </si>
  <si>
    <t>β</t>
  </si>
  <si>
    <t>degree</t>
  </si>
  <si>
    <t>ANGLE OF SOIL FRICTION</t>
  </si>
  <si>
    <t>ø</t>
  </si>
  <si>
    <r>
      <t>K</t>
    </r>
    <r>
      <rPr>
        <vertAlign val="subscript"/>
        <sz val="8"/>
        <rFont val="Arial"/>
        <family val="2"/>
      </rPr>
      <t>a</t>
    </r>
    <r>
      <rPr>
        <sz val="8"/>
        <rFont val="Arial"/>
        <family val="2"/>
      </rPr>
      <t xml:space="preserve"> =  cosβ(cosβ-(cos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β-cos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ø)</t>
    </r>
    <r>
      <rPr>
        <vertAlign val="superscript"/>
        <sz val="8"/>
        <rFont val="Arial"/>
        <family val="2"/>
      </rPr>
      <t>0.5)</t>
    </r>
    <r>
      <rPr>
        <sz val="8"/>
        <rFont val="Arial"/>
        <family val="2"/>
      </rPr>
      <t>/(cosβ+(cos2β-cos2ø)</t>
    </r>
    <r>
      <rPr>
        <vertAlign val="superscript"/>
        <sz val="8"/>
        <rFont val="Arial"/>
        <family val="2"/>
      </rPr>
      <t>0.5</t>
    </r>
    <r>
      <rPr>
        <sz val="8"/>
        <rFont val="Arial"/>
        <family val="2"/>
      </rPr>
      <t>)</t>
    </r>
  </si>
  <si>
    <t>kg</t>
  </si>
  <si>
    <r>
      <t>H</t>
    </r>
    <r>
      <rPr>
        <sz val="6"/>
        <rFont val="Arial"/>
        <family val="2"/>
      </rPr>
      <t>b</t>
    </r>
    <r>
      <rPr>
        <sz val="8"/>
        <rFont val="Arial"/>
        <family val="2"/>
      </rPr>
      <t xml:space="preserve">  = 0.5 P</t>
    </r>
    <r>
      <rPr>
        <sz val="6"/>
        <rFont val="Arial"/>
        <family val="2"/>
      </rPr>
      <t>a</t>
    </r>
    <r>
      <rPr>
        <sz val="8"/>
        <rFont val="Arial"/>
        <family val="2"/>
      </rPr>
      <t xml:space="preserve"> (H</t>
    </r>
    <r>
      <rPr>
        <sz val="6"/>
        <rFont val="Arial"/>
        <family val="2"/>
      </rPr>
      <t>T</t>
    </r>
    <r>
      <rPr>
        <sz val="8"/>
        <rFont val="Arial"/>
        <family val="2"/>
      </rPr>
      <t xml:space="preserve"> + H</t>
    </r>
    <r>
      <rPr>
        <sz val="6"/>
        <rFont val="Arial"/>
        <family val="2"/>
      </rPr>
      <t>B</t>
    </r>
    <r>
      <rPr>
        <sz val="8"/>
        <rFont val="Arial"/>
        <family val="2"/>
      </rPr>
      <t xml:space="preserve"> + h</t>
    </r>
    <r>
      <rPr>
        <sz val="6"/>
        <rFont val="Arial"/>
        <family val="2"/>
      </rPr>
      <t>f</t>
    </r>
    <r>
      <rPr>
        <sz val="8"/>
        <rFont val="Arial"/>
        <family val="2"/>
      </rPr>
      <t>)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K</t>
    </r>
    <r>
      <rPr>
        <vertAlign val="subscript"/>
        <sz val="8"/>
        <rFont val="Arial"/>
        <family val="2"/>
      </rPr>
      <t>a</t>
    </r>
  </si>
  <si>
    <r>
      <t>H</t>
    </r>
    <r>
      <rPr>
        <sz val="6"/>
        <rFont val="Arial"/>
        <family val="2"/>
      </rPr>
      <t>s</t>
    </r>
    <r>
      <rPr>
        <sz val="8"/>
        <rFont val="Arial"/>
        <family val="2"/>
      </rPr>
      <t xml:space="preserve">  =  P</t>
    </r>
    <r>
      <rPr>
        <sz val="6"/>
        <rFont val="Arial"/>
        <family val="2"/>
      </rPr>
      <t>a K</t>
    </r>
    <r>
      <rPr>
        <vertAlign val="subscript"/>
        <sz val="6"/>
        <rFont val="Arial"/>
        <family val="2"/>
      </rPr>
      <t>a</t>
    </r>
    <r>
      <rPr>
        <sz val="8"/>
        <rFont val="Arial"/>
        <family val="2"/>
      </rPr>
      <t xml:space="preserve"> (H</t>
    </r>
    <r>
      <rPr>
        <sz val="6"/>
        <rFont val="Arial"/>
        <family val="2"/>
      </rPr>
      <t>T</t>
    </r>
    <r>
      <rPr>
        <sz val="8"/>
        <rFont val="Arial"/>
        <family val="2"/>
      </rPr>
      <t xml:space="preserve"> + H</t>
    </r>
    <r>
      <rPr>
        <sz val="6"/>
        <rFont val="Arial"/>
        <family val="2"/>
      </rPr>
      <t>B</t>
    </r>
    <r>
      <rPr>
        <sz val="8"/>
        <rFont val="Arial"/>
        <family val="2"/>
      </rPr>
      <t xml:space="preserve"> + h</t>
    </r>
    <r>
      <rPr>
        <sz val="6"/>
        <rFont val="Arial"/>
        <family val="2"/>
      </rPr>
      <t>f</t>
    </r>
    <r>
      <rPr>
        <sz val="8"/>
        <rFont val="Arial"/>
        <family val="2"/>
      </rPr>
      <t xml:space="preserve">) </t>
    </r>
  </si>
  <si>
    <t>kg/m</t>
  </si>
  <si>
    <r>
      <t>H</t>
    </r>
    <r>
      <rPr>
        <vertAlign val="subscript"/>
        <sz val="8"/>
        <rFont val="Arial"/>
        <family val="2"/>
      </rPr>
      <t>p</t>
    </r>
    <r>
      <rPr>
        <sz val="8"/>
        <rFont val="Arial"/>
        <family val="2"/>
      </rPr>
      <t xml:space="preserve">  = 0.5 P</t>
    </r>
    <r>
      <rPr>
        <sz val="6"/>
        <rFont val="Arial"/>
        <family val="2"/>
      </rPr>
      <t>a</t>
    </r>
    <r>
      <rPr>
        <sz val="8"/>
        <rFont val="Arial"/>
        <family val="2"/>
      </rPr>
      <t xml:space="preserve"> (h</t>
    </r>
    <r>
      <rPr>
        <vertAlign val="subscript"/>
        <sz val="8"/>
        <rFont val="Arial"/>
        <family val="2"/>
      </rPr>
      <t>p</t>
    </r>
    <r>
      <rPr>
        <sz val="8"/>
        <rFont val="Arial"/>
        <family val="2"/>
      </rPr>
      <t>)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K</t>
    </r>
    <r>
      <rPr>
        <vertAlign val="subscript"/>
        <sz val="8"/>
        <rFont val="Arial"/>
        <family val="2"/>
      </rPr>
      <t>a</t>
    </r>
  </si>
  <si>
    <r>
      <t>W</t>
    </r>
    <r>
      <rPr>
        <sz val="6"/>
        <rFont val="Arial"/>
        <family val="2"/>
      </rPr>
      <t>s</t>
    </r>
    <r>
      <rPr>
        <sz val="8"/>
        <rFont val="Arial"/>
        <family val="2"/>
      </rPr>
      <t xml:space="preserve">  =  w</t>
    </r>
    <r>
      <rPr>
        <sz val="6"/>
        <rFont val="Arial"/>
        <family val="2"/>
      </rPr>
      <t>s</t>
    </r>
    <r>
      <rPr>
        <sz val="8"/>
        <rFont val="Arial"/>
        <family val="2"/>
      </rPr>
      <t xml:space="preserve"> (L</t>
    </r>
    <r>
      <rPr>
        <sz val="6"/>
        <rFont val="Arial"/>
        <family val="2"/>
      </rPr>
      <t>H</t>
    </r>
    <r>
      <rPr>
        <sz val="8"/>
        <rFont val="Arial"/>
        <family val="2"/>
      </rPr>
      <t xml:space="preserve"> + ((t</t>
    </r>
    <r>
      <rPr>
        <sz val="6"/>
        <rFont val="Arial"/>
        <family val="2"/>
      </rPr>
      <t>b</t>
    </r>
    <r>
      <rPr>
        <sz val="8"/>
        <rFont val="Arial"/>
        <family val="2"/>
      </rPr>
      <t xml:space="preserve"> - t</t>
    </r>
    <r>
      <rPr>
        <sz val="6"/>
        <rFont val="Arial"/>
        <family val="2"/>
      </rPr>
      <t>t) / 2</t>
    </r>
    <r>
      <rPr>
        <sz val="8"/>
        <rFont val="Arial"/>
        <family val="2"/>
      </rPr>
      <t>))</t>
    </r>
  </si>
  <si>
    <r>
      <t>W</t>
    </r>
    <r>
      <rPr>
        <vertAlign val="subscript"/>
        <sz val="8"/>
        <rFont val="Arial"/>
        <family val="2"/>
      </rPr>
      <t>b</t>
    </r>
    <r>
      <rPr>
        <sz val="8"/>
        <rFont val="Arial"/>
        <family val="2"/>
      </rPr>
      <t xml:space="preserve">  =  (H</t>
    </r>
    <r>
      <rPr>
        <vertAlign val="subscript"/>
        <sz val="8"/>
        <rFont val="Arial"/>
        <family val="2"/>
      </rPr>
      <t xml:space="preserve">T </t>
    </r>
    <r>
      <rPr>
        <sz val="8"/>
        <rFont val="Arial"/>
        <family val="2"/>
      </rPr>
      <t>+ H</t>
    </r>
    <r>
      <rPr>
        <vertAlign val="subscript"/>
        <sz val="8"/>
        <rFont val="Arial"/>
        <family val="2"/>
      </rPr>
      <t>b</t>
    </r>
    <r>
      <rPr>
        <sz val="8"/>
        <rFont val="Arial"/>
        <family val="2"/>
      </rPr>
      <t>) P</t>
    </r>
    <r>
      <rPr>
        <vertAlign val="subscript"/>
        <sz val="8"/>
        <rFont val="Arial"/>
        <family val="2"/>
      </rPr>
      <t>a</t>
    </r>
    <r>
      <rPr>
        <sz val="8"/>
        <rFont val="Arial"/>
        <family val="2"/>
      </rPr>
      <t xml:space="preserve"> (L</t>
    </r>
    <r>
      <rPr>
        <sz val="6"/>
        <rFont val="Arial"/>
        <family val="2"/>
      </rPr>
      <t>H</t>
    </r>
    <r>
      <rPr>
        <sz val="8"/>
        <rFont val="Arial"/>
        <family val="2"/>
      </rPr>
      <t xml:space="preserve"> + ((t</t>
    </r>
    <r>
      <rPr>
        <sz val="6"/>
        <rFont val="Arial"/>
        <family val="2"/>
      </rPr>
      <t>b</t>
    </r>
    <r>
      <rPr>
        <sz val="8"/>
        <rFont val="Arial"/>
        <family val="2"/>
      </rPr>
      <t xml:space="preserve"> - t</t>
    </r>
    <r>
      <rPr>
        <sz val="6"/>
        <rFont val="Arial"/>
        <family val="2"/>
      </rPr>
      <t>t) / 2</t>
    </r>
    <r>
      <rPr>
        <sz val="8"/>
        <rFont val="Arial"/>
        <family val="2"/>
      </rPr>
      <t>))</t>
    </r>
  </si>
  <si>
    <t>UNIT WEIGHT CONCRETE</t>
  </si>
  <si>
    <r>
      <t xml:space="preserve"> </t>
    </r>
    <r>
      <rPr>
        <sz val="8"/>
        <rFont val="Symbol"/>
        <family val="1"/>
        <charset val="2"/>
      </rPr>
      <t>g</t>
    </r>
    <r>
      <rPr>
        <sz val="6"/>
        <rFont val="Arial"/>
        <family val="2"/>
      </rPr>
      <t>c</t>
    </r>
  </si>
  <si>
    <r>
      <t>kg/m</t>
    </r>
    <r>
      <rPr>
        <vertAlign val="superscript"/>
        <sz val="8"/>
        <rFont val="Arial"/>
        <family val="2"/>
      </rPr>
      <t>3</t>
    </r>
  </si>
  <si>
    <r>
      <t>W</t>
    </r>
    <r>
      <rPr>
        <vertAlign val="subscript"/>
        <sz val="8"/>
        <rFont val="Arial"/>
        <family val="2"/>
      </rPr>
      <t xml:space="preserve">w,t </t>
    </r>
    <r>
      <rPr>
        <sz val="8"/>
        <rFont val="Arial"/>
        <family val="2"/>
      </rPr>
      <t xml:space="preserve"> =1.25 t</t>
    </r>
    <r>
      <rPr>
        <vertAlign val="subscript"/>
        <sz val="8"/>
        <rFont val="Arial"/>
        <family val="2"/>
      </rPr>
      <t xml:space="preserve">t 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T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g</t>
    </r>
    <r>
      <rPr>
        <sz val="6"/>
        <rFont val="Arial"/>
        <family val="2"/>
      </rPr>
      <t>c</t>
    </r>
  </si>
  <si>
    <r>
      <t>W</t>
    </r>
    <r>
      <rPr>
        <vertAlign val="subscript"/>
        <sz val="8"/>
        <rFont val="Arial"/>
        <family val="2"/>
      </rPr>
      <t xml:space="preserve">w,b </t>
    </r>
    <r>
      <rPr>
        <sz val="8"/>
        <rFont val="Arial"/>
        <family val="2"/>
      </rPr>
      <t xml:space="preserve"> =1.75 t</t>
    </r>
    <r>
      <rPr>
        <vertAlign val="subscript"/>
        <sz val="8"/>
        <rFont val="Arial"/>
        <family val="2"/>
      </rPr>
      <t xml:space="preserve">t 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T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g</t>
    </r>
    <r>
      <rPr>
        <sz val="6"/>
        <rFont val="Arial"/>
        <family val="2"/>
      </rPr>
      <t>c</t>
    </r>
  </si>
  <si>
    <r>
      <t>g</t>
    </r>
    <r>
      <rPr>
        <sz val="8"/>
        <rFont val="Arial"/>
        <family val="2"/>
      </rPr>
      <t>H</t>
    </r>
    <r>
      <rPr>
        <sz val="6"/>
        <rFont val="Arial"/>
        <family val="2"/>
      </rPr>
      <t>p</t>
    </r>
    <r>
      <rPr>
        <sz val="8"/>
        <rFont val="Arial"/>
        <family val="2"/>
      </rPr>
      <t xml:space="preserve">  =  1.6 Hp</t>
    </r>
  </si>
  <si>
    <t>Hp</t>
  </si>
  <si>
    <t>TOTAL LENGTH</t>
  </si>
  <si>
    <t>L</t>
  </si>
  <si>
    <t>TOTAL HEIGHT</t>
  </si>
  <si>
    <r>
      <t>CHECK SOIL BEARING CAPACITY</t>
    </r>
    <r>
      <rPr>
        <sz val="8"/>
        <rFont val="Arial"/>
        <family val="2"/>
      </rPr>
      <t xml:space="preserve"> (ACI 318-89)</t>
    </r>
  </si>
  <si>
    <t>SLIDING FACTOR OF SAFETY</t>
  </si>
  <si>
    <t>Mr.Chawalit Juntawongtiang</t>
  </si>
  <si>
    <r>
      <t xml:space="preserve">Q </t>
    </r>
    <r>
      <rPr>
        <b/>
        <vertAlign val="subscript"/>
        <sz val="8"/>
        <color rgb="FFFF0000"/>
        <rFont val="Arial"/>
        <family val="2"/>
      </rPr>
      <t>a</t>
    </r>
  </si>
  <si>
    <t>CHECK FLEXURE CAPACITY FOR CONCRETE STEM</t>
  </si>
  <si>
    <t>http://www.uplusconsult.com</t>
  </si>
  <si>
    <r>
      <t>P</t>
    </r>
    <r>
      <rPr>
        <vertAlign val="subscript"/>
        <sz val="10"/>
        <rFont val="Arial"/>
        <family val="2"/>
      </rPr>
      <t>b</t>
    </r>
  </si>
  <si>
    <t>Lateral Earth Pressures</t>
  </si>
  <si>
    <t>Lateral Surcharge Pressures</t>
  </si>
  <si>
    <r>
      <t>P</t>
    </r>
    <r>
      <rPr>
        <vertAlign val="subscript"/>
        <sz val="10"/>
        <rFont val="Arial"/>
        <family val="2"/>
      </rPr>
      <t>s</t>
    </r>
  </si>
  <si>
    <r>
      <t>g</t>
    </r>
    <r>
      <rPr>
        <sz val="8"/>
        <rFont val="Tahoma"/>
        <family val="2"/>
        <scheme val="major"/>
      </rPr>
      <t>P</t>
    </r>
    <r>
      <rPr>
        <sz val="6"/>
        <rFont val="Arial"/>
        <family val="2"/>
      </rPr>
      <t>b</t>
    </r>
    <r>
      <rPr>
        <sz val="8"/>
        <rFont val="Arial"/>
        <family val="2"/>
      </rPr>
      <t xml:space="preserve">  =  1.6 P</t>
    </r>
    <r>
      <rPr>
        <sz val="6"/>
        <rFont val="Arial"/>
        <family val="2"/>
      </rPr>
      <t>b</t>
    </r>
    <r>
      <rPr>
        <sz val="8"/>
        <rFont val="Arial"/>
        <family val="2"/>
      </rPr>
      <t/>
    </r>
  </si>
  <si>
    <r>
      <t>g</t>
    </r>
    <r>
      <rPr>
        <sz val="8"/>
        <rFont val="Tahoma"/>
        <family val="2"/>
        <scheme val="major"/>
      </rPr>
      <t>P</t>
    </r>
    <r>
      <rPr>
        <vertAlign val="subscript"/>
        <sz val="8"/>
        <rFont val="Tahoma"/>
        <family val="2"/>
        <scheme val="major"/>
      </rPr>
      <t>s</t>
    </r>
    <r>
      <rPr>
        <sz val="8"/>
        <rFont val="Arial"/>
        <family val="2"/>
      </rPr>
      <t xml:space="preserve">  =  1.6 P</t>
    </r>
    <r>
      <rPr>
        <vertAlign val="subscript"/>
        <sz val="8"/>
        <rFont val="Arial"/>
        <family val="2"/>
      </rPr>
      <t>s</t>
    </r>
  </si>
  <si>
    <t>kg-m</t>
  </si>
  <si>
    <t>Dead Load</t>
  </si>
  <si>
    <t>Live Load</t>
  </si>
  <si>
    <r>
      <t>STEM REINF AT SOIL FACE. (A</t>
    </r>
    <r>
      <rPr>
        <vertAlign val="subscript"/>
        <sz val="8"/>
        <rFont val="Arial"/>
        <family val="2"/>
      </rPr>
      <t>s,1</t>
    </r>
    <r>
      <rPr>
        <sz val="8"/>
        <rFont val="Arial"/>
      </rPr>
      <t>)</t>
    </r>
  </si>
  <si>
    <r>
      <t>STEM REINF AT EACH FACE (A</t>
    </r>
    <r>
      <rPr>
        <vertAlign val="subscript"/>
        <sz val="8"/>
        <rFont val="Arial"/>
        <family val="2"/>
      </rPr>
      <t>s,2</t>
    </r>
    <r>
      <rPr>
        <sz val="8"/>
        <rFont val="Arial"/>
      </rPr>
      <t>)</t>
    </r>
  </si>
  <si>
    <r>
      <t>øV</t>
    </r>
    <r>
      <rPr>
        <vertAlign val="subscript"/>
        <sz val="8"/>
        <rFont val="Arial"/>
        <family val="2"/>
      </rPr>
      <t>c</t>
    </r>
  </si>
  <si>
    <t>Concrete Protection</t>
  </si>
  <si>
    <r>
      <t>V</t>
    </r>
    <r>
      <rPr>
        <b/>
        <vertAlign val="subscript"/>
        <sz val="8"/>
        <color rgb="FFFF0000"/>
        <rFont val="Arial"/>
        <family val="2"/>
      </rPr>
      <t xml:space="preserve">u   </t>
    </r>
  </si>
  <si>
    <r>
      <t>R</t>
    </r>
    <r>
      <rPr>
        <vertAlign val="subscript"/>
        <sz val="8"/>
        <rFont val="Arial"/>
        <family val="2"/>
      </rPr>
      <t>u</t>
    </r>
  </si>
  <si>
    <r>
      <t>cm</t>
    </r>
    <r>
      <rPr>
        <vertAlign val="superscript"/>
        <sz val="8"/>
        <color theme="1"/>
        <rFont val="Arial"/>
        <family val="2"/>
      </rPr>
      <t>2</t>
    </r>
  </si>
  <si>
    <t>ρ</t>
  </si>
  <si>
    <r>
      <t>ρ</t>
    </r>
    <r>
      <rPr>
        <vertAlign val="subscript"/>
        <sz val="8"/>
        <rFont val="Arial"/>
        <family val="2"/>
      </rPr>
      <t>min</t>
    </r>
  </si>
  <si>
    <t>;</t>
  </si>
  <si>
    <r>
      <t>ρ</t>
    </r>
    <r>
      <rPr>
        <b/>
        <vertAlign val="subscript"/>
        <sz val="10"/>
        <color rgb="FFFF0000"/>
        <rFont val="Arial"/>
        <family val="2"/>
      </rPr>
      <t xml:space="preserve"> </t>
    </r>
  </si>
  <si>
    <r>
      <t>ρ</t>
    </r>
    <r>
      <rPr>
        <b/>
        <vertAlign val="subscript"/>
        <sz val="10"/>
        <color rgb="FFFF0000"/>
        <rFont val="Arial"/>
        <family val="2"/>
      </rPr>
      <t>min</t>
    </r>
  </si>
  <si>
    <t>STEM REINF AT SOIL FACE. (As,1)</t>
  </si>
  <si>
    <t>Use DB</t>
  </si>
  <si>
    <t>diameter (mm)</t>
  </si>
  <si>
    <r>
      <t>area (cm</t>
    </r>
    <r>
      <rPr>
        <vertAlign val="superscript"/>
        <sz val="10"/>
        <rFont val="Arial"/>
        <family val="2"/>
      </rPr>
      <t>2)</t>
    </r>
  </si>
  <si>
    <t>DB</t>
  </si>
  <si>
    <t>STEM REINF AT EACH FACE (As,2)</t>
  </si>
  <si>
    <r>
      <t>HEEL REINF.OF FOOTING (A</t>
    </r>
    <r>
      <rPr>
        <vertAlign val="subscript"/>
        <sz val="8"/>
        <rFont val="Arial"/>
        <family val="2"/>
      </rPr>
      <t>s,3</t>
    </r>
    <r>
      <rPr>
        <sz val="8"/>
        <rFont val="Arial"/>
      </rPr>
      <t>)</t>
    </r>
  </si>
  <si>
    <r>
      <t>TOE REINF.OF FOOTING (A</t>
    </r>
    <r>
      <rPr>
        <vertAlign val="subscript"/>
        <sz val="8"/>
        <rFont val="Arial"/>
        <family val="2"/>
      </rPr>
      <t>s,4</t>
    </r>
    <r>
      <rPr>
        <sz val="8"/>
        <rFont val="Arial"/>
      </rPr>
      <t>)</t>
    </r>
  </si>
  <si>
    <t>HEEL REINF.OF FOOTING (As,3)</t>
  </si>
  <si>
    <t>CHECK FLEXURE CAPACITY FOR CONCRETE BASESLAB</t>
  </si>
  <si>
    <r>
      <t>M</t>
    </r>
    <r>
      <rPr>
        <vertAlign val="subscript"/>
        <sz val="8"/>
        <rFont val="Arial"/>
        <family val="2"/>
      </rPr>
      <t xml:space="preserve">u  </t>
    </r>
    <r>
      <rPr>
        <sz val="8"/>
        <rFont val="Arial"/>
        <family val="2"/>
      </rPr>
      <t xml:space="preserve"> </t>
    </r>
  </si>
  <si>
    <r>
      <t>V</t>
    </r>
    <r>
      <rPr>
        <vertAlign val="subscript"/>
        <sz val="8"/>
        <rFont val="Arial"/>
        <family val="2"/>
      </rPr>
      <t xml:space="preserve">u  </t>
    </r>
    <r>
      <rPr>
        <sz val="8"/>
        <rFont val="Arial"/>
        <family val="2"/>
      </rPr>
      <t xml:space="preserve"> </t>
    </r>
  </si>
  <si>
    <t>HEEL</t>
  </si>
  <si>
    <t>TOE</t>
  </si>
  <si>
    <t>:</t>
  </si>
  <si>
    <r>
      <t>W</t>
    </r>
    <r>
      <rPr>
        <vertAlign val="subscript"/>
        <sz val="8"/>
        <rFont val="Arial"/>
        <family val="2"/>
      </rPr>
      <t>f,T</t>
    </r>
  </si>
  <si>
    <r>
      <t>W</t>
    </r>
    <r>
      <rPr>
        <vertAlign val="subscript"/>
        <sz val="8"/>
        <rFont val="Arial"/>
        <family val="2"/>
      </rPr>
      <t>f,H</t>
    </r>
  </si>
  <si>
    <r>
      <t>P</t>
    </r>
    <r>
      <rPr>
        <vertAlign val="sub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</t>
    </r>
  </si>
  <si>
    <t>Retaining Wall Design Based on ACI 318-89</t>
  </si>
  <si>
    <t>TOE REINF.OF FOOTING (As,4)</t>
  </si>
  <si>
    <r>
      <t>LONGITUDINAL REINF.OF FOOTING (A</t>
    </r>
    <r>
      <rPr>
        <vertAlign val="subscript"/>
        <sz val="8"/>
        <rFont val="Arial"/>
        <family val="2"/>
      </rPr>
      <t>s,5</t>
    </r>
    <r>
      <rPr>
        <sz val="8"/>
        <rFont val="Arial"/>
      </rPr>
      <t>)</t>
    </r>
  </si>
  <si>
    <t>RB</t>
  </si>
  <si>
    <r>
      <t>STIRRUP REINF.OF FOOTING (A</t>
    </r>
    <r>
      <rPr>
        <vertAlign val="subscript"/>
        <sz val="8"/>
        <rFont val="Arial"/>
        <family val="2"/>
      </rPr>
      <t>s,6</t>
    </r>
    <r>
      <rPr>
        <sz val="8"/>
        <rFont val="Arial"/>
      </rPr>
      <t>)</t>
    </r>
  </si>
  <si>
    <r>
      <t>STEM HORIZ REINF AT SOIL FACE. (A</t>
    </r>
    <r>
      <rPr>
        <vertAlign val="subscript"/>
        <sz val="8"/>
        <rFont val="Arial"/>
        <family val="2"/>
      </rPr>
      <t>s,7</t>
    </r>
    <r>
      <rPr>
        <sz val="8"/>
        <rFont val="Arial"/>
      </rPr>
      <t>)</t>
    </r>
  </si>
  <si>
    <r>
      <t>STEM HORIZ REINF AT EACH FACE. (A</t>
    </r>
    <r>
      <rPr>
        <vertAlign val="subscript"/>
        <sz val="8"/>
        <rFont val="Arial"/>
        <family val="2"/>
      </rPr>
      <t>s,8</t>
    </r>
    <r>
      <rPr>
        <sz val="8"/>
        <rFont val="Arial"/>
      </rPr>
      <t>)</t>
    </r>
  </si>
  <si>
    <t>Use RB</t>
  </si>
  <si>
    <t xml:space="preserve">          1. Ferguson, P.M., Breen, J.E., and Jirsa, J.O. : "Reinforced Concrete Fundamentals, Fifth Edition" , 1988.</t>
  </si>
  <si>
    <t xml:space="preserve">          2. Meyer, C. : "Design of Concrete Structures", Prentice-Hall, Inc., 1996.</t>
  </si>
  <si>
    <t xml:space="preserve">          4. ชัชวาลย์ พูนลาภพานิช : "วิศวกรรมฐานราก", สำนักพิมพ์ศรีปทุม, 2007.</t>
  </si>
  <si>
    <t xml:space="preserve">          3. วินิต ช่อวิเชียร และ วรนิติ ช่อวิเชียร : "การออกแบบโครงสร้างคอนกรีตเสริมเหล็ก", หจก. ป. สัมพันธ์พาณิชย์, พิมพ์ครั้งที่สี่, 2007.</t>
  </si>
  <si>
    <r>
      <t>STEM HORIZ REINF AT EACH FACE (A</t>
    </r>
    <r>
      <rPr>
        <vertAlign val="subscript"/>
        <sz val="8"/>
        <rFont val="Arial"/>
        <family val="2"/>
      </rPr>
      <t>s,8</t>
    </r>
    <r>
      <rPr>
        <sz val="8"/>
        <rFont val="Arial"/>
      </rPr>
      <t>)</t>
    </r>
  </si>
  <si>
    <r>
      <t>STEM HORIZ REINF AT SOIL FACE (A</t>
    </r>
    <r>
      <rPr>
        <vertAlign val="subscript"/>
        <sz val="8"/>
        <rFont val="Arial"/>
        <family val="2"/>
      </rPr>
      <t>s,7</t>
    </r>
    <r>
      <rPr>
        <sz val="8"/>
        <rFont val="Arial"/>
      </rPr>
      <t>)</t>
    </r>
  </si>
  <si>
    <t xml:space="preserve">No :  </t>
  </si>
  <si>
    <t>(Input Data in Hilight Only)</t>
  </si>
  <si>
    <t>Developed By</t>
  </si>
  <si>
    <t>นาย ชวลิต จุนทะวงศ์เที่ยง</t>
  </si>
  <si>
    <t>Wall Type</t>
  </si>
  <si>
    <t>RW1</t>
  </si>
  <si>
    <t>RW2</t>
  </si>
  <si>
    <t>Picture</t>
  </si>
  <si>
    <t>Free Body Diagram</t>
  </si>
  <si>
    <t>Detail of Reinforcements</t>
  </si>
  <si>
    <r>
      <t>t</t>
    </r>
    <r>
      <rPr>
        <b/>
        <vertAlign val="subscript"/>
        <sz val="10"/>
        <color theme="1"/>
        <rFont val="Times New Roman"/>
        <family val="1"/>
      </rPr>
      <t>t</t>
    </r>
  </si>
  <si>
    <r>
      <t>h</t>
    </r>
    <r>
      <rPr>
        <b/>
        <vertAlign val="subscript"/>
        <sz val="10"/>
        <color theme="1"/>
        <rFont val="Times New Roman"/>
        <family val="1"/>
      </rPr>
      <t>f</t>
    </r>
  </si>
  <si>
    <r>
      <t>A</t>
    </r>
    <r>
      <rPr>
        <b/>
        <vertAlign val="subscript"/>
        <sz val="10"/>
        <color theme="1"/>
        <rFont val="Times New Roman"/>
        <family val="1"/>
      </rPr>
      <t>s1</t>
    </r>
  </si>
  <si>
    <r>
      <t>A</t>
    </r>
    <r>
      <rPr>
        <b/>
        <vertAlign val="subscript"/>
        <sz val="10"/>
        <color theme="1"/>
        <rFont val="Times New Roman"/>
        <family val="1"/>
      </rPr>
      <t>s2</t>
    </r>
    <r>
      <rPr>
        <sz val="11"/>
        <color theme="1"/>
        <rFont val="Tahoma"/>
        <family val="2"/>
        <charset val="222"/>
        <scheme val="minor"/>
      </rPr>
      <t/>
    </r>
  </si>
  <si>
    <r>
      <t>A</t>
    </r>
    <r>
      <rPr>
        <b/>
        <vertAlign val="subscript"/>
        <sz val="10"/>
        <color theme="1"/>
        <rFont val="Times New Roman"/>
        <family val="1"/>
      </rPr>
      <t>s3</t>
    </r>
    <r>
      <rPr>
        <sz val="11"/>
        <color theme="1"/>
        <rFont val="Tahoma"/>
        <family val="2"/>
        <charset val="222"/>
        <scheme val="minor"/>
      </rPr>
      <t/>
    </r>
  </si>
  <si>
    <r>
      <t>A</t>
    </r>
    <r>
      <rPr>
        <b/>
        <vertAlign val="subscript"/>
        <sz val="10"/>
        <color theme="1"/>
        <rFont val="Times New Roman"/>
        <family val="1"/>
      </rPr>
      <t>s4</t>
    </r>
    <r>
      <rPr>
        <sz val="11"/>
        <color theme="1"/>
        <rFont val="Tahoma"/>
        <family val="2"/>
        <charset val="222"/>
        <scheme val="minor"/>
      </rPr>
      <t/>
    </r>
  </si>
  <si>
    <r>
      <t>A</t>
    </r>
    <r>
      <rPr>
        <b/>
        <vertAlign val="subscript"/>
        <sz val="10"/>
        <color theme="1"/>
        <rFont val="Times New Roman"/>
        <family val="1"/>
      </rPr>
      <t>s5</t>
    </r>
    <r>
      <rPr>
        <sz val="11"/>
        <color theme="1"/>
        <rFont val="Tahoma"/>
        <family val="2"/>
        <charset val="222"/>
        <scheme val="minor"/>
      </rPr>
      <t/>
    </r>
  </si>
  <si>
    <r>
      <t>A</t>
    </r>
    <r>
      <rPr>
        <b/>
        <vertAlign val="subscript"/>
        <sz val="10"/>
        <color theme="1"/>
        <rFont val="Times New Roman"/>
        <family val="1"/>
      </rPr>
      <t>s6</t>
    </r>
    <r>
      <rPr>
        <sz val="11"/>
        <color theme="1"/>
        <rFont val="Tahoma"/>
        <family val="2"/>
        <charset val="222"/>
        <scheme val="minor"/>
      </rPr>
      <t/>
    </r>
  </si>
  <si>
    <r>
      <t>A</t>
    </r>
    <r>
      <rPr>
        <b/>
        <vertAlign val="subscript"/>
        <sz val="10"/>
        <color theme="1"/>
        <rFont val="Times New Roman"/>
        <family val="1"/>
      </rPr>
      <t>s7</t>
    </r>
    <r>
      <rPr>
        <sz val="11"/>
        <color theme="1"/>
        <rFont val="Tahoma"/>
        <family val="2"/>
        <charset val="222"/>
        <scheme val="minor"/>
      </rPr>
      <t/>
    </r>
  </si>
  <si>
    <r>
      <t>A</t>
    </r>
    <r>
      <rPr>
        <b/>
        <vertAlign val="subscript"/>
        <sz val="10"/>
        <color theme="1"/>
        <rFont val="Times New Roman"/>
        <family val="1"/>
      </rPr>
      <t>s8</t>
    </r>
    <r>
      <rPr>
        <sz val="11"/>
        <color theme="1"/>
        <rFont val="Tahoma"/>
        <family val="2"/>
        <charset val="222"/>
        <scheme val="minor"/>
      </rPr>
      <t/>
    </r>
  </si>
  <si>
    <t>DB12-260</t>
  </si>
  <si>
    <t>DB12-750</t>
  </si>
  <si>
    <t>DB12-170</t>
  </si>
  <si>
    <t>DB12-200</t>
  </si>
  <si>
    <t>DB12-280</t>
  </si>
  <si>
    <t>DB12-900</t>
  </si>
  <si>
    <t>DB12-450</t>
  </si>
  <si>
    <t>TYPICAL RETAINING WALL TYPE RW-2</t>
  </si>
  <si>
    <t>RB6-330</t>
  </si>
  <si>
    <t>DB12-350</t>
  </si>
  <si>
    <t>DB12-380</t>
  </si>
  <si>
    <t>RB6-500</t>
  </si>
  <si>
    <t>DB12-570</t>
  </si>
  <si>
    <t>DB12-680</t>
  </si>
  <si>
    <t>DB12-340</t>
  </si>
  <si>
    <t>DB16-220</t>
  </si>
  <si>
    <t>DB16-180</t>
  </si>
  <si>
    <t>DB16-260</t>
  </si>
  <si>
    <t>DB12-230</t>
  </si>
  <si>
    <t>RB6-360</t>
  </si>
  <si>
    <t>DB12-540</t>
  </si>
  <si>
    <t>DB12-270</t>
  </si>
  <si>
    <t>DB16-200</t>
  </si>
  <si>
    <t>DB12-190</t>
  </si>
  <si>
    <t>DB20-230</t>
  </si>
  <si>
    <t>DB12-320</t>
  </si>
  <si>
    <t>DB25-180</t>
  </si>
  <si>
    <t>DB20-250</t>
  </si>
  <si>
    <t>DB16-290</t>
  </si>
  <si>
    <t>RB9-350</t>
  </si>
  <si>
    <t>DB12-390</t>
  </si>
  <si>
    <t>DB20-200</t>
  </si>
  <si>
    <t>DB25-200</t>
  </si>
  <si>
    <t>DB20-260</t>
  </si>
  <si>
    <t>RB9-370</t>
  </si>
  <si>
    <t>DB16-300</t>
  </si>
  <si>
    <t>DB20-170</t>
  </si>
  <si>
    <t>DB12-250</t>
  </si>
  <si>
    <t>DB32-170</t>
  </si>
  <si>
    <t>DB32-280</t>
  </si>
  <si>
    <t>DB20-220</t>
  </si>
  <si>
    <t>RB9-340</t>
  </si>
  <si>
    <t>DB12-300</t>
  </si>
  <si>
    <t>DB16-270</t>
  </si>
  <si>
    <t>DB32-150</t>
  </si>
  <si>
    <t>RB9-280</t>
  </si>
  <si>
    <t>DB16-240</t>
  </si>
  <si>
    <t>DB20-150</t>
  </si>
  <si>
    <t>DB32-190</t>
  </si>
  <si>
    <t>DB25-250</t>
  </si>
  <si>
    <t>DB40-150</t>
  </si>
  <si>
    <t>DB40-190</t>
  </si>
  <si>
    <t>DB40-220</t>
  </si>
  <si>
    <t>DB25-190</t>
  </si>
  <si>
    <t>RB9-290</t>
  </si>
  <si>
    <t>DB25-160</t>
  </si>
  <si>
    <t>DB12-160</t>
  </si>
  <si>
    <t>DB40-160</t>
  </si>
  <si>
    <t>RB9-310</t>
  </si>
  <si>
    <t>DB16-170</t>
  </si>
  <si>
    <t>TYPICAL RETAINING WALL TYPE RW-1</t>
  </si>
  <si>
    <r>
      <t>L</t>
    </r>
    <r>
      <rPr>
        <b/>
        <vertAlign val="subscript"/>
        <sz val="10"/>
        <color theme="1"/>
        <rFont val="Times New Roman"/>
        <family val="1"/>
      </rPr>
      <t>H</t>
    </r>
  </si>
  <si>
    <r>
      <t>L</t>
    </r>
    <r>
      <rPr>
        <b/>
        <vertAlign val="subscript"/>
        <sz val="10"/>
        <color theme="1"/>
        <rFont val="Times New Roman"/>
        <family val="1"/>
      </rPr>
      <t>T</t>
    </r>
  </si>
  <si>
    <r>
      <t>t</t>
    </r>
    <r>
      <rPr>
        <b/>
        <vertAlign val="subscript"/>
        <sz val="10"/>
        <color theme="1"/>
        <rFont val="Times New Roman"/>
        <family val="1"/>
      </rPr>
      <t>b</t>
    </r>
  </si>
  <si>
    <t>RB6-440</t>
  </si>
  <si>
    <t>RB6-350</t>
  </si>
  <si>
    <t>DB16-150</t>
  </si>
  <si>
    <t>DB16-160</t>
  </si>
  <si>
    <t>RB6-290</t>
  </si>
  <si>
    <t>DB20-190</t>
  </si>
  <si>
    <t>RB6-370</t>
  </si>
  <si>
    <t>DB16-230</t>
  </si>
  <si>
    <t>DB16-250</t>
  </si>
  <si>
    <t>RB6-270</t>
  </si>
  <si>
    <t>DB20-160</t>
  </si>
  <si>
    <t>RB6-300</t>
  </si>
  <si>
    <t>DB25-150</t>
  </si>
  <si>
    <t>RB9-360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</si>
</sst>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$&quot;#,##0\ ;\(&quot;$&quot;#,##0\)"/>
    <numFmt numFmtId="188" formatCode="0.0"/>
    <numFmt numFmtId="189" formatCode="0.000"/>
    <numFmt numFmtId="190" formatCode="mm/dd/yy"/>
    <numFmt numFmtId="191" formatCode="0.0000"/>
  </numFmts>
  <fonts count="50" x14ac:knownFonts="1">
    <font>
      <b/>
      <sz val="12"/>
      <name val="Times New Roman"/>
    </font>
    <font>
      <sz val="11"/>
      <color theme="1"/>
      <name val="Tahoma"/>
      <family val="2"/>
      <charset val="222"/>
      <scheme val="minor"/>
    </font>
    <font>
      <sz val="18"/>
      <name val="Times New Roman"/>
    </font>
    <font>
      <sz val="8"/>
      <name val="Times New Roman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name val="Arial"/>
    </font>
    <font>
      <sz val="8"/>
      <name val="Arial"/>
      <family val="2"/>
    </font>
    <font>
      <b/>
      <sz val="8"/>
      <name val="Times New Roman"/>
    </font>
    <font>
      <b/>
      <sz val="8"/>
      <name val="Arial"/>
      <family val="2"/>
    </font>
    <font>
      <vertAlign val="subscript"/>
      <sz val="8"/>
      <name val="Arial"/>
      <family val="2"/>
    </font>
    <font>
      <sz val="8"/>
      <name val="Symbol"/>
      <family val="1"/>
      <charset val="2"/>
    </font>
    <font>
      <vertAlign val="superscript"/>
      <sz val="8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0"/>
      <name val="Symbol"/>
      <family val="1"/>
      <charset val="2"/>
    </font>
    <font>
      <sz val="10"/>
      <name val="Symbol"/>
      <family val="1"/>
      <charset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name val="Times New Roman"/>
    </font>
    <font>
      <b/>
      <sz val="12"/>
      <name val="Arial"/>
      <family val="2"/>
    </font>
    <font>
      <u/>
      <sz val="7.2"/>
      <color indexed="12"/>
      <name val="Arial"/>
    </font>
    <font>
      <b/>
      <sz val="14"/>
      <name val="Arial"/>
      <family val="2"/>
    </font>
    <font>
      <sz val="8"/>
      <color indexed="48"/>
      <name val="Arial"/>
      <family val="2"/>
    </font>
    <font>
      <vertAlign val="subscript"/>
      <sz val="6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00B050"/>
      <name val="Arial"/>
      <family val="2"/>
    </font>
    <font>
      <b/>
      <vertAlign val="subscript"/>
      <sz val="8"/>
      <color rgb="FFFF0000"/>
      <name val="Arial"/>
      <family val="2"/>
    </font>
    <font>
      <sz val="12"/>
      <name val="Arial"/>
      <family val="2"/>
    </font>
    <font>
      <vertAlign val="subscript"/>
      <sz val="10"/>
      <name val="Arial"/>
      <family val="2"/>
    </font>
    <font>
      <sz val="8"/>
      <name val="Tahoma"/>
      <family val="2"/>
      <scheme val="major"/>
    </font>
    <font>
      <vertAlign val="subscript"/>
      <sz val="8"/>
      <name val="Tahoma"/>
      <family val="2"/>
      <scheme val="maj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  <font>
      <b/>
      <vertAlign val="subscript"/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4" fillId="0" borderId="0">
      <protection hidden="1"/>
    </xf>
    <xf numFmtId="0" fontId="4" fillId="0" borderId="0"/>
    <xf numFmtId="0" fontId="4" fillId="0" borderId="0"/>
    <xf numFmtId="0" fontId="4" fillId="0" borderId="0"/>
    <xf numFmtId="0" fontId="4" fillId="0" borderId="0">
      <protection hidden="1"/>
    </xf>
    <xf numFmtId="0" fontId="25" fillId="0" borderId="1" applyNumberFormat="0" applyFont="0" applyFill="0" applyAlignment="0" applyProtection="0"/>
  </cellStyleXfs>
  <cellXfs count="294">
    <xf numFmtId="0" fontId="0" fillId="0" borderId="0" xfId="0"/>
    <xf numFmtId="0" fontId="4" fillId="0" borderId="0" xfId="12"/>
    <xf numFmtId="0" fontId="4" fillId="2" borderId="0" xfId="12" applyFill="1" applyBorder="1" applyProtection="1">
      <protection hidden="1"/>
    </xf>
    <xf numFmtId="0" fontId="4" fillId="2" borderId="2" xfId="12" applyFill="1" applyBorder="1" applyProtection="1">
      <protection hidden="1"/>
    </xf>
    <xf numFmtId="0" fontId="4" fillId="2" borderId="3" xfId="12" applyFill="1" applyBorder="1" applyProtection="1">
      <protection hidden="1"/>
    </xf>
    <xf numFmtId="0" fontId="4" fillId="2" borderId="4" xfId="12" applyFill="1" applyBorder="1" applyProtection="1">
      <protection hidden="1"/>
    </xf>
    <xf numFmtId="0" fontId="4" fillId="0" borderId="0" xfId="12" applyAlignment="1">
      <alignment horizontal="center"/>
    </xf>
    <xf numFmtId="1" fontId="4" fillId="0" borderId="0" xfId="12" applyNumberFormat="1"/>
    <xf numFmtId="188" fontId="4" fillId="0" borderId="0" xfId="12" applyNumberFormat="1" applyProtection="1">
      <protection locked="0"/>
    </xf>
    <xf numFmtId="188" fontId="4" fillId="0" borderId="0" xfId="12" applyNumberFormat="1"/>
    <xf numFmtId="2" fontId="4" fillId="0" borderId="0" xfId="12" applyNumberFormat="1"/>
    <xf numFmtId="0" fontId="4" fillId="0" borderId="0" xfId="12" applyNumberFormat="1"/>
    <xf numFmtId="3" fontId="4" fillId="0" borderId="0" xfId="12" applyNumberFormat="1" applyAlignment="1">
      <alignment horizontal="center"/>
    </xf>
    <xf numFmtId="0" fontId="4" fillId="0" borderId="0" xfId="12" applyProtection="1">
      <protection locked="0"/>
    </xf>
    <xf numFmtId="2" fontId="4" fillId="0" borderId="0" xfId="12" applyNumberFormat="1" applyProtection="1">
      <protection locked="0"/>
    </xf>
    <xf numFmtId="3" fontId="4" fillId="0" borderId="0" xfId="12" applyNumberFormat="1" applyAlignment="1" applyProtection="1">
      <alignment horizontal="center"/>
      <protection locked="0"/>
    </xf>
    <xf numFmtId="0" fontId="6" fillId="2" borderId="5" xfId="13" applyFont="1" applyFill="1" applyBorder="1" applyProtection="1">
      <protection hidden="1"/>
    </xf>
    <xf numFmtId="0" fontId="8" fillId="2" borderId="5" xfId="12" applyFont="1" applyFill="1" applyBorder="1" applyProtection="1">
      <protection hidden="1"/>
    </xf>
    <xf numFmtId="0" fontId="8" fillId="2" borderId="0" xfId="12" applyFont="1" applyFill="1" applyBorder="1" applyProtection="1">
      <protection hidden="1"/>
    </xf>
    <xf numFmtId="0" fontId="9" fillId="2" borderId="0" xfId="11" applyFont="1" applyFill="1" applyBorder="1" applyAlignment="1" applyProtection="1">
      <alignment horizontal="center"/>
      <protection hidden="1"/>
    </xf>
    <xf numFmtId="0" fontId="9" fillId="2" borderId="0" xfId="11" applyFont="1" applyFill="1" applyBorder="1" applyAlignment="1" applyProtection="1">
      <alignment horizontal="left"/>
      <protection hidden="1"/>
    </xf>
    <xf numFmtId="0" fontId="9" fillId="2" borderId="0" xfId="11" applyFont="1" applyFill="1" applyBorder="1" applyProtection="1">
      <protection hidden="1"/>
    </xf>
    <xf numFmtId="1" fontId="9" fillId="4" borderId="0" xfId="11" applyNumberFormat="1" applyFont="1" applyFill="1" applyBorder="1" applyProtection="1">
      <protection hidden="1"/>
    </xf>
    <xf numFmtId="1" fontId="7" fillId="4" borderId="0" xfId="11" applyNumberFormat="1" applyFont="1" applyFill="1" applyBorder="1" applyProtection="1">
      <protection hidden="1"/>
    </xf>
    <xf numFmtId="0" fontId="9" fillId="2" borderId="0" xfId="11" applyFont="1" applyFill="1" applyBorder="1" applyAlignment="1" applyProtection="1">
      <alignment horizontal="right"/>
      <protection hidden="1"/>
    </xf>
    <xf numFmtId="0" fontId="6" fillId="5" borderId="5" xfId="11" applyFont="1" applyFill="1" applyBorder="1" applyAlignment="1" applyProtection="1">
      <alignment horizontal="left"/>
      <protection hidden="1"/>
    </xf>
    <xf numFmtId="0" fontId="9" fillId="2" borderId="7" xfId="11" applyFont="1" applyFill="1" applyBorder="1" applyAlignment="1" applyProtection="1">
      <alignment horizontal="right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8" fillId="0" borderId="0" xfId="12" applyFont="1"/>
    <xf numFmtId="0" fontId="8" fillId="5" borderId="5" xfId="12" applyFont="1" applyFill="1" applyBorder="1" applyProtection="1">
      <protection hidden="1"/>
    </xf>
    <xf numFmtId="0" fontId="9" fillId="5" borderId="0" xfId="11" applyFont="1" applyFill="1" applyBorder="1" applyAlignment="1" applyProtection="1">
      <alignment horizontal="right"/>
      <protection hidden="1"/>
    </xf>
    <xf numFmtId="1" fontId="9" fillId="6" borderId="0" xfId="11" applyNumberFormat="1" applyFont="1" applyFill="1" applyBorder="1" applyAlignment="1" applyProtection="1">
      <alignment horizontal="center"/>
      <protection hidden="1"/>
    </xf>
    <xf numFmtId="2" fontId="9" fillId="6" borderId="0" xfId="11" applyNumberFormat="1" applyFont="1" applyFill="1" applyBorder="1" applyAlignment="1" applyProtection="1">
      <alignment horizontal="center"/>
      <protection hidden="1"/>
    </xf>
    <xf numFmtId="0" fontId="9" fillId="2" borderId="0" xfId="12" applyFont="1" applyFill="1" applyBorder="1" applyProtection="1">
      <protection hidden="1"/>
    </xf>
    <xf numFmtId="0" fontId="4" fillId="5" borderId="0" xfId="12" applyFill="1" applyBorder="1" applyProtection="1">
      <protection hidden="1"/>
    </xf>
    <xf numFmtId="0" fontId="13" fillId="2" borderId="0" xfId="11" applyFont="1" applyFill="1" applyBorder="1" applyAlignment="1" applyProtection="1">
      <alignment horizontal="center"/>
      <protection hidden="1"/>
    </xf>
    <xf numFmtId="0" fontId="8" fillId="5" borderId="0" xfId="12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left"/>
      <protection hidden="1"/>
    </xf>
    <xf numFmtId="0" fontId="8" fillId="5" borderId="0" xfId="12" applyFont="1" applyFill="1" applyBorder="1" applyAlignment="1" applyProtection="1">
      <alignment horizontal="center"/>
      <protection hidden="1"/>
    </xf>
    <xf numFmtId="0" fontId="9" fillId="6" borderId="0" xfId="11" applyFont="1" applyFill="1" applyBorder="1" applyAlignment="1" applyProtection="1">
      <alignment horizontal="center"/>
      <protection hidden="1"/>
    </xf>
    <xf numFmtId="0" fontId="9" fillId="5" borderId="0" xfId="11" applyFont="1" applyFill="1" applyBorder="1" applyAlignment="1" applyProtection="1">
      <alignment horizontal="center"/>
      <protection hidden="1"/>
    </xf>
    <xf numFmtId="0" fontId="11" fillId="2" borderId="0" xfId="11" applyFont="1" applyFill="1" applyBorder="1" applyAlignment="1" applyProtection="1">
      <protection hidden="1"/>
    </xf>
    <xf numFmtId="0" fontId="9" fillId="0" borderId="0" xfId="12" applyFont="1"/>
    <xf numFmtId="0" fontId="4" fillId="5" borderId="2" xfId="12" applyFill="1" applyBorder="1" applyProtection="1">
      <protection hidden="1"/>
    </xf>
    <xf numFmtId="0" fontId="4" fillId="5" borderId="5" xfId="12" applyFill="1" applyBorder="1" applyProtection="1">
      <protection hidden="1"/>
    </xf>
    <xf numFmtId="0" fontId="9" fillId="5" borderId="0" xfId="11" applyFont="1" applyFill="1" applyBorder="1" applyAlignment="1" applyProtection="1">
      <alignment horizontal="left"/>
      <protection hidden="1"/>
    </xf>
    <xf numFmtId="0" fontId="7" fillId="5" borderId="0" xfId="11" applyFont="1" applyFill="1" applyBorder="1" applyAlignment="1" applyProtection="1">
      <alignment horizontal="right"/>
      <protection hidden="1"/>
    </xf>
    <xf numFmtId="0" fontId="8" fillId="5" borderId="2" xfId="12" applyFont="1" applyFill="1" applyBorder="1" applyProtection="1">
      <protection hidden="1"/>
    </xf>
    <xf numFmtId="0" fontId="11" fillId="5" borderId="5" xfId="12" applyFont="1" applyFill="1" applyBorder="1" applyProtection="1">
      <protection hidden="1"/>
    </xf>
    <xf numFmtId="0" fontId="9" fillId="5" borderId="5" xfId="12" applyFont="1" applyFill="1" applyBorder="1" applyProtection="1">
      <protection hidden="1"/>
    </xf>
    <xf numFmtId="0" fontId="9" fillId="5" borderId="0" xfId="12" applyFont="1" applyFill="1" applyBorder="1" applyProtection="1">
      <protection hidden="1"/>
    </xf>
    <xf numFmtId="0" fontId="9" fillId="5" borderId="5" xfId="11" applyFont="1" applyFill="1" applyBorder="1" applyAlignment="1" applyProtection="1">
      <alignment horizontal="left"/>
      <protection hidden="1"/>
    </xf>
    <xf numFmtId="0" fontId="4" fillId="5" borderId="0" xfId="12" applyFont="1" applyFill="1" applyBorder="1" applyAlignment="1" applyProtection="1">
      <alignment horizontal="center"/>
      <protection hidden="1"/>
    </xf>
    <xf numFmtId="0" fontId="9" fillId="5" borderId="0" xfId="12" applyFont="1" applyFill="1" applyBorder="1" applyAlignment="1" applyProtection="1">
      <protection hidden="1"/>
    </xf>
    <xf numFmtId="2" fontId="9" fillId="5" borderId="0" xfId="12" applyNumberFormat="1" applyFont="1" applyFill="1" applyBorder="1" applyProtection="1">
      <protection hidden="1"/>
    </xf>
    <xf numFmtId="0" fontId="13" fillId="5" borderId="0" xfId="12" applyFont="1" applyFill="1" applyBorder="1" applyAlignment="1" applyProtection="1">
      <protection hidden="1"/>
    </xf>
    <xf numFmtId="0" fontId="11" fillId="5" borderId="0" xfId="12" applyFont="1" applyFill="1" applyBorder="1" applyProtection="1">
      <protection hidden="1"/>
    </xf>
    <xf numFmtId="0" fontId="9" fillId="5" borderId="6" xfId="12" applyFont="1" applyFill="1" applyBorder="1" applyProtection="1">
      <protection hidden="1"/>
    </xf>
    <xf numFmtId="0" fontId="9" fillId="5" borderId="7" xfId="12" applyFont="1" applyFill="1" applyBorder="1" applyProtection="1">
      <protection hidden="1"/>
    </xf>
    <xf numFmtId="0" fontId="8" fillId="5" borderId="7" xfId="12" applyFont="1" applyFill="1" applyBorder="1" applyProtection="1">
      <protection hidden="1"/>
    </xf>
    <xf numFmtId="0" fontId="9" fillId="5" borderId="7" xfId="11" applyFont="1" applyFill="1" applyBorder="1" applyAlignment="1" applyProtection="1">
      <alignment horizontal="center"/>
      <protection hidden="1"/>
    </xf>
    <xf numFmtId="0" fontId="9" fillId="5" borderId="7" xfId="11" applyFont="1" applyFill="1" applyBorder="1" applyAlignment="1" applyProtection="1">
      <alignment horizontal="left"/>
      <protection hidden="1"/>
    </xf>
    <xf numFmtId="0" fontId="7" fillId="5" borderId="7" xfId="11" applyFont="1" applyFill="1" applyBorder="1" applyAlignment="1" applyProtection="1">
      <alignment horizontal="right"/>
      <protection hidden="1"/>
    </xf>
    <xf numFmtId="0" fontId="9" fillId="5" borderId="9" xfId="12" applyFont="1" applyFill="1" applyBorder="1" applyProtection="1">
      <protection hidden="1"/>
    </xf>
    <xf numFmtId="0" fontId="9" fillId="5" borderId="10" xfId="12" applyFont="1" applyFill="1" applyBorder="1" applyProtection="1">
      <protection hidden="1"/>
    </xf>
    <xf numFmtId="0" fontId="9" fillId="5" borderId="10" xfId="11" applyFont="1" applyFill="1" applyBorder="1" applyAlignment="1" applyProtection="1">
      <alignment horizontal="center"/>
      <protection hidden="1"/>
    </xf>
    <xf numFmtId="0" fontId="9" fillId="5" borderId="10" xfId="11" applyFont="1" applyFill="1" applyBorder="1" applyAlignment="1" applyProtection="1">
      <alignment horizontal="left"/>
      <protection hidden="1"/>
    </xf>
    <xf numFmtId="0" fontId="7" fillId="5" borderId="10" xfId="11" applyFont="1" applyFill="1" applyBorder="1" applyAlignment="1" applyProtection="1">
      <alignment horizontal="right"/>
      <protection hidden="1"/>
    </xf>
    <xf numFmtId="0" fontId="4" fillId="5" borderId="10" xfId="12" applyFill="1" applyBorder="1" applyProtection="1">
      <protection hidden="1"/>
    </xf>
    <xf numFmtId="0" fontId="4" fillId="5" borderId="11" xfId="12" applyFill="1" applyBorder="1" applyProtection="1">
      <protection hidden="1"/>
    </xf>
    <xf numFmtId="0" fontId="9" fillId="5" borderId="2" xfId="12" applyFont="1" applyFill="1" applyBorder="1" applyProtection="1">
      <protection hidden="1"/>
    </xf>
    <xf numFmtId="0" fontId="9" fillId="5" borderId="0" xfId="12" applyFont="1" applyFill="1" applyBorder="1" applyAlignment="1" applyProtection="1">
      <alignment horizontal="right"/>
      <protection hidden="1"/>
    </xf>
    <xf numFmtId="0" fontId="9" fillId="5" borderId="8" xfId="12" applyFont="1" applyFill="1" applyBorder="1" applyProtection="1">
      <protection hidden="1"/>
    </xf>
    <xf numFmtId="0" fontId="11" fillId="5" borderId="0" xfId="12" applyFont="1" applyFill="1" applyBorder="1" applyAlignment="1" applyProtection="1">
      <alignment horizontal="center"/>
      <protection hidden="1"/>
    </xf>
    <xf numFmtId="0" fontId="9" fillId="5" borderId="12" xfId="11" applyFont="1" applyFill="1" applyBorder="1" applyAlignment="1" applyProtection="1">
      <alignment horizontal="center"/>
      <protection hidden="1"/>
    </xf>
    <xf numFmtId="0" fontId="9" fillId="5" borderId="13" xfId="11" applyFont="1" applyFill="1" applyBorder="1" applyAlignment="1" applyProtection="1">
      <alignment horizontal="left"/>
      <protection hidden="1"/>
    </xf>
    <xf numFmtId="0" fontId="9" fillId="5" borderId="14" xfId="11" applyFont="1" applyFill="1" applyBorder="1" applyAlignment="1" applyProtection="1">
      <alignment horizontal="right"/>
      <protection hidden="1"/>
    </xf>
    <xf numFmtId="0" fontId="9" fillId="5" borderId="13" xfId="11" applyFont="1" applyFill="1" applyBorder="1" applyAlignment="1" applyProtection="1">
      <alignment horizontal="right"/>
      <protection hidden="1"/>
    </xf>
    <xf numFmtId="0" fontId="19" fillId="5" borderId="14" xfId="11" applyFont="1" applyFill="1" applyBorder="1" applyAlignment="1" applyProtection="1">
      <alignment horizontal="right"/>
      <protection hidden="1"/>
    </xf>
    <xf numFmtId="0" fontId="11" fillId="5" borderId="5" xfId="10" applyFont="1" applyFill="1" applyBorder="1" applyAlignment="1" applyProtection="1">
      <alignment horizontal="left"/>
      <protection hidden="1"/>
    </xf>
    <xf numFmtId="2" fontId="9" fillId="5" borderId="0" xfId="11" applyNumberFormat="1" applyFont="1" applyFill="1" applyBorder="1" applyAlignment="1" applyProtection="1">
      <alignment horizontal="left"/>
      <protection hidden="1"/>
    </xf>
    <xf numFmtId="0" fontId="9" fillId="5" borderId="0" xfId="11" applyFont="1" applyFill="1" applyBorder="1" applyAlignment="1" applyProtection="1">
      <protection hidden="1"/>
    </xf>
    <xf numFmtId="0" fontId="5" fillId="5" borderId="0" xfId="11" applyFont="1" applyFill="1" applyBorder="1" applyAlignment="1" applyProtection="1">
      <alignment horizontal="center"/>
      <protection hidden="1"/>
    </xf>
    <xf numFmtId="0" fontId="9" fillId="5" borderId="0" xfId="10" applyFont="1" applyFill="1" applyBorder="1" applyAlignment="1" applyProtection="1">
      <alignment horizontal="right"/>
      <protection hidden="1"/>
    </xf>
    <xf numFmtId="0" fontId="16" fillId="5" borderId="0" xfId="10" applyFont="1" applyFill="1" applyBorder="1" applyAlignment="1" applyProtection="1">
      <alignment horizontal="center"/>
      <protection hidden="1"/>
    </xf>
    <xf numFmtId="0" fontId="9" fillId="6" borderId="0" xfId="11" applyFont="1" applyFill="1" applyBorder="1" applyAlignment="1" applyProtection="1">
      <protection hidden="1"/>
    </xf>
    <xf numFmtId="0" fontId="9" fillId="6" borderId="0" xfId="11" applyNumberFormat="1" applyFont="1" applyFill="1" applyBorder="1" applyAlignment="1" applyProtection="1">
      <alignment horizontal="center"/>
      <protection hidden="1"/>
    </xf>
    <xf numFmtId="1" fontId="18" fillId="6" borderId="0" xfId="11" applyNumberFormat="1" applyFont="1" applyFill="1" applyBorder="1" applyAlignment="1" applyProtection="1">
      <alignment horizontal="center"/>
      <protection hidden="1"/>
    </xf>
    <xf numFmtId="0" fontId="5" fillId="6" borderId="0" xfId="11" applyFont="1" applyFill="1" applyBorder="1" applyAlignment="1" applyProtection="1">
      <alignment horizontal="center"/>
      <protection hidden="1"/>
    </xf>
    <xf numFmtId="0" fontId="22" fillId="5" borderId="0" xfId="11" applyFont="1" applyFill="1" applyBorder="1" applyAlignment="1" applyProtection="1">
      <alignment horizontal="center"/>
      <protection hidden="1"/>
    </xf>
    <xf numFmtId="0" fontId="4" fillId="5" borderId="7" xfId="12" applyFill="1" applyBorder="1" applyProtection="1">
      <protection hidden="1"/>
    </xf>
    <xf numFmtId="0" fontId="4" fillId="5" borderId="8" xfId="12" applyFill="1" applyBorder="1" applyProtection="1">
      <protection hidden="1"/>
    </xf>
    <xf numFmtId="0" fontId="24" fillId="5" borderId="0" xfId="0" applyFont="1" applyFill="1" applyBorder="1"/>
    <xf numFmtId="0" fontId="16" fillId="5" borderId="0" xfId="10" applyFont="1" applyFill="1" applyBorder="1" applyAlignment="1" applyProtection="1">
      <protection hidden="1"/>
    </xf>
    <xf numFmtId="0" fontId="16" fillId="2" borderId="0" xfId="11" applyFont="1" applyFill="1" applyBorder="1" applyAlignment="1" applyProtection="1">
      <alignment horizontal="left"/>
      <protection hidden="1"/>
    </xf>
    <xf numFmtId="0" fontId="24" fillId="5" borderId="0" xfId="12" applyFont="1" applyFill="1" applyBorder="1"/>
    <xf numFmtId="0" fontId="24" fillId="5" borderId="0" xfId="0" applyFont="1" applyFill="1" applyBorder="1" applyAlignment="1">
      <alignment horizontal="center"/>
    </xf>
    <xf numFmtId="189" fontId="24" fillId="5" borderId="0" xfId="0" applyNumberFormat="1" applyFont="1" applyFill="1" applyBorder="1" applyAlignment="1">
      <alignment horizontal="center"/>
    </xf>
    <xf numFmtId="0" fontId="5" fillId="0" borderId="0" xfId="12" applyFont="1"/>
    <xf numFmtId="189" fontId="9" fillId="5" borderId="2" xfId="12" applyNumberFormat="1" applyFont="1" applyFill="1" applyBorder="1" applyAlignment="1" applyProtection="1">
      <alignment horizontal="center"/>
      <protection hidden="1"/>
    </xf>
    <xf numFmtId="190" fontId="15" fillId="7" borderId="0" xfId="9" applyNumberFormat="1" applyFont="1" applyFill="1" applyBorder="1" applyAlignment="1" applyProtection="1">
      <alignment horizontal="left"/>
      <protection locked="0"/>
    </xf>
    <xf numFmtId="0" fontId="5" fillId="2" borderId="10" xfId="9" applyFont="1" applyFill="1" applyBorder="1" applyProtection="1">
      <protection locked="0"/>
    </xf>
    <xf numFmtId="0" fontId="4" fillId="2" borderId="10" xfId="12" applyFill="1" applyBorder="1" applyProtection="1">
      <protection locked="0"/>
    </xf>
    <xf numFmtId="0" fontId="5" fillId="2" borderId="11" xfId="9" applyFont="1" applyFill="1" applyBorder="1" applyProtection="1">
      <protection locked="0"/>
    </xf>
    <xf numFmtId="0" fontId="5" fillId="2" borderId="0" xfId="9" applyFont="1" applyFill="1" applyBorder="1" applyProtection="1">
      <protection locked="0"/>
    </xf>
    <xf numFmtId="0" fontId="5" fillId="2" borderId="0" xfId="9" applyFont="1" applyFill="1" applyBorder="1" applyAlignment="1" applyProtection="1">
      <alignment horizontal="right"/>
      <protection locked="0"/>
    </xf>
    <xf numFmtId="0" fontId="4" fillId="0" borderId="0" xfId="12" applyBorder="1" applyProtection="1">
      <protection locked="0"/>
    </xf>
    <xf numFmtId="0" fontId="29" fillId="5" borderId="0" xfId="11" applyFont="1" applyFill="1" applyBorder="1" applyAlignment="1" applyProtection="1">
      <alignment horizontal="left"/>
      <protection hidden="1"/>
    </xf>
    <xf numFmtId="0" fontId="24" fillId="6" borderId="0" xfId="11" applyFont="1" applyFill="1" applyBorder="1" applyAlignment="1" applyProtection="1">
      <alignment horizontal="center"/>
      <protection hidden="1"/>
    </xf>
    <xf numFmtId="189" fontId="9" fillId="5" borderId="0" xfId="12" applyNumberFormat="1" applyFont="1" applyFill="1" applyBorder="1" applyAlignment="1" applyProtection="1">
      <alignment horizontal="center"/>
      <protection hidden="1"/>
    </xf>
    <xf numFmtId="0" fontId="21" fillId="2" borderId="0" xfId="12" applyFont="1" applyFill="1" applyBorder="1" applyAlignment="1" applyProtection="1">
      <alignment horizontal="center" vertical="center"/>
      <protection hidden="1"/>
    </xf>
    <xf numFmtId="188" fontId="9" fillId="5" borderId="0" xfId="12" applyNumberFormat="1" applyFont="1" applyFill="1" applyBorder="1" applyAlignment="1" applyProtection="1">
      <alignment horizontal="center"/>
      <protection hidden="1"/>
    </xf>
    <xf numFmtId="1" fontId="9" fillId="5" borderId="0" xfId="12" applyNumberFormat="1" applyFont="1" applyFill="1" applyBorder="1" applyAlignment="1" applyProtection="1">
      <alignment horizontal="center"/>
      <protection hidden="1"/>
    </xf>
    <xf numFmtId="0" fontId="9" fillId="5" borderId="0" xfId="12" applyFont="1" applyFill="1" applyBorder="1" applyAlignment="1" applyProtection="1">
      <alignment horizontal="center" vertical="center"/>
      <protection hidden="1"/>
    </xf>
    <xf numFmtId="1" fontId="9" fillId="5" borderId="0" xfId="11" applyNumberFormat="1" applyFont="1" applyFill="1" applyBorder="1" applyAlignment="1" applyProtection="1">
      <alignment horizontal="center"/>
      <protection hidden="1"/>
    </xf>
    <xf numFmtId="2" fontId="9" fillId="5" borderId="0" xfId="11" applyNumberFormat="1" applyFont="1" applyFill="1" applyBorder="1" applyAlignment="1" applyProtection="1">
      <protection hidden="1"/>
    </xf>
    <xf numFmtId="2" fontId="9" fillId="5" borderId="12" xfId="11" applyNumberFormat="1" applyFont="1" applyFill="1" applyBorder="1" applyAlignment="1" applyProtection="1">
      <protection hidden="1"/>
    </xf>
    <xf numFmtId="2" fontId="8" fillId="5" borderId="0" xfId="12" applyNumberFormat="1" applyFont="1" applyFill="1" applyBorder="1" applyAlignment="1" applyProtection="1">
      <alignment horizontal="right"/>
      <protection hidden="1"/>
    </xf>
    <xf numFmtId="2" fontId="8" fillId="5" borderId="12" xfId="12" applyNumberFormat="1" applyFont="1" applyFill="1" applyBorder="1" applyAlignment="1" applyProtection="1">
      <alignment horizontal="right"/>
      <protection hidden="1"/>
    </xf>
    <xf numFmtId="188" fontId="8" fillId="5" borderId="0" xfId="12" applyNumberFormat="1" applyFont="1" applyFill="1" applyBorder="1" applyAlignment="1" applyProtection="1">
      <alignment horizontal="right"/>
      <protection hidden="1"/>
    </xf>
    <xf numFmtId="188" fontId="31" fillId="5" borderId="0" xfId="11" applyNumberFormat="1" applyFont="1" applyFill="1" applyBorder="1" applyAlignment="1" applyProtection="1">
      <alignment horizontal="right"/>
      <protection hidden="1"/>
    </xf>
    <xf numFmtId="2" fontId="31" fillId="5" borderId="0" xfId="11" applyNumberFormat="1" applyFont="1" applyFill="1" applyBorder="1" applyAlignment="1" applyProtection="1">
      <protection hidden="1"/>
    </xf>
    <xf numFmtId="188" fontId="9" fillId="5" borderId="0" xfId="12" applyNumberFormat="1" applyFont="1" applyFill="1" applyBorder="1" applyAlignment="1" applyProtection="1">
      <alignment horizontal="left"/>
      <protection hidden="1"/>
    </xf>
    <xf numFmtId="0" fontId="19" fillId="5" borderId="0" xfId="11" applyFont="1" applyFill="1" applyBorder="1" applyAlignment="1" applyProtection="1">
      <alignment horizontal="right"/>
      <protection hidden="1"/>
    </xf>
    <xf numFmtId="2" fontId="33" fillId="5" borderId="0" xfId="11" applyNumberFormat="1" applyFont="1" applyFill="1" applyBorder="1" applyAlignment="1" applyProtection="1">
      <protection hidden="1"/>
    </xf>
    <xf numFmtId="2" fontId="33" fillId="5" borderId="0" xfId="11" applyNumberFormat="1" applyFont="1" applyFill="1" applyBorder="1" applyAlignment="1" applyProtection="1">
      <alignment horizontal="right"/>
      <protection hidden="1"/>
    </xf>
    <xf numFmtId="0" fontId="9" fillId="5" borderId="0" xfId="12" applyFont="1" applyFill="1" applyBorder="1" applyAlignment="1" applyProtection="1">
      <alignment horizontal="left" vertical="center"/>
      <protection hidden="1"/>
    </xf>
    <xf numFmtId="0" fontId="31" fillId="5" borderId="0" xfId="12" applyFont="1" applyFill="1" applyBorder="1" applyProtection="1">
      <protection hidden="1"/>
    </xf>
    <xf numFmtId="0" fontId="5" fillId="11" borderId="0" xfId="9" applyFont="1" applyFill="1" applyBorder="1" applyAlignment="1" applyProtection="1">
      <alignment horizontal="right"/>
      <protection locked="0"/>
    </xf>
    <xf numFmtId="0" fontId="9" fillId="5" borderId="5" xfId="12" applyFont="1" applyFill="1" applyBorder="1" applyAlignment="1" applyProtection="1">
      <alignment horizontal="left"/>
      <protection hidden="1"/>
    </xf>
    <xf numFmtId="0" fontId="0" fillId="0" borderId="0" xfId="0" applyBorder="1"/>
    <xf numFmtId="0" fontId="4" fillId="5" borderId="0" xfId="12" applyFont="1" applyFill="1" applyBorder="1" applyAlignment="1" applyProtection="1">
      <alignment horizontal="right"/>
      <protection hidden="1"/>
    </xf>
    <xf numFmtId="0" fontId="4" fillId="5" borderId="6" xfId="12" applyFill="1" applyBorder="1" applyProtection="1">
      <protection hidden="1"/>
    </xf>
    <xf numFmtId="2" fontId="31" fillId="5" borderId="0" xfId="11" applyNumberFormat="1" applyFont="1" applyFill="1" applyBorder="1" applyAlignment="1" applyProtection="1">
      <alignment horizontal="center"/>
      <protection hidden="1"/>
    </xf>
    <xf numFmtId="0" fontId="31" fillId="5" borderId="0" xfId="10" applyFont="1" applyFill="1" applyBorder="1" applyProtection="1">
      <protection hidden="1"/>
    </xf>
    <xf numFmtId="0" fontId="35" fillId="0" borderId="0" xfId="12" applyFont="1"/>
    <xf numFmtId="0" fontId="15" fillId="0" borderId="0" xfId="12" applyFont="1" applyAlignment="1">
      <alignment horizontal="center"/>
    </xf>
    <xf numFmtId="0" fontId="15" fillId="0" borderId="0" xfId="12" applyFont="1"/>
    <xf numFmtId="0" fontId="7" fillId="5" borderId="0" xfId="11" applyFont="1" applyFill="1" applyBorder="1" applyAlignment="1" applyProtection="1">
      <protection hidden="1"/>
    </xf>
    <xf numFmtId="0" fontId="39" fillId="5" borderId="0" xfId="11" applyFont="1" applyFill="1" applyBorder="1" applyAlignment="1" applyProtection="1">
      <protection hidden="1"/>
    </xf>
    <xf numFmtId="0" fontId="4" fillId="5" borderId="0" xfId="12" applyFill="1" applyBorder="1" applyAlignment="1" applyProtection="1">
      <alignment horizontal="center" vertical="center"/>
      <protection hidden="1"/>
    </xf>
    <xf numFmtId="0" fontId="9" fillId="5" borderId="0" xfId="11" applyFont="1" applyFill="1" applyBorder="1" applyAlignment="1" applyProtection="1">
      <alignment horizontal="center" vertical="center"/>
      <protection hidden="1"/>
    </xf>
    <xf numFmtId="0" fontId="4" fillId="5" borderId="0" xfId="12" applyFill="1" applyBorder="1" applyAlignment="1" applyProtection="1">
      <alignment horizontal="left" vertical="center"/>
      <protection hidden="1"/>
    </xf>
    <xf numFmtId="0" fontId="4" fillId="11" borderId="0" xfId="12" applyFill="1" applyBorder="1" applyAlignment="1" applyProtection="1">
      <alignment horizontal="center" vertical="center"/>
      <protection hidden="1"/>
    </xf>
    <xf numFmtId="0" fontId="41" fillId="5" borderId="0" xfId="12" applyFont="1" applyFill="1" applyBorder="1" applyAlignment="1" applyProtection="1">
      <alignment horizontal="center"/>
      <protection hidden="1"/>
    </xf>
    <xf numFmtId="0" fontId="31" fillId="5" borderId="0" xfId="12" applyFont="1" applyFill="1" applyBorder="1" applyAlignment="1" applyProtection="1">
      <alignment horizontal="center"/>
      <protection hidden="1"/>
    </xf>
    <xf numFmtId="1" fontId="9" fillId="6" borderId="0" xfId="11" applyNumberFormat="1" applyFont="1" applyFill="1" applyBorder="1" applyAlignment="1" applyProtection="1">
      <alignment horizontal="left"/>
      <protection hidden="1"/>
    </xf>
    <xf numFmtId="0" fontId="39" fillId="5" borderId="0" xfId="11" applyFont="1" applyFill="1" applyBorder="1" applyAlignment="1" applyProtection="1">
      <alignment horizontal="left"/>
      <protection hidden="1"/>
    </xf>
    <xf numFmtId="191" fontId="9" fillId="5" borderId="0" xfId="11" applyNumberFormat="1" applyFont="1" applyFill="1" applyBorder="1" applyAlignment="1" applyProtection="1">
      <alignment horizontal="center"/>
      <protection hidden="1"/>
    </xf>
    <xf numFmtId="0" fontId="44" fillId="5" borderId="0" xfId="10" applyFont="1" applyFill="1" applyBorder="1" applyAlignment="1" applyProtection="1">
      <alignment horizontal="right"/>
      <protection hidden="1"/>
    </xf>
    <xf numFmtId="0" fontId="44" fillId="5" borderId="0" xfId="10" applyFont="1" applyFill="1" applyBorder="1" applyProtection="1">
      <protection hidden="1"/>
    </xf>
    <xf numFmtId="0" fontId="4" fillId="0" borderId="0" xfId="12" applyAlignment="1">
      <alignment horizontal="center" vertical="center"/>
    </xf>
    <xf numFmtId="188" fontId="4" fillId="0" borderId="0" xfId="12" applyNumberFormat="1" applyAlignment="1">
      <alignment horizontal="center" vertical="center"/>
    </xf>
    <xf numFmtId="189" fontId="4" fillId="14" borderId="2" xfId="12" applyNumberFormat="1" applyFill="1" applyBorder="1" applyAlignment="1">
      <alignment horizontal="center" vertical="center"/>
    </xf>
    <xf numFmtId="189" fontId="4" fillId="14" borderId="8" xfId="12" applyNumberFormat="1" applyFill="1" applyBorder="1" applyAlignment="1">
      <alignment horizontal="center" vertical="center"/>
    </xf>
    <xf numFmtId="0" fontId="4" fillId="11" borderId="17" xfId="12" applyFill="1" applyBorder="1" applyAlignment="1">
      <alignment horizontal="center" vertical="center"/>
    </xf>
    <xf numFmtId="0" fontId="4" fillId="11" borderId="19" xfId="12" applyFill="1" applyBorder="1" applyAlignment="1">
      <alignment horizontal="center" vertical="center"/>
    </xf>
    <xf numFmtId="0" fontId="4" fillId="14" borderId="20" xfId="12" applyFill="1" applyBorder="1" applyAlignment="1">
      <alignment horizontal="center" vertical="center"/>
    </xf>
    <xf numFmtId="0" fontId="4" fillId="14" borderId="21" xfId="12" applyFill="1" applyBorder="1" applyAlignment="1">
      <alignment horizontal="center" vertical="center"/>
    </xf>
    <xf numFmtId="1" fontId="9" fillId="12" borderId="0" xfId="11" applyNumberFormat="1" applyFont="1" applyFill="1" applyBorder="1" applyAlignment="1" applyProtection="1">
      <alignment horizontal="left"/>
      <protection locked="0"/>
    </xf>
    <xf numFmtId="189" fontId="9" fillId="6" borderId="0" xfId="11" applyNumberFormat="1" applyFont="1" applyFill="1" applyBorder="1" applyAlignment="1" applyProtection="1">
      <alignment horizontal="left"/>
      <protection hidden="1"/>
    </xf>
    <xf numFmtId="2" fontId="40" fillId="13" borderId="0" xfId="11" applyNumberFormat="1" applyFont="1" applyFill="1" applyBorder="1" applyAlignment="1" applyProtection="1">
      <alignment horizontal="center"/>
      <protection hidden="1"/>
    </xf>
    <xf numFmtId="1" fontId="9" fillId="6" borderId="0" xfId="11" applyNumberFormat="1" applyFont="1" applyFill="1" applyBorder="1" applyAlignment="1" applyProtection="1">
      <alignment horizontal="center" vertical="center"/>
      <protection hidden="1"/>
    </xf>
    <xf numFmtId="0" fontId="5" fillId="2" borderId="10" xfId="9" applyFont="1" applyFill="1" applyBorder="1" applyAlignment="1" applyProtection="1">
      <alignment vertical="center"/>
      <protection locked="0"/>
    </xf>
    <xf numFmtId="0" fontId="4" fillId="2" borderId="4" xfId="12" applyFill="1" applyBorder="1" applyAlignment="1" applyProtection="1">
      <alignment horizontal="center" vertical="center"/>
      <protection hidden="1"/>
    </xf>
    <xf numFmtId="0" fontId="9" fillId="3" borderId="0" xfId="11" applyFont="1" applyFill="1" applyBorder="1" applyAlignment="1" applyProtection="1">
      <alignment horizontal="center" vertical="center"/>
      <protection locked="0"/>
    </xf>
    <xf numFmtId="0" fontId="9" fillId="3" borderId="0" xfId="11" applyFont="1" applyFill="1" applyBorder="1" applyAlignment="1" applyProtection="1">
      <alignment horizontal="center" vertical="center"/>
      <protection hidden="1"/>
    </xf>
    <xf numFmtId="0" fontId="4" fillId="5" borderId="0" xfId="12" applyFont="1" applyFill="1" applyBorder="1" applyAlignment="1" applyProtection="1">
      <alignment horizontal="center" vertical="center"/>
      <protection hidden="1"/>
    </xf>
    <xf numFmtId="0" fontId="9" fillId="2" borderId="0" xfId="11" applyFont="1" applyFill="1" applyBorder="1" applyAlignment="1" applyProtection="1">
      <alignment horizontal="left" vertical="center"/>
      <protection hidden="1"/>
    </xf>
    <xf numFmtId="0" fontId="4" fillId="5" borderId="0" xfId="12" applyFill="1" applyBorder="1" applyAlignment="1" applyProtection="1">
      <alignment vertical="center"/>
      <protection hidden="1"/>
    </xf>
    <xf numFmtId="0" fontId="9" fillId="5" borderId="12" xfId="11" applyFont="1" applyFill="1" applyBorder="1" applyAlignment="1" applyProtection="1">
      <alignment horizontal="center" vertical="center"/>
      <protection hidden="1"/>
    </xf>
    <xf numFmtId="189" fontId="9" fillId="5" borderId="0" xfId="11" applyNumberFormat="1" applyFont="1" applyFill="1" applyBorder="1" applyAlignment="1" applyProtection="1">
      <alignment horizontal="right" vertical="center"/>
      <protection hidden="1"/>
    </xf>
    <xf numFmtId="189" fontId="9" fillId="5" borderId="12" xfId="11" applyNumberFormat="1" applyFont="1" applyFill="1" applyBorder="1" applyAlignment="1" applyProtection="1">
      <alignment horizontal="right" vertical="center"/>
      <protection hidden="1"/>
    </xf>
    <xf numFmtId="2" fontId="9" fillId="5" borderId="0" xfId="11" applyNumberFormat="1" applyFont="1" applyFill="1" applyBorder="1" applyAlignment="1" applyProtection="1">
      <alignment horizontal="right" vertical="center"/>
      <protection hidden="1"/>
    </xf>
    <xf numFmtId="0" fontId="9" fillId="6" borderId="7" xfId="11" applyFont="1" applyFill="1" applyBorder="1" applyAlignment="1" applyProtection="1">
      <alignment horizontal="center" vertical="center"/>
      <protection hidden="1"/>
    </xf>
    <xf numFmtId="0" fontId="9" fillId="6" borderId="0" xfId="11" applyFont="1" applyFill="1" applyBorder="1" applyAlignment="1" applyProtection="1">
      <alignment horizontal="center" vertical="center"/>
      <protection hidden="1"/>
    </xf>
    <xf numFmtId="0" fontId="9" fillId="5" borderId="0" xfId="12" applyFont="1" applyFill="1" applyBorder="1" applyAlignment="1" applyProtection="1">
      <alignment vertical="center"/>
      <protection hidden="1"/>
    </xf>
    <xf numFmtId="2" fontId="9" fillId="6" borderId="0" xfId="11" applyNumberFormat="1" applyFont="1" applyFill="1" applyBorder="1" applyAlignment="1" applyProtection="1">
      <alignment horizontal="center" vertical="center"/>
      <protection hidden="1"/>
    </xf>
    <xf numFmtId="1" fontId="9" fillId="5" borderId="0" xfId="12" applyNumberFormat="1" applyFont="1" applyFill="1" applyBorder="1" applyAlignment="1" applyProtection="1">
      <alignment horizontal="center" vertical="center"/>
      <protection hidden="1"/>
    </xf>
    <xf numFmtId="1" fontId="39" fillId="6" borderId="0" xfId="11" applyNumberFormat="1" applyFont="1" applyFill="1" applyBorder="1" applyAlignment="1" applyProtection="1">
      <alignment horizontal="center" vertical="center"/>
      <protection hidden="1"/>
    </xf>
    <xf numFmtId="2" fontId="9" fillId="5" borderId="0" xfId="11" applyNumberFormat="1" applyFont="1" applyFill="1" applyBorder="1" applyAlignment="1" applyProtection="1">
      <alignment horizontal="center" vertical="center"/>
      <protection hidden="1"/>
    </xf>
    <xf numFmtId="0" fontId="9" fillId="2" borderId="0" xfId="11" applyFont="1" applyFill="1" applyBorder="1" applyAlignment="1" applyProtection="1">
      <alignment horizontal="center" vertical="center"/>
      <protection hidden="1"/>
    </xf>
    <xf numFmtId="2" fontId="9" fillId="2" borderId="0" xfId="11" applyNumberFormat="1" applyFont="1" applyFill="1" applyBorder="1" applyAlignment="1" applyProtection="1">
      <alignment horizontal="center" vertical="center"/>
      <protection hidden="1"/>
    </xf>
    <xf numFmtId="2" fontId="42" fillId="2" borderId="0" xfId="11" applyNumberFormat="1" applyFont="1" applyFill="1" applyBorder="1" applyAlignment="1" applyProtection="1">
      <alignment horizontal="center" vertical="center"/>
      <protection hidden="1"/>
    </xf>
    <xf numFmtId="0" fontId="42" fillId="13" borderId="0" xfId="11" applyFont="1" applyFill="1" applyBorder="1" applyAlignment="1" applyProtection="1">
      <alignment horizontal="left" vertical="center"/>
      <protection hidden="1"/>
    </xf>
    <xf numFmtId="0" fontId="9" fillId="6" borderId="0" xfId="11" applyFont="1" applyFill="1" applyBorder="1" applyAlignment="1" applyProtection="1">
      <alignment vertical="center"/>
      <protection hidden="1"/>
    </xf>
    <xf numFmtId="191" fontId="9" fillId="6" borderId="0" xfId="11" applyNumberFormat="1" applyFont="1" applyFill="1" applyBorder="1" applyAlignment="1" applyProtection="1">
      <alignment horizontal="center" vertical="center"/>
      <protection hidden="1"/>
    </xf>
    <xf numFmtId="0" fontId="9" fillId="5" borderId="0" xfId="11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26" fillId="0" borderId="0" xfId="10" applyFont="1" applyAlignment="1">
      <alignment vertical="center"/>
    </xf>
    <xf numFmtId="0" fontId="26" fillId="0" borderId="0" xfId="7" applyFont="1" applyAlignment="1" applyProtection="1">
      <alignment vertical="center"/>
      <protection hidden="1"/>
    </xf>
    <xf numFmtId="0" fontId="15" fillId="0" borderId="0" xfId="12" applyFont="1" applyAlignment="1">
      <alignment horizontal="center" vertical="center"/>
    </xf>
    <xf numFmtId="0" fontId="23" fillId="5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5" fillId="0" borderId="0" xfId="12" applyFont="1" applyAlignment="1">
      <alignment horizontal="center" vertical="center"/>
    </xf>
    <xf numFmtId="188" fontId="4" fillId="0" borderId="0" xfId="12" applyNumberFormat="1" applyAlignment="1" applyProtection="1">
      <alignment horizontal="center" vertical="center"/>
      <protection locked="0"/>
    </xf>
    <xf numFmtId="0" fontId="4" fillId="0" borderId="0" xfId="12" applyAlignment="1" applyProtection="1">
      <alignment horizontal="center" vertical="center"/>
      <protection locked="0"/>
    </xf>
    <xf numFmtId="0" fontId="9" fillId="12" borderId="0" xfId="11" applyFont="1" applyFill="1" applyBorder="1" applyAlignment="1" applyProtection="1">
      <alignment horizontal="center" vertical="center"/>
      <protection locked="0"/>
    </xf>
    <xf numFmtId="0" fontId="42" fillId="6" borderId="0" xfId="11" applyFont="1" applyFill="1" applyBorder="1" applyAlignment="1" applyProtection="1">
      <alignment horizontal="center" vertical="center"/>
      <protection hidden="1"/>
    </xf>
    <xf numFmtId="0" fontId="8" fillId="5" borderId="5" xfId="12" applyFont="1" applyFill="1" applyBorder="1" applyAlignment="1" applyProtection="1">
      <alignment horizontal="left"/>
      <protection hidden="1"/>
    </xf>
    <xf numFmtId="2" fontId="9" fillId="5" borderId="0" xfId="11" applyNumberFormat="1" applyFont="1" applyFill="1" applyBorder="1" applyAlignment="1" applyProtection="1">
      <alignment horizontal="center"/>
      <protection hidden="1"/>
    </xf>
    <xf numFmtId="2" fontId="9" fillId="5" borderId="0" xfId="12" applyNumberFormat="1" applyFont="1" applyFill="1" applyBorder="1" applyAlignment="1" applyProtection="1">
      <alignment horizontal="center"/>
      <protection hidden="1"/>
    </xf>
    <xf numFmtId="0" fontId="8" fillId="2" borderId="6" xfId="12" applyFont="1" applyFill="1" applyBorder="1" applyProtection="1">
      <protection hidden="1"/>
    </xf>
    <xf numFmtId="0" fontId="9" fillId="5" borderId="7" xfId="0" applyFont="1" applyFill="1" applyBorder="1" applyAlignment="1" applyProtection="1">
      <alignment horizontal="left"/>
      <protection hidden="1"/>
    </xf>
    <xf numFmtId="0" fontId="8" fillId="5" borderId="7" xfId="12" applyFont="1" applyFill="1" applyBorder="1" applyAlignment="1" applyProtection="1">
      <alignment horizontal="center"/>
      <protection hidden="1"/>
    </xf>
    <xf numFmtId="0" fontId="9" fillId="12" borderId="7" xfId="11" applyFont="1" applyFill="1" applyBorder="1" applyAlignment="1" applyProtection="1">
      <alignment horizontal="center" vertical="center"/>
      <protection locked="0"/>
    </xf>
    <xf numFmtId="0" fontId="4" fillId="2" borderId="7" xfId="12" applyFill="1" applyBorder="1" applyProtection="1">
      <protection hidden="1"/>
    </xf>
    <xf numFmtId="0" fontId="4" fillId="2" borderId="8" xfId="12" applyFill="1" applyBorder="1" applyProtection="1">
      <protection hidden="1"/>
    </xf>
    <xf numFmtId="0" fontId="42" fillId="5" borderId="0" xfId="11" applyFont="1" applyFill="1" applyBorder="1" applyAlignment="1" applyProtection="1">
      <alignment horizontal="center"/>
      <protection hidden="1"/>
    </xf>
    <xf numFmtId="0" fontId="5" fillId="5" borderId="0" xfId="11" applyFont="1" applyFill="1" applyBorder="1" applyAlignment="1" applyProtection="1">
      <alignment horizontal="left"/>
      <protection hidden="1"/>
    </xf>
    <xf numFmtId="1" fontId="9" fillId="12" borderId="7" xfId="11" applyNumberFormat="1" applyFont="1" applyFill="1" applyBorder="1" applyAlignment="1" applyProtection="1">
      <alignment horizontal="left"/>
      <protection locked="0"/>
    </xf>
    <xf numFmtId="0" fontId="4" fillId="13" borderId="7" xfId="12" applyFill="1" applyBorder="1"/>
    <xf numFmtId="0" fontId="4" fillId="13" borderId="7" xfId="12" applyFill="1" applyBorder="1" applyAlignment="1">
      <alignment horizontal="center" vertical="center"/>
    </xf>
    <xf numFmtId="0" fontId="4" fillId="13" borderId="7" xfId="12" applyFill="1" applyBorder="1" applyAlignment="1">
      <alignment horizontal="center"/>
    </xf>
    <xf numFmtId="190" fontId="15" fillId="13" borderId="0" xfId="9" applyNumberFormat="1" applyFont="1" applyFill="1" applyBorder="1" applyAlignment="1" applyProtection="1">
      <alignment horizontal="left"/>
      <protection locked="0"/>
    </xf>
    <xf numFmtId="0" fontId="6" fillId="13" borderId="0" xfId="12" applyFont="1" applyFill="1" applyBorder="1" applyAlignment="1" applyProtection="1">
      <alignment vertical="center"/>
      <protection hidden="1"/>
    </xf>
    <xf numFmtId="0" fontId="4" fillId="13" borderId="0" xfId="12" applyFill="1" applyBorder="1" applyProtection="1">
      <protection hidden="1"/>
    </xf>
    <xf numFmtId="0" fontId="31" fillId="2" borderId="0" xfId="11" applyFont="1" applyFill="1" applyBorder="1" applyAlignment="1" applyProtection="1">
      <alignment horizontal="center"/>
      <protection hidden="1"/>
    </xf>
    <xf numFmtId="2" fontId="9" fillId="5" borderId="0" xfId="12" applyNumberFormat="1" applyFont="1" applyFill="1" applyBorder="1" applyAlignment="1" applyProtection="1">
      <alignment horizontal="center"/>
      <protection hidden="1"/>
    </xf>
    <xf numFmtId="0" fontId="13" fillId="5" borderId="12" xfId="11" applyFont="1" applyFill="1" applyBorder="1" applyAlignment="1" applyProtection="1">
      <alignment horizontal="center"/>
      <protection hidden="1"/>
    </xf>
    <xf numFmtId="0" fontId="5" fillId="2" borderId="0" xfId="9" applyFont="1" applyFill="1" applyBorder="1" applyAlignment="1" applyProtection="1">
      <protection locked="0"/>
    </xf>
    <xf numFmtId="2" fontId="9" fillId="5" borderId="0" xfId="11" applyNumberFormat="1" applyFont="1" applyFill="1" applyBorder="1" applyAlignment="1" applyProtection="1">
      <alignment horizontal="right"/>
      <protection hidden="1"/>
    </xf>
    <xf numFmtId="2" fontId="9" fillId="5" borderId="12" xfId="11" applyNumberFormat="1" applyFont="1" applyFill="1" applyBorder="1" applyAlignment="1" applyProtection="1">
      <alignment horizontal="right"/>
      <protection hidden="1"/>
    </xf>
    <xf numFmtId="2" fontId="9" fillId="5" borderId="0" xfId="12" applyNumberFormat="1" applyFont="1" applyFill="1" applyBorder="1" applyAlignment="1" applyProtection="1">
      <protection hidden="1"/>
    </xf>
    <xf numFmtId="2" fontId="9" fillId="5" borderId="12" xfId="12" applyNumberFormat="1" applyFont="1" applyFill="1" applyBorder="1" applyAlignment="1" applyProtection="1">
      <protection hidden="1"/>
    </xf>
    <xf numFmtId="0" fontId="5" fillId="13" borderId="0" xfId="12" applyFont="1" applyFill="1" applyBorder="1" applyAlignment="1">
      <alignment horizontal="center" vertical="center"/>
    </xf>
    <xf numFmtId="0" fontId="5" fillId="11" borderId="24" xfId="12" applyFont="1" applyFill="1" applyBorder="1" applyAlignment="1">
      <alignment horizontal="center" vertical="center"/>
    </xf>
    <xf numFmtId="0" fontId="5" fillId="13" borderId="24" xfId="12" applyFont="1" applyFill="1" applyBorder="1" applyAlignment="1">
      <alignment horizontal="center" vertical="center"/>
    </xf>
    <xf numFmtId="0" fontId="26" fillId="13" borderId="0" xfId="0" applyFont="1" applyFill="1"/>
    <xf numFmtId="0" fontId="26" fillId="13" borderId="24" xfId="0" applyFont="1" applyFill="1" applyBorder="1"/>
    <xf numFmtId="0" fontId="26" fillId="13" borderId="24" xfId="0" applyFont="1" applyFill="1" applyBorder="1" applyAlignment="1">
      <alignment horizontal="center" vertical="center"/>
    </xf>
    <xf numFmtId="0" fontId="20" fillId="5" borderId="7" xfId="11" applyFont="1" applyFill="1" applyBorder="1" applyAlignment="1" applyProtection="1">
      <alignment horizontal="right"/>
      <protection hidden="1"/>
    </xf>
    <xf numFmtId="0" fontId="9" fillId="6" borderId="7" xfId="11" applyNumberFormat="1" applyFont="1" applyFill="1" applyBorder="1" applyAlignment="1" applyProtection="1">
      <alignment horizontal="left"/>
      <protection hidden="1"/>
    </xf>
    <xf numFmtId="2" fontId="9" fillId="2" borderId="7" xfId="11" applyNumberFormat="1" applyFont="1" applyFill="1" applyBorder="1" applyAlignment="1" applyProtection="1">
      <alignment horizontal="center" vertical="center"/>
      <protection hidden="1"/>
    </xf>
    <xf numFmtId="1" fontId="9" fillId="5" borderId="7" xfId="11" applyNumberFormat="1" applyFont="1" applyFill="1" applyBorder="1" applyAlignment="1" applyProtection="1">
      <alignment horizontal="center"/>
      <protection hidden="1"/>
    </xf>
    <xf numFmtId="189" fontId="9" fillId="6" borderId="7" xfId="11" applyNumberFormat="1" applyFont="1" applyFill="1" applyBorder="1" applyAlignment="1" applyProtection="1">
      <alignment horizontal="left"/>
      <protection hidden="1"/>
    </xf>
    <xf numFmtId="0" fontId="9" fillId="5" borderId="10" xfId="12" applyFont="1" applyFill="1" applyBorder="1" applyAlignment="1" applyProtection="1">
      <alignment horizontal="center" vertical="center"/>
      <protection hidden="1"/>
    </xf>
    <xf numFmtId="0" fontId="9" fillId="5" borderId="11" xfId="12" applyFont="1" applyFill="1" applyBorder="1" applyProtection="1">
      <protection hidden="1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7" applyFont="1" applyAlignment="1" applyProtection="1">
      <alignment horizontal="center" vertical="center"/>
    </xf>
    <xf numFmtId="0" fontId="32" fillId="2" borderId="0" xfId="11" applyFont="1" applyFill="1" applyBorder="1" applyAlignment="1" applyProtection="1">
      <alignment horizontal="left" vertical="center"/>
      <protection hidden="1"/>
    </xf>
    <xf numFmtId="1" fontId="32" fillId="4" borderId="0" xfId="11" applyNumberFormat="1" applyFont="1" applyFill="1" applyBorder="1" applyProtection="1">
      <protection hidden="1"/>
    </xf>
    <xf numFmtId="0" fontId="47" fillId="0" borderId="0" xfId="0" applyFont="1" applyAlignment="1">
      <alignment horizontal="center" vertical="center"/>
    </xf>
    <xf numFmtId="0" fontId="5" fillId="15" borderId="22" xfId="12" applyFont="1" applyFill="1" applyBorder="1" applyAlignment="1" applyProtection="1">
      <alignment horizontal="center"/>
    </xf>
    <xf numFmtId="0" fontId="5" fillId="15" borderId="23" xfId="12" applyFont="1" applyFill="1" applyBorder="1" applyAlignment="1" applyProtection="1">
      <alignment horizontal="center"/>
    </xf>
    <xf numFmtId="0" fontId="5" fillId="16" borderId="22" xfId="12" applyFont="1" applyFill="1" applyBorder="1" applyAlignment="1" applyProtection="1">
      <alignment horizontal="center"/>
    </xf>
    <xf numFmtId="0" fontId="5" fillId="16" borderId="23" xfId="12" applyFont="1" applyFill="1" applyBorder="1" applyAlignment="1" applyProtection="1">
      <alignment horizontal="center"/>
    </xf>
    <xf numFmtId="0" fontId="31" fillId="5" borderId="0" xfId="11" applyFont="1" applyFill="1" applyBorder="1" applyAlignment="1" applyProtection="1">
      <alignment horizontal="center"/>
      <protection hidden="1"/>
    </xf>
    <xf numFmtId="2" fontId="9" fillId="5" borderId="12" xfId="12" applyNumberFormat="1" applyFont="1" applyFill="1" applyBorder="1" applyAlignment="1" applyProtection="1">
      <protection hidden="1"/>
    </xf>
    <xf numFmtId="0" fontId="28" fillId="2" borderId="9" xfId="9" applyFont="1" applyFill="1" applyBorder="1" applyAlignment="1" applyProtection="1">
      <alignment horizontal="center"/>
      <protection locked="0"/>
    </xf>
    <xf numFmtId="0" fontId="28" fillId="2" borderId="10" xfId="9" applyFont="1" applyFill="1" applyBorder="1" applyAlignment="1" applyProtection="1">
      <alignment horizontal="center"/>
      <protection locked="0"/>
    </xf>
    <xf numFmtId="0" fontId="28" fillId="2" borderId="5" xfId="9" applyFont="1" applyFill="1" applyBorder="1" applyAlignment="1" applyProtection="1">
      <alignment horizontal="center"/>
      <protection locked="0"/>
    </xf>
    <xf numFmtId="0" fontId="28" fillId="2" borderId="0" xfId="9" applyFont="1" applyFill="1" applyBorder="1" applyAlignment="1" applyProtection="1">
      <alignment horizontal="center"/>
      <protection locked="0"/>
    </xf>
    <xf numFmtId="0" fontId="5" fillId="9" borderId="0" xfId="9" applyNumberFormat="1" applyFont="1" applyFill="1" applyBorder="1" applyAlignment="1" applyProtection="1">
      <alignment horizontal="left"/>
      <protection locked="0"/>
    </xf>
    <xf numFmtId="0" fontId="5" fillId="2" borderId="0" xfId="9" applyFont="1" applyFill="1" applyBorder="1" applyAlignment="1" applyProtection="1">
      <protection locked="0"/>
    </xf>
    <xf numFmtId="0" fontId="5" fillId="7" borderId="0" xfId="9" applyNumberFormat="1" applyFont="1" applyFill="1" applyBorder="1" applyAlignment="1" applyProtection="1">
      <alignment horizontal="left"/>
      <protection locked="0"/>
    </xf>
    <xf numFmtId="0" fontId="4" fillId="2" borderId="2" xfId="12" applyFill="1" applyBorder="1" applyAlignment="1" applyProtection="1">
      <alignment horizontal="left"/>
      <protection locked="0"/>
    </xf>
    <xf numFmtId="0" fontId="28" fillId="0" borderId="0" xfId="8" applyFont="1" applyBorder="1" applyAlignment="1" applyProtection="1">
      <alignment horizontal="center"/>
      <protection locked="0"/>
    </xf>
    <xf numFmtId="0" fontId="28" fillId="0" borderId="6" xfId="8" applyFont="1" applyBorder="1" applyAlignment="1" applyProtection="1">
      <alignment horizontal="center"/>
      <protection locked="0"/>
    </xf>
    <xf numFmtId="0" fontId="28" fillId="0" borderId="7" xfId="8" applyFont="1" applyBorder="1" applyAlignment="1" applyProtection="1">
      <alignment horizontal="center"/>
      <protection locked="0"/>
    </xf>
    <xf numFmtId="49" fontId="5" fillId="13" borderId="0" xfId="9" applyNumberFormat="1" applyFont="1" applyFill="1" applyBorder="1" applyAlignment="1" applyProtection="1">
      <alignment horizontal="left"/>
      <protection locked="0"/>
    </xf>
    <xf numFmtId="0" fontId="5" fillId="13" borderId="0" xfId="12" applyFont="1" applyFill="1" applyBorder="1" applyAlignment="1" applyProtection="1">
      <alignment horizontal="left"/>
      <protection locked="0"/>
    </xf>
    <xf numFmtId="0" fontId="5" fillId="7" borderId="0" xfId="9" applyFont="1" applyFill="1" applyBorder="1" applyAlignment="1" applyProtection="1">
      <alignment horizontal="left"/>
      <protection locked="0"/>
    </xf>
    <xf numFmtId="0" fontId="4" fillId="2" borderId="2" xfId="12" applyFill="1" applyBorder="1" applyAlignment="1" applyProtection="1">
      <protection locked="0"/>
    </xf>
    <xf numFmtId="0" fontId="9" fillId="11" borderId="0" xfId="9" applyFont="1" applyFill="1" applyBorder="1" applyAlignment="1" applyProtection="1">
      <alignment horizontal="left"/>
      <protection locked="0"/>
    </xf>
    <xf numFmtId="0" fontId="9" fillId="11" borderId="2" xfId="9" applyFont="1" applyFill="1" applyBorder="1" applyAlignment="1" applyProtection="1">
      <alignment horizontal="left"/>
      <protection locked="0"/>
    </xf>
    <xf numFmtId="49" fontId="5" fillId="9" borderId="0" xfId="9" applyNumberFormat="1" applyFont="1" applyFill="1" applyBorder="1" applyAlignment="1" applyProtection="1">
      <alignment horizontal="left"/>
      <protection locked="0"/>
    </xf>
    <xf numFmtId="0" fontId="5" fillId="2" borderId="0" xfId="12" applyFont="1" applyFill="1" applyBorder="1" applyAlignment="1" applyProtection="1">
      <alignment horizontal="left"/>
      <protection locked="0"/>
    </xf>
    <xf numFmtId="0" fontId="9" fillId="11" borderId="0" xfId="9" applyFont="1" applyFill="1" applyBorder="1" applyAlignment="1" applyProtection="1">
      <alignment horizontal="center"/>
      <protection locked="0"/>
    </xf>
    <xf numFmtId="0" fontId="9" fillId="11" borderId="2" xfId="9" applyFont="1" applyFill="1" applyBorder="1" applyAlignment="1" applyProtection="1">
      <alignment horizontal="center"/>
      <protection locked="0"/>
    </xf>
    <xf numFmtId="0" fontId="17" fillId="8" borderId="15" xfId="9" applyFont="1" applyFill="1" applyBorder="1" applyAlignment="1" applyProtection="1">
      <alignment horizontal="left" vertical="center"/>
      <protection hidden="1"/>
    </xf>
    <xf numFmtId="0" fontId="15" fillId="2" borderId="16" xfId="12" applyFont="1" applyFill="1" applyBorder="1" applyAlignment="1" applyProtection="1">
      <alignment horizontal="left" vertical="center"/>
      <protection hidden="1"/>
    </xf>
    <xf numFmtId="0" fontId="4" fillId="10" borderId="16" xfId="9" applyFont="1" applyFill="1" applyBorder="1" applyAlignment="1" applyProtection="1">
      <alignment horizontal="center"/>
      <protection locked="0"/>
    </xf>
    <xf numFmtId="0" fontId="4" fillId="2" borderId="16" xfId="12" applyFill="1" applyBorder="1" applyAlignment="1" applyProtection="1">
      <protection locked="0"/>
    </xf>
    <xf numFmtId="0" fontId="4" fillId="2" borderId="17" xfId="12" applyFill="1" applyBorder="1" applyAlignment="1" applyProtection="1">
      <protection locked="0"/>
    </xf>
    <xf numFmtId="0" fontId="13" fillId="5" borderId="12" xfId="11" applyFont="1" applyFill="1" applyBorder="1" applyAlignment="1" applyProtection="1">
      <alignment horizontal="center"/>
      <protection hidden="1"/>
    </xf>
    <xf numFmtId="2" fontId="9" fillId="5" borderId="18" xfId="12" applyNumberFormat="1" applyFont="1" applyFill="1" applyBorder="1" applyAlignment="1" applyProtection="1">
      <protection hidden="1"/>
    </xf>
    <xf numFmtId="2" fontId="9" fillId="5" borderId="0" xfId="12" applyNumberFormat="1" applyFont="1" applyFill="1" applyBorder="1" applyAlignment="1" applyProtection="1">
      <protection hidden="1"/>
    </xf>
    <xf numFmtId="0" fontId="0" fillId="0" borderId="12" xfId="0" applyBorder="1" applyAlignment="1"/>
    <xf numFmtId="2" fontId="9" fillId="5" borderId="0" xfId="11" applyNumberFormat="1" applyFont="1" applyFill="1" applyBorder="1" applyAlignment="1" applyProtection="1">
      <alignment horizontal="right"/>
      <protection hidden="1"/>
    </xf>
    <xf numFmtId="0" fontId="10" fillId="0" borderId="0" xfId="0" applyFont="1" applyBorder="1" applyAlignment="1">
      <alignment horizontal="right"/>
    </xf>
    <xf numFmtId="2" fontId="9" fillId="5" borderId="0" xfId="11" applyNumberFormat="1" applyFont="1" applyFill="1" applyBorder="1" applyAlignment="1" applyProtection="1">
      <alignment horizontal="center"/>
      <protection hidden="1"/>
    </xf>
    <xf numFmtId="2" fontId="10" fillId="0" borderId="0" xfId="0" applyNumberFormat="1" applyFont="1" applyBorder="1" applyAlignment="1">
      <alignment horizontal="center"/>
    </xf>
    <xf numFmtId="0" fontId="11" fillId="5" borderId="9" xfId="10" applyFont="1" applyFill="1" applyBorder="1" applyAlignment="1" applyProtection="1">
      <alignment horizontal="center" vertical="center"/>
      <protection hidden="1"/>
    </xf>
    <xf numFmtId="0" fontId="11" fillId="5" borderId="10" xfId="10" applyFont="1" applyFill="1" applyBorder="1" applyAlignment="1" applyProtection="1">
      <alignment horizontal="center" vertical="center"/>
      <protection hidden="1"/>
    </xf>
    <xf numFmtId="0" fontId="11" fillId="5" borderId="5" xfId="10" applyFont="1" applyFill="1" applyBorder="1" applyAlignment="1" applyProtection="1">
      <alignment horizontal="center" vertical="center"/>
      <protection hidden="1"/>
    </xf>
    <xf numFmtId="0" fontId="11" fillId="5" borderId="0" xfId="10" applyFont="1" applyFill="1" applyBorder="1" applyAlignment="1" applyProtection="1">
      <alignment horizontal="center" vertical="center"/>
      <protection hidden="1"/>
    </xf>
    <xf numFmtId="2" fontId="9" fillId="5" borderId="12" xfId="11" applyNumberFormat="1" applyFont="1" applyFill="1" applyBorder="1" applyAlignment="1" applyProtection="1">
      <alignment horizontal="right"/>
      <protection hidden="1"/>
    </xf>
    <xf numFmtId="0" fontId="10" fillId="0" borderId="12" xfId="0" applyFont="1" applyBorder="1" applyAlignment="1">
      <alignment horizontal="right"/>
    </xf>
    <xf numFmtId="2" fontId="10" fillId="5" borderId="0" xfId="0" applyNumberFormat="1" applyFont="1" applyFill="1" applyBorder="1" applyAlignment="1" applyProtection="1">
      <alignment horizontal="center"/>
      <protection hidden="1"/>
    </xf>
    <xf numFmtId="0" fontId="5" fillId="17" borderId="24" xfId="12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18" borderId="0" xfId="0" applyFont="1" applyFill="1" applyAlignment="1">
      <alignment horizontal="center" vertical="center"/>
    </xf>
  </cellXfs>
  <cellStyles count="15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SD" xfId="8"/>
    <cellStyle name="Normal_COLUMN" xfId="9"/>
    <cellStyle name="Normal_RETAINING WALL" xfId="10"/>
    <cellStyle name="Normal_WallFooting" xfId="11"/>
    <cellStyle name="Normal_Wind" xfId="12"/>
    <cellStyle name="Normal_WIND-94" xfId="13"/>
    <cellStyle name="Total" xfId="14" builtinId="2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0" relativeIndent="0" justifyLastLine="0" shrinkToFit="0" readingOrder="0"/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10.jpeg"/><Relationship Id="rId1" Type="http://schemas.openxmlformats.org/officeDocument/2006/relationships/image" Target="../media/image8.jpeg"/><Relationship Id="rId4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65</xdr:row>
      <xdr:rowOff>85725</xdr:rowOff>
    </xdr:from>
    <xdr:to>
      <xdr:col>10</xdr:col>
      <xdr:colOff>485775</xdr:colOff>
      <xdr:row>67</xdr:row>
      <xdr:rowOff>104775</xdr:rowOff>
    </xdr:to>
    <xdr:pic>
      <xdr:nvPicPr>
        <xdr:cNvPr id="12360" name="Picture 72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91025" y="10058400"/>
          <a:ext cx="819150" cy="3429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76200</xdr:colOff>
      <xdr:row>8</xdr:row>
      <xdr:rowOff>19050</xdr:rowOff>
    </xdr:from>
    <xdr:to>
      <xdr:col>14</xdr:col>
      <xdr:colOff>160739</xdr:colOff>
      <xdr:row>28</xdr:row>
      <xdr:rowOff>144450</xdr:rowOff>
    </xdr:to>
    <xdr:pic>
      <xdr:nvPicPr>
        <xdr:cNvPr id="6" name="Picture 5" descr="RW-1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4400550" y="1333500"/>
          <a:ext cx="2389589" cy="3402000"/>
        </a:xfrm>
        <a:prstGeom prst="rect">
          <a:avLst/>
        </a:prstGeom>
      </xdr:spPr>
    </xdr:pic>
    <xdr:clientData fLocksWithSheet="0"/>
  </xdr:twoCellAnchor>
  <xdr:twoCellAnchor editAs="oneCell">
    <xdr:from>
      <xdr:col>9</xdr:col>
      <xdr:colOff>179545</xdr:colOff>
      <xdr:row>37</xdr:row>
      <xdr:rowOff>109153</xdr:rowOff>
    </xdr:from>
    <xdr:to>
      <xdr:col>14</xdr:col>
      <xdr:colOff>247650</xdr:colOff>
      <xdr:row>52</xdr:row>
      <xdr:rowOff>47626</xdr:rowOff>
    </xdr:to>
    <xdr:pic>
      <xdr:nvPicPr>
        <xdr:cNvPr id="7" name="Picture 6" descr="RW-2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1366"/>
        <a:stretch>
          <a:fillRect/>
        </a:stretch>
      </xdr:blipFill>
      <xdr:spPr>
        <a:xfrm>
          <a:off x="4503895" y="6167053"/>
          <a:ext cx="2373155" cy="23673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60</xdr:row>
          <xdr:rowOff>38100</xdr:rowOff>
        </xdr:from>
        <xdr:to>
          <xdr:col>11</xdr:col>
          <xdr:colOff>0</xdr:colOff>
          <xdr:row>62</xdr:row>
          <xdr:rowOff>104775</xdr:rowOff>
        </xdr:to>
        <xdr:sp macro="" textlink="">
          <xdr:nvSpPr>
            <xdr:cNvPr id="12299" name="Object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228600</xdr:colOff>
          <xdr:row>73</xdr:row>
          <xdr:rowOff>9525</xdr:rowOff>
        </xdr:from>
        <xdr:to>
          <xdr:col>11</xdr:col>
          <xdr:colOff>28575</xdr:colOff>
          <xdr:row>75</xdr:row>
          <xdr:rowOff>85725</xdr:rowOff>
        </xdr:to>
        <xdr:sp macro="" textlink="">
          <xdr:nvSpPr>
            <xdr:cNvPr id="12300" name="Object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74</xdr:row>
          <xdr:rowOff>66675</xdr:rowOff>
        </xdr:from>
        <xdr:to>
          <xdr:col>5</xdr:col>
          <xdr:colOff>142875</xdr:colOff>
          <xdr:row>81</xdr:row>
          <xdr:rowOff>76200</xdr:rowOff>
        </xdr:to>
        <xdr:sp macro="" textlink="">
          <xdr:nvSpPr>
            <xdr:cNvPr id="12301" name="Object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72</xdr:row>
          <xdr:rowOff>85725</xdr:rowOff>
        </xdr:from>
        <xdr:to>
          <xdr:col>2</xdr:col>
          <xdr:colOff>85725</xdr:colOff>
          <xdr:row>74</xdr:row>
          <xdr:rowOff>19050</xdr:rowOff>
        </xdr:to>
        <xdr:sp macro="" textlink="">
          <xdr:nvSpPr>
            <xdr:cNvPr id="12302" name="Object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95250</xdr:colOff>
          <xdr:row>124</xdr:row>
          <xdr:rowOff>19050</xdr:rowOff>
        </xdr:from>
        <xdr:to>
          <xdr:col>14</xdr:col>
          <xdr:colOff>95250</xdr:colOff>
          <xdr:row>124</xdr:row>
          <xdr:rowOff>19050</xdr:rowOff>
        </xdr:to>
        <xdr:sp macro="" textlink="">
          <xdr:nvSpPr>
            <xdr:cNvPr id="12329" name="Object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0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126</xdr:row>
          <xdr:rowOff>95250</xdr:rowOff>
        </xdr:from>
        <xdr:to>
          <xdr:col>12</xdr:col>
          <xdr:colOff>200025</xdr:colOff>
          <xdr:row>126</xdr:row>
          <xdr:rowOff>95250</xdr:rowOff>
        </xdr:to>
        <xdr:sp macro="" textlink="">
          <xdr:nvSpPr>
            <xdr:cNvPr id="12330" name="Object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0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173704</xdr:colOff>
      <xdr:row>6</xdr:row>
      <xdr:rowOff>28576</xdr:rowOff>
    </xdr:from>
    <xdr:to>
      <xdr:col>2</xdr:col>
      <xdr:colOff>2562444</xdr:colOff>
      <xdr:row>6</xdr:row>
      <xdr:rowOff>3429369</xdr:rowOff>
    </xdr:to>
    <xdr:pic>
      <xdr:nvPicPr>
        <xdr:cNvPr id="3" name="Picture 2" descr="RW-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69154" y="4800601"/>
          <a:ext cx="2388740" cy="3400793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5</xdr:row>
      <xdr:rowOff>294993</xdr:rowOff>
    </xdr:from>
    <xdr:to>
      <xdr:col>2</xdr:col>
      <xdr:colOff>2541989</xdr:colOff>
      <xdr:row>5</xdr:row>
      <xdr:rowOff>3430857</xdr:rowOff>
    </xdr:to>
    <xdr:pic>
      <xdr:nvPicPr>
        <xdr:cNvPr id="4" name="Picture 3" descr="RW-1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47850" y="1295118"/>
          <a:ext cx="2389589" cy="3135864"/>
        </a:xfrm>
        <a:prstGeom prst="rect">
          <a:avLst/>
        </a:prstGeom>
      </xdr:spPr>
    </xdr:pic>
    <xdr:clientData/>
  </xdr:twoCellAnchor>
  <xdr:twoCellAnchor editAs="oneCell">
    <xdr:from>
      <xdr:col>5</xdr:col>
      <xdr:colOff>34239</xdr:colOff>
      <xdr:row>6</xdr:row>
      <xdr:rowOff>475663</xdr:rowOff>
    </xdr:from>
    <xdr:to>
      <xdr:col>5</xdr:col>
      <xdr:colOff>2601039</xdr:colOff>
      <xdr:row>6</xdr:row>
      <xdr:rowOff>3036182</xdr:rowOff>
    </xdr:to>
    <xdr:pic>
      <xdr:nvPicPr>
        <xdr:cNvPr id="7" name="Picture 6" descr="RW-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1366"/>
        <a:stretch>
          <a:fillRect/>
        </a:stretch>
      </xdr:blipFill>
      <xdr:spPr>
        <a:xfrm>
          <a:off x="6092139" y="5247688"/>
          <a:ext cx="2566800" cy="256051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5</xdr:row>
      <xdr:rowOff>742864</xdr:rowOff>
    </xdr:from>
    <xdr:to>
      <xdr:col>5</xdr:col>
      <xdr:colOff>2604900</xdr:colOff>
      <xdr:row>5</xdr:row>
      <xdr:rowOff>3046799</xdr:rowOff>
    </xdr:to>
    <xdr:pic>
      <xdr:nvPicPr>
        <xdr:cNvPr id="8" name="Picture 7" descr="RW-1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96000" y="1742989"/>
          <a:ext cx="2566800" cy="23039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16</xdr:row>
      <xdr:rowOff>28574</xdr:rowOff>
    </xdr:from>
    <xdr:to>
      <xdr:col>17</xdr:col>
      <xdr:colOff>619124</xdr:colOff>
      <xdr:row>29</xdr:row>
      <xdr:rowOff>19049</xdr:rowOff>
    </xdr:to>
    <xdr:pic>
      <xdr:nvPicPr>
        <xdr:cNvPr id="2" name="Picture 1" descr="RW-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3419474"/>
          <a:ext cx="2609849" cy="320992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0</xdr:row>
      <xdr:rowOff>123825</xdr:rowOff>
    </xdr:from>
    <xdr:to>
      <xdr:col>17</xdr:col>
      <xdr:colOff>370289</xdr:colOff>
      <xdr:row>0</xdr:row>
      <xdr:rowOff>128397</xdr:rowOff>
    </xdr:to>
    <xdr:pic>
      <xdr:nvPicPr>
        <xdr:cNvPr id="3" name="Picture 2" descr="RW-1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123825"/>
          <a:ext cx="2389589" cy="282892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38102</xdr:colOff>
      <xdr:row>1</xdr:row>
      <xdr:rowOff>0</xdr:rowOff>
    </xdr:from>
    <xdr:to>
      <xdr:col>17</xdr:col>
      <xdr:colOff>628650</xdr:colOff>
      <xdr:row>15</xdr:row>
      <xdr:rowOff>202164</xdr:rowOff>
    </xdr:to>
    <xdr:pic>
      <xdr:nvPicPr>
        <xdr:cNvPr id="4" name="Picture 3" descr="RW-1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81827" y="209550"/>
          <a:ext cx="2647948" cy="31358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\Advanced%20Excel-MR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้าปก"/>
      <sheetName val="คำนำ(1)"/>
      <sheetName val="สารบัญ(2)"/>
      <sheetName val="Passed Work"/>
      <sheetName val="Home-D"/>
      <sheetName val="รูปข้าง-Spec"/>
      <sheetName val="Shelter"/>
      <sheetName val="Boad"/>
      <sheetName val="Bann-1"/>
      <sheetName val="Bann-2"/>
      <sheetName val="Bridge"/>
      <sheetName val="Gate"/>
      <sheetName val="Earth Work-1"/>
      <sheetName val="Earth Work -2"/>
      <sheetName val="D-Wall-1"/>
      <sheetName val="Hi-Volt"/>
      <sheetName val="Tower Crain"/>
      <sheetName val="Moment"/>
      <sheetName val="OILER"/>
      <sheetName val="Tax-Calculation"/>
      <sheetName val="Freefall"/>
      <sheetName val="ISO SHAPE"/>
      <sheetName val="3D-Graph"/>
      <sheetName val="ข้อเด่น-ด้อย(3)"/>
      <sheetName val="การใช้ IF-COUNT(4)"/>
      <sheetName val="Trigone(5)"/>
      <sheetName val="Round-GoalSeek(6)"/>
      <sheetName val="VLOOK(7)"/>
      <sheetName val="PHOTOCALL(8)"/>
      <sheetName val="PHOTO(9)"/>
      <sheetName val="DATABASE(10)"/>
      <sheetName val="Followup1 (11)"/>
      <sheetName val="Followup-2(12)"/>
      <sheetName val="Distance(13)"/>
      <sheetName val="Area(14)"/>
      <sheetName val="Volume(15)"/>
      <sheetName val="Weight(16)"/>
      <sheetName val="Flow Rate(17)"/>
      <sheetName val="Conversion 1(18)"/>
      <sheetName val="Conversion2(19)"/>
      <sheetName val="Mix Design(20)"/>
      <sheetName val="กราฟปริมาณน้ำ(21)"/>
      <sheetName val="Mix Backup(22)"/>
      <sheetName val="Survey 1(23)"/>
      <sheetName val="Survey2(24)"/>
      <sheetName val="Straight Pipe(25)"/>
      <sheetName val="ELBO(26)"/>
      <sheetName val="90 Degree(27)"/>
      <sheetName val="Pump(28)"/>
      <sheetName val="Test.P.1(29)"/>
      <sheetName val="Tes.P2(30)"/>
      <sheetName val="1+2Week(31)"/>
      <sheetName val="Condition Format(32)"/>
      <sheetName val="COUNTIF(33)"/>
      <sheetName val="DB STOCK(34)"/>
      <sheetName val="Bar-Data(35)"/>
      <sheetName val="3 Phase(36)"/>
      <sheetName val="Short Comand(37)"/>
      <sheetName val="รวมFront(3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0">
          <cell r="B10">
            <v>7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ables/table1.xml><?xml version="1.0" encoding="utf-8"?>
<table xmlns="http://schemas.openxmlformats.org/spreadsheetml/2006/main" id="1" name="Table1" displayName="Table1" ref="A3:N14" totalsRowShown="0" headerRowDxfId="30" dataDxfId="29" dataCellStyle="Hyperlink">
  <autoFilter ref="A3:N14"/>
  <tableColumns count="14">
    <tableColumn id="1" name="H" dataDxfId="28">
      <calculatedColumnFormula>A3+500</calculatedColumnFormula>
    </tableColumn>
    <tableColumn id="2" name="LH" dataDxfId="27"/>
    <tableColumn id="3" name="LT" dataDxfId="26"/>
    <tableColumn id="4" name="tb" dataDxfId="25"/>
    <tableColumn id="5" name="tt" dataDxfId="24"/>
    <tableColumn id="6" name="hf" dataDxfId="23"/>
    <tableColumn id="7" name="As1" dataDxfId="22" dataCellStyle="Hyperlink"/>
    <tableColumn id="8" name="As2" dataDxfId="21" dataCellStyle="Hyperlink"/>
    <tableColumn id="9" name="As3" dataDxfId="20" dataCellStyle="Hyperlink"/>
    <tableColumn id="10" name="As4" dataDxfId="19" dataCellStyle="Hyperlink"/>
    <tableColumn id="11" name="As5" dataDxfId="18" dataCellStyle="Hyperlink"/>
    <tableColumn id="12" name="As6" dataDxfId="17" dataCellStyle="Hyperlink"/>
    <tableColumn id="13" name="As7" dataDxfId="16" dataCellStyle="Hyperlink"/>
    <tableColumn id="14" name="As8" dataDxfId="15" dataCellStyle="Hyperlink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8:M29" totalsRowShown="0" headerRowDxfId="14" dataDxfId="13" dataCellStyle="Hyperlink">
  <autoFilter ref="A18:M29"/>
  <tableColumns count="13">
    <tableColumn id="1" name="H" dataDxfId="12">
      <calculatedColumnFormula>A18+500</calculatedColumnFormula>
    </tableColumn>
    <tableColumn id="2" name="L" dataDxfId="11"/>
    <tableColumn id="13" name="tt" dataDxfId="10"/>
    <tableColumn id="3" name="tb" dataDxfId="9"/>
    <tableColumn id="4" name="hf" dataDxfId="8"/>
    <tableColumn id="5" name="As1" dataDxfId="7" dataCellStyle="Hyperlink"/>
    <tableColumn id="6" name="As2" dataDxfId="6" dataCellStyle="Hyperlink"/>
    <tableColumn id="7" name="As3" dataDxfId="5" dataCellStyle="Hyperlink"/>
    <tableColumn id="8" name="As4" dataDxfId="4" dataCellStyle="Hyperlink"/>
    <tableColumn id="9" name="As5" dataDxfId="3" dataCellStyle="Hyperlink"/>
    <tableColumn id="10" name="As6" dataDxfId="2" dataCellStyle="Hyperlink"/>
    <tableColumn id="11" name="As7" dataDxfId="1" dataCellStyle="Hyperlink"/>
    <tableColumn id="12" name="As8" dataDxfId="0" dataCellStyle="Hyperlink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5.bin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1" Type="http://schemas.openxmlformats.org/officeDocument/2006/relationships/hyperlink" Target="http://www.uplusconsult.com/" TargetMode="External"/><Relationship Id="rId6" Type="http://schemas.openxmlformats.org/officeDocument/2006/relationships/image" Target="../media/image1.e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5" Type="http://schemas.openxmlformats.org/officeDocument/2006/relationships/oleObject" Target="../embeddings/oleObject6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Relationship Id="rId1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BD1523"/>
  <sheetViews>
    <sheetView tabSelected="1" view="pageBreakPreview" zoomScaleNormal="100" zoomScaleSheetLayoutView="100" workbookViewId="0">
      <selection activeCell="M3" sqref="M3:O3"/>
    </sheetView>
  </sheetViews>
  <sheetFormatPr defaultColWidth="9" defaultRowHeight="12.75" x14ac:dyDescent="0.2"/>
  <cols>
    <col min="1" max="1" width="7.125" style="1" customWidth="1"/>
    <col min="2" max="2" width="6.75" style="1" customWidth="1"/>
    <col min="3" max="3" width="6.625" style="1" customWidth="1"/>
    <col min="4" max="4" width="4.875" style="1" customWidth="1"/>
    <col min="5" max="5" width="4.75" style="1" customWidth="1"/>
    <col min="6" max="6" width="6.375" style="151" customWidth="1"/>
    <col min="7" max="7" width="5.5" style="1" customWidth="1"/>
    <col min="8" max="8" width="8" style="1" customWidth="1"/>
    <col min="9" max="10" width="6.75" style="1" customWidth="1"/>
    <col min="11" max="11" width="6.625" style="1" customWidth="1"/>
    <col min="12" max="12" width="6.5" style="1" customWidth="1"/>
    <col min="13" max="13" width="4.5" style="1" customWidth="1"/>
    <col min="14" max="14" width="5.875" style="6" customWidth="1"/>
    <col min="15" max="15" width="7.5" style="1" customWidth="1"/>
    <col min="16" max="16" width="9" style="1"/>
    <col min="17" max="17" width="13.75" style="1" customWidth="1"/>
    <col min="18" max="18" width="11.375" style="1" customWidth="1"/>
    <col min="19" max="16384" width="9" style="1"/>
  </cols>
  <sheetData>
    <row r="1" spans="1:18" s="13" customFormat="1" ht="12.75" customHeight="1" x14ac:dyDescent="0.2">
      <c r="A1" s="250"/>
      <c r="B1" s="251"/>
      <c r="C1" s="101"/>
      <c r="D1" s="101"/>
      <c r="E1" s="101"/>
      <c r="F1" s="163"/>
      <c r="G1" s="101"/>
      <c r="H1" s="101"/>
      <c r="I1" s="101"/>
      <c r="J1" s="101"/>
      <c r="K1" s="101"/>
      <c r="L1" s="102"/>
      <c r="M1" s="101"/>
      <c r="N1" s="101"/>
      <c r="O1" s="103"/>
    </row>
    <row r="2" spans="1:18" s="13" customFormat="1" ht="12.75" customHeight="1" x14ac:dyDescent="0.2">
      <c r="A2" s="252"/>
      <c r="B2" s="253"/>
      <c r="C2" s="104"/>
      <c r="D2" s="104"/>
      <c r="E2" s="105" t="s">
        <v>2</v>
      </c>
      <c r="F2" s="254"/>
      <c r="G2" s="255"/>
      <c r="H2" s="255"/>
      <c r="I2" s="255"/>
      <c r="J2" s="255"/>
      <c r="K2" s="220"/>
      <c r="L2" s="105" t="s">
        <v>3</v>
      </c>
      <c r="M2" s="128"/>
      <c r="N2" s="256"/>
      <c r="O2" s="257"/>
    </row>
    <row r="3" spans="1:18" s="13" customFormat="1" ht="12.75" customHeight="1" x14ac:dyDescent="0.2">
      <c r="A3" s="252"/>
      <c r="B3" s="258"/>
      <c r="C3" s="104"/>
      <c r="D3" s="104"/>
      <c r="E3" s="105" t="s">
        <v>4</v>
      </c>
      <c r="F3" s="254"/>
      <c r="G3" s="255"/>
      <c r="H3" s="255"/>
      <c r="I3" s="255"/>
      <c r="J3" s="255"/>
      <c r="K3" s="104"/>
      <c r="L3" s="105" t="s">
        <v>5</v>
      </c>
      <c r="M3" s="265" t="s">
        <v>114</v>
      </c>
      <c r="N3" s="265"/>
      <c r="O3" s="266"/>
      <c r="Q3" s="244" t="s">
        <v>173</v>
      </c>
      <c r="R3" s="245"/>
    </row>
    <row r="4" spans="1:18" s="13" customFormat="1" ht="12.75" customHeight="1" x14ac:dyDescent="0.2">
      <c r="A4" s="252"/>
      <c r="B4" s="258"/>
      <c r="C4" s="104"/>
      <c r="D4" s="104"/>
      <c r="E4" s="105" t="s">
        <v>6</v>
      </c>
      <c r="F4" s="267"/>
      <c r="G4" s="268"/>
      <c r="H4" s="220"/>
      <c r="I4" s="105" t="s">
        <v>7</v>
      </c>
      <c r="J4" s="100">
        <f ca="1">NOW()</f>
        <v>43149.196761458334</v>
      </c>
      <c r="K4" s="104"/>
      <c r="L4" s="105" t="s">
        <v>171</v>
      </c>
      <c r="M4" s="269"/>
      <c r="N4" s="269"/>
      <c r="O4" s="270"/>
      <c r="Q4" s="246" t="s">
        <v>174</v>
      </c>
      <c r="R4" s="247"/>
    </row>
    <row r="5" spans="1:18" s="13" customFormat="1" ht="13.5" customHeight="1" thickBot="1" x14ac:dyDescent="0.25">
      <c r="A5" s="259"/>
      <c r="B5" s="260"/>
      <c r="C5" s="104"/>
      <c r="D5" s="104"/>
      <c r="E5" s="105"/>
      <c r="F5" s="261"/>
      <c r="G5" s="262"/>
      <c r="H5" s="106"/>
      <c r="I5" s="105"/>
      <c r="J5" s="214"/>
      <c r="K5" s="220"/>
      <c r="L5" s="105" t="s">
        <v>8</v>
      </c>
      <c r="M5" s="128"/>
      <c r="N5" s="263"/>
      <c r="O5" s="264"/>
    </row>
    <row r="6" spans="1:18" ht="13.5" customHeight="1" x14ac:dyDescent="0.2">
      <c r="A6" s="271" t="s">
        <v>157</v>
      </c>
      <c r="B6" s="272"/>
      <c r="C6" s="272"/>
      <c r="D6" s="272"/>
      <c r="E6" s="272"/>
      <c r="F6" s="272"/>
      <c r="G6" s="272"/>
      <c r="H6" s="272"/>
      <c r="I6" s="273"/>
      <c r="J6" s="274"/>
      <c r="K6" s="274"/>
      <c r="L6" s="274"/>
      <c r="M6" s="274"/>
      <c r="N6" s="274"/>
      <c r="O6" s="275"/>
    </row>
    <row r="7" spans="1:18" x14ac:dyDescent="0.2">
      <c r="A7" s="4"/>
      <c r="B7" s="5"/>
      <c r="C7" s="5"/>
      <c r="D7" s="5"/>
      <c r="E7" s="5"/>
      <c r="F7" s="164"/>
      <c r="G7" s="5"/>
      <c r="H7" s="5"/>
      <c r="I7" s="5"/>
      <c r="J7" s="2"/>
      <c r="K7" s="2"/>
      <c r="L7" s="2"/>
      <c r="M7" s="2"/>
      <c r="N7" s="2"/>
      <c r="O7" s="3"/>
    </row>
    <row r="8" spans="1:18" x14ac:dyDescent="0.2">
      <c r="A8" s="16" t="s">
        <v>19</v>
      </c>
      <c r="B8" s="2"/>
      <c r="C8" s="2"/>
      <c r="D8" s="2"/>
      <c r="E8" s="2"/>
      <c r="F8" s="215" t="s">
        <v>172</v>
      </c>
      <c r="G8" s="215"/>
      <c r="H8" s="216"/>
      <c r="I8" s="216"/>
      <c r="J8" s="19"/>
      <c r="K8" s="2"/>
      <c r="L8" s="2"/>
      <c r="M8" s="2"/>
      <c r="N8" s="2"/>
      <c r="O8" s="3"/>
    </row>
    <row r="9" spans="1:18" x14ac:dyDescent="0.2">
      <c r="A9" s="17" t="s">
        <v>89</v>
      </c>
      <c r="B9" s="2"/>
      <c r="C9" s="2"/>
      <c r="D9" s="110" t="s">
        <v>90</v>
      </c>
      <c r="E9" s="19" t="s">
        <v>0</v>
      </c>
      <c r="F9" s="165">
        <v>0</v>
      </c>
      <c r="G9" s="20" t="s">
        <v>91</v>
      </c>
      <c r="H9" s="2"/>
      <c r="I9" s="2"/>
      <c r="J9" s="19"/>
      <c r="K9" s="2"/>
      <c r="L9" s="2"/>
      <c r="M9" s="2"/>
      <c r="N9" s="2"/>
      <c r="O9" s="3"/>
    </row>
    <row r="10" spans="1:18" ht="13.5" thickBot="1" x14ac:dyDescent="0.25">
      <c r="A10" s="17" t="s">
        <v>92</v>
      </c>
      <c r="B10" s="2"/>
      <c r="C10" s="2"/>
      <c r="D10" s="110" t="s">
        <v>93</v>
      </c>
      <c r="E10" s="19" t="s">
        <v>0</v>
      </c>
      <c r="F10" s="165">
        <v>33.75</v>
      </c>
      <c r="G10" s="20" t="s">
        <v>91</v>
      </c>
      <c r="H10" s="2"/>
      <c r="I10" s="2"/>
      <c r="J10" s="19"/>
      <c r="K10" s="2"/>
      <c r="L10" s="2"/>
      <c r="M10" s="2"/>
      <c r="N10" s="2"/>
      <c r="O10" s="3"/>
    </row>
    <row r="11" spans="1:18" ht="14.25" x14ac:dyDescent="0.2">
      <c r="A11" s="17" t="s">
        <v>23</v>
      </c>
      <c r="B11" s="18"/>
      <c r="C11" s="18"/>
      <c r="D11" s="19" t="s">
        <v>24</v>
      </c>
      <c r="E11" s="19" t="s">
        <v>0</v>
      </c>
      <c r="F11" s="165">
        <v>240</v>
      </c>
      <c r="G11" s="20" t="s">
        <v>80</v>
      </c>
      <c r="H11" s="21"/>
      <c r="I11" s="20"/>
      <c r="J11" s="19"/>
      <c r="K11" s="2"/>
      <c r="L11" s="2"/>
      <c r="M11" s="2"/>
      <c r="N11" s="2"/>
      <c r="O11" s="3"/>
      <c r="Q11" s="156" t="s">
        <v>141</v>
      </c>
      <c r="R11" s="155" t="s">
        <v>142</v>
      </c>
    </row>
    <row r="12" spans="1:18" x14ac:dyDescent="0.2">
      <c r="A12" s="17" t="s">
        <v>102</v>
      </c>
      <c r="B12" s="18"/>
      <c r="C12" s="18"/>
      <c r="D12" s="113" t="s">
        <v>103</v>
      </c>
      <c r="E12" s="19" t="s">
        <v>0</v>
      </c>
      <c r="F12" s="165">
        <v>2400</v>
      </c>
      <c r="G12" s="20" t="s">
        <v>104</v>
      </c>
      <c r="H12" s="21"/>
      <c r="I12" s="20"/>
      <c r="J12" s="19"/>
      <c r="K12" s="2"/>
      <c r="L12" s="2"/>
      <c r="M12" s="2"/>
      <c r="N12" s="2"/>
      <c r="O12" s="3"/>
      <c r="Q12" s="157">
        <v>8</v>
      </c>
      <c r="R12" s="153">
        <f>(3.141592654*(Q12/10)^2/4)</f>
        <v>0.50265482464000011</v>
      </c>
    </row>
    <row r="13" spans="1:18" x14ac:dyDescent="0.2">
      <c r="A13" s="17" t="s">
        <v>10</v>
      </c>
      <c r="B13" s="18"/>
      <c r="C13" s="18"/>
      <c r="D13" s="19" t="s">
        <v>20</v>
      </c>
      <c r="E13" s="19" t="s">
        <v>0</v>
      </c>
      <c r="F13" s="165">
        <v>3000</v>
      </c>
      <c r="G13" s="20" t="s">
        <v>80</v>
      </c>
      <c r="H13" s="21"/>
      <c r="I13" s="20"/>
      <c r="J13" s="19"/>
      <c r="K13" s="2"/>
      <c r="L13" s="2"/>
      <c r="M13" s="2"/>
      <c r="N13" s="2"/>
      <c r="O13" s="3"/>
      <c r="Q13" s="157">
        <v>10</v>
      </c>
      <c r="R13" s="153">
        <f>(3.141592654*(Q13/10)^2/4)</f>
        <v>0.78539816350000002</v>
      </c>
    </row>
    <row r="14" spans="1:18" x14ac:dyDescent="0.2">
      <c r="A14" s="17" t="s">
        <v>79</v>
      </c>
      <c r="B14" s="18"/>
      <c r="C14" s="18"/>
      <c r="D14" s="19" t="s">
        <v>25</v>
      </c>
      <c r="E14" s="19" t="s">
        <v>0</v>
      </c>
      <c r="F14" s="165">
        <v>1600</v>
      </c>
      <c r="G14" s="20" t="s">
        <v>88</v>
      </c>
      <c r="H14" s="21"/>
      <c r="I14" s="20"/>
      <c r="J14" s="19"/>
      <c r="K14" s="2"/>
      <c r="L14" s="2"/>
      <c r="M14" s="2"/>
      <c r="N14" s="2"/>
      <c r="O14" s="3"/>
      <c r="Q14" s="157">
        <v>12</v>
      </c>
      <c r="R14" s="153">
        <f t="shared" ref="R14:R20" si="0">(3.141592654*(Q14/10)^2/4)</f>
        <v>1.1309733554399999</v>
      </c>
    </row>
    <row r="15" spans="1:18" x14ac:dyDescent="0.2">
      <c r="A15" s="17" t="s">
        <v>26</v>
      </c>
      <c r="B15" s="18"/>
      <c r="C15" s="18"/>
      <c r="D15" s="19" t="s">
        <v>45</v>
      </c>
      <c r="E15" s="19" t="s">
        <v>0</v>
      </c>
      <c r="F15" s="165">
        <v>0</v>
      </c>
      <c r="G15" s="20" t="s">
        <v>81</v>
      </c>
      <c r="H15" s="21"/>
      <c r="I15" s="20"/>
      <c r="J15" s="19"/>
      <c r="K15" s="2"/>
      <c r="L15" s="2"/>
      <c r="M15" s="2"/>
      <c r="N15" s="2"/>
      <c r="O15" s="3"/>
      <c r="Q15" s="157">
        <v>16</v>
      </c>
      <c r="R15" s="153">
        <f t="shared" si="0"/>
        <v>2.0106192985600004</v>
      </c>
    </row>
    <row r="16" spans="1:18" x14ac:dyDescent="0.2">
      <c r="A16" s="17" t="s">
        <v>27</v>
      </c>
      <c r="B16" s="18"/>
      <c r="C16" s="18"/>
      <c r="D16" s="19" t="s">
        <v>28</v>
      </c>
      <c r="E16" s="19" t="s">
        <v>0</v>
      </c>
      <c r="F16" s="165">
        <v>800</v>
      </c>
      <c r="G16" s="20" t="s">
        <v>82</v>
      </c>
      <c r="H16" s="21"/>
      <c r="I16" s="20"/>
      <c r="J16" s="19"/>
      <c r="K16" s="2"/>
      <c r="L16" s="2"/>
      <c r="M16" s="2"/>
      <c r="N16" s="2"/>
      <c r="O16" s="3"/>
      <c r="Q16" s="157">
        <v>20</v>
      </c>
      <c r="R16" s="153">
        <f t="shared" si="0"/>
        <v>3.1415926540000001</v>
      </c>
    </row>
    <row r="17" spans="1:18" x14ac:dyDescent="0.2">
      <c r="A17" s="17" t="s">
        <v>29</v>
      </c>
      <c r="B17" s="18"/>
      <c r="C17" s="18"/>
      <c r="D17" s="35" t="s">
        <v>30</v>
      </c>
      <c r="E17" s="19" t="s">
        <v>0</v>
      </c>
      <c r="F17" s="165">
        <v>0.5</v>
      </c>
      <c r="G17" s="20"/>
      <c r="H17" s="21"/>
      <c r="I17" s="20"/>
      <c r="J17" s="19"/>
      <c r="K17" s="2"/>
      <c r="L17" s="2"/>
      <c r="M17" s="2"/>
      <c r="N17" s="2"/>
      <c r="O17" s="3"/>
      <c r="Q17" s="157">
        <v>25</v>
      </c>
      <c r="R17" s="153">
        <f t="shared" si="0"/>
        <v>4.9087385218749997</v>
      </c>
    </row>
    <row r="18" spans="1:18" x14ac:dyDescent="0.2">
      <c r="A18" s="17" t="s">
        <v>74</v>
      </c>
      <c r="B18" s="18"/>
      <c r="C18" s="18"/>
      <c r="D18" s="19" t="s">
        <v>75</v>
      </c>
      <c r="E18" s="19" t="s">
        <v>0</v>
      </c>
      <c r="F18" s="165">
        <v>15000</v>
      </c>
      <c r="G18" s="20" t="s">
        <v>82</v>
      </c>
      <c r="H18" s="21"/>
      <c r="I18" s="20"/>
      <c r="J18" s="19"/>
      <c r="K18" s="2"/>
      <c r="L18" s="2"/>
      <c r="M18" s="2"/>
      <c r="N18" s="2"/>
      <c r="O18" s="3"/>
      <c r="Q18" s="157">
        <v>28</v>
      </c>
      <c r="R18" s="153">
        <f t="shared" si="0"/>
        <v>6.1575216018399992</v>
      </c>
    </row>
    <row r="19" spans="1:18" x14ac:dyDescent="0.2">
      <c r="A19" s="17" t="s">
        <v>38</v>
      </c>
      <c r="B19" s="18"/>
      <c r="C19" s="18"/>
      <c r="D19" s="19" t="s">
        <v>31</v>
      </c>
      <c r="E19" s="19" t="s">
        <v>0</v>
      </c>
      <c r="F19" s="165">
        <v>25</v>
      </c>
      <c r="G19" s="20" t="s">
        <v>83</v>
      </c>
      <c r="H19" s="21"/>
      <c r="I19" s="20"/>
      <c r="J19" s="19"/>
      <c r="K19" s="2"/>
      <c r="L19" s="2"/>
      <c r="M19" s="2"/>
      <c r="N19" s="2"/>
      <c r="O19" s="3"/>
      <c r="Q19" s="157">
        <v>32</v>
      </c>
      <c r="R19" s="153">
        <f t="shared" si="0"/>
        <v>8.0424771942400017</v>
      </c>
    </row>
    <row r="20" spans="1:18" ht="13.5" thickBot="1" x14ac:dyDescent="0.25">
      <c r="A20" s="17" t="s">
        <v>84</v>
      </c>
      <c r="B20" s="18"/>
      <c r="C20" s="18"/>
      <c r="D20" s="19" t="s">
        <v>85</v>
      </c>
      <c r="E20" s="19" t="s">
        <v>0</v>
      </c>
      <c r="F20" s="165">
        <v>50</v>
      </c>
      <c r="G20" s="20" t="s">
        <v>83</v>
      </c>
      <c r="H20" s="241" t="str">
        <f>IF(F20&lt;F19,"Err., &lt; top stem","OK")</f>
        <v>OK</v>
      </c>
      <c r="I20" s="20"/>
      <c r="J20" s="19"/>
      <c r="K20" s="2"/>
      <c r="L20" s="2"/>
      <c r="M20" s="2"/>
      <c r="N20" s="2"/>
      <c r="O20" s="3"/>
      <c r="Q20" s="158">
        <v>40</v>
      </c>
      <c r="R20" s="154">
        <f t="shared" si="0"/>
        <v>12.566370616</v>
      </c>
    </row>
    <row r="21" spans="1:18" x14ac:dyDescent="0.2">
      <c r="A21" s="17" t="s">
        <v>86</v>
      </c>
      <c r="B21" s="18"/>
      <c r="C21" s="18"/>
      <c r="D21" s="19" t="s">
        <v>32</v>
      </c>
      <c r="E21" s="19" t="s">
        <v>0</v>
      </c>
      <c r="F21" s="165">
        <v>0.75</v>
      </c>
      <c r="G21" s="20" t="s">
        <v>30</v>
      </c>
      <c r="H21" s="21"/>
      <c r="I21" s="20"/>
      <c r="J21" s="19"/>
      <c r="K21" s="2"/>
      <c r="L21" s="2"/>
      <c r="M21" s="2"/>
      <c r="N21" s="2"/>
      <c r="O21" s="3"/>
      <c r="Q21" s="151"/>
      <c r="R21" s="151"/>
    </row>
    <row r="22" spans="1:18" x14ac:dyDescent="0.2">
      <c r="A22" s="17" t="s">
        <v>87</v>
      </c>
      <c r="B22" s="18"/>
      <c r="C22" s="18"/>
      <c r="D22" s="19" t="s">
        <v>33</v>
      </c>
      <c r="E22" s="19" t="s">
        <v>0</v>
      </c>
      <c r="F22" s="165">
        <v>1.75</v>
      </c>
      <c r="G22" s="20" t="s">
        <v>30</v>
      </c>
      <c r="H22" s="21"/>
      <c r="I22" s="20"/>
      <c r="J22" s="19"/>
      <c r="K22" s="2"/>
      <c r="L22" s="2"/>
      <c r="M22" s="2"/>
      <c r="N22" s="2"/>
      <c r="O22" s="3"/>
      <c r="Q22" s="151"/>
      <c r="R22" s="151"/>
    </row>
    <row r="23" spans="1:18" x14ac:dyDescent="0.2">
      <c r="A23" s="17" t="s">
        <v>109</v>
      </c>
      <c r="B23" s="18"/>
      <c r="C23" s="18"/>
      <c r="D23" s="19" t="s">
        <v>110</v>
      </c>
      <c r="E23" s="19" t="s">
        <v>0</v>
      </c>
      <c r="F23" s="197">
        <f>F22+F21+F20/100</f>
        <v>3</v>
      </c>
      <c r="G23" s="20" t="s">
        <v>30</v>
      </c>
      <c r="H23" s="241" t="str">
        <f>IF(F23&lt;0.5*F28,"  Instability ","OK")</f>
        <v>OK</v>
      </c>
      <c r="I23" s="20"/>
      <c r="J23" s="19"/>
      <c r="K23" s="2"/>
      <c r="L23" s="2"/>
      <c r="M23" s="2"/>
      <c r="N23" s="2"/>
      <c r="O23" s="3"/>
      <c r="Q23" s="151"/>
      <c r="R23" s="151"/>
    </row>
    <row r="24" spans="1:18" x14ac:dyDescent="0.2">
      <c r="A24" s="17" t="s">
        <v>77</v>
      </c>
      <c r="B24" s="18"/>
      <c r="C24" s="18"/>
      <c r="D24" s="19" t="s">
        <v>78</v>
      </c>
      <c r="E24" s="19" t="s">
        <v>0</v>
      </c>
      <c r="F24" s="166">
        <v>0</v>
      </c>
      <c r="G24" s="20" t="s">
        <v>30</v>
      </c>
      <c r="H24" s="21"/>
      <c r="I24" s="20"/>
      <c r="J24" s="19"/>
      <c r="K24" s="2"/>
      <c r="L24" s="2"/>
      <c r="M24" s="2"/>
      <c r="N24" s="2"/>
      <c r="O24" s="3"/>
      <c r="Q24" s="151"/>
      <c r="R24" s="151"/>
    </row>
    <row r="25" spans="1:18" x14ac:dyDescent="0.2">
      <c r="A25" s="17" t="s">
        <v>39</v>
      </c>
      <c r="B25" s="18"/>
      <c r="C25" s="18"/>
      <c r="D25" s="19" t="s">
        <v>34</v>
      </c>
      <c r="E25" s="19" t="s">
        <v>0</v>
      </c>
      <c r="F25" s="165">
        <v>2.25</v>
      </c>
      <c r="G25" s="20" t="s">
        <v>30</v>
      </c>
      <c r="H25" s="21"/>
      <c r="I25" s="20"/>
      <c r="J25" s="19"/>
      <c r="K25" s="2"/>
      <c r="L25" s="2"/>
      <c r="M25" s="2"/>
      <c r="N25" s="2"/>
      <c r="O25" s="3"/>
      <c r="Q25" s="151"/>
      <c r="R25" s="151"/>
    </row>
    <row r="26" spans="1:18" x14ac:dyDescent="0.2">
      <c r="A26" s="17" t="s">
        <v>40</v>
      </c>
      <c r="B26" s="18"/>
      <c r="C26" s="18"/>
      <c r="D26" s="19" t="s">
        <v>35</v>
      </c>
      <c r="E26" s="19" t="s">
        <v>0</v>
      </c>
      <c r="F26" s="165">
        <v>2.25</v>
      </c>
      <c r="G26" s="20" t="s">
        <v>30</v>
      </c>
      <c r="H26" s="22"/>
      <c r="I26" s="20"/>
      <c r="J26" s="19"/>
      <c r="K26" s="2"/>
      <c r="L26" s="2"/>
      <c r="M26" s="2"/>
      <c r="N26" s="2"/>
      <c r="O26" s="3"/>
      <c r="Q26" s="151"/>
      <c r="R26" s="151"/>
    </row>
    <row r="27" spans="1:18" x14ac:dyDescent="0.2">
      <c r="A27" s="17" t="s">
        <v>37</v>
      </c>
      <c r="B27" s="18"/>
      <c r="C27" s="18"/>
      <c r="D27" s="19" t="s">
        <v>36</v>
      </c>
      <c r="E27" s="19" t="s">
        <v>0</v>
      </c>
      <c r="F27" s="165">
        <v>50</v>
      </c>
      <c r="G27" s="20" t="s">
        <v>83</v>
      </c>
      <c r="H27" s="242" t="str">
        <f>IF(F27&lt;F20,"Err., &lt; top stem","OK")</f>
        <v>OK</v>
      </c>
      <c r="I27" s="20"/>
      <c r="J27" s="217"/>
      <c r="K27" s="2"/>
      <c r="L27" s="2"/>
      <c r="M27" s="2"/>
      <c r="N27" s="2"/>
      <c r="O27" s="3"/>
    </row>
    <row r="28" spans="1:18" x14ac:dyDescent="0.2">
      <c r="A28" s="17" t="s">
        <v>111</v>
      </c>
      <c r="B28" s="18"/>
      <c r="C28" s="18"/>
      <c r="D28" s="19" t="s">
        <v>54</v>
      </c>
      <c r="E28" s="19" t="s">
        <v>0</v>
      </c>
      <c r="F28" s="197">
        <f>F25+F26+F27/100</f>
        <v>5</v>
      </c>
      <c r="G28" s="20" t="s">
        <v>30</v>
      </c>
      <c r="H28" s="22"/>
      <c r="I28" s="20"/>
      <c r="J28" s="19"/>
      <c r="K28" s="2"/>
      <c r="L28" s="2"/>
      <c r="M28" s="2"/>
      <c r="N28" s="2"/>
      <c r="O28" s="3"/>
    </row>
    <row r="29" spans="1:18" x14ac:dyDescent="0.2">
      <c r="A29" s="17" t="s">
        <v>46</v>
      </c>
      <c r="B29" s="18"/>
      <c r="C29" s="18"/>
      <c r="D29" s="19" t="s">
        <v>44</v>
      </c>
      <c r="E29" s="19" t="s">
        <v>0</v>
      </c>
      <c r="F29" s="165">
        <v>0</v>
      </c>
      <c r="G29" s="20" t="s">
        <v>30</v>
      </c>
      <c r="H29" s="23"/>
      <c r="I29" s="20"/>
      <c r="J29" s="41"/>
      <c r="K29" s="2"/>
      <c r="L29" s="2"/>
      <c r="M29" s="2"/>
      <c r="N29" s="2"/>
      <c r="O29" s="3"/>
    </row>
    <row r="30" spans="1:18" x14ac:dyDescent="0.2">
      <c r="A30" s="17" t="s">
        <v>127</v>
      </c>
      <c r="B30" s="18"/>
      <c r="C30" s="37"/>
      <c r="D30" s="34"/>
      <c r="E30" s="38" t="s">
        <v>143</v>
      </c>
      <c r="F30" s="165">
        <v>20</v>
      </c>
      <c r="G30" s="19" t="s">
        <v>18</v>
      </c>
      <c r="H30" s="159">
        <f>G98</f>
        <v>15.299964224025974</v>
      </c>
      <c r="I30" s="27" t="s">
        <v>83</v>
      </c>
      <c r="J30" s="19"/>
      <c r="K30" s="2"/>
      <c r="L30" s="2"/>
      <c r="M30" s="2"/>
      <c r="N30" s="2"/>
      <c r="O30" s="3"/>
    </row>
    <row r="31" spans="1:18" x14ac:dyDescent="0.2">
      <c r="A31" s="17" t="s">
        <v>128</v>
      </c>
      <c r="B31" s="18"/>
      <c r="C31" s="27"/>
      <c r="D31" s="34"/>
      <c r="E31" s="38" t="s">
        <v>143</v>
      </c>
      <c r="F31" s="165">
        <v>12</v>
      </c>
      <c r="G31" s="19" t="s">
        <v>18</v>
      </c>
      <c r="H31" s="159">
        <f>G102</f>
        <v>30.159289478399995</v>
      </c>
      <c r="I31" s="27" t="s">
        <v>83</v>
      </c>
      <c r="J31" s="19"/>
      <c r="K31" s="2"/>
      <c r="L31" s="2"/>
      <c r="M31" s="2"/>
      <c r="N31" s="2"/>
      <c r="O31" s="3"/>
    </row>
    <row r="32" spans="1:18" x14ac:dyDescent="0.2">
      <c r="A32" s="29" t="s">
        <v>145</v>
      </c>
      <c r="B32" s="36"/>
      <c r="C32" s="37"/>
      <c r="D32" s="34"/>
      <c r="E32" s="38" t="s">
        <v>143</v>
      </c>
      <c r="F32" s="165">
        <v>20</v>
      </c>
      <c r="G32" s="19" t="s">
        <v>18</v>
      </c>
      <c r="H32" s="159">
        <f>G114</f>
        <v>15.299964224025974</v>
      </c>
      <c r="I32" s="27" t="s">
        <v>83</v>
      </c>
      <c r="J32" s="19"/>
      <c r="K32" s="2"/>
      <c r="L32" s="2"/>
      <c r="M32" s="2"/>
      <c r="N32" s="2"/>
      <c r="O32" s="3"/>
    </row>
    <row r="33" spans="1:15" x14ac:dyDescent="0.2">
      <c r="A33" s="29" t="s">
        <v>146</v>
      </c>
      <c r="B33" s="36"/>
      <c r="C33" s="37"/>
      <c r="D33" s="34"/>
      <c r="E33" s="38" t="s">
        <v>143</v>
      </c>
      <c r="F33" s="165">
        <v>20</v>
      </c>
      <c r="G33" s="40" t="s">
        <v>18</v>
      </c>
      <c r="H33" s="159">
        <f>G125</f>
        <v>16.221648815834765</v>
      </c>
      <c r="I33" s="37" t="s">
        <v>83</v>
      </c>
      <c r="J33" s="248" t="str">
        <f>IF(OR(L63="[Unsatisfactory]",L68="[Unsatisfactory]",M79="[Unsatisfactory]",K93="[Unsatisfactory]",K109="[Unsatisfactory]",K120="[Unsatisfactory]"),"[THE WALL DESIGN IS INADEQUATE.]","[THE WALL DESIGN IS ADEQUATE.]")</f>
        <v>[THE WALL DESIGN IS ADEQUATE.]</v>
      </c>
      <c r="K33" s="248"/>
      <c r="L33" s="248"/>
      <c r="M33" s="248"/>
      <c r="N33" s="248"/>
      <c r="O33" s="3"/>
    </row>
    <row r="34" spans="1:15" x14ac:dyDescent="0.2">
      <c r="A34" s="199" t="s">
        <v>159</v>
      </c>
      <c r="B34" s="36"/>
      <c r="C34" s="37"/>
      <c r="D34" s="34"/>
      <c r="E34" s="38" t="s">
        <v>143</v>
      </c>
      <c r="F34" s="165">
        <v>16</v>
      </c>
      <c r="G34" s="40" t="s">
        <v>18</v>
      </c>
      <c r="H34" s="159">
        <f>G129</f>
        <v>20.106192985600003</v>
      </c>
      <c r="I34" s="37" t="s">
        <v>83</v>
      </c>
      <c r="J34" s="40"/>
      <c r="K34" s="2"/>
      <c r="L34" s="2"/>
      <c r="M34" s="2"/>
      <c r="N34" s="2"/>
      <c r="O34" s="3"/>
    </row>
    <row r="35" spans="1:15" x14ac:dyDescent="0.2">
      <c r="A35" s="17" t="s">
        <v>170</v>
      </c>
      <c r="B35" s="36"/>
      <c r="C35" s="37"/>
      <c r="D35" s="34"/>
      <c r="E35" s="38" t="s">
        <v>143</v>
      </c>
      <c r="F35" s="165">
        <v>12</v>
      </c>
      <c r="G35" s="40" t="s">
        <v>18</v>
      </c>
      <c r="H35" s="159">
        <f>G140</f>
        <v>36.191147374079996</v>
      </c>
      <c r="I35" s="37" t="s">
        <v>83</v>
      </c>
      <c r="J35" s="40"/>
      <c r="K35" s="2"/>
      <c r="L35" s="2"/>
      <c r="M35" s="2"/>
      <c r="N35" s="2"/>
      <c r="O35" s="3"/>
    </row>
    <row r="36" spans="1:15" s="42" customFormat="1" x14ac:dyDescent="0.2">
      <c r="A36" s="17" t="s">
        <v>169</v>
      </c>
      <c r="B36" s="36"/>
      <c r="C36" s="37"/>
      <c r="D36" s="34"/>
      <c r="E36" s="38" t="s">
        <v>143</v>
      </c>
      <c r="F36" s="165">
        <v>12</v>
      </c>
      <c r="G36" s="40" t="s">
        <v>18</v>
      </c>
      <c r="H36" s="159">
        <f>G144</f>
        <v>18.095573687039998</v>
      </c>
      <c r="I36" s="37" t="s">
        <v>83</v>
      </c>
      <c r="J36" s="40"/>
      <c r="K36" s="2"/>
      <c r="L36" s="2"/>
      <c r="M36" s="2"/>
      <c r="N36" s="2"/>
      <c r="O36" s="3"/>
    </row>
    <row r="37" spans="1:15" s="42" customFormat="1" ht="13.5" thickBot="1" x14ac:dyDescent="0.25">
      <c r="A37" s="202" t="s">
        <v>161</v>
      </c>
      <c r="B37" s="59"/>
      <c r="C37" s="203"/>
      <c r="D37" s="90"/>
      <c r="E37" s="204" t="s">
        <v>160</v>
      </c>
      <c r="F37" s="205">
        <f>E132</f>
        <v>6</v>
      </c>
      <c r="G37" s="60" t="s">
        <v>18</v>
      </c>
      <c r="H37" s="210">
        <f>G132</f>
        <v>29.834930236850649</v>
      </c>
      <c r="I37" s="203" t="s">
        <v>83</v>
      </c>
      <c r="J37" s="60"/>
      <c r="K37" s="206"/>
      <c r="L37" s="206"/>
      <c r="M37" s="206"/>
      <c r="N37" s="206"/>
      <c r="O37" s="207"/>
    </row>
    <row r="38" spans="1:15" x14ac:dyDescent="0.2">
      <c r="A38" s="63"/>
      <c r="B38" s="64"/>
      <c r="C38" s="64"/>
      <c r="D38" s="64"/>
      <c r="E38" s="64"/>
      <c r="F38" s="236"/>
      <c r="G38" s="64"/>
      <c r="H38" s="64"/>
      <c r="I38" s="64"/>
      <c r="J38" s="65"/>
      <c r="K38" s="64"/>
      <c r="L38" s="64"/>
      <c r="M38" s="64"/>
      <c r="N38" s="64"/>
      <c r="O38" s="237"/>
    </row>
    <row r="39" spans="1:15" x14ac:dyDescent="0.2">
      <c r="A39" s="25" t="s">
        <v>9</v>
      </c>
      <c r="B39" s="34"/>
      <c r="C39" s="34"/>
      <c r="D39" s="34"/>
      <c r="E39" s="34"/>
      <c r="F39" s="140"/>
      <c r="G39" s="34"/>
      <c r="H39" s="34"/>
      <c r="I39" s="34"/>
      <c r="J39" s="40"/>
      <c r="K39" s="34"/>
      <c r="L39" s="34"/>
      <c r="M39" s="34"/>
      <c r="N39" s="34"/>
      <c r="O39" s="43"/>
    </row>
    <row r="40" spans="1:15" x14ac:dyDescent="0.2">
      <c r="A40" s="48" t="s">
        <v>41</v>
      </c>
      <c r="B40" s="34"/>
      <c r="C40" s="34"/>
      <c r="D40" s="34"/>
      <c r="E40" s="34"/>
      <c r="F40" s="140"/>
      <c r="G40" s="34"/>
      <c r="H40" s="34"/>
      <c r="I40" s="34"/>
      <c r="J40" s="40"/>
      <c r="K40" s="34"/>
      <c r="L40" s="34"/>
      <c r="M40" s="34"/>
      <c r="N40" s="34"/>
      <c r="O40" s="43"/>
    </row>
    <row r="41" spans="1:15" x14ac:dyDescent="0.2">
      <c r="A41" s="129" t="s">
        <v>94</v>
      </c>
      <c r="B41" s="53"/>
      <c r="C41" s="34"/>
      <c r="D41" s="34"/>
      <c r="E41" s="34"/>
      <c r="F41" s="140"/>
      <c r="G41" s="34"/>
      <c r="H41" s="218" t="s">
        <v>0</v>
      </c>
      <c r="I41" s="109">
        <f>(COS(F9*3.141592654/180))*((COS(F9*3.141592654/180))-(((COS(F9*3.141592654/180))^2)-((COS(F10*3.141592654/180))^2))^0.5)/((COS(F9*3.141592654/180))+(((COS(F9*3.141592654/180))^2)-((COS(F10*3.141592654/180))^2))^0.5)</f>
        <v>0.28570215440254876</v>
      </c>
      <c r="J41" s="218"/>
      <c r="K41" s="34"/>
      <c r="L41" s="34"/>
      <c r="M41" s="34"/>
      <c r="N41" s="34"/>
      <c r="O41" s="43"/>
    </row>
    <row r="42" spans="1:15" x14ac:dyDescent="0.2">
      <c r="A42" s="51"/>
      <c r="B42" s="53" t="s">
        <v>96</v>
      </c>
      <c r="C42" s="52"/>
      <c r="D42" s="34"/>
      <c r="E42" s="34"/>
      <c r="F42" s="167" t="s">
        <v>0</v>
      </c>
      <c r="G42" s="112">
        <f>0.5*F14*(F25+F26+(F27/100))^2*I41</f>
        <v>5714.0430880509748</v>
      </c>
      <c r="H42" s="20" t="s">
        <v>98</v>
      </c>
      <c r="I42" s="34"/>
      <c r="J42" s="40"/>
      <c r="K42" s="34"/>
      <c r="L42" s="34"/>
      <c r="M42" s="34"/>
      <c r="N42" s="34"/>
      <c r="O42" s="43"/>
    </row>
    <row r="43" spans="1:15" x14ac:dyDescent="0.2">
      <c r="A43" s="51"/>
      <c r="B43" s="53" t="s">
        <v>97</v>
      </c>
      <c r="C43" s="52"/>
      <c r="D43" s="34"/>
      <c r="E43" s="34"/>
      <c r="F43" s="167" t="s">
        <v>0</v>
      </c>
      <c r="G43" s="112">
        <f>(F15+F16)*(F25+F26+(F27/100))*I41</f>
        <v>1142.8086176101951</v>
      </c>
      <c r="H43" s="20" t="s">
        <v>98</v>
      </c>
      <c r="I43" s="34"/>
      <c r="J43" s="40"/>
      <c r="K43" s="34"/>
      <c r="L43" s="34"/>
      <c r="M43" s="34"/>
      <c r="N43" s="34"/>
      <c r="O43" s="43"/>
    </row>
    <row r="44" spans="1:15" x14ac:dyDescent="0.2">
      <c r="A44" s="51"/>
      <c r="B44" s="53" t="s">
        <v>99</v>
      </c>
      <c r="C44" s="52"/>
      <c r="D44" s="34"/>
      <c r="E44" s="34"/>
      <c r="F44" s="167" t="s">
        <v>0</v>
      </c>
      <c r="G44" s="112">
        <f>0.5*F14*(F29)^2*I41</f>
        <v>0</v>
      </c>
      <c r="H44" s="20" t="s">
        <v>98</v>
      </c>
      <c r="I44" s="34"/>
      <c r="J44" s="40"/>
      <c r="K44" s="34"/>
      <c r="L44" s="34"/>
      <c r="M44" s="34"/>
      <c r="N44" s="34"/>
      <c r="O44" s="43"/>
    </row>
    <row r="45" spans="1:15" x14ac:dyDescent="0.2">
      <c r="A45" s="51"/>
      <c r="B45" s="53" t="s">
        <v>100</v>
      </c>
      <c r="C45" s="52"/>
      <c r="D45" s="34"/>
      <c r="E45" s="34"/>
      <c r="F45" s="167" t="s">
        <v>0</v>
      </c>
      <c r="G45" s="112">
        <f>F16*(F22+(((F20/100)-(F19/100))/2))</f>
        <v>1500</v>
      </c>
      <c r="H45" s="20" t="s">
        <v>95</v>
      </c>
      <c r="I45" s="34"/>
      <c r="J45" s="40"/>
      <c r="K45" s="34"/>
      <c r="L45" s="34"/>
      <c r="M45" s="34"/>
      <c r="N45" s="34"/>
      <c r="O45" s="43"/>
    </row>
    <row r="46" spans="1:15" x14ac:dyDescent="0.2">
      <c r="A46" s="51"/>
      <c r="B46" s="53" t="s">
        <v>101</v>
      </c>
      <c r="C46" s="52"/>
      <c r="D46" s="34"/>
      <c r="E46" s="34"/>
      <c r="F46" s="167" t="s">
        <v>0</v>
      </c>
      <c r="G46" s="112">
        <f>(F25+F26)*F14*(F22+(((F20/100)-(F19/100))/2))</f>
        <v>13500</v>
      </c>
      <c r="H46" s="20" t="s">
        <v>95</v>
      </c>
      <c r="I46" s="34"/>
      <c r="J46" s="40"/>
      <c r="K46" s="34"/>
      <c r="L46" s="34"/>
      <c r="M46" s="34"/>
      <c r="N46" s="34"/>
      <c r="O46" s="43"/>
    </row>
    <row r="47" spans="1:15" x14ac:dyDescent="0.2">
      <c r="A47" s="51"/>
      <c r="B47" s="53" t="s">
        <v>43</v>
      </c>
      <c r="C47" s="52"/>
      <c r="D47" s="34"/>
      <c r="E47" s="34"/>
      <c r="F47" s="167" t="s">
        <v>0</v>
      </c>
      <c r="G47" s="112">
        <f>(F27/100)*(F22+(F20/100)+F21)*F12</f>
        <v>3600</v>
      </c>
      <c r="H47" s="20" t="s">
        <v>95</v>
      </c>
      <c r="I47" s="34"/>
      <c r="J47" s="40"/>
      <c r="K47" s="34"/>
      <c r="L47" s="34"/>
      <c r="M47" s="34"/>
      <c r="N47" s="34"/>
      <c r="O47" s="43"/>
    </row>
    <row r="48" spans="1:15" x14ac:dyDescent="0.2">
      <c r="A48" s="51"/>
      <c r="B48" s="53" t="s">
        <v>105</v>
      </c>
      <c r="C48" s="52"/>
      <c r="D48" s="34"/>
      <c r="E48" s="34"/>
      <c r="F48" s="167" t="s">
        <v>0</v>
      </c>
      <c r="G48" s="111">
        <f>1.25*(F19/100)*F25*F12</f>
        <v>1687.5</v>
      </c>
      <c r="H48" s="20" t="s">
        <v>95</v>
      </c>
      <c r="I48" s="34"/>
      <c r="J48" s="40"/>
      <c r="K48" s="34"/>
      <c r="L48" s="108">
        <v>4</v>
      </c>
      <c r="M48" s="34"/>
      <c r="N48" s="34"/>
      <c r="O48" s="43"/>
    </row>
    <row r="49" spans="1:17" x14ac:dyDescent="0.2">
      <c r="A49" s="51"/>
      <c r="B49" s="53" t="s">
        <v>106</v>
      </c>
      <c r="C49" s="52"/>
      <c r="D49" s="34"/>
      <c r="E49" s="34"/>
      <c r="F49" s="167" t="s">
        <v>0</v>
      </c>
      <c r="G49" s="111">
        <f>1.75*(F19/100)*F25*F12</f>
        <v>2362.5</v>
      </c>
      <c r="H49" s="20" t="s">
        <v>95</v>
      </c>
      <c r="I49" s="34"/>
      <c r="J49" s="40"/>
      <c r="K49" s="34"/>
      <c r="L49" s="34"/>
      <c r="M49" s="34"/>
      <c r="N49" s="34"/>
      <c r="O49" s="43"/>
    </row>
    <row r="50" spans="1:17" x14ac:dyDescent="0.2">
      <c r="A50" s="49"/>
      <c r="B50" s="50"/>
      <c r="C50" s="34"/>
      <c r="D50" s="34"/>
      <c r="E50" s="34"/>
      <c r="F50" s="140"/>
      <c r="G50" s="34"/>
      <c r="H50" s="34"/>
      <c r="I50" s="34"/>
      <c r="J50" s="40"/>
      <c r="K50" s="34"/>
      <c r="L50" s="34"/>
      <c r="M50" s="34"/>
      <c r="N50" s="34"/>
      <c r="O50" s="43"/>
    </row>
    <row r="51" spans="1:17" x14ac:dyDescent="0.2">
      <c r="A51" s="48" t="s">
        <v>73</v>
      </c>
      <c r="B51" s="34"/>
      <c r="C51" s="34"/>
      <c r="D51" s="34"/>
      <c r="E51" s="34"/>
      <c r="F51" s="140"/>
      <c r="G51" s="34"/>
      <c r="H51" s="56"/>
      <c r="I51" s="34"/>
      <c r="J51" s="34"/>
      <c r="K51" s="40"/>
      <c r="L51" s="34"/>
      <c r="M51" s="34"/>
      <c r="N51" s="34"/>
      <c r="O51" s="43"/>
    </row>
    <row r="52" spans="1:17" x14ac:dyDescent="0.2">
      <c r="A52" s="48"/>
      <c r="B52" s="50" t="s">
        <v>125</v>
      </c>
      <c r="C52" s="34"/>
      <c r="D52" s="52" t="s">
        <v>0</v>
      </c>
      <c r="E52" s="113">
        <v>1.4</v>
      </c>
      <c r="F52" s="140"/>
      <c r="G52" s="34"/>
      <c r="H52" s="56"/>
      <c r="I52" s="34"/>
      <c r="J52" s="34"/>
      <c r="K52" s="40"/>
      <c r="L52" s="34"/>
      <c r="M52" s="34"/>
      <c r="N52" s="34"/>
      <c r="O52" s="43"/>
    </row>
    <row r="53" spans="1:17" x14ac:dyDescent="0.2">
      <c r="A53" s="48"/>
      <c r="B53" s="50" t="s">
        <v>126</v>
      </c>
      <c r="C53" s="34"/>
      <c r="D53" s="52" t="s">
        <v>0</v>
      </c>
      <c r="E53" s="113">
        <v>1.7</v>
      </c>
      <c r="F53" s="140"/>
      <c r="G53" s="34"/>
      <c r="H53" s="56" t="s">
        <v>53</v>
      </c>
      <c r="I53" s="34"/>
      <c r="J53" s="34"/>
      <c r="K53" s="40"/>
      <c r="L53" s="34"/>
      <c r="M53" s="34"/>
      <c r="N53" s="34"/>
      <c r="O53" s="43"/>
    </row>
    <row r="54" spans="1:17" x14ac:dyDescent="0.2">
      <c r="A54" s="51"/>
      <c r="B54" s="55" t="s">
        <v>47</v>
      </c>
      <c r="C54" s="36"/>
      <c r="D54" s="52" t="s">
        <v>0</v>
      </c>
      <c r="E54" s="114">
        <f>E53*G42</f>
        <v>9713.8732496866578</v>
      </c>
      <c r="F54" s="168" t="s">
        <v>98</v>
      </c>
      <c r="G54" s="34"/>
      <c r="H54" s="75"/>
      <c r="I54" s="74" t="s">
        <v>54</v>
      </c>
      <c r="J54" s="219" t="s">
        <v>55</v>
      </c>
      <c r="K54" s="74" t="s">
        <v>56</v>
      </c>
      <c r="L54" s="74" t="s">
        <v>57</v>
      </c>
      <c r="M54" s="276" t="s">
        <v>58</v>
      </c>
      <c r="N54" s="276"/>
      <c r="O54" s="43"/>
    </row>
    <row r="55" spans="1:17" x14ac:dyDescent="0.2">
      <c r="A55" s="51"/>
      <c r="B55" s="55" t="s">
        <v>48</v>
      </c>
      <c r="C55" s="36"/>
      <c r="D55" s="52" t="s">
        <v>0</v>
      </c>
      <c r="E55" s="114">
        <f>E53*G43</f>
        <v>1942.7746499373318</v>
      </c>
      <c r="F55" s="168" t="s">
        <v>98</v>
      </c>
      <c r="G55" s="34"/>
      <c r="H55" s="76" t="s">
        <v>42</v>
      </c>
      <c r="I55" s="115">
        <f>G42</f>
        <v>5714.0430880509748</v>
      </c>
      <c r="J55" s="115">
        <f>E54</f>
        <v>9713.8732496866578</v>
      </c>
      <c r="K55" s="115">
        <f>(F25+F26+(F27/100))/3</f>
        <v>1.6666666666666667</v>
      </c>
      <c r="L55" s="223">
        <f>I55*K55</f>
        <v>9523.4051467516256</v>
      </c>
      <c r="M55" s="277">
        <f>J55*K55</f>
        <v>16189.788749477764</v>
      </c>
      <c r="N55" s="277"/>
      <c r="O55" s="43"/>
    </row>
    <row r="56" spans="1:17" x14ac:dyDescent="0.2">
      <c r="A56" s="51"/>
      <c r="B56" s="55" t="s">
        <v>107</v>
      </c>
      <c r="C56" s="36"/>
      <c r="D56" s="52" t="s">
        <v>0</v>
      </c>
      <c r="E56" s="114">
        <f>E53*G44</f>
        <v>0</v>
      </c>
      <c r="F56" s="168" t="s">
        <v>98</v>
      </c>
      <c r="G56" s="34"/>
      <c r="H56" s="76" t="s">
        <v>59</v>
      </c>
      <c r="I56" s="115">
        <f>G43</f>
        <v>1142.8086176101951</v>
      </c>
      <c r="J56" s="115">
        <f>E55</f>
        <v>1942.7746499373318</v>
      </c>
      <c r="K56" s="115">
        <f>(F25+F26+(F27/100)-F24)/2</f>
        <v>2.5</v>
      </c>
      <c r="L56" s="223">
        <f>I56*K56</f>
        <v>2857.0215440254879</v>
      </c>
      <c r="M56" s="278">
        <f>J56*K56</f>
        <v>4856.9366248433298</v>
      </c>
      <c r="N56" s="278"/>
      <c r="O56" s="43"/>
    </row>
    <row r="57" spans="1:17" x14ac:dyDescent="0.2">
      <c r="A57" s="51"/>
      <c r="B57" s="55" t="s">
        <v>76</v>
      </c>
      <c r="C57" s="36"/>
      <c r="D57" s="52" t="s">
        <v>0</v>
      </c>
      <c r="E57" s="114">
        <f>E53*G45</f>
        <v>2550</v>
      </c>
      <c r="F57" s="168" t="s">
        <v>95</v>
      </c>
      <c r="G57" s="34"/>
      <c r="H57" s="77" t="s">
        <v>108</v>
      </c>
      <c r="I57" s="116">
        <f>G44</f>
        <v>0</v>
      </c>
      <c r="J57" s="116">
        <f>E56</f>
        <v>0</v>
      </c>
      <c r="K57" s="116">
        <f>(L48+F25+F26-F29/12)/2+(F29+F27)/12</f>
        <v>8.4166666666666679</v>
      </c>
      <c r="L57" s="224">
        <f>I57*K57</f>
        <v>0</v>
      </c>
      <c r="M57" s="249">
        <f>J57*K57</f>
        <v>0</v>
      </c>
      <c r="N57" s="249"/>
      <c r="O57" s="43"/>
    </row>
    <row r="58" spans="1:17" x14ac:dyDescent="0.2">
      <c r="A58" s="51"/>
      <c r="B58" s="55" t="s">
        <v>49</v>
      </c>
      <c r="C58" s="36"/>
      <c r="D58" s="52" t="s">
        <v>0</v>
      </c>
      <c r="E58" s="114">
        <f>E52*G46</f>
        <v>18900</v>
      </c>
      <c r="F58" s="168" t="s">
        <v>95</v>
      </c>
      <c r="G58" s="45"/>
      <c r="H58" s="78" t="s">
        <v>60</v>
      </c>
      <c r="I58" s="124">
        <f>SUM(I55:I57)</f>
        <v>6856.8517056611699</v>
      </c>
      <c r="J58" s="115">
        <f>SUM(J55:J57)</f>
        <v>11656.647899623989</v>
      </c>
      <c r="K58" s="115"/>
      <c r="L58" s="121">
        <f>SUM(L55:L57)</f>
        <v>12380.426690777113</v>
      </c>
      <c r="M58" s="278">
        <f>SUM(M55:N57)</f>
        <v>21046.725374321093</v>
      </c>
      <c r="N58" s="278"/>
      <c r="O58" s="43"/>
    </row>
    <row r="59" spans="1:17" x14ac:dyDescent="0.2">
      <c r="A59" s="51"/>
      <c r="B59" s="55" t="s">
        <v>50</v>
      </c>
      <c r="C59" s="36"/>
      <c r="D59" s="52" t="s">
        <v>0</v>
      </c>
      <c r="E59" s="114">
        <f>E52*G47</f>
        <v>5040</v>
      </c>
      <c r="F59" s="168" t="s">
        <v>95</v>
      </c>
      <c r="G59" s="45"/>
      <c r="H59" s="123"/>
      <c r="I59" s="115"/>
      <c r="J59" s="115"/>
      <c r="K59" s="115"/>
      <c r="L59" s="121"/>
      <c r="M59" s="223"/>
      <c r="N59" s="223"/>
      <c r="O59" s="43"/>
    </row>
    <row r="60" spans="1:17" x14ac:dyDescent="0.2">
      <c r="A60" s="51"/>
      <c r="B60" s="55" t="s">
        <v>51</v>
      </c>
      <c r="C60" s="36"/>
      <c r="D60" s="52" t="s">
        <v>0</v>
      </c>
      <c r="E60" s="114">
        <f>E52*G48</f>
        <v>2362.5</v>
      </c>
      <c r="F60" s="168" t="s">
        <v>95</v>
      </c>
      <c r="G60" s="45"/>
      <c r="H60" s="123"/>
      <c r="I60" s="115"/>
      <c r="J60" s="56" t="s">
        <v>69</v>
      </c>
      <c r="K60" s="50"/>
      <c r="L60" s="50"/>
      <c r="M60" s="50"/>
      <c r="N60" s="50"/>
      <c r="O60" s="43"/>
    </row>
    <row r="61" spans="1:17" x14ac:dyDescent="0.2">
      <c r="A61" s="51"/>
      <c r="B61" s="55" t="s">
        <v>52</v>
      </c>
      <c r="C61" s="36"/>
      <c r="D61" s="52" t="s">
        <v>0</v>
      </c>
      <c r="E61" s="114">
        <f>E52*G49</f>
        <v>3307.5</v>
      </c>
      <c r="F61" s="168" t="s">
        <v>95</v>
      </c>
      <c r="G61" s="45"/>
      <c r="H61" s="123"/>
      <c r="I61" s="115"/>
      <c r="J61" s="56"/>
      <c r="K61" s="50"/>
      <c r="L61" s="50"/>
      <c r="M61" s="50"/>
      <c r="N61" s="50"/>
      <c r="O61" s="43"/>
    </row>
    <row r="62" spans="1:17" x14ac:dyDescent="0.2">
      <c r="A62" s="51"/>
      <c r="B62" s="34"/>
      <c r="C62" s="34"/>
      <c r="D62" s="40"/>
      <c r="E62" s="34"/>
      <c r="F62" s="169"/>
      <c r="G62" s="34"/>
      <c r="H62" s="46"/>
      <c r="I62" s="45"/>
      <c r="J62" s="40"/>
      <c r="K62" s="71"/>
      <c r="L62" s="54">
        <f>G69/L58</f>
        <v>3.2559585591689939</v>
      </c>
      <c r="M62" s="73" t="str">
        <f>IF(L62&gt;N62,"&gt;","&lt;")</f>
        <v>&gt;</v>
      </c>
      <c r="N62" s="122">
        <v>2</v>
      </c>
      <c r="O62" s="43"/>
    </row>
    <row r="63" spans="1:17" ht="15.75" x14ac:dyDescent="0.25">
      <c r="A63" s="48" t="s">
        <v>63</v>
      </c>
      <c r="B63" s="75"/>
      <c r="C63" s="74" t="s">
        <v>61</v>
      </c>
      <c r="D63" s="276" t="s">
        <v>62</v>
      </c>
      <c r="E63" s="279"/>
      <c r="F63" s="170" t="s">
        <v>70</v>
      </c>
      <c r="G63" s="74" t="s">
        <v>71</v>
      </c>
      <c r="H63" s="219" t="s">
        <v>72</v>
      </c>
      <c r="I63" s="45"/>
      <c r="J63" s="40"/>
      <c r="K63" s="50"/>
      <c r="L63" s="94" t="str">
        <f>IF(M62="&gt;","[Satisfactory]","[Unsatisfactory]")</f>
        <v>[Satisfactory]</v>
      </c>
      <c r="M63" s="50"/>
      <c r="N63" s="50"/>
      <c r="O63" s="70"/>
    </row>
    <row r="64" spans="1:17" ht="15.75" x14ac:dyDescent="0.25">
      <c r="A64" s="44"/>
      <c r="B64" s="76" t="s">
        <v>65</v>
      </c>
      <c r="C64" s="221">
        <f>G45</f>
        <v>1500</v>
      </c>
      <c r="D64" s="280">
        <f>E57</f>
        <v>2550</v>
      </c>
      <c r="E64" s="281"/>
      <c r="F64" s="171">
        <f>((F22+(F20/100)-(F19/100))/2)+(F19/100)+F21</f>
        <v>2</v>
      </c>
      <c r="G64" s="117">
        <f t="shared" ref="G64:G68" si="1">C64*F64</f>
        <v>3000</v>
      </c>
      <c r="H64" s="117">
        <f t="shared" ref="H64:H68" si="2">D64*F64</f>
        <v>5100</v>
      </c>
      <c r="I64" s="45"/>
      <c r="J64" s="40"/>
      <c r="K64" s="50"/>
      <c r="L64" s="50"/>
      <c r="M64" s="50"/>
      <c r="N64" s="50"/>
      <c r="O64" s="70"/>
      <c r="Q64"/>
    </row>
    <row r="65" spans="1:15" x14ac:dyDescent="0.2">
      <c r="A65" s="44"/>
      <c r="B65" s="76" t="s">
        <v>64</v>
      </c>
      <c r="C65" s="221">
        <f>G46</f>
        <v>13500</v>
      </c>
      <c r="D65" s="280">
        <f>E58</f>
        <v>18900</v>
      </c>
      <c r="E65" s="281"/>
      <c r="F65" s="171">
        <f>(((2/3*(F20-F19)/100*0.5*(F20-F19)/100*(F25+F26))+(F22/2*F22*(F25+F26))))/((0.5*(F22+F22+((F20-F19)/100))*(F25+F26)))+(F20/100)+F21</f>
        <v>2.0777777777777775</v>
      </c>
      <c r="G65" s="119">
        <f t="shared" si="1"/>
        <v>28049.999999999996</v>
      </c>
      <c r="H65" s="117">
        <f t="shared" si="2"/>
        <v>39269.999999999993</v>
      </c>
      <c r="I65" s="45"/>
      <c r="J65" s="56" t="s">
        <v>113</v>
      </c>
      <c r="K65" s="50"/>
      <c r="L65" s="50"/>
      <c r="M65" s="50"/>
      <c r="N65" s="50"/>
      <c r="O65" s="70"/>
    </row>
    <row r="66" spans="1:15" x14ac:dyDescent="0.2">
      <c r="A66" s="44"/>
      <c r="B66" s="76" t="s">
        <v>66</v>
      </c>
      <c r="C66" s="221">
        <f>G47</f>
        <v>3600</v>
      </c>
      <c r="D66" s="280">
        <f>E59</f>
        <v>5040</v>
      </c>
      <c r="E66" s="281"/>
      <c r="F66" s="171">
        <f>(F21+(F20/100)+F22)/2</f>
        <v>1.5</v>
      </c>
      <c r="G66" s="117">
        <f t="shared" si="1"/>
        <v>5400</v>
      </c>
      <c r="H66" s="117">
        <f t="shared" si="2"/>
        <v>7560</v>
      </c>
      <c r="I66" s="45"/>
      <c r="J66" s="40"/>
      <c r="K66" s="50"/>
      <c r="L66" s="50"/>
      <c r="M66" s="50"/>
      <c r="N66" s="50"/>
      <c r="O66" s="70"/>
    </row>
    <row r="67" spans="1:15" x14ac:dyDescent="0.2">
      <c r="A67" s="44"/>
      <c r="B67" s="76" t="s">
        <v>67</v>
      </c>
      <c r="C67" s="221">
        <f t="shared" ref="C67:C68" si="3">G48</f>
        <v>1687.5</v>
      </c>
      <c r="D67" s="280">
        <f t="shared" ref="D67:D68" si="4">E60</f>
        <v>2362.5</v>
      </c>
      <c r="E67" s="281"/>
      <c r="F67" s="171">
        <f>((F19/200)+(1.5/3/3*(F20-F19)/100))+F21</f>
        <v>0.91666666666666663</v>
      </c>
      <c r="G67" s="117">
        <f t="shared" si="1"/>
        <v>1546.875</v>
      </c>
      <c r="H67" s="117">
        <f t="shared" si="2"/>
        <v>2165.625</v>
      </c>
      <c r="I67" s="45"/>
      <c r="J67" s="40"/>
      <c r="K67" s="50"/>
      <c r="L67" s="54">
        <f>C69*F17/I58</f>
        <v>1.6516326276459832</v>
      </c>
      <c r="M67" s="73" t="str">
        <f>IF(L67&gt;N67,"&gt;","&lt;")</f>
        <v>&gt;</v>
      </c>
      <c r="N67" s="126">
        <v>1.5</v>
      </c>
      <c r="O67" s="70"/>
    </row>
    <row r="68" spans="1:15" ht="15.75" x14ac:dyDescent="0.25">
      <c r="A68" s="44"/>
      <c r="B68" s="77" t="s">
        <v>68</v>
      </c>
      <c r="C68" s="222">
        <f t="shared" si="3"/>
        <v>2362.5</v>
      </c>
      <c r="D68" s="288">
        <f t="shared" si="4"/>
        <v>3307.5</v>
      </c>
      <c r="E68" s="289"/>
      <c r="F68" s="172">
        <f>(1.5*(F20-F19)/200)+(1.5/3/3*(F20-F19)/100)+F21</f>
        <v>0.97916666666666663</v>
      </c>
      <c r="G68" s="118">
        <f t="shared" si="1"/>
        <v>2313.28125</v>
      </c>
      <c r="H68" s="118">
        <f t="shared" si="2"/>
        <v>3238.59375</v>
      </c>
      <c r="I68" s="45"/>
      <c r="J68" s="40"/>
      <c r="K68" s="50"/>
      <c r="L68" s="127" t="str">
        <f>IF(M67="&gt;","[Satisfactory]","[Unsatisfactory]")</f>
        <v>[Satisfactory]</v>
      </c>
      <c r="M68" s="50"/>
      <c r="N68" s="130"/>
      <c r="O68" s="70"/>
    </row>
    <row r="69" spans="1:15" x14ac:dyDescent="0.2">
      <c r="A69" s="44"/>
      <c r="B69" s="78" t="s">
        <v>60</v>
      </c>
      <c r="C69" s="125">
        <f>SUM(C64:C68)</f>
        <v>22650</v>
      </c>
      <c r="D69" s="280">
        <f>SUM(D64:D68)</f>
        <v>32160</v>
      </c>
      <c r="E69" s="281"/>
      <c r="F69" s="173"/>
      <c r="G69" s="120">
        <f>SUM(G64:G68)</f>
        <v>40310.15625</v>
      </c>
      <c r="H69" s="117">
        <f>SUM(H64:H68)</f>
        <v>57334.218749999993</v>
      </c>
      <c r="I69" s="45"/>
      <c r="J69" s="40"/>
      <c r="K69" s="50"/>
      <c r="L69" s="50"/>
      <c r="M69" s="50"/>
      <c r="N69" s="50"/>
      <c r="O69" s="70"/>
    </row>
    <row r="70" spans="1:15" ht="13.5" thickBot="1" x14ac:dyDescent="0.25">
      <c r="A70" s="132"/>
      <c r="B70" s="58"/>
      <c r="C70" s="59"/>
      <c r="D70" s="60"/>
      <c r="E70" s="60"/>
      <c r="F70" s="174"/>
      <c r="G70" s="61"/>
      <c r="H70" s="62"/>
      <c r="I70" s="61"/>
      <c r="J70" s="60"/>
      <c r="K70" s="58"/>
      <c r="L70" s="58"/>
      <c r="M70" s="58"/>
      <c r="N70" s="58"/>
      <c r="O70" s="72"/>
    </row>
    <row r="71" spans="1:15" ht="15.75" customHeight="1" x14ac:dyDescent="0.2">
      <c r="A71" s="284" t="s">
        <v>112</v>
      </c>
      <c r="B71" s="285"/>
      <c r="C71" s="285"/>
      <c r="D71" s="285"/>
      <c r="E71" s="285"/>
      <c r="F71" s="285"/>
      <c r="G71" s="66"/>
      <c r="H71" s="67"/>
      <c r="I71" s="66"/>
      <c r="J71" s="65"/>
      <c r="K71" s="68"/>
      <c r="L71" s="68"/>
      <c r="M71" s="68"/>
      <c r="N71" s="68"/>
      <c r="O71" s="69"/>
    </row>
    <row r="72" spans="1:15" s="28" customFormat="1" x14ac:dyDescent="0.2">
      <c r="A72" s="286"/>
      <c r="B72" s="287"/>
      <c r="C72" s="287"/>
      <c r="D72" s="287"/>
      <c r="E72" s="287"/>
      <c r="F72" s="287"/>
      <c r="G72" s="45"/>
      <c r="H72" s="107"/>
      <c r="I72" s="45"/>
      <c r="J72" s="40"/>
      <c r="K72" s="34"/>
      <c r="L72" s="34"/>
      <c r="M72" s="34"/>
      <c r="N72" s="34"/>
      <c r="O72" s="43"/>
    </row>
    <row r="73" spans="1:15" s="28" customFormat="1" ht="11.25" x14ac:dyDescent="0.2">
      <c r="A73" s="49"/>
      <c r="B73" s="50"/>
      <c r="C73" s="36"/>
      <c r="D73" s="40"/>
      <c r="E73" s="40"/>
      <c r="F73" s="175"/>
      <c r="G73" s="45"/>
      <c r="H73" s="46"/>
      <c r="I73" s="45"/>
      <c r="J73" s="40"/>
      <c r="K73" s="36"/>
      <c r="L73" s="36"/>
      <c r="M73" s="36"/>
      <c r="N73" s="36"/>
      <c r="O73" s="47"/>
    </row>
    <row r="74" spans="1:15" s="28" customFormat="1" ht="11.25" x14ac:dyDescent="0.2">
      <c r="A74" s="49"/>
      <c r="B74" s="50"/>
      <c r="C74" s="71" t="s">
        <v>0</v>
      </c>
      <c r="D74" s="282">
        <f>F21+F20/100+F22</f>
        <v>3</v>
      </c>
      <c r="E74" s="290"/>
      <c r="F74" s="176" t="s">
        <v>30</v>
      </c>
      <c r="G74" s="36"/>
      <c r="H74" s="36"/>
      <c r="I74" s="45"/>
      <c r="J74" s="40"/>
      <c r="K74" s="36"/>
      <c r="L74" s="39" t="s">
        <v>0</v>
      </c>
      <c r="M74" s="80">
        <f>(D74)/2-(G69-L58)/C69</f>
        <v>0.26689935720870261</v>
      </c>
      <c r="N74" s="81" t="s">
        <v>30</v>
      </c>
      <c r="O74" s="47"/>
    </row>
    <row r="75" spans="1:15" s="28" customFormat="1" ht="11.25" x14ac:dyDescent="0.2">
      <c r="A75" s="49"/>
      <c r="B75" s="50"/>
      <c r="C75" s="36"/>
      <c r="D75" s="40"/>
      <c r="E75" s="40"/>
      <c r="F75" s="175"/>
      <c r="G75" s="45"/>
      <c r="H75" s="46"/>
      <c r="I75" s="45"/>
      <c r="J75" s="40"/>
      <c r="K75" s="36"/>
      <c r="L75" s="36"/>
      <c r="M75" s="36"/>
      <c r="N75" s="36"/>
      <c r="O75" s="47"/>
    </row>
    <row r="76" spans="1:15" s="28" customFormat="1" ht="11.25" x14ac:dyDescent="0.2">
      <c r="A76" s="49"/>
      <c r="B76" s="50"/>
      <c r="C76" s="36"/>
      <c r="D76" s="40"/>
      <c r="E76" s="40"/>
      <c r="F76" s="175"/>
      <c r="G76" s="45"/>
      <c r="H76" s="46"/>
      <c r="I76" s="45"/>
      <c r="J76" s="40"/>
      <c r="K76" s="36"/>
      <c r="L76" s="36"/>
      <c r="M76" s="36"/>
      <c r="N76" s="36"/>
      <c r="O76" s="47"/>
    </row>
    <row r="77" spans="1:15" x14ac:dyDescent="0.2">
      <c r="A77" s="49"/>
      <c r="B77" s="50"/>
      <c r="C77" s="36"/>
      <c r="D77" s="40"/>
      <c r="E77" s="40"/>
      <c r="F77" s="175"/>
      <c r="G77" s="45"/>
      <c r="H77" s="46"/>
      <c r="I77" s="45"/>
      <c r="J77" s="40"/>
      <c r="K77" s="50"/>
      <c r="L77" s="50"/>
      <c r="M77" s="50"/>
      <c r="N77" s="50"/>
      <c r="O77" s="47"/>
    </row>
    <row r="78" spans="1:15" x14ac:dyDescent="0.2">
      <c r="A78" s="49"/>
      <c r="B78" s="50"/>
      <c r="C78" s="36"/>
      <c r="D78" s="40"/>
      <c r="E78" s="40"/>
      <c r="F78" s="175"/>
      <c r="G78" s="45"/>
      <c r="H78" s="46"/>
      <c r="I78" s="45"/>
      <c r="J78" s="40"/>
      <c r="K78" s="50"/>
      <c r="L78" s="50"/>
      <c r="M78" s="50"/>
      <c r="N78" s="50"/>
      <c r="O78" s="43"/>
    </row>
    <row r="79" spans="1:15" x14ac:dyDescent="0.2">
      <c r="A79" s="49"/>
      <c r="B79" s="50"/>
      <c r="C79" s="36"/>
      <c r="D79" s="40"/>
      <c r="E79" s="40"/>
      <c r="F79" s="175"/>
      <c r="G79" s="82" t="s">
        <v>0</v>
      </c>
      <c r="H79" s="133">
        <f>IF(M74&lt;=D74/6,C69*(1+6*M74/D74)/D74,2*C69/3/(0.5*D74-M74))</f>
        <v>11580.180293851408</v>
      </c>
      <c r="I79" s="20" t="s">
        <v>82</v>
      </c>
      <c r="J79" s="145" t="str">
        <f>IF(H79&gt;F18,"&gt;","&lt;")</f>
        <v>&lt;</v>
      </c>
      <c r="K79" s="134" t="s">
        <v>115</v>
      </c>
      <c r="L79" s="83"/>
      <c r="M79" s="84" t="str">
        <f>IF(J79="&lt;","[Satisfactory]","[Unsatisfactory]")</f>
        <v>[Satisfactory]</v>
      </c>
      <c r="N79" s="50"/>
      <c r="O79" s="43"/>
    </row>
    <row r="80" spans="1:15" x14ac:dyDescent="0.2">
      <c r="A80" s="49"/>
      <c r="B80" s="50"/>
      <c r="C80" s="36"/>
      <c r="D80" s="40"/>
      <c r="E80" s="40"/>
      <c r="F80" s="175"/>
      <c r="G80" s="45"/>
      <c r="H80" s="46"/>
      <c r="I80" s="45"/>
      <c r="J80" s="40"/>
      <c r="K80" s="50"/>
      <c r="L80" s="50"/>
      <c r="M80" s="50"/>
      <c r="N80" s="50"/>
      <c r="O80" s="43"/>
    </row>
    <row r="81" spans="1:15" x14ac:dyDescent="0.2">
      <c r="A81" s="49"/>
      <c r="B81" s="50"/>
      <c r="C81" s="36"/>
      <c r="D81" s="40"/>
      <c r="E81" s="40"/>
      <c r="F81" s="175"/>
      <c r="G81" s="45"/>
      <c r="H81" s="161">
        <f>C69/D74*(1-(6*M74/D74))</f>
        <v>3519.8197061485907</v>
      </c>
      <c r="I81" s="45"/>
      <c r="J81" s="40"/>
      <c r="K81" s="50"/>
      <c r="L81" s="50"/>
      <c r="M81" s="50"/>
      <c r="N81" s="50"/>
      <c r="O81" s="43"/>
    </row>
    <row r="82" spans="1:15" x14ac:dyDescent="0.2">
      <c r="A82" s="49"/>
      <c r="B82" s="50"/>
      <c r="C82" s="36"/>
      <c r="D82" s="40"/>
      <c r="E82" s="40"/>
      <c r="F82" s="175"/>
      <c r="G82" s="45"/>
      <c r="H82" s="46"/>
      <c r="I82" s="45"/>
      <c r="J82" s="40"/>
      <c r="K82" s="34"/>
      <c r="L82" s="34"/>
      <c r="M82" s="34"/>
      <c r="N82" s="34"/>
      <c r="O82" s="43"/>
    </row>
    <row r="83" spans="1:15" x14ac:dyDescent="0.2">
      <c r="A83" s="79" t="s">
        <v>116</v>
      </c>
      <c r="B83" s="50"/>
      <c r="C83" s="36"/>
      <c r="D83" s="40"/>
      <c r="E83" s="40"/>
      <c r="F83" s="175"/>
      <c r="G83" s="45"/>
      <c r="H83" s="46"/>
      <c r="I83" s="45"/>
      <c r="J83" s="40"/>
      <c r="K83" s="34"/>
      <c r="L83" s="34"/>
      <c r="M83" s="34"/>
      <c r="N83" s="34"/>
      <c r="O83" s="43"/>
    </row>
    <row r="84" spans="1:15" x14ac:dyDescent="0.2">
      <c r="A84" s="49"/>
      <c r="B84" s="50"/>
      <c r="C84" s="36"/>
      <c r="D84" s="40"/>
      <c r="E84" s="40"/>
      <c r="F84" s="175"/>
      <c r="G84" s="45"/>
      <c r="H84" s="46"/>
      <c r="I84" s="45"/>
      <c r="J84" s="40"/>
      <c r="K84" s="34"/>
      <c r="L84" s="34"/>
      <c r="M84" s="34"/>
      <c r="N84" s="34"/>
      <c r="O84" s="43"/>
    </row>
    <row r="85" spans="1:15" x14ac:dyDescent="0.2">
      <c r="A85" s="49"/>
      <c r="B85" s="50"/>
      <c r="C85" s="36"/>
      <c r="D85" s="85" t="s">
        <v>119</v>
      </c>
      <c r="E85" s="40"/>
      <c r="F85" s="141"/>
      <c r="G85" s="85"/>
      <c r="H85" s="45"/>
      <c r="I85" s="85" t="s">
        <v>120</v>
      </c>
      <c r="J85" s="85"/>
      <c r="K85" s="45"/>
      <c r="L85" s="34"/>
      <c r="M85" s="34"/>
      <c r="N85" s="34"/>
      <c r="O85" s="43"/>
    </row>
    <row r="86" spans="1:15" ht="15.75" x14ac:dyDescent="0.3">
      <c r="A86" s="49"/>
      <c r="B86" s="50"/>
      <c r="C86" s="36"/>
      <c r="D86" s="82" t="s">
        <v>118</v>
      </c>
      <c r="E86" s="40" t="s">
        <v>0</v>
      </c>
      <c r="F86" s="177">
        <f>0.5*F14*(F25+F26)^2*I41</f>
        <v>4628.3749013212901</v>
      </c>
      <c r="G86" s="45" t="s">
        <v>95</v>
      </c>
      <c r="H86" s="45"/>
      <c r="I86" s="82" t="s">
        <v>121</v>
      </c>
      <c r="J86" s="40" t="s">
        <v>0</v>
      </c>
      <c r="K86" s="80">
        <f>(F15+F16)*(F25+F26)*I41</f>
        <v>1028.5277558491755</v>
      </c>
      <c r="L86" s="34" t="s">
        <v>95</v>
      </c>
      <c r="M86" s="34"/>
      <c r="N86" s="34"/>
      <c r="O86" s="43"/>
    </row>
    <row r="87" spans="1:15" x14ac:dyDescent="0.2">
      <c r="A87" s="48" t="s">
        <v>73</v>
      </c>
      <c r="B87" s="50"/>
      <c r="C87" s="36"/>
      <c r="D87" s="40"/>
      <c r="E87" s="40"/>
      <c r="F87" s="141"/>
      <c r="G87" s="39"/>
      <c r="H87" s="45"/>
      <c r="I87" s="46"/>
      <c r="J87" s="45"/>
      <c r="K87" s="40"/>
      <c r="L87" s="34"/>
      <c r="M87" s="34"/>
      <c r="N87" s="34"/>
      <c r="O87" s="43"/>
    </row>
    <row r="88" spans="1:15" x14ac:dyDescent="0.2">
      <c r="A88" s="49"/>
      <c r="B88" s="50"/>
      <c r="C88" s="36"/>
      <c r="D88" s="55" t="s">
        <v>122</v>
      </c>
      <c r="E88" s="36"/>
      <c r="F88" s="141" t="s">
        <v>0</v>
      </c>
      <c r="G88" s="114">
        <f>E53*F86</f>
        <v>7868.2373322461926</v>
      </c>
      <c r="H88" s="20" t="s">
        <v>95</v>
      </c>
      <c r="I88" s="139" t="s">
        <v>130</v>
      </c>
      <c r="J88" s="138"/>
      <c r="K88" s="141" t="s">
        <v>0</v>
      </c>
      <c r="L88" s="143">
        <v>5</v>
      </c>
      <c r="M88" s="142" t="s">
        <v>83</v>
      </c>
      <c r="N88" s="34"/>
      <c r="O88" s="43"/>
    </row>
    <row r="89" spans="1:15" x14ac:dyDescent="0.2">
      <c r="A89" s="49"/>
      <c r="B89" s="50"/>
      <c r="C89" s="36"/>
      <c r="D89" s="55" t="s">
        <v>123</v>
      </c>
      <c r="E89" s="36"/>
      <c r="F89" s="141" t="s">
        <v>0</v>
      </c>
      <c r="G89" s="114">
        <f>E53*K86</f>
        <v>1748.4971849435983</v>
      </c>
      <c r="H89" s="20" t="s">
        <v>95</v>
      </c>
      <c r="I89" s="46"/>
      <c r="J89" s="32"/>
      <c r="K89" s="45"/>
      <c r="L89" s="34"/>
      <c r="M89" s="34"/>
      <c r="N89" s="34"/>
      <c r="O89" s="43"/>
    </row>
    <row r="90" spans="1:15" x14ac:dyDescent="0.2">
      <c r="A90" s="49"/>
      <c r="B90" s="50"/>
      <c r="C90" s="36"/>
      <c r="D90" s="40"/>
      <c r="E90" s="40"/>
      <c r="F90" s="175"/>
      <c r="G90" s="45"/>
      <c r="H90" s="46"/>
      <c r="I90" s="45"/>
      <c r="J90" s="40"/>
      <c r="K90" s="34"/>
      <c r="L90" s="34"/>
      <c r="M90" s="34"/>
      <c r="N90" s="34"/>
      <c r="O90" s="43"/>
    </row>
    <row r="91" spans="1:15" x14ac:dyDescent="0.2">
      <c r="A91" s="49"/>
      <c r="B91" s="50"/>
      <c r="C91" s="36"/>
      <c r="D91" s="40" t="s">
        <v>149</v>
      </c>
      <c r="E91" s="40" t="s">
        <v>0</v>
      </c>
      <c r="F91" s="178">
        <f>(G88*(F25+F26)/3)+(G89*(F25+F26)/2)</f>
        <v>15736.474664492385</v>
      </c>
      <c r="G91" s="45" t="s">
        <v>124</v>
      </c>
      <c r="H91" s="46"/>
      <c r="I91" s="45"/>
      <c r="J91" s="40"/>
      <c r="K91" s="34"/>
      <c r="L91" s="34"/>
      <c r="M91" s="34"/>
      <c r="N91" s="34"/>
      <c r="O91" s="43"/>
    </row>
    <row r="92" spans="1:15" x14ac:dyDescent="0.2">
      <c r="A92" s="49"/>
      <c r="B92" s="50"/>
      <c r="C92" s="36"/>
      <c r="D92" s="40" t="s">
        <v>150</v>
      </c>
      <c r="E92" s="40" t="s">
        <v>0</v>
      </c>
      <c r="F92" s="162">
        <f>G88+G89</f>
        <v>9616.7345171897905</v>
      </c>
      <c r="G92" s="45" t="s">
        <v>95</v>
      </c>
      <c r="H92" s="46"/>
      <c r="I92" s="45"/>
      <c r="J92" s="40"/>
      <c r="K92" s="34"/>
      <c r="L92" s="34"/>
      <c r="M92" s="34"/>
      <c r="N92" s="34"/>
      <c r="O92" s="43"/>
    </row>
    <row r="93" spans="1:15" x14ac:dyDescent="0.2">
      <c r="A93" s="49"/>
      <c r="B93" s="50"/>
      <c r="C93" s="36"/>
      <c r="D93" s="40" t="s">
        <v>129</v>
      </c>
      <c r="E93" s="40" t="s">
        <v>0</v>
      </c>
      <c r="F93" s="179">
        <f>0.85*(0.53*F$11^0.5*100*(F20-L88-(F30/20)))</f>
        <v>30708.110355409368</v>
      </c>
      <c r="G93" s="45" t="s">
        <v>95</v>
      </c>
      <c r="H93" s="144" t="str">
        <f>IF(F93&gt;F92,"&gt;","&lt;")</f>
        <v>&gt;</v>
      </c>
      <c r="I93" s="134" t="s">
        <v>131</v>
      </c>
      <c r="J93" s="83"/>
      <c r="K93" s="84" t="str">
        <f>IF(H93="&gt;","[Satisfactory]","[Unsatisfactory]")</f>
        <v>[Satisfactory]</v>
      </c>
      <c r="L93" s="50"/>
      <c r="M93" s="34"/>
      <c r="N93" s="34"/>
      <c r="O93" s="43"/>
    </row>
    <row r="94" spans="1:15" x14ac:dyDescent="0.2">
      <c r="A94" s="49"/>
      <c r="B94" s="50"/>
      <c r="C94" s="36"/>
      <c r="D94" s="19" t="s">
        <v>132</v>
      </c>
      <c r="E94" s="40" t="s">
        <v>0</v>
      </c>
      <c r="F94" s="180">
        <f>F91*100/(0.9*100*(F20-L88-(F30/20))^2)</f>
        <v>9.0314937238822228</v>
      </c>
      <c r="G94" s="147" t="s">
        <v>133</v>
      </c>
      <c r="H94" s="85"/>
      <c r="I94" s="45"/>
      <c r="J94" s="40"/>
      <c r="K94" s="34"/>
      <c r="L94" s="34"/>
      <c r="M94" s="34"/>
      <c r="N94" s="34"/>
      <c r="O94" s="43"/>
    </row>
    <row r="95" spans="1:15" ht="14.25" x14ac:dyDescent="0.25">
      <c r="A95" s="49"/>
      <c r="B95" s="19"/>
      <c r="C95" s="30"/>
      <c r="D95" s="19" t="s">
        <v>134</v>
      </c>
      <c r="E95" s="40" t="s">
        <v>0</v>
      </c>
      <c r="F95" s="181">
        <f>(0.85*F11/F13)*(1-(1-(2*F94/0.85/F11))^0.5)</f>
        <v>3.0802627507062444E-3</v>
      </c>
      <c r="G95" s="30" t="s">
        <v>136</v>
      </c>
      <c r="H95" s="19" t="s">
        <v>135</v>
      </c>
      <c r="I95" s="40" t="s">
        <v>0</v>
      </c>
      <c r="J95" s="148">
        <f>14/F$13</f>
        <v>4.6666666666666671E-3</v>
      </c>
      <c r="K95" s="134"/>
      <c r="L95" s="149" t="s">
        <v>137</v>
      </c>
      <c r="M95" s="144" t="str">
        <f>IF(F95&gt;J95,"&gt;","&lt;")</f>
        <v>&lt;</v>
      </c>
      <c r="N95" s="150" t="s">
        <v>138</v>
      </c>
      <c r="O95" s="43"/>
    </row>
    <row r="96" spans="1:15" x14ac:dyDescent="0.2">
      <c r="A96" s="49"/>
      <c r="B96" s="50"/>
      <c r="C96" s="30"/>
      <c r="D96" s="19" t="s">
        <v>21</v>
      </c>
      <c r="E96" s="32" t="s">
        <v>0</v>
      </c>
      <c r="F96" s="182">
        <f>IF(F95&lt;J95,J95*100*(F20-L88-(F30/20)),F95*100*(F20-L88-(F30/20)))</f>
        <v>20.533333333333335</v>
      </c>
      <c r="G96" s="147" t="s">
        <v>133</v>
      </c>
      <c r="H96" s="32"/>
      <c r="I96" s="20"/>
      <c r="J96" s="40"/>
      <c r="K96" s="34"/>
      <c r="L96" s="34"/>
      <c r="M96" s="34"/>
      <c r="N96" s="34"/>
      <c r="O96" s="43"/>
    </row>
    <row r="97" spans="1:15" x14ac:dyDescent="0.2">
      <c r="A97" s="49" t="s">
        <v>139</v>
      </c>
      <c r="B97" s="50"/>
      <c r="C97" s="30"/>
      <c r="D97" s="19"/>
      <c r="E97" s="86"/>
      <c r="F97" s="183">
        <f>IF(E98=12,F96/R14,IF(E98=16,F96/R15,IF(E98=20,F96/R16,IF(E98=25,F96/R17,IF(E98=28,F96/R18,IF(E98=32,F96/R19,IF(E98=40,F96/R20)))))))</f>
        <v>6.5359629954537493</v>
      </c>
      <c r="G97" s="45"/>
      <c r="H97" s="86"/>
      <c r="I97" s="20"/>
      <c r="J97" s="40"/>
      <c r="K97" s="34"/>
      <c r="L97" s="34"/>
      <c r="M97" s="34"/>
      <c r="N97" s="34"/>
      <c r="O97" s="43"/>
    </row>
    <row r="98" spans="1:15" x14ac:dyDescent="0.2">
      <c r="A98" s="49"/>
      <c r="B98" s="50"/>
      <c r="C98" s="30"/>
      <c r="D98" s="24" t="s">
        <v>140</v>
      </c>
      <c r="E98" s="146">
        <f>F30</f>
        <v>20</v>
      </c>
      <c r="F98" s="182" t="s">
        <v>18</v>
      </c>
      <c r="G98" s="114">
        <f>100/F97</f>
        <v>15.299964224025974</v>
      </c>
      <c r="H98" s="160" t="s">
        <v>83</v>
      </c>
      <c r="I98" s="20"/>
      <c r="J98" s="40"/>
      <c r="K98" s="34"/>
      <c r="L98" s="34"/>
      <c r="M98" s="34"/>
      <c r="N98" s="34"/>
      <c r="O98" s="43"/>
    </row>
    <row r="99" spans="1:15" x14ac:dyDescent="0.2">
      <c r="A99" s="49"/>
      <c r="B99" s="50"/>
      <c r="C99" s="30"/>
      <c r="D99" s="24"/>
      <c r="E99" s="146"/>
      <c r="F99" s="182"/>
      <c r="G99" s="114"/>
      <c r="H99" s="160"/>
      <c r="I99" s="20"/>
      <c r="J99" s="40"/>
      <c r="K99" s="34"/>
      <c r="L99" s="34"/>
      <c r="M99" s="34"/>
      <c r="N99" s="34"/>
      <c r="O99" s="43"/>
    </row>
    <row r="100" spans="1:15" x14ac:dyDescent="0.2">
      <c r="A100" s="49" t="s">
        <v>144</v>
      </c>
      <c r="B100" s="50"/>
      <c r="C100" s="30"/>
      <c r="D100" s="19"/>
      <c r="E100" s="31"/>
      <c r="F100" s="184">
        <f>IF(E102=12,F101/R14,IF(E102=16,F101/R15,IF(E102=20,F101/R16,IF(E102=25,F101/R17,IF(E102=28,F101/R18,IF(E102=32,F101/R19,IF(E102=40,F101/R20)))))))</f>
        <v>3.3157279806482092</v>
      </c>
      <c r="G100" s="45"/>
      <c r="H100" s="31"/>
      <c r="I100" s="20"/>
      <c r="J100" s="40"/>
      <c r="K100" s="34"/>
      <c r="L100" s="34"/>
      <c r="M100" s="34"/>
      <c r="N100" s="34"/>
      <c r="O100" s="43"/>
    </row>
    <row r="101" spans="1:15" x14ac:dyDescent="0.2">
      <c r="A101" s="49"/>
      <c r="B101" s="50"/>
      <c r="C101" s="30"/>
      <c r="D101" s="19" t="s">
        <v>21</v>
      </c>
      <c r="E101" s="86" t="s">
        <v>0</v>
      </c>
      <c r="F101" s="182">
        <f>2/3*0.0015*100*(F19+F20)/2</f>
        <v>3.75</v>
      </c>
      <c r="G101" s="147" t="s">
        <v>133</v>
      </c>
      <c r="H101" s="86"/>
      <c r="I101" s="20"/>
      <c r="J101" s="40"/>
      <c r="K101" s="34"/>
      <c r="L101" s="34"/>
      <c r="M101" s="34"/>
      <c r="N101" s="34"/>
      <c r="O101" s="43"/>
    </row>
    <row r="102" spans="1:15" ht="13.5" thickBot="1" x14ac:dyDescent="0.25">
      <c r="A102" s="57"/>
      <c r="B102" s="58"/>
      <c r="C102" s="231"/>
      <c r="D102" s="26" t="s">
        <v>140</v>
      </c>
      <c r="E102" s="232">
        <f>F31</f>
        <v>12</v>
      </c>
      <c r="F102" s="233" t="s">
        <v>18</v>
      </c>
      <c r="G102" s="234">
        <f>100/F100</f>
        <v>30.159289478399995</v>
      </c>
      <c r="H102" s="235" t="s">
        <v>83</v>
      </c>
      <c r="I102" s="61"/>
      <c r="J102" s="60"/>
      <c r="K102" s="90"/>
      <c r="L102" s="90"/>
      <c r="M102" s="90"/>
      <c r="N102" s="90"/>
      <c r="O102" s="91"/>
    </row>
    <row r="103" spans="1:15" x14ac:dyDescent="0.2">
      <c r="A103" s="49"/>
      <c r="B103" s="50"/>
      <c r="C103" s="30"/>
      <c r="D103" s="19"/>
      <c r="E103" s="31"/>
      <c r="F103" s="168"/>
      <c r="G103" s="45"/>
      <c r="H103" s="31"/>
      <c r="I103" s="20"/>
      <c r="J103" s="40"/>
      <c r="K103" s="34"/>
      <c r="L103" s="34"/>
      <c r="M103" s="34"/>
      <c r="N103" s="34"/>
      <c r="O103" s="43"/>
    </row>
    <row r="104" spans="1:15" x14ac:dyDescent="0.2">
      <c r="A104" s="79" t="s">
        <v>148</v>
      </c>
      <c r="B104" s="50"/>
      <c r="C104" s="30"/>
      <c r="D104" s="19"/>
      <c r="E104" s="87"/>
      <c r="F104" s="168"/>
      <c r="G104" s="45"/>
      <c r="H104" s="87"/>
      <c r="I104" s="20"/>
      <c r="J104" s="40"/>
      <c r="K104" s="34"/>
      <c r="L104" s="34"/>
      <c r="M104" s="34"/>
      <c r="N104" s="34"/>
      <c r="O104" s="43"/>
    </row>
    <row r="105" spans="1:15" x14ac:dyDescent="0.2">
      <c r="A105" s="49"/>
      <c r="B105" s="50"/>
      <c r="C105" s="30"/>
      <c r="D105" s="19"/>
      <c r="E105" s="32"/>
      <c r="F105" s="175"/>
      <c r="G105" s="45"/>
      <c r="H105" s="32"/>
      <c r="I105" s="45"/>
      <c r="J105" s="40"/>
      <c r="K105" s="34"/>
      <c r="L105" s="34"/>
      <c r="M105" s="34"/>
      <c r="N105" s="34"/>
      <c r="O105" s="43"/>
    </row>
    <row r="106" spans="1:15" x14ac:dyDescent="0.2">
      <c r="A106" s="49"/>
      <c r="B106" s="50" t="s">
        <v>151</v>
      </c>
      <c r="C106" s="45" t="s">
        <v>136</v>
      </c>
      <c r="D106" s="19" t="s">
        <v>155</v>
      </c>
      <c r="E106" s="32" t="s">
        <v>0</v>
      </c>
      <c r="F106" s="175">
        <f>(F27/100*F22*F12)+(F22*(F25+F26)*F14)+(F22*F16)</f>
        <v>16100</v>
      </c>
      <c r="G106" s="45" t="s">
        <v>95</v>
      </c>
      <c r="H106" s="32"/>
      <c r="I106" s="45"/>
      <c r="J106" s="40"/>
      <c r="K106" s="34"/>
      <c r="L106" s="34"/>
      <c r="M106" s="34"/>
      <c r="N106" s="34"/>
      <c r="O106" s="43"/>
    </row>
    <row r="107" spans="1:15" x14ac:dyDescent="0.2">
      <c r="A107" s="49"/>
      <c r="B107" s="50"/>
      <c r="C107" s="71"/>
      <c r="D107" s="40" t="s">
        <v>149</v>
      </c>
      <c r="E107" s="40" t="s">
        <v>0</v>
      </c>
      <c r="F107" s="185">
        <f>E52*F106*F22/2</f>
        <v>19722.5</v>
      </c>
      <c r="G107" s="45" t="s">
        <v>124</v>
      </c>
      <c r="H107" s="200"/>
      <c r="I107" s="85"/>
      <c r="J107" s="40"/>
      <c r="K107" s="34"/>
      <c r="L107" s="34"/>
      <c r="M107" s="34"/>
      <c r="N107" s="34"/>
      <c r="O107" s="43"/>
    </row>
    <row r="108" spans="1:15" x14ac:dyDescent="0.2">
      <c r="A108" s="49"/>
      <c r="B108" s="50"/>
      <c r="C108" s="36"/>
      <c r="D108" s="40" t="s">
        <v>150</v>
      </c>
      <c r="E108" s="40" t="s">
        <v>0</v>
      </c>
      <c r="F108" s="175">
        <f>E52*F106</f>
        <v>22540</v>
      </c>
      <c r="G108" s="45" t="s">
        <v>95</v>
      </c>
      <c r="H108" s="73"/>
      <c r="I108" s="89"/>
      <c r="J108" s="39"/>
      <c r="K108" s="34"/>
      <c r="L108" s="34"/>
      <c r="M108" s="34"/>
      <c r="N108" s="34"/>
      <c r="O108" s="43"/>
    </row>
    <row r="109" spans="1:15" x14ac:dyDescent="0.2">
      <c r="A109" s="49"/>
      <c r="B109" s="50"/>
      <c r="C109" s="36"/>
      <c r="D109" s="40" t="s">
        <v>129</v>
      </c>
      <c r="E109" s="40" t="s">
        <v>0</v>
      </c>
      <c r="F109" s="162">
        <f>0.85*(0.53*F$11^0.5*100*(F27-L88-(F32/20)))</f>
        <v>30708.110355409368</v>
      </c>
      <c r="G109" s="45" t="s">
        <v>95</v>
      </c>
      <c r="H109" s="144" t="str">
        <f>IF(F109&gt;F108,"&gt;","&lt;")</f>
        <v>&gt;</v>
      </c>
      <c r="I109" s="134" t="s">
        <v>131</v>
      </c>
      <c r="J109" s="83"/>
      <c r="K109" s="84" t="str">
        <f>IF(H109="&gt;","[Satisfactory]","[Unsatisfactory]")</f>
        <v>[Satisfactory]</v>
      </c>
      <c r="L109" s="34"/>
      <c r="M109" s="34"/>
      <c r="N109" s="34"/>
      <c r="O109" s="43"/>
    </row>
    <row r="110" spans="1:15" x14ac:dyDescent="0.2">
      <c r="A110" s="79"/>
      <c r="B110" s="50"/>
      <c r="C110" s="36"/>
      <c r="D110" s="19" t="s">
        <v>132</v>
      </c>
      <c r="E110" s="40" t="s">
        <v>0</v>
      </c>
      <c r="F110" s="177">
        <f>F107*100/(0.9*100*(F27-L88-(F32/20))^2)</f>
        <v>11.319157483930212</v>
      </c>
      <c r="G110" s="147" t="s">
        <v>133</v>
      </c>
      <c r="H110" s="46"/>
      <c r="I110" s="45"/>
      <c r="J110" s="40"/>
      <c r="K110" s="34"/>
      <c r="L110" s="34"/>
      <c r="M110" s="34"/>
      <c r="N110" s="34"/>
      <c r="O110" s="43"/>
    </row>
    <row r="111" spans="1:15" ht="14.25" x14ac:dyDescent="0.25">
      <c r="A111" s="79"/>
      <c r="B111" s="50"/>
      <c r="C111" s="36"/>
      <c r="D111" s="19" t="s">
        <v>134</v>
      </c>
      <c r="E111" s="40" t="s">
        <v>0</v>
      </c>
      <c r="F111" s="186">
        <f>(0.85*F11/F13)*(1-(1-(2*F110/0.85/F11))^0.5)</f>
        <v>3.8839734486883805E-3</v>
      </c>
      <c r="G111" s="30" t="s">
        <v>136</v>
      </c>
      <c r="H111" s="19" t="s">
        <v>135</v>
      </c>
      <c r="I111" s="40" t="s">
        <v>0</v>
      </c>
      <c r="J111" s="148">
        <f>14/F$13</f>
        <v>4.6666666666666671E-3</v>
      </c>
      <c r="K111" s="134"/>
      <c r="L111" s="149" t="s">
        <v>137</v>
      </c>
      <c r="M111" s="144" t="str">
        <f>IF(F111&gt;J111,"&gt;","&lt;")</f>
        <v>&lt;</v>
      </c>
      <c r="N111" s="150" t="s">
        <v>138</v>
      </c>
      <c r="O111" s="43"/>
    </row>
    <row r="112" spans="1:15" x14ac:dyDescent="0.2">
      <c r="A112" s="49"/>
      <c r="B112" s="50"/>
      <c r="C112" s="36"/>
      <c r="D112" s="19" t="s">
        <v>21</v>
      </c>
      <c r="E112" s="32" t="s">
        <v>0</v>
      </c>
      <c r="F112" s="177">
        <f>IF(F111&lt;J111,J111*100*(F27-L88-(F32/20)),F111*100*(F27-L88-(F32/20)))</f>
        <v>20.533333333333335</v>
      </c>
      <c r="G112" s="147" t="s">
        <v>133</v>
      </c>
      <c r="H112" s="85"/>
      <c r="I112" s="45"/>
      <c r="J112" s="148"/>
      <c r="K112" s="85"/>
      <c r="L112" s="45"/>
      <c r="M112" s="34"/>
      <c r="N112" s="34"/>
      <c r="O112" s="43"/>
    </row>
    <row r="113" spans="1:15" x14ac:dyDescent="0.2">
      <c r="A113" s="49" t="s">
        <v>147</v>
      </c>
      <c r="B113" s="50"/>
      <c r="C113" s="36"/>
      <c r="D113" s="40"/>
      <c r="E113" s="40"/>
      <c r="F113" s="198">
        <f>IF(E114=12,F112/R14,IF(E114=16,F112/R15,IF(E114=20,F112/R16,IF(E114=25,F112/R17,IF(E114=28,F112/R18,IF(E114=32,F112/R19,IF(E114=40,F112/R20)))))))</f>
        <v>6.5359629954537493</v>
      </c>
      <c r="G113" s="88"/>
      <c r="H113" s="32"/>
      <c r="I113" s="45"/>
      <c r="J113" s="46"/>
      <c r="K113" s="32"/>
      <c r="L113" s="45"/>
      <c r="M113" s="34"/>
      <c r="N113" s="34"/>
      <c r="O113" s="43"/>
    </row>
    <row r="114" spans="1:15" x14ac:dyDescent="0.2">
      <c r="A114" s="49"/>
      <c r="B114" s="50"/>
      <c r="C114" s="36"/>
      <c r="D114" s="30" t="s">
        <v>140</v>
      </c>
      <c r="E114" s="40">
        <f>F32</f>
        <v>20</v>
      </c>
      <c r="F114" s="175" t="s">
        <v>18</v>
      </c>
      <c r="G114" s="114">
        <f>100/F113</f>
        <v>15.299964224025974</v>
      </c>
      <c r="H114" s="45" t="s">
        <v>83</v>
      </c>
      <c r="I114" s="39"/>
      <c r="J114" s="45"/>
      <c r="K114" s="73"/>
      <c r="L114" s="40"/>
      <c r="M114" s="34"/>
      <c r="N114" s="34"/>
      <c r="O114" s="43"/>
    </row>
    <row r="115" spans="1:15" x14ac:dyDescent="0.2">
      <c r="A115" s="49"/>
      <c r="B115" s="50"/>
      <c r="C115" s="36"/>
      <c r="D115" s="40"/>
      <c r="E115" s="40"/>
      <c r="F115" s="175"/>
      <c r="G115" s="40"/>
      <c r="H115" s="84"/>
      <c r="I115" s="39"/>
      <c r="J115" s="45"/>
      <c r="K115" s="40"/>
      <c r="L115" s="84"/>
      <c r="M115" s="34"/>
      <c r="N115" s="34"/>
      <c r="O115" s="43"/>
    </row>
    <row r="116" spans="1:15" x14ac:dyDescent="0.2">
      <c r="A116" s="49"/>
      <c r="B116" s="50" t="s">
        <v>152</v>
      </c>
      <c r="C116" s="36" t="s">
        <v>153</v>
      </c>
      <c r="D116" s="19" t="s">
        <v>154</v>
      </c>
      <c r="E116" s="32" t="s">
        <v>0</v>
      </c>
      <c r="F116" s="175">
        <f>((F20/100*F21*F12))</f>
        <v>900</v>
      </c>
      <c r="G116" s="45" t="s">
        <v>95</v>
      </c>
      <c r="H116" s="32"/>
      <c r="I116" s="139" t="s">
        <v>130</v>
      </c>
      <c r="J116" s="138"/>
      <c r="K116" s="141" t="s">
        <v>0</v>
      </c>
      <c r="L116" s="143">
        <v>7.5</v>
      </c>
      <c r="M116" s="142" t="s">
        <v>83</v>
      </c>
      <c r="N116" s="34"/>
      <c r="O116" s="43"/>
    </row>
    <row r="117" spans="1:15" x14ac:dyDescent="0.2">
      <c r="A117" s="49"/>
      <c r="B117" s="50"/>
      <c r="C117" s="36"/>
      <c r="D117" s="40" t="s">
        <v>156</v>
      </c>
      <c r="E117" s="40" t="s">
        <v>0</v>
      </c>
      <c r="F117" s="162">
        <f>H79-(F21*(H79-H81)/3)</f>
        <v>9565.0901469257042</v>
      </c>
      <c r="G117" s="20" t="s">
        <v>82</v>
      </c>
      <c r="H117" s="200"/>
      <c r="I117" s="85"/>
      <c r="J117" s="40"/>
      <c r="K117" s="34"/>
      <c r="L117" s="34"/>
      <c r="M117" s="34"/>
      <c r="N117" s="34"/>
      <c r="O117" s="43"/>
    </row>
    <row r="118" spans="1:15" x14ac:dyDescent="0.2">
      <c r="A118" s="49"/>
      <c r="B118" s="50"/>
      <c r="C118" s="36"/>
      <c r="D118" s="40" t="s">
        <v>149</v>
      </c>
      <c r="E118" s="40" t="s">
        <v>0</v>
      </c>
      <c r="F118" s="162">
        <f>(E53*0.5*H79*F21*2/3*F21)+(E53*0.5*F117*F21*F21/3)-(0.9*F116*F21/2)</f>
        <v>4911.8687108314198</v>
      </c>
      <c r="G118" s="45" t="s">
        <v>124</v>
      </c>
      <c r="H118" s="200"/>
      <c r="I118" s="85"/>
      <c r="J118" s="40"/>
      <c r="K118" s="34"/>
      <c r="L118" s="34"/>
      <c r="M118" s="34"/>
      <c r="N118" s="34"/>
      <c r="O118" s="43"/>
    </row>
    <row r="119" spans="1:15" x14ac:dyDescent="0.2">
      <c r="A119" s="49"/>
      <c r="B119" s="50"/>
      <c r="C119" s="36"/>
      <c r="D119" s="40" t="s">
        <v>150</v>
      </c>
      <c r="E119" s="40" t="s">
        <v>0</v>
      </c>
      <c r="F119" s="162">
        <f>(E53*0.5*H79*F21)+(E53*0.5*F117*F21)-(0.9*F116)</f>
        <v>12670.109905995409</v>
      </c>
      <c r="G119" s="45" t="s">
        <v>95</v>
      </c>
      <c r="H119" s="73"/>
      <c r="I119" s="89"/>
      <c r="J119" s="39"/>
      <c r="K119" s="34"/>
      <c r="L119" s="34"/>
      <c r="M119" s="34"/>
      <c r="N119" s="34"/>
      <c r="O119" s="43"/>
    </row>
    <row r="120" spans="1:15" x14ac:dyDescent="0.2">
      <c r="A120" s="49"/>
      <c r="B120" s="50"/>
      <c r="C120" s="36"/>
      <c r="D120" s="40" t="s">
        <v>129</v>
      </c>
      <c r="E120" s="40" t="s">
        <v>0</v>
      </c>
      <c r="F120" s="162">
        <f>0.85*(0.53*F$11^0.5*100*(F$20-L116-(F33/20)))</f>
        <v>28963.331357942927</v>
      </c>
      <c r="G120" s="45" t="s">
        <v>95</v>
      </c>
      <c r="H120" s="144" t="str">
        <f>IF(F120&gt;F119,"&gt;","&lt;")</f>
        <v>&gt;</v>
      </c>
      <c r="I120" s="134" t="s">
        <v>131</v>
      </c>
      <c r="J120" s="83"/>
      <c r="K120" s="84" t="str">
        <f>IF(H120="&gt;","[Satisfactory]","[Unsatisfactory]")</f>
        <v>[Satisfactory]</v>
      </c>
      <c r="L120" s="34"/>
      <c r="M120" s="34"/>
      <c r="N120" s="34"/>
      <c r="O120" s="43"/>
    </row>
    <row r="121" spans="1:15" x14ac:dyDescent="0.2">
      <c r="A121" s="79"/>
      <c r="B121" s="50"/>
      <c r="C121" s="36"/>
      <c r="D121" s="19" t="s">
        <v>132</v>
      </c>
      <c r="E121" s="40" t="s">
        <v>0</v>
      </c>
      <c r="F121" s="177">
        <f>F118*100/(0.9*100*(F20-L116-(F33/20))^2)</f>
        <v>3.1688964441421397</v>
      </c>
      <c r="G121" s="147" t="s">
        <v>133</v>
      </c>
      <c r="H121" s="46"/>
      <c r="I121" s="45"/>
      <c r="J121" s="40"/>
      <c r="K121" s="34"/>
      <c r="L121" s="34"/>
      <c r="M121" s="34"/>
      <c r="N121" s="34"/>
      <c r="O121" s="43"/>
    </row>
    <row r="122" spans="1:15" ht="14.25" x14ac:dyDescent="0.25">
      <c r="A122" s="49"/>
      <c r="B122" s="50"/>
      <c r="C122" s="36"/>
      <c r="D122" s="19" t="s">
        <v>134</v>
      </c>
      <c r="E122" s="40" t="s">
        <v>0</v>
      </c>
      <c r="F122" s="186">
        <f>(0.85*F11/F13)*(1-(1-(2*F121/0.85/F11))^0.5)</f>
        <v>1.0646329568673454E-3</v>
      </c>
      <c r="G122" s="30" t="s">
        <v>136</v>
      </c>
      <c r="H122" s="19" t="s">
        <v>135</v>
      </c>
      <c r="I122" s="40" t="s">
        <v>0</v>
      </c>
      <c r="J122" s="148">
        <f>14/F$13</f>
        <v>4.6666666666666671E-3</v>
      </c>
      <c r="K122" s="134"/>
      <c r="L122" s="149" t="s">
        <v>137</v>
      </c>
      <c r="M122" s="144" t="str">
        <f>IF(F122&gt;J122,"&gt;","&lt;")</f>
        <v>&lt;</v>
      </c>
      <c r="N122" s="150" t="s">
        <v>138</v>
      </c>
      <c r="O122" s="43"/>
    </row>
    <row r="123" spans="1:15" x14ac:dyDescent="0.2">
      <c r="A123" s="49"/>
      <c r="B123" s="50"/>
      <c r="C123" s="36"/>
      <c r="D123" s="19" t="s">
        <v>21</v>
      </c>
      <c r="E123" s="32" t="s">
        <v>0</v>
      </c>
      <c r="F123" s="177">
        <f>IF(F122&lt;J122,J122*100*(F27-L116-(F33/20)),F122*100*(F27-L116-(F33/20)))</f>
        <v>19.366666666666671</v>
      </c>
      <c r="G123" s="147" t="s">
        <v>133</v>
      </c>
      <c r="H123" s="85"/>
      <c r="I123" s="45"/>
      <c r="J123" s="148"/>
      <c r="K123" s="85"/>
      <c r="L123" s="45"/>
      <c r="M123" s="34"/>
      <c r="N123" s="34"/>
      <c r="O123" s="43"/>
    </row>
    <row r="124" spans="1:15" x14ac:dyDescent="0.2">
      <c r="A124" s="49" t="s">
        <v>158</v>
      </c>
      <c r="B124" s="50"/>
      <c r="C124" s="36"/>
      <c r="D124" s="40"/>
      <c r="E124" s="40"/>
      <c r="F124" s="198">
        <f>IF(E125=12,F123/R14,IF(E125=16,F123/R15,IF(E125=20,F123/R16,IF(E125=25,F123/R17,IF(E125=28,F123/R18,IF(E125=32,F123/R19,IF(E125=40,F123/R20)))))))</f>
        <v>6.1646014616211504</v>
      </c>
      <c r="G124" s="88"/>
      <c r="H124" s="109"/>
      <c r="I124" s="34"/>
      <c r="J124" s="34"/>
      <c r="K124" s="34"/>
      <c r="L124" s="34"/>
      <c r="M124" s="88"/>
      <c r="N124" s="109"/>
      <c r="O124" s="43"/>
    </row>
    <row r="125" spans="1:15" x14ac:dyDescent="0.2">
      <c r="A125" s="49"/>
      <c r="B125" s="50"/>
      <c r="C125" s="36"/>
      <c r="D125" s="30" t="s">
        <v>140</v>
      </c>
      <c r="E125" s="40">
        <f>F33</f>
        <v>20</v>
      </c>
      <c r="F125" s="175" t="s">
        <v>18</v>
      </c>
      <c r="G125" s="114">
        <f>100/F124</f>
        <v>16.221648815834765</v>
      </c>
      <c r="H125" s="160" t="s">
        <v>83</v>
      </c>
      <c r="I125" s="34"/>
      <c r="J125" s="34"/>
      <c r="K125" s="34"/>
      <c r="L125" s="34"/>
      <c r="M125" s="34"/>
      <c r="N125" s="34"/>
      <c r="O125" s="43"/>
    </row>
    <row r="126" spans="1:15" x14ac:dyDescent="0.2">
      <c r="A126" s="49"/>
      <c r="B126" s="50"/>
      <c r="C126" s="36"/>
      <c r="D126" s="30"/>
      <c r="E126" s="40"/>
      <c r="F126" s="175"/>
      <c r="G126" s="114"/>
      <c r="H126" s="160"/>
      <c r="I126" s="34"/>
      <c r="J126" s="34"/>
      <c r="K126" s="34"/>
      <c r="L126" s="34"/>
      <c r="M126" s="34"/>
      <c r="N126" s="34"/>
      <c r="O126" s="43"/>
    </row>
    <row r="127" spans="1:15" x14ac:dyDescent="0.2">
      <c r="A127" s="199" t="s">
        <v>159</v>
      </c>
      <c r="B127" s="50"/>
      <c r="C127" s="36"/>
      <c r="D127" s="40"/>
      <c r="E127" s="40"/>
      <c r="F127" s="198">
        <f>IF(E129=12,F128/R14,IF(E129=16,F128/R15,IF(E129=20,F128/R16,IF(E129=25,F128/R17,IF(E129=28,F128/R18,IF(E129=32,F128/R19,IF(E129=40,F128/R20)))))))</f>
        <v>14.920775912916938</v>
      </c>
      <c r="G127" s="45"/>
      <c r="H127" s="34"/>
      <c r="I127" s="34"/>
      <c r="J127" s="34"/>
      <c r="K127" s="34"/>
      <c r="L127" s="34"/>
      <c r="M127" s="34"/>
      <c r="N127" s="34"/>
      <c r="O127" s="43"/>
    </row>
    <row r="128" spans="1:15" x14ac:dyDescent="0.2">
      <c r="A128" s="49"/>
      <c r="B128" s="50"/>
      <c r="C128" s="36"/>
      <c r="D128" s="19" t="s">
        <v>21</v>
      </c>
      <c r="E128" s="86" t="s">
        <v>0</v>
      </c>
      <c r="F128" s="182">
        <f>0.002*F27*F23*100</f>
        <v>30.000000000000004</v>
      </c>
      <c r="G128" s="147" t="s">
        <v>133</v>
      </c>
      <c r="H128" s="86"/>
      <c r="I128" s="34"/>
      <c r="J128" s="34"/>
      <c r="K128" s="34"/>
      <c r="L128" s="34"/>
      <c r="M128" s="34"/>
      <c r="N128" s="34"/>
      <c r="O128" s="43"/>
    </row>
    <row r="129" spans="1:15" x14ac:dyDescent="0.2">
      <c r="A129" s="49"/>
      <c r="B129" s="50"/>
      <c r="C129" s="36"/>
      <c r="D129" s="30" t="s">
        <v>140</v>
      </c>
      <c r="E129" s="40">
        <f>F34</f>
        <v>16</v>
      </c>
      <c r="F129" s="175" t="s">
        <v>18</v>
      </c>
      <c r="G129" s="114">
        <f>F23*100/F127</f>
        <v>20.106192985600003</v>
      </c>
      <c r="H129" s="160" t="s">
        <v>83</v>
      </c>
      <c r="I129" s="34"/>
      <c r="J129" s="34"/>
      <c r="K129" s="34"/>
      <c r="L129" s="34"/>
      <c r="M129" s="34"/>
      <c r="N129" s="34"/>
      <c r="O129" s="43"/>
    </row>
    <row r="130" spans="1:15" x14ac:dyDescent="0.2">
      <c r="A130" s="49"/>
      <c r="B130" s="50"/>
      <c r="C130" s="36"/>
      <c r="D130" s="40"/>
      <c r="E130" s="40"/>
      <c r="F130" s="175"/>
      <c r="G130" s="45"/>
      <c r="H130" s="34"/>
      <c r="I130" s="34"/>
      <c r="J130" s="34"/>
      <c r="K130" s="34"/>
      <c r="L130" s="34"/>
      <c r="M130" s="34"/>
      <c r="N130" s="34"/>
      <c r="O130" s="43"/>
    </row>
    <row r="131" spans="1:15" x14ac:dyDescent="0.2">
      <c r="A131" s="17" t="s">
        <v>161</v>
      </c>
      <c r="B131" s="50"/>
      <c r="C131" s="36"/>
      <c r="D131" s="40"/>
      <c r="E131" s="40"/>
      <c r="F131" s="175"/>
      <c r="G131" s="45"/>
      <c r="H131" s="34"/>
      <c r="I131" s="34"/>
      <c r="J131" s="34"/>
      <c r="K131" s="34"/>
      <c r="L131" s="34"/>
      <c r="M131" s="34"/>
      <c r="N131" s="34"/>
      <c r="O131" s="43"/>
    </row>
    <row r="132" spans="1:15" x14ac:dyDescent="0.2">
      <c r="A132" s="49"/>
      <c r="B132" s="50"/>
      <c r="C132" s="36"/>
      <c r="D132" s="30" t="s">
        <v>164</v>
      </c>
      <c r="E132" s="40">
        <f>IF(E114=12,6,IF(E114=16,6,IF(E114=20,6,IF(E114=25,9,IF(E114=28,9,IF(E114=32,9,IF(E114=40,9)))))))</f>
        <v>6</v>
      </c>
      <c r="F132" s="175" t="s">
        <v>18</v>
      </c>
      <c r="G132" s="114">
        <f>G114*1.95</f>
        <v>29.834930236850649</v>
      </c>
      <c r="H132" s="34" t="s">
        <v>83</v>
      </c>
      <c r="I132" s="34"/>
      <c r="J132" s="34"/>
      <c r="K132" s="34"/>
      <c r="L132" s="34"/>
      <c r="M132" s="34"/>
      <c r="N132" s="34"/>
      <c r="O132" s="43"/>
    </row>
    <row r="133" spans="1:15" x14ac:dyDescent="0.2">
      <c r="A133" s="49"/>
      <c r="B133" s="50"/>
      <c r="C133" s="36"/>
      <c r="D133" s="40"/>
      <c r="E133" s="40"/>
      <c r="F133" s="175"/>
      <c r="G133" s="45"/>
      <c r="H133" s="34"/>
      <c r="I133" s="34"/>
      <c r="J133" s="34"/>
      <c r="K133" s="34"/>
      <c r="L133" s="34"/>
      <c r="M133" s="34"/>
      <c r="N133" s="34"/>
      <c r="O133" s="43"/>
    </row>
    <row r="134" spans="1:15" x14ac:dyDescent="0.2">
      <c r="A134" s="49"/>
      <c r="B134" s="50"/>
      <c r="C134" s="36"/>
      <c r="D134" s="40"/>
      <c r="E134" s="40"/>
      <c r="F134" s="175"/>
      <c r="G134" s="45"/>
      <c r="H134" s="34"/>
      <c r="I134" s="34"/>
      <c r="J134" s="34"/>
      <c r="K134" s="34"/>
      <c r="L134" s="34"/>
      <c r="M134" s="34"/>
      <c r="N134" s="34"/>
      <c r="O134" s="43"/>
    </row>
    <row r="135" spans="1:15" x14ac:dyDescent="0.2">
      <c r="A135" s="49"/>
      <c r="B135" s="50"/>
      <c r="C135" s="36"/>
      <c r="D135" s="40"/>
      <c r="E135" s="40"/>
      <c r="F135" s="175"/>
      <c r="G135" s="88"/>
      <c r="H135" s="34"/>
      <c r="I135" s="34"/>
      <c r="J135" s="34"/>
      <c r="K135" s="131"/>
      <c r="L135" s="201"/>
      <c r="M135" s="50"/>
      <c r="N135" s="34"/>
      <c r="O135" s="43"/>
    </row>
    <row r="136" spans="1:15" x14ac:dyDescent="0.2">
      <c r="A136" s="79" t="s">
        <v>116</v>
      </c>
      <c r="B136" s="50"/>
      <c r="C136" s="36"/>
      <c r="D136" s="40"/>
      <c r="E136" s="40"/>
      <c r="F136" s="175"/>
      <c r="G136" s="45"/>
      <c r="H136" s="34"/>
      <c r="I136" s="34"/>
      <c r="J136" s="34"/>
      <c r="K136" s="34"/>
      <c r="L136" s="34"/>
      <c r="M136" s="34"/>
      <c r="N136" s="34"/>
      <c r="O136" s="43"/>
    </row>
    <row r="137" spans="1:15" x14ac:dyDescent="0.2">
      <c r="A137" s="49"/>
      <c r="B137" s="50"/>
      <c r="C137" s="36"/>
      <c r="D137" s="40"/>
      <c r="E137" s="40"/>
      <c r="F137" s="175"/>
      <c r="G137" s="45"/>
      <c r="H137" s="34"/>
      <c r="I137" s="34"/>
      <c r="J137" s="34"/>
      <c r="K137" s="34"/>
      <c r="L137" s="34"/>
      <c r="M137" s="34"/>
      <c r="N137" s="34"/>
      <c r="O137" s="43"/>
    </row>
    <row r="138" spans="1:15" x14ac:dyDescent="0.2">
      <c r="A138" s="17" t="s">
        <v>162</v>
      </c>
      <c r="B138" s="50"/>
      <c r="C138" s="36"/>
      <c r="D138" s="40"/>
      <c r="E138" s="208">
        <f>IF(E140=12,F139/R14,IF(E140=16,F139/R15,IF(E140=20,F139/R16,IF(E140=25,F139/R17,IF(E140=28,F139/R18,IF(E140=32,F139/R19,IF(E140=40,F139/R20)))))))</f>
        <v>2.7631066505401742</v>
      </c>
      <c r="F138" s="147"/>
      <c r="G138" s="45"/>
      <c r="H138" s="34"/>
      <c r="I138" s="34"/>
      <c r="J138" s="34"/>
      <c r="K138" s="34"/>
      <c r="L138" s="34"/>
      <c r="M138" s="34"/>
      <c r="N138" s="34"/>
      <c r="O138" s="43"/>
    </row>
    <row r="139" spans="1:15" x14ac:dyDescent="0.2">
      <c r="A139" s="49"/>
      <c r="B139" s="50"/>
      <c r="C139" s="36"/>
      <c r="D139" s="19" t="s">
        <v>21</v>
      </c>
      <c r="E139" s="40" t="s">
        <v>0</v>
      </c>
      <c r="F139" s="177">
        <f>(F19+F20)/2*0.0025*100/3</f>
        <v>3.125</v>
      </c>
      <c r="G139" s="147" t="s">
        <v>133</v>
      </c>
      <c r="H139" s="34"/>
      <c r="I139" s="34"/>
      <c r="J139" s="34"/>
      <c r="K139" s="34"/>
      <c r="L139" s="34"/>
      <c r="M139" s="34"/>
      <c r="N139" s="34"/>
      <c r="O139" s="43"/>
    </row>
    <row r="140" spans="1:15" x14ac:dyDescent="0.2">
      <c r="A140" s="49"/>
      <c r="B140" s="50"/>
      <c r="C140" s="36"/>
      <c r="D140" s="30" t="s">
        <v>140</v>
      </c>
      <c r="E140" s="40">
        <f>F35</f>
        <v>12</v>
      </c>
      <c r="F140" s="175" t="s">
        <v>18</v>
      </c>
      <c r="G140" s="114">
        <f>100/E138</f>
        <v>36.191147374079996</v>
      </c>
      <c r="H140" s="34" t="s">
        <v>83</v>
      </c>
      <c r="I140" s="34"/>
      <c r="J140" s="34"/>
      <c r="K140" s="34"/>
      <c r="L140" s="34"/>
      <c r="M140" s="34"/>
      <c r="N140" s="34"/>
      <c r="O140" s="43"/>
    </row>
    <row r="141" spans="1:15" x14ac:dyDescent="0.2">
      <c r="A141" s="49"/>
      <c r="B141" s="50"/>
      <c r="C141" s="36"/>
      <c r="D141" s="40"/>
      <c r="E141" s="40"/>
      <c r="F141" s="175"/>
      <c r="G141" s="82"/>
      <c r="H141" s="109"/>
      <c r="I141" s="34"/>
      <c r="J141" s="34"/>
      <c r="K141" s="34"/>
      <c r="L141" s="34"/>
      <c r="M141" s="34"/>
      <c r="N141" s="34"/>
      <c r="O141" s="43"/>
    </row>
    <row r="142" spans="1:15" x14ac:dyDescent="0.2">
      <c r="A142" s="17" t="s">
        <v>163</v>
      </c>
      <c r="B142" s="50"/>
      <c r="C142" s="36"/>
      <c r="D142" s="40"/>
      <c r="E142" s="40"/>
      <c r="F142" s="175">
        <f>IF(E144=12,F143/R14,IF(E144=16,F143/R15,IF(E144=20,F143/R16,IF(E144=25,F143/R17,IF(E144=28,F143/R18,IF(E144=32,F143/R19,IF(E144=40,F143/R20)))))))</f>
        <v>5.5262133010803485</v>
      </c>
      <c r="G142" s="45"/>
      <c r="H142" s="34"/>
      <c r="I142" s="34"/>
      <c r="J142" s="34"/>
      <c r="K142" s="34"/>
      <c r="L142" s="34"/>
      <c r="M142" s="34"/>
      <c r="N142" s="34"/>
      <c r="O142" s="43"/>
    </row>
    <row r="143" spans="1:15" x14ac:dyDescent="0.2">
      <c r="A143" s="49"/>
      <c r="B143" s="50"/>
      <c r="C143" s="36"/>
      <c r="D143" s="19" t="s">
        <v>21</v>
      </c>
      <c r="E143" s="40" t="s">
        <v>0</v>
      </c>
      <c r="F143" s="175">
        <f>(F19+F20)/2*0.0025*100/3*2</f>
        <v>6.25</v>
      </c>
      <c r="G143" s="147" t="s">
        <v>133</v>
      </c>
      <c r="H143" s="34"/>
      <c r="I143" s="34"/>
      <c r="J143" s="34"/>
      <c r="K143" s="34"/>
      <c r="L143" s="34"/>
      <c r="M143" s="34"/>
      <c r="N143" s="34"/>
      <c r="O143" s="43"/>
    </row>
    <row r="144" spans="1:15" x14ac:dyDescent="0.2">
      <c r="A144" s="49"/>
      <c r="B144" s="71"/>
      <c r="C144" s="40"/>
      <c r="D144" s="30" t="s">
        <v>140</v>
      </c>
      <c r="E144" s="31">
        <f>F36</f>
        <v>12</v>
      </c>
      <c r="F144" s="141" t="s">
        <v>18</v>
      </c>
      <c r="G144" s="114">
        <f>100/F142</f>
        <v>18.095573687039998</v>
      </c>
      <c r="H144" s="209" t="s">
        <v>83</v>
      </c>
      <c r="I144" s="32"/>
      <c r="J144" s="45"/>
      <c r="K144" s="34"/>
      <c r="L144" s="34"/>
      <c r="M144" s="34"/>
      <c r="N144" s="34"/>
      <c r="O144" s="43"/>
    </row>
    <row r="145" spans="1:15" x14ac:dyDescent="0.2">
      <c r="A145" s="49"/>
      <c r="B145" s="50"/>
      <c r="C145" s="40"/>
      <c r="D145" s="82"/>
      <c r="E145" s="32"/>
      <c r="F145" s="187"/>
      <c r="G145" s="40"/>
      <c r="H145" s="82"/>
      <c r="I145" s="32"/>
      <c r="J145" s="45"/>
      <c r="K145" s="34"/>
      <c r="L145" s="34"/>
      <c r="M145" s="34"/>
      <c r="N145" s="34"/>
      <c r="O145" s="43"/>
    </row>
    <row r="146" spans="1:15" x14ac:dyDescent="0.2">
      <c r="A146" s="17"/>
      <c r="B146" s="34"/>
      <c r="C146" s="40"/>
      <c r="D146" s="82"/>
      <c r="E146" s="32"/>
      <c r="F146" s="187"/>
      <c r="G146" s="40"/>
      <c r="H146" s="82"/>
      <c r="I146" s="32"/>
      <c r="J146" s="45"/>
      <c r="K146" s="34"/>
      <c r="L146" s="34"/>
      <c r="M146" s="34"/>
      <c r="N146" s="34"/>
      <c r="O146" s="43"/>
    </row>
    <row r="147" spans="1:15" x14ac:dyDescent="0.2">
      <c r="A147" s="49"/>
      <c r="B147" s="50"/>
      <c r="C147" s="36"/>
      <c r="D147" s="19"/>
      <c r="E147" s="40"/>
      <c r="F147" s="175"/>
      <c r="G147" s="45"/>
      <c r="H147" s="34"/>
      <c r="I147" s="34"/>
      <c r="J147" s="34"/>
      <c r="K147" s="34"/>
      <c r="L147" s="34"/>
      <c r="M147" s="34"/>
      <c r="N147" s="34"/>
      <c r="O147" s="43"/>
    </row>
    <row r="148" spans="1:15" x14ac:dyDescent="0.2">
      <c r="A148" s="49"/>
      <c r="B148" s="71"/>
      <c r="C148" s="82"/>
      <c r="D148" s="282"/>
      <c r="E148" s="283"/>
      <c r="F148" s="185"/>
      <c r="G148" s="73"/>
      <c r="H148" s="53"/>
      <c r="I148" s="93"/>
      <c r="J148" s="34"/>
      <c r="K148" s="34"/>
      <c r="L148" s="34"/>
      <c r="M148" s="34"/>
      <c r="N148" s="34"/>
      <c r="O148" s="43"/>
    </row>
    <row r="149" spans="1:15" x14ac:dyDescent="0.2">
      <c r="A149" s="49"/>
      <c r="B149" s="33" t="s">
        <v>22</v>
      </c>
      <c r="C149" s="19"/>
      <c r="D149" s="24"/>
      <c r="E149" s="19"/>
      <c r="F149" s="188"/>
      <c r="G149" s="19"/>
      <c r="H149" s="19"/>
      <c r="I149" s="19"/>
      <c r="J149" s="19"/>
      <c r="K149" s="21"/>
      <c r="L149" s="19"/>
      <c r="M149" s="19"/>
      <c r="N149" s="19"/>
      <c r="O149" s="43"/>
    </row>
    <row r="150" spans="1:15" x14ac:dyDescent="0.2">
      <c r="A150" s="79"/>
      <c r="B150" s="33" t="s">
        <v>165</v>
      </c>
      <c r="C150" s="19"/>
      <c r="D150" s="24"/>
      <c r="E150" s="19"/>
      <c r="F150" s="188"/>
      <c r="G150" s="19"/>
      <c r="H150" s="19"/>
      <c r="I150" s="19"/>
      <c r="J150" s="19"/>
      <c r="K150" s="21"/>
      <c r="L150" s="19"/>
      <c r="M150" s="19"/>
      <c r="N150" s="19"/>
      <c r="O150" s="43"/>
    </row>
    <row r="151" spans="1:15" x14ac:dyDescent="0.2">
      <c r="A151" s="49"/>
      <c r="B151" s="33" t="s">
        <v>166</v>
      </c>
      <c r="C151" s="19"/>
      <c r="D151" s="24"/>
      <c r="E151" s="19"/>
      <c r="F151" s="188"/>
      <c r="G151" s="19"/>
      <c r="H151" s="19"/>
      <c r="I151" s="19"/>
      <c r="J151" s="19"/>
      <c r="K151" s="21"/>
      <c r="L151" s="19"/>
      <c r="M151" s="19"/>
      <c r="N151" s="19"/>
      <c r="O151" s="43"/>
    </row>
    <row r="152" spans="1:15" x14ac:dyDescent="0.2">
      <c r="A152" s="49"/>
      <c r="B152" s="33" t="s">
        <v>168</v>
      </c>
      <c r="C152" s="19"/>
      <c r="D152" s="24"/>
      <c r="E152" s="19"/>
      <c r="F152" s="188"/>
      <c r="G152" s="19"/>
      <c r="H152" s="19"/>
      <c r="I152" s="19"/>
      <c r="J152" s="19"/>
      <c r="K152" s="21"/>
      <c r="L152" s="19"/>
      <c r="M152" s="19"/>
      <c r="N152" s="19"/>
      <c r="O152" s="43"/>
    </row>
    <row r="153" spans="1:15" x14ac:dyDescent="0.2">
      <c r="A153" s="49"/>
      <c r="B153" s="33" t="s">
        <v>167</v>
      </c>
      <c r="C153" s="19"/>
      <c r="D153" s="24"/>
      <c r="E153" s="19"/>
      <c r="F153" s="168"/>
      <c r="G153" s="19"/>
      <c r="H153" s="19"/>
      <c r="I153" s="19"/>
      <c r="J153" s="19"/>
      <c r="K153" s="19"/>
      <c r="L153" s="19"/>
      <c r="M153" s="19"/>
      <c r="N153" s="19"/>
      <c r="O153" s="99"/>
    </row>
    <row r="154" spans="1:15" ht="13.5" thickBot="1" x14ac:dyDescent="0.25">
      <c r="A154" s="57"/>
      <c r="B154" s="211"/>
      <c r="C154" s="211"/>
      <c r="D154" s="211"/>
      <c r="E154" s="211"/>
      <c r="F154" s="212"/>
      <c r="G154" s="211"/>
      <c r="H154" s="211"/>
      <c r="I154" s="211"/>
      <c r="J154" s="211"/>
      <c r="K154" s="211"/>
      <c r="L154" s="211"/>
      <c r="M154" s="211"/>
      <c r="N154" s="213"/>
      <c r="O154" s="91"/>
    </row>
    <row r="157" spans="1:15" ht="15.75" x14ac:dyDescent="0.2">
      <c r="F157" s="189"/>
    </row>
    <row r="159" spans="1:15" ht="15.75" x14ac:dyDescent="0.2">
      <c r="F159" s="190" t="s">
        <v>117</v>
      </c>
      <c r="G159" s="135"/>
      <c r="H159" s="135"/>
      <c r="I159" s="135"/>
      <c r="J159" s="135"/>
    </row>
    <row r="160" spans="1:15" s="137" customFormat="1" ht="12" x14ac:dyDescent="0.2">
      <c r="F160" s="191"/>
      <c r="N160" s="136"/>
    </row>
    <row r="189" spans="6:9" x14ac:dyDescent="0.2">
      <c r="F189" s="192" t="s">
        <v>16</v>
      </c>
      <c r="G189" s="92"/>
      <c r="H189" s="92"/>
      <c r="I189" s="95"/>
    </row>
    <row r="190" spans="6:9" x14ac:dyDescent="0.2">
      <c r="F190" s="193" t="s">
        <v>12</v>
      </c>
      <c r="G190" s="96" t="s">
        <v>13</v>
      </c>
      <c r="H190" s="96" t="s">
        <v>14</v>
      </c>
      <c r="I190" s="95"/>
    </row>
    <row r="191" spans="6:9" x14ac:dyDescent="0.2">
      <c r="F191" s="193" t="s">
        <v>1</v>
      </c>
      <c r="G191" s="96" t="s">
        <v>11</v>
      </c>
      <c r="H191" s="96" t="s">
        <v>15</v>
      </c>
      <c r="I191" s="95"/>
    </row>
    <row r="192" spans="6:9" x14ac:dyDescent="0.2">
      <c r="F192" s="193">
        <v>3</v>
      </c>
      <c r="G192" s="97">
        <v>0.375</v>
      </c>
      <c r="H192" s="97">
        <v>0.11</v>
      </c>
      <c r="I192" s="95"/>
    </row>
    <row r="193" spans="6:9" x14ac:dyDescent="0.2">
      <c r="F193" s="193">
        <v>4</v>
      </c>
      <c r="G193" s="97">
        <v>0.5</v>
      </c>
      <c r="H193" s="97">
        <v>0.2</v>
      </c>
      <c r="I193" s="95"/>
    </row>
    <row r="194" spans="6:9" x14ac:dyDescent="0.2">
      <c r="F194" s="193">
        <v>5</v>
      </c>
      <c r="G194" s="97">
        <v>0.625</v>
      </c>
      <c r="H194" s="97">
        <v>0.31</v>
      </c>
      <c r="I194" s="95"/>
    </row>
    <row r="195" spans="6:9" x14ac:dyDescent="0.2">
      <c r="F195" s="193">
        <v>6</v>
      </c>
      <c r="G195" s="97">
        <v>0.75</v>
      </c>
      <c r="H195" s="97">
        <v>0.44</v>
      </c>
      <c r="I195" s="95"/>
    </row>
    <row r="196" spans="6:9" x14ac:dyDescent="0.2">
      <c r="F196" s="193">
        <v>7</v>
      </c>
      <c r="G196" s="97">
        <v>0.875</v>
      </c>
      <c r="H196" s="97">
        <v>0.6</v>
      </c>
      <c r="I196" s="95"/>
    </row>
    <row r="197" spans="6:9" x14ac:dyDescent="0.2">
      <c r="F197" s="193">
        <v>8</v>
      </c>
      <c r="G197" s="97">
        <v>1</v>
      </c>
      <c r="H197" s="97">
        <v>0.79</v>
      </c>
      <c r="I197" s="95"/>
    </row>
    <row r="198" spans="6:9" x14ac:dyDescent="0.2">
      <c r="F198" s="193">
        <v>9</v>
      </c>
      <c r="G198" s="97">
        <v>1.1279999999999999</v>
      </c>
      <c r="H198" s="97">
        <v>1</v>
      </c>
      <c r="I198" s="95"/>
    </row>
    <row r="199" spans="6:9" x14ac:dyDescent="0.2">
      <c r="F199" s="193">
        <v>10</v>
      </c>
      <c r="G199" s="97">
        <v>1.27</v>
      </c>
      <c r="H199" s="97">
        <v>1.27</v>
      </c>
      <c r="I199" s="95"/>
    </row>
    <row r="200" spans="6:9" x14ac:dyDescent="0.2">
      <c r="F200" s="193">
        <v>11</v>
      </c>
      <c r="G200" s="97">
        <v>1.41</v>
      </c>
      <c r="H200" s="97">
        <v>1.56</v>
      </c>
      <c r="I200" s="95"/>
    </row>
    <row r="201" spans="6:9" x14ac:dyDescent="0.2">
      <c r="F201" s="193">
        <v>14</v>
      </c>
      <c r="G201" s="97">
        <v>1.6930000000000001</v>
      </c>
      <c r="H201" s="97">
        <v>2.25</v>
      </c>
      <c r="I201" s="95"/>
    </row>
    <row r="202" spans="6:9" x14ac:dyDescent="0.2">
      <c r="F202" s="193">
        <v>18</v>
      </c>
      <c r="G202" s="97">
        <v>2.2570000000000001</v>
      </c>
      <c r="H202" s="97">
        <v>4</v>
      </c>
      <c r="I202" s="95"/>
    </row>
    <row r="203" spans="6:9" x14ac:dyDescent="0.2">
      <c r="F203" s="194"/>
      <c r="G203" s="98"/>
      <c r="H203" s="98"/>
      <c r="I203" s="98"/>
    </row>
    <row r="204" spans="6:9" x14ac:dyDescent="0.2">
      <c r="F204" s="194"/>
      <c r="G204" s="98"/>
      <c r="H204" s="98"/>
      <c r="I204" s="98"/>
    </row>
    <row r="430" spans="1:14" x14ac:dyDescent="0.2">
      <c r="A430" s="7"/>
      <c r="E430" s="8"/>
      <c r="F430" s="152"/>
      <c r="G430" s="9"/>
      <c r="H430" s="9"/>
      <c r="I430" s="9"/>
      <c r="J430" s="8"/>
      <c r="K430" s="9"/>
      <c r="L430" s="10"/>
      <c r="M430" s="11"/>
      <c r="N430" s="12"/>
    </row>
    <row r="431" spans="1:14" x14ac:dyDescent="0.2">
      <c r="A431" s="7"/>
      <c r="E431" s="8"/>
      <c r="F431" s="152"/>
      <c r="G431" s="9"/>
      <c r="H431" s="9"/>
      <c r="I431" s="9"/>
      <c r="J431" s="8"/>
      <c r="K431" s="9"/>
      <c r="L431" s="10"/>
      <c r="M431" s="11"/>
      <c r="N431" s="12"/>
    </row>
    <row r="432" spans="1:14" x14ac:dyDescent="0.2">
      <c r="A432" s="7"/>
      <c r="E432" s="8"/>
      <c r="F432" s="152"/>
      <c r="G432" s="9"/>
      <c r="H432" s="9"/>
      <c r="I432" s="9"/>
      <c r="J432" s="8"/>
      <c r="K432" s="9"/>
      <c r="L432" s="10"/>
      <c r="M432" s="11"/>
      <c r="N432" s="12"/>
    </row>
    <row r="433" spans="1:14" x14ac:dyDescent="0.2">
      <c r="A433" s="7"/>
      <c r="E433" s="8"/>
      <c r="F433" s="152"/>
      <c r="G433" s="9"/>
      <c r="H433" s="9"/>
      <c r="I433" s="9"/>
      <c r="J433" s="8"/>
      <c r="K433" s="9"/>
      <c r="L433" s="10"/>
      <c r="M433" s="11"/>
      <c r="N433" s="12"/>
    </row>
    <row r="434" spans="1:14" x14ac:dyDescent="0.2">
      <c r="A434" s="7"/>
      <c r="E434" s="8"/>
      <c r="F434" s="152"/>
      <c r="G434" s="9"/>
      <c r="H434" s="9"/>
      <c r="I434" s="9"/>
      <c r="J434" s="8"/>
      <c r="K434" s="9"/>
      <c r="L434" s="10"/>
      <c r="M434" s="11"/>
      <c r="N434" s="12"/>
    </row>
    <row r="435" spans="1:14" x14ac:dyDescent="0.2">
      <c r="A435" s="7"/>
      <c r="E435" s="8"/>
      <c r="F435" s="152"/>
      <c r="G435" s="9"/>
      <c r="H435" s="9"/>
      <c r="I435" s="9"/>
      <c r="J435" s="8"/>
      <c r="K435" s="9"/>
      <c r="L435" s="10"/>
      <c r="M435" s="11"/>
      <c r="N435" s="12"/>
    </row>
    <row r="436" spans="1:14" x14ac:dyDescent="0.2">
      <c r="A436" s="7"/>
      <c r="E436" s="8"/>
      <c r="F436" s="152"/>
      <c r="G436" s="9"/>
      <c r="H436" s="9"/>
      <c r="I436" s="9"/>
      <c r="J436" s="8"/>
      <c r="K436" s="9"/>
      <c r="L436" s="10"/>
      <c r="M436" s="11"/>
      <c r="N436" s="12"/>
    </row>
    <row r="437" spans="1:14" x14ac:dyDescent="0.2">
      <c r="A437" s="7"/>
      <c r="E437" s="8"/>
      <c r="F437" s="152"/>
      <c r="G437" s="9"/>
      <c r="H437" s="9"/>
      <c r="I437" s="9"/>
      <c r="J437" s="8"/>
      <c r="K437" s="9"/>
      <c r="L437" s="10"/>
      <c r="M437" s="11"/>
      <c r="N437" s="12"/>
    </row>
    <row r="438" spans="1:14" x14ac:dyDescent="0.2">
      <c r="A438" s="7"/>
      <c r="E438" s="8"/>
      <c r="F438" s="152"/>
      <c r="G438" s="9"/>
      <c r="H438" s="9"/>
      <c r="I438" s="9"/>
      <c r="J438" s="8"/>
      <c r="K438" s="9"/>
      <c r="L438" s="10"/>
      <c r="M438" s="11"/>
      <c r="N438" s="12"/>
    </row>
    <row r="439" spans="1:14" x14ac:dyDescent="0.2">
      <c r="A439" s="7"/>
      <c r="E439" s="8"/>
      <c r="F439" s="152"/>
      <c r="G439" s="9"/>
      <c r="H439" s="9"/>
      <c r="I439" s="9"/>
      <c r="J439" s="8"/>
      <c r="K439" s="9"/>
      <c r="L439" s="10"/>
      <c r="M439" s="11"/>
      <c r="N439" s="12"/>
    </row>
    <row r="440" spans="1:14" x14ac:dyDescent="0.2">
      <c r="A440" s="7"/>
      <c r="E440" s="8"/>
      <c r="F440" s="152"/>
      <c r="G440" s="9"/>
      <c r="H440" s="9"/>
      <c r="I440" s="9"/>
      <c r="J440" s="8"/>
      <c r="K440" s="9"/>
      <c r="L440" s="10"/>
      <c r="M440" s="11"/>
      <c r="N440" s="12"/>
    </row>
    <row r="441" spans="1:14" x14ac:dyDescent="0.2">
      <c r="A441" s="7"/>
      <c r="E441" s="8"/>
      <c r="F441" s="152"/>
      <c r="G441" s="9"/>
      <c r="H441" s="9"/>
      <c r="I441" s="9"/>
      <c r="J441" s="8"/>
      <c r="K441" s="9"/>
      <c r="L441" s="10"/>
      <c r="M441" s="11"/>
      <c r="N441" s="12"/>
    </row>
    <row r="442" spans="1:14" x14ac:dyDescent="0.2">
      <c r="A442" s="7"/>
      <c r="E442" s="8"/>
      <c r="F442" s="152"/>
      <c r="G442" s="9"/>
      <c r="H442" s="9"/>
      <c r="I442" s="9"/>
      <c r="J442" s="8"/>
      <c r="K442" s="9"/>
      <c r="L442" s="10"/>
      <c r="M442" s="11"/>
      <c r="N442" s="12"/>
    </row>
    <row r="443" spans="1:14" x14ac:dyDescent="0.2">
      <c r="A443" s="7"/>
      <c r="E443" s="8"/>
      <c r="F443" s="152"/>
      <c r="G443" s="9"/>
      <c r="H443" s="9"/>
      <c r="I443" s="9"/>
      <c r="J443" s="8"/>
      <c r="K443" s="9"/>
      <c r="L443" s="10"/>
      <c r="M443" s="11"/>
      <c r="N443" s="12"/>
    </row>
    <row r="444" spans="1:14" x14ac:dyDescent="0.2">
      <c r="A444" s="7"/>
      <c r="E444" s="8"/>
      <c r="F444" s="152"/>
      <c r="G444" s="9"/>
      <c r="H444" s="9"/>
      <c r="I444" s="9"/>
      <c r="J444" s="8"/>
      <c r="K444" s="9"/>
      <c r="L444" s="10"/>
      <c r="M444" s="11"/>
      <c r="N444" s="12"/>
    </row>
    <row r="445" spans="1:14" x14ac:dyDescent="0.2">
      <c r="A445" s="7"/>
      <c r="E445" s="8"/>
      <c r="F445" s="152"/>
      <c r="G445" s="9"/>
      <c r="H445" s="9"/>
      <c r="I445" s="9"/>
      <c r="J445" s="8"/>
      <c r="K445" s="9"/>
      <c r="L445" s="10"/>
      <c r="M445" s="11"/>
      <c r="N445" s="12"/>
    </row>
    <row r="446" spans="1:14" x14ac:dyDescent="0.2">
      <c r="A446" s="7"/>
      <c r="E446" s="8"/>
      <c r="F446" s="152"/>
      <c r="G446" s="9"/>
      <c r="H446" s="9"/>
      <c r="I446" s="9"/>
      <c r="J446" s="8"/>
      <c r="K446" s="9"/>
      <c r="L446" s="10"/>
      <c r="M446" s="11"/>
      <c r="N446" s="12"/>
    </row>
    <row r="447" spans="1:14" x14ac:dyDescent="0.2">
      <c r="A447" s="7"/>
      <c r="E447" s="8"/>
      <c r="F447" s="152"/>
      <c r="G447" s="9"/>
      <c r="H447" s="9"/>
      <c r="I447" s="9"/>
      <c r="J447" s="8"/>
      <c r="K447" s="9"/>
      <c r="L447" s="10"/>
      <c r="M447" s="11"/>
      <c r="N447" s="12"/>
    </row>
    <row r="448" spans="1:14" x14ac:dyDescent="0.2">
      <c r="A448" s="7"/>
      <c r="E448" s="8"/>
      <c r="F448" s="152"/>
      <c r="G448" s="9"/>
      <c r="H448" s="9"/>
      <c r="I448" s="9"/>
      <c r="J448" s="8"/>
      <c r="K448" s="9"/>
      <c r="L448" s="10"/>
      <c r="M448" s="11"/>
      <c r="N448" s="12"/>
    </row>
    <row r="449" spans="1:14" x14ac:dyDescent="0.2">
      <c r="A449" s="7"/>
      <c r="E449" s="8"/>
      <c r="F449" s="152"/>
      <c r="G449" s="9"/>
      <c r="H449" s="9"/>
      <c r="I449" s="9"/>
      <c r="J449" s="8"/>
      <c r="K449" s="9"/>
      <c r="L449" s="10"/>
      <c r="M449" s="11"/>
      <c r="N449" s="12"/>
    </row>
    <row r="450" spans="1:14" x14ac:dyDescent="0.2">
      <c r="A450" s="7"/>
      <c r="E450" s="8"/>
      <c r="F450" s="152"/>
      <c r="G450" s="9"/>
      <c r="H450" s="9"/>
      <c r="I450" s="9"/>
      <c r="J450" s="8"/>
      <c r="K450" s="9"/>
      <c r="L450" s="10"/>
      <c r="M450" s="11"/>
      <c r="N450" s="12"/>
    </row>
    <row r="451" spans="1:14" x14ac:dyDescent="0.2">
      <c r="A451" s="7"/>
      <c r="E451" s="8"/>
      <c r="F451" s="152"/>
      <c r="G451" s="9"/>
      <c r="H451" s="9"/>
      <c r="I451" s="9"/>
      <c r="J451" s="8"/>
      <c r="K451" s="9"/>
      <c r="L451" s="10"/>
      <c r="M451" s="11"/>
      <c r="N451" s="12"/>
    </row>
    <row r="452" spans="1:14" x14ac:dyDescent="0.2">
      <c r="A452" s="7"/>
      <c r="E452" s="8"/>
      <c r="F452" s="152"/>
      <c r="G452" s="9"/>
      <c r="H452" s="9"/>
      <c r="I452" s="9"/>
      <c r="J452" s="8"/>
      <c r="K452" s="9"/>
      <c r="L452" s="10"/>
      <c r="M452" s="11"/>
      <c r="N452" s="12"/>
    </row>
    <row r="453" spans="1:14" x14ac:dyDescent="0.2">
      <c r="A453" s="7"/>
      <c r="E453" s="8"/>
      <c r="F453" s="152"/>
      <c r="G453" s="9"/>
      <c r="H453" s="9"/>
      <c r="I453" s="9"/>
      <c r="J453" s="8"/>
      <c r="K453" s="9"/>
      <c r="L453" s="10"/>
      <c r="M453" s="11"/>
      <c r="N453" s="12"/>
    </row>
    <row r="454" spans="1:14" x14ac:dyDescent="0.2">
      <c r="A454" s="7"/>
      <c r="E454" s="8"/>
      <c r="F454" s="152"/>
      <c r="G454" s="9"/>
      <c r="H454" s="9"/>
      <c r="I454" s="9"/>
      <c r="J454" s="8"/>
      <c r="K454" s="9"/>
      <c r="L454" s="10"/>
      <c r="M454" s="11"/>
      <c r="N454" s="12"/>
    </row>
    <row r="455" spans="1:14" x14ac:dyDescent="0.2">
      <c r="A455" s="7"/>
      <c r="E455" s="8"/>
      <c r="F455" s="152"/>
      <c r="G455" s="9"/>
      <c r="H455" s="9"/>
      <c r="I455" s="9"/>
      <c r="J455" s="8"/>
      <c r="K455" s="9"/>
      <c r="L455" s="10"/>
      <c r="M455" s="11"/>
      <c r="N455" s="12"/>
    </row>
    <row r="456" spans="1:14" x14ac:dyDescent="0.2">
      <c r="A456" s="7"/>
      <c r="E456" s="8"/>
      <c r="F456" s="152"/>
      <c r="G456" s="9"/>
      <c r="H456" s="9"/>
      <c r="I456" s="9"/>
      <c r="J456" s="8"/>
      <c r="K456" s="9"/>
      <c r="L456" s="10"/>
      <c r="M456" s="11"/>
      <c r="N456" s="12"/>
    </row>
    <row r="457" spans="1:14" x14ac:dyDescent="0.2">
      <c r="A457" s="7"/>
      <c r="E457" s="8"/>
      <c r="F457" s="152"/>
      <c r="G457" s="9"/>
      <c r="H457" s="9"/>
      <c r="I457" s="9"/>
      <c r="J457" s="8"/>
      <c r="K457" s="9"/>
      <c r="L457" s="10"/>
      <c r="M457" s="11"/>
      <c r="N457" s="12"/>
    </row>
    <row r="458" spans="1:14" x14ac:dyDescent="0.2">
      <c r="A458" s="7"/>
      <c r="E458" s="8"/>
      <c r="F458" s="152"/>
      <c r="G458" s="9"/>
      <c r="H458" s="9"/>
      <c r="I458" s="9"/>
      <c r="J458" s="8"/>
      <c r="K458" s="9"/>
      <c r="L458" s="10"/>
      <c r="M458" s="11"/>
      <c r="N458" s="12"/>
    </row>
    <row r="459" spans="1:14" x14ac:dyDescent="0.2">
      <c r="A459" s="7"/>
      <c r="E459" s="8"/>
      <c r="F459" s="152"/>
      <c r="G459" s="9"/>
      <c r="H459" s="9"/>
      <c r="I459" s="9"/>
      <c r="J459" s="8"/>
      <c r="K459" s="9"/>
      <c r="L459" s="10"/>
      <c r="M459" s="11"/>
      <c r="N459" s="12"/>
    </row>
    <row r="460" spans="1:14" x14ac:dyDescent="0.2">
      <c r="A460" s="7"/>
      <c r="E460" s="8"/>
      <c r="F460" s="152"/>
      <c r="G460" s="9"/>
      <c r="H460" s="9"/>
      <c r="I460" s="9"/>
      <c r="J460" s="8"/>
      <c r="K460" s="9"/>
      <c r="L460" s="10"/>
      <c r="M460" s="11"/>
      <c r="N460" s="12"/>
    </row>
    <row r="461" spans="1:14" x14ac:dyDescent="0.2">
      <c r="A461" s="7"/>
      <c r="E461" s="8"/>
      <c r="F461" s="152"/>
      <c r="G461" s="9"/>
      <c r="H461" s="9"/>
      <c r="I461" s="9"/>
      <c r="J461" s="8"/>
      <c r="K461" s="9"/>
      <c r="L461" s="10"/>
      <c r="M461" s="11"/>
      <c r="N461" s="12"/>
    </row>
    <row r="462" spans="1:14" x14ac:dyDescent="0.2">
      <c r="A462" s="7"/>
      <c r="E462" s="8"/>
      <c r="F462" s="152"/>
      <c r="G462" s="9"/>
      <c r="H462" s="9"/>
      <c r="I462" s="9"/>
      <c r="J462" s="8"/>
      <c r="K462" s="9"/>
      <c r="L462" s="10"/>
      <c r="M462" s="11"/>
      <c r="N462" s="12"/>
    </row>
    <row r="463" spans="1:14" x14ac:dyDescent="0.2">
      <c r="A463" s="7"/>
      <c r="E463" s="8"/>
      <c r="F463" s="152"/>
      <c r="G463" s="9"/>
      <c r="H463" s="9"/>
      <c r="I463" s="9"/>
      <c r="J463" s="8"/>
      <c r="K463" s="9"/>
      <c r="L463" s="10"/>
      <c r="M463" s="11"/>
      <c r="N463" s="12"/>
    </row>
    <row r="464" spans="1:14" x14ac:dyDescent="0.2">
      <c r="A464" s="7"/>
      <c r="E464" s="8"/>
      <c r="F464" s="152"/>
      <c r="G464" s="9"/>
      <c r="H464" s="9"/>
      <c r="I464" s="9"/>
      <c r="J464" s="8"/>
      <c r="K464" s="9"/>
      <c r="L464" s="10"/>
      <c r="M464" s="11"/>
      <c r="N464" s="12"/>
    </row>
    <row r="465" spans="1:14" x14ac:dyDescent="0.2">
      <c r="A465" s="7"/>
      <c r="E465" s="8"/>
      <c r="F465" s="152"/>
      <c r="G465" s="9"/>
      <c r="H465" s="9"/>
      <c r="I465" s="9"/>
      <c r="J465" s="8"/>
      <c r="K465" s="9"/>
      <c r="L465" s="10"/>
      <c r="M465" s="11"/>
      <c r="N465" s="12"/>
    </row>
    <row r="466" spans="1:14" x14ac:dyDescent="0.2">
      <c r="A466" s="7"/>
      <c r="E466" s="8"/>
      <c r="F466" s="152"/>
      <c r="G466" s="9"/>
      <c r="H466" s="9"/>
      <c r="I466" s="9"/>
      <c r="J466" s="8"/>
      <c r="K466" s="9"/>
      <c r="L466" s="10"/>
      <c r="M466" s="11"/>
      <c r="N466" s="12"/>
    </row>
    <row r="467" spans="1:14" x14ac:dyDescent="0.2">
      <c r="A467" s="7"/>
      <c r="E467" s="8"/>
      <c r="F467" s="152"/>
      <c r="G467" s="9"/>
      <c r="H467" s="9"/>
      <c r="I467" s="9"/>
      <c r="J467" s="8"/>
      <c r="K467" s="9"/>
      <c r="L467" s="10"/>
      <c r="M467" s="11"/>
      <c r="N467" s="12"/>
    </row>
    <row r="468" spans="1:14" x14ac:dyDescent="0.2">
      <c r="A468" s="7"/>
      <c r="E468" s="8"/>
      <c r="F468" s="152"/>
      <c r="G468" s="9"/>
      <c r="H468" s="9"/>
      <c r="I468" s="9"/>
      <c r="J468" s="8"/>
      <c r="K468" s="9"/>
      <c r="L468" s="10"/>
      <c r="M468" s="11"/>
      <c r="N468" s="12"/>
    </row>
    <row r="469" spans="1:14" x14ac:dyDescent="0.2">
      <c r="A469" s="7"/>
      <c r="E469" s="8"/>
      <c r="F469" s="152"/>
      <c r="G469" s="9"/>
      <c r="H469" s="9"/>
      <c r="I469" s="9"/>
      <c r="J469" s="8"/>
      <c r="K469" s="9"/>
      <c r="L469" s="10"/>
      <c r="M469" s="11"/>
      <c r="N469" s="12"/>
    </row>
    <row r="470" spans="1:14" x14ac:dyDescent="0.2">
      <c r="A470" s="7"/>
      <c r="E470" s="8"/>
      <c r="F470" s="152"/>
      <c r="G470" s="9"/>
      <c r="H470" s="9"/>
      <c r="I470" s="9"/>
      <c r="J470" s="8"/>
      <c r="K470" s="9"/>
      <c r="L470" s="10"/>
      <c r="M470" s="11"/>
      <c r="N470" s="12"/>
    </row>
    <row r="471" spans="1:14" x14ac:dyDescent="0.2">
      <c r="A471" s="7"/>
      <c r="E471" s="8"/>
      <c r="F471" s="152"/>
      <c r="G471" s="9"/>
      <c r="H471" s="9"/>
      <c r="I471" s="9"/>
      <c r="J471" s="8"/>
      <c r="K471" s="9"/>
      <c r="L471" s="10"/>
      <c r="M471" s="11"/>
      <c r="N471" s="12"/>
    </row>
    <row r="472" spans="1:14" x14ac:dyDescent="0.2">
      <c r="A472" s="7"/>
      <c r="E472" s="8"/>
      <c r="F472" s="152"/>
      <c r="G472" s="9"/>
      <c r="H472" s="9"/>
      <c r="I472" s="9"/>
      <c r="J472" s="8"/>
      <c r="K472" s="9"/>
      <c r="L472" s="10"/>
      <c r="M472" s="11"/>
      <c r="N472" s="12"/>
    </row>
    <row r="473" spans="1:14" x14ac:dyDescent="0.2">
      <c r="A473" s="7"/>
      <c r="E473" s="8"/>
      <c r="F473" s="152"/>
      <c r="G473" s="9"/>
      <c r="H473" s="9"/>
      <c r="I473" s="9"/>
      <c r="J473" s="8"/>
      <c r="K473" s="9"/>
      <c r="L473" s="10"/>
      <c r="M473" s="11"/>
      <c r="N473" s="12"/>
    </row>
    <row r="474" spans="1:14" x14ac:dyDescent="0.2">
      <c r="A474" s="7"/>
      <c r="E474" s="8"/>
      <c r="F474" s="152"/>
      <c r="G474" s="9"/>
      <c r="H474" s="9"/>
      <c r="I474" s="9"/>
      <c r="J474" s="8"/>
      <c r="K474" s="9"/>
      <c r="L474" s="10"/>
      <c r="M474" s="11"/>
      <c r="N474" s="12"/>
    </row>
    <row r="475" spans="1:14" x14ac:dyDescent="0.2">
      <c r="A475" s="7"/>
      <c r="E475" s="8"/>
      <c r="F475" s="152"/>
      <c r="G475" s="9"/>
      <c r="H475" s="9"/>
      <c r="I475" s="9"/>
      <c r="J475" s="8"/>
      <c r="K475" s="9"/>
      <c r="L475" s="10"/>
      <c r="M475" s="11"/>
      <c r="N475" s="12"/>
    </row>
    <row r="476" spans="1:14" x14ac:dyDescent="0.2">
      <c r="A476" s="7"/>
      <c r="E476" s="8"/>
      <c r="F476" s="152"/>
      <c r="G476" s="9"/>
      <c r="H476" s="9"/>
      <c r="I476" s="9"/>
      <c r="J476" s="8"/>
      <c r="K476" s="9"/>
      <c r="L476" s="10"/>
      <c r="M476" s="11"/>
      <c r="N476" s="12"/>
    </row>
    <row r="477" spans="1:14" x14ac:dyDescent="0.2">
      <c r="A477" s="7"/>
      <c r="E477" s="8"/>
      <c r="F477" s="152"/>
      <c r="G477" s="9"/>
      <c r="H477" s="9"/>
      <c r="I477" s="9"/>
      <c r="J477" s="8"/>
      <c r="K477" s="9"/>
      <c r="L477" s="10"/>
      <c r="M477" s="11"/>
      <c r="N477" s="12"/>
    </row>
    <row r="478" spans="1:14" x14ac:dyDescent="0.2">
      <c r="A478" s="7"/>
      <c r="E478" s="8"/>
      <c r="F478" s="152"/>
      <c r="G478" s="9"/>
      <c r="H478" s="9"/>
      <c r="I478" s="9"/>
      <c r="J478" s="8"/>
      <c r="K478" s="9"/>
      <c r="L478" s="10"/>
      <c r="M478" s="11"/>
      <c r="N478" s="12"/>
    </row>
    <row r="479" spans="1:14" x14ac:dyDescent="0.2">
      <c r="A479" s="7"/>
      <c r="E479" s="8"/>
      <c r="F479" s="152"/>
      <c r="G479" s="9"/>
      <c r="H479" s="9"/>
      <c r="I479" s="9"/>
      <c r="J479" s="8"/>
      <c r="K479" s="9"/>
      <c r="L479" s="10"/>
      <c r="M479" s="11"/>
      <c r="N479" s="12"/>
    </row>
    <row r="480" spans="1:14" x14ac:dyDescent="0.2">
      <c r="A480" s="7"/>
      <c r="E480" s="8"/>
      <c r="F480" s="152"/>
      <c r="G480" s="9"/>
      <c r="H480" s="9"/>
      <c r="I480" s="9"/>
      <c r="J480" s="8"/>
      <c r="K480" s="9"/>
      <c r="L480" s="10"/>
      <c r="M480" s="11"/>
      <c r="N480" s="12"/>
    </row>
    <row r="481" spans="1:14" x14ac:dyDescent="0.2">
      <c r="A481" s="7"/>
      <c r="E481" s="8"/>
      <c r="F481" s="152"/>
      <c r="G481" s="9"/>
      <c r="H481" s="9"/>
      <c r="I481" s="9"/>
      <c r="J481" s="8"/>
      <c r="K481" s="9"/>
      <c r="L481" s="10"/>
      <c r="M481" s="11"/>
      <c r="N481" s="12"/>
    </row>
    <row r="482" spans="1:14" x14ac:dyDescent="0.2">
      <c r="A482" s="7"/>
      <c r="E482" s="8"/>
      <c r="F482" s="152"/>
      <c r="G482" s="9"/>
      <c r="H482" s="9"/>
      <c r="I482" s="9"/>
      <c r="J482" s="8"/>
      <c r="K482" s="9"/>
      <c r="L482" s="10"/>
      <c r="M482" s="11"/>
      <c r="N482" s="12"/>
    </row>
    <row r="483" spans="1:14" x14ac:dyDescent="0.2">
      <c r="A483" s="7"/>
      <c r="E483" s="8"/>
      <c r="F483" s="152"/>
      <c r="G483" s="9"/>
      <c r="H483" s="9"/>
      <c r="I483" s="9"/>
      <c r="J483" s="8"/>
      <c r="K483" s="9"/>
      <c r="L483" s="10"/>
      <c r="M483" s="11"/>
      <c r="N483" s="12"/>
    </row>
    <row r="484" spans="1:14" x14ac:dyDescent="0.2">
      <c r="A484" s="7"/>
      <c r="E484" s="8"/>
      <c r="F484" s="152"/>
      <c r="G484" s="9"/>
      <c r="H484" s="9"/>
      <c r="I484" s="9"/>
      <c r="J484" s="8"/>
      <c r="K484" s="9"/>
      <c r="L484" s="10"/>
      <c r="M484" s="11"/>
      <c r="N484" s="12"/>
    </row>
    <row r="485" spans="1:14" x14ac:dyDescent="0.2">
      <c r="A485" s="7"/>
      <c r="E485" s="8"/>
      <c r="F485" s="152"/>
      <c r="G485" s="9"/>
      <c r="H485" s="9"/>
      <c r="I485" s="9"/>
      <c r="J485" s="8"/>
      <c r="K485" s="9"/>
      <c r="L485" s="10"/>
      <c r="M485" s="11"/>
      <c r="N485" s="12"/>
    </row>
    <row r="486" spans="1:14" x14ac:dyDescent="0.2">
      <c r="A486" s="7"/>
      <c r="E486" s="8"/>
      <c r="F486" s="152"/>
      <c r="G486" s="9"/>
      <c r="H486" s="9"/>
      <c r="I486" s="9"/>
      <c r="J486" s="8"/>
      <c r="K486" s="9"/>
      <c r="L486" s="10"/>
      <c r="M486" s="11"/>
      <c r="N486" s="12"/>
    </row>
    <row r="487" spans="1:14" x14ac:dyDescent="0.2">
      <c r="A487" s="7"/>
      <c r="E487" s="8"/>
      <c r="F487" s="152"/>
      <c r="G487" s="9"/>
      <c r="H487" s="9"/>
      <c r="I487" s="9"/>
      <c r="J487" s="8"/>
      <c r="K487" s="9"/>
      <c r="L487" s="10"/>
      <c r="M487" s="11"/>
      <c r="N487" s="12"/>
    </row>
    <row r="488" spans="1:14" x14ac:dyDescent="0.2">
      <c r="A488" s="7"/>
      <c r="E488" s="8"/>
      <c r="F488" s="152"/>
      <c r="G488" s="9"/>
      <c r="H488" s="9"/>
      <c r="I488" s="9"/>
      <c r="J488" s="8"/>
      <c r="K488" s="9"/>
      <c r="L488" s="10"/>
      <c r="M488" s="11"/>
      <c r="N488" s="12"/>
    </row>
    <row r="489" spans="1:14" x14ac:dyDescent="0.2">
      <c r="A489" s="7"/>
      <c r="E489" s="8"/>
      <c r="F489" s="152"/>
      <c r="G489" s="9"/>
      <c r="H489" s="9"/>
      <c r="I489" s="9"/>
      <c r="J489" s="8"/>
      <c r="K489" s="9"/>
      <c r="L489" s="10"/>
      <c r="M489" s="11"/>
      <c r="N489" s="12"/>
    </row>
    <row r="490" spans="1:14" x14ac:dyDescent="0.2">
      <c r="A490" s="7"/>
      <c r="E490" s="8"/>
      <c r="F490" s="152"/>
      <c r="G490" s="9"/>
      <c r="H490" s="9"/>
      <c r="I490" s="9"/>
      <c r="J490" s="8"/>
      <c r="K490" s="9"/>
      <c r="L490" s="10"/>
      <c r="M490" s="11"/>
      <c r="N490" s="12"/>
    </row>
    <row r="491" spans="1:14" x14ac:dyDescent="0.2">
      <c r="A491" s="7"/>
      <c r="E491" s="8"/>
      <c r="F491" s="152"/>
      <c r="G491" s="9"/>
      <c r="H491" s="9"/>
      <c r="I491" s="9"/>
      <c r="J491" s="8"/>
      <c r="K491" s="9"/>
      <c r="L491" s="10"/>
      <c r="M491" s="11"/>
      <c r="N491" s="12"/>
    </row>
    <row r="492" spans="1:14" x14ac:dyDescent="0.2">
      <c r="A492" s="7"/>
      <c r="E492" s="8"/>
      <c r="F492" s="152"/>
      <c r="G492" s="9"/>
      <c r="H492" s="9"/>
      <c r="I492" s="9"/>
      <c r="J492" s="8"/>
      <c r="K492" s="9"/>
      <c r="L492" s="10"/>
      <c r="M492" s="11"/>
      <c r="N492" s="12"/>
    </row>
    <row r="493" spans="1:14" x14ac:dyDescent="0.2">
      <c r="A493" s="7"/>
      <c r="E493" s="8"/>
      <c r="F493" s="152"/>
      <c r="G493" s="9"/>
      <c r="H493" s="9"/>
      <c r="I493" s="9"/>
      <c r="J493" s="8"/>
      <c r="K493" s="9"/>
      <c r="L493" s="10"/>
      <c r="M493" s="11"/>
      <c r="N493" s="12"/>
    </row>
    <row r="494" spans="1:14" x14ac:dyDescent="0.2">
      <c r="A494" s="7"/>
      <c r="E494" s="8"/>
      <c r="F494" s="152"/>
      <c r="G494" s="9"/>
      <c r="H494" s="9"/>
      <c r="I494" s="9"/>
      <c r="J494" s="8"/>
      <c r="K494" s="9"/>
      <c r="L494" s="10"/>
      <c r="M494" s="11"/>
      <c r="N494" s="12"/>
    </row>
    <row r="495" spans="1:14" x14ac:dyDescent="0.2">
      <c r="A495" s="7"/>
      <c r="E495" s="8"/>
      <c r="F495" s="152"/>
      <c r="G495" s="9"/>
      <c r="H495" s="9"/>
      <c r="I495" s="9"/>
      <c r="J495" s="8"/>
      <c r="K495" s="9"/>
      <c r="L495" s="10"/>
      <c r="M495" s="11"/>
      <c r="N495" s="12"/>
    </row>
    <row r="496" spans="1:14" x14ac:dyDescent="0.2">
      <c r="A496" s="7"/>
      <c r="E496" s="8"/>
      <c r="F496" s="152"/>
      <c r="G496" s="9"/>
      <c r="H496" s="9"/>
      <c r="I496" s="9"/>
      <c r="J496" s="8"/>
      <c r="K496" s="9"/>
      <c r="L496" s="10"/>
      <c r="M496" s="11"/>
      <c r="N496" s="12"/>
    </row>
    <row r="497" spans="1:14" x14ac:dyDescent="0.2">
      <c r="A497" s="7"/>
      <c r="E497" s="8"/>
      <c r="F497" s="152"/>
      <c r="G497" s="9"/>
      <c r="H497" s="9"/>
      <c r="I497" s="9"/>
      <c r="J497" s="8"/>
      <c r="K497" s="9"/>
      <c r="L497" s="10"/>
      <c r="M497" s="11"/>
      <c r="N497" s="12"/>
    </row>
    <row r="498" spans="1:14" x14ac:dyDescent="0.2">
      <c r="A498" s="7"/>
      <c r="E498" s="8"/>
      <c r="F498" s="152"/>
      <c r="G498" s="9"/>
      <c r="H498" s="9"/>
      <c r="I498" s="9"/>
      <c r="J498" s="8"/>
      <c r="K498" s="9"/>
      <c r="L498" s="10"/>
      <c r="M498" s="11"/>
      <c r="N498" s="12"/>
    </row>
    <row r="499" spans="1:14" x14ac:dyDescent="0.2">
      <c r="A499" s="7"/>
      <c r="E499" s="8"/>
      <c r="F499" s="152"/>
      <c r="G499" s="9"/>
      <c r="H499" s="9"/>
      <c r="I499" s="9"/>
      <c r="J499" s="8"/>
      <c r="K499" s="9"/>
      <c r="L499" s="10"/>
      <c r="M499" s="11"/>
      <c r="N499" s="12"/>
    </row>
    <row r="500" spans="1:14" x14ac:dyDescent="0.2">
      <c r="A500" s="7"/>
      <c r="E500" s="8"/>
      <c r="F500" s="152"/>
      <c r="G500" s="9"/>
      <c r="H500" s="9"/>
      <c r="I500" s="9"/>
      <c r="J500" s="8"/>
      <c r="K500" s="9"/>
      <c r="L500" s="10"/>
      <c r="M500" s="11"/>
      <c r="N500" s="12"/>
    </row>
    <row r="501" spans="1:14" x14ac:dyDescent="0.2">
      <c r="A501" s="7"/>
      <c r="E501" s="8"/>
      <c r="F501" s="152"/>
      <c r="G501" s="9"/>
      <c r="H501" s="9"/>
      <c r="I501" s="9"/>
      <c r="J501" s="8"/>
      <c r="K501" s="9"/>
      <c r="L501" s="10"/>
      <c r="M501" s="11"/>
      <c r="N501" s="12"/>
    </row>
    <row r="502" spans="1:14" x14ac:dyDescent="0.2">
      <c r="A502" s="7"/>
      <c r="E502" s="8"/>
      <c r="F502" s="152"/>
      <c r="G502" s="9"/>
      <c r="H502" s="9"/>
      <c r="I502" s="9"/>
      <c r="J502" s="8"/>
      <c r="K502" s="9"/>
      <c r="L502" s="10"/>
      <c r="M502" s="11"/>
      <c r="N502" s="12"/>
    </row>
    <row r="503" spans="1:14" x14ac:dyDescent="0.2">
      <c r="A503" s="7"/>
      <c r="E503" s="8"/>
      <c r="F503" s="152"/>
      <c r="G503" s="9"/>
      <c r="H503" s="9"/>
      <c r="I503" s="9"/>
      <c r="J503" s="8"/>
      <c r="K503" s="9"/>
      <c r="L503" s="10"/>
      <c r="M503" s="11"/>
      <c r="N503" s="12"/>
    </row>
    <row r="504" spans="1:14" x14ac:dyDescent="0.2">
      <c r="A504" s="7"/>
      <c r="E504" s="8"/>
      <c r="F504" s="152"/>
      <c r="G504" s="9"/>
      <c r="H504" s="9"/>
      <c r="I504" s="9"/>
      <c r="J504" s="8"/>
      <c r="K504" s="9"/>
      <c r="L504" s="10"/>
      <c r="M504" s="11"/>
      <c r="N504" s="12"/>
    </row>
    <row r="505" spans="1:14" x14ac:dyDescent="0.2">
      <c r="A505" s="7"/>
      <c r="E505" s="8"/>
      <c r="F505" s="152"/>
      <c r="G505" s="9"/>
      <c r="H505" s="9"/>
      <c r="I505" s="9"/>
      <c r="J505" s="8"/>
      <c r="K505" s="9"/>
      <c r="L505" s="10"/>
      <c r="M505" s="11"/>
      <c r="N505" s="12"/>
    </row>
    <row r="506" spans="1:14" x14ac:dyDescent="0.2">
      <c r="A506" s="7"/>
      <c r="E506" s="8"/>
      <c r="F506" s="152"/>
      <c r="G506" s="9"/>
      <c r="H506" s="9"/>
      <c r="I506" s="9"/>
      <c r="J506" s="8"/>
      <c r="K506" s="9"/>
      <c r="L506" s="10"/>
      <c r="M506" s="11"/>
      <c r="N506" s="12"/>
    </row>
    <row r="507" spans="1:14" x14ac:dyDescent="0.2">
      <c r="A507" s="7"/>
      <c r="E507" s="8"/>
      <c r="F507" s="152"/>
      <c r="G507" s="9"/>
      <c r="H507" s="9"/>
      <c r="I507" s="9"/>
      <c r="J507" s="8"/>
      <c r="K507" s="9"/>
      <c r="L507" s="10"/>
      <c r="M507" s="11"/>
      <c r="N507" s="12"/>
    </row>
    <row r="508" spans="1:14" x14ac:dyDescent="0.2">
      <c r="A508" s="7"/>
      <c r="E508" s="8"/>
      <c r="F508" s="152"/>
      <c r="G508" s="9"/>
      <c r="H508" s="9"/>
      <c r="I508" s="9"/>
      <c r="J508" s="8"/>
      <c r="K508" s="9"/>
      <c r="L508" s="10"/>
      <c r="M508" s="11"/>
      <c r="N508" s="12"/>
    </row>
    <row r="509" spans="1:14" x14ac:dyDescent="0.2">
      <c r="A509" s="7"/>
      <c r="E509" s="8"/>
      <c r="F509" s="152"/>
      <c r="G509" s="9"/>
      <c r="H509" s="9"/>
      <c r="I509" s="9"/>
      <c r="J509" s="8"/>
      <c r="K509" s="9"/>
      <c r="L509" s="10"/>
      <c r="M509" s="11"/>
      <c r="N509" s="12"/>
    </row>
    <row r="510" spans="1:14" x14ac:dyDescent="0.2">
      <c r="A510" s="7"/>
      <c r="E510" s="8"/>
      <c r="F510" s="152"/>
      <c r="G510" s="9"/>
      <c r="H510" s="9"/>
      <c r="I510" s="9"/>
      <c r="J510" s="8"/>
      <c r="K510" s="9"/>
      <c r="L510" s="10"/>
      <c r="M510" s="11"/>
      <c r="N510" s="12"/>
    </row>
    <row r="511" spans="1:14" x14ac:dyDescent="0.2">
      <c r="A511" s="7"/>
      <c r="E511" s="8"/>
      <c r="F511" s="152"/>
      <c r="G511" s="9"/>
      <c r="H511" s="9"/>
      <c r="I511" s="9"/>
      <c r="J511" s="8"/>
      <c r="K511" s="9"/>
      <c r="L511" s="10"/>
      <c r="M511" s="11"/>
      <c r="N511" s="12"/>
    </row>
    <row r="512" spans="1:14" x14ac:dyDescent="0.2">
      <c r="A512" s="7"/>
      <c r="E512" s="8"/>
      <c r="F512" s="152"/>
      <c r="G512" s="9"/>
      <c r="H512" s="9"/>
      <c r="I512" s="9"/>
      <c r="J512" s="8"/>
      <c r="K512" s="9"/>
      <c r="L512" s="10"/>
      <c r="M512" s="11"/>
      <c r="N512" s="12"/>
    </row>
    <row r="513" spans="1:14" x14ac:dyDescent="0.2">
      <c r="A513" s="7"/>
      <c r="E513" s="8"/>
      <c r="F513" s="152"/>
      <c r="G513" s="9"/>
      <c r="H513" s="9"/>
      <c r="I513" s="9"/>
      <c r="J513" s="8"/>
      <c r="K513" s="9"/>
      <c r="L513" s="10"/>
      <c r="M513" s="11"/>
      <c r="N513" s="12"/>
    </row>
    <row r="514" spans="1:14" x14ac:dyDescent="0.2">
      <c r="A514" s="7"/>
      <c r="E514" s="8"/>
      <c r="F514" s="152"/>
      <c r="G514" s="9"/>
      <c r="H514" s="9"/>
      <c r="I514" s="9"/>
      <c r="J514" s="8"/>
      <c r="K514" s="9"/>
      <c r="L514" s="10"/>
      <c r="M514" s="11"/>
      <c r="N514" s="12"/>
    </row>
    <row r="515" spans="1:14" x14ac:dyDescent="0.2">
      <c r="A515" s="7"/>
      <c r="E515" s="8"/>
      <c r="F515" s="152"/>
      <c r="G515" s="9"/>
      <c r="H515" s="9"/>
      <c r="I515" s="9"/>
      <c r="J515" s="8"/>
      <c r="K515" s="9"/>
      <c r="L515" s="10"/>
      <c r="M515" s="11"/>
      <c r="N515" s="12"/>
    </row>
    <row r="516" spans="1:14" x14ac:dyDescent="0.2">
      <c r="A516" s="7"/>
      <c r="E516" s="8"/>
      <c r="F516" s="152"/>
      <c r="G516" s="9"/>
      <c r="H516" s="9"/>
      <c r="I516" s="9"/>
      <c r="J516" s="8"/>
      <c r="K516" s="9"/>
      <c r="L516" s="10"/>
      <c r="M516" s="11"/>
      <c r="N516" s="12"/>
    </row>
    <row r="517" spans="1:14" x14ac:dyDescent="0.2">
      <c r="A517" s="7"/>
      <c r="E517" s="8"/>
      <c r="F517" s="152"/>
      <c r="G517" s="9"/>
      <c r="H517" s="9"/>
      <c r="I517" s="9"/>
      <c r="J517" s="8"/>
      <c r="K517" s="9"/>
      <c r="L517" s="10"/>
      <c r="M517" s="11"/>
      <c r="N517" s="12"/>
    </row>
    <row r="518" spans="1:14" x14ac:dyDescent="0.2">
      <c r="A518" s="7"/>
      <c r="E518" s="8"/>
      <c r="F518" s="152"/>
      <c r="G518" s="9"/>
      <c r="H518" s="9"/>
      <c r="I518" s="9"/>
      <c r="J518" s="8"/>
      <c r="K518" s="9"/>
      <c r="L518" s="10"/>
      <c r="M518" s="11"/>
      <c r="N518" s="12"/>
    </row>
    <row r="519" spans="1:14" x14ac:dyDescent="0.2">
      <c r="A519" s="7"/>
      <c r="E519" s="8"/>
      <c r="F519" s="152"/>
      <c r="G519" s="9"/>
      <c r="H519" s="9"/>
      <c r="I519" s="9"/>
      <c r="J519" s="8"/>
      <c r="K519" s="9"/>
      <c r="L519" s="10"/>
      <c r="M519" s="11"/>
      <c r="N519" s="12"/>
    </row>
    <row r="520" spans="1:14" x14ac:dyDescent="0.2">
      <c r="A520" s="7"/>
      <c r="E520" s="8"/>
      <c r="F520" s="152"/>
      <c r="G520" s="9"/>
      <c r="H520" s="9"/>
      <c r="I520" s="9"/>
      <c r="J520" s="8"/>
      <c r="K520" s="9"/>
      <c r="L520" s="10"/>
      <c r="M520" s="11"/>
      <c r="N520" s="12"/>
    </row>
    <row r="521" spans="1:14" x14ac:dyDescent="0.2">
      <c r="A521" s="7"/>
      <c r="E521" s="8"/>
      <c r="F521" s="152"/>
      <c r="G521" s="9"/>
      <c r="H521" s="9"/>
      <c r="I521" s="9"/>
      <c r="J521" s="8"/>
      <c r="K521" s="9"/>
      <c r="L521" s="10"/>
      <c r="M521" s="11"/>
      <c r="N521" s="12"/>
    </row>
    <row r="522" spans="1:14" x14ac:dyDescent="0.2">
      <c r="A522" s="7"/>
      <c r="E522" s="8"/>
      <c r="F522" s="152"/>
      <c r="G522" s="9"/>
      <c r="H522" s="9"/>
      <c r="I522" s="9"/>
      <c r="J522" s="8"/>
      <c r="K522" s="9"/>
      <c r="L522" s="10"/>
      <c r="M522" s="11"/>
      <c r="N522" s="12"/>
    </row>
    <row r="523" spans="1:14" x14ac:dyDescent="0.2">
      <c r="A523" s="7"/>
      <c r="E523" s="8"/>
      <c r="F523" s="152"/>
      <c r="G523" s="9"/>
      <c r="H523" s="9"/>
      <c r="I523" s="9"/>
      <c r="J523" s="8"/>
      <c r="K523" s="9"/>
      <c r="L523" s="10"/>
      <c r="M523" s="11"/>
      <c r="N523" s="12"/>
    </row>
    <row r="524" spans="1:14" x14ac:dyDescent="0.2">
      <c r="A524" s="7"/>
      <c r="E524" s="8"/>
      <c r="F524" s="152"/>
      <c r="G524" s="9"/>
      <c r="H524" s="9"/>
      <c r="I524" s="9"/>
      <c r="J524" s="8"/>
      <c r="K524" s="9"/>
      <c r="L524" s="10"/>
      <c r="M524" s="11"/>
      <c r="N524" s="12"/>
    </row>
    <row r="525" spans="1:14" x14ac:dyDescent="0.2">
      <c r="A525" s="7"/>
      <c r="E525" s="8"/>
      <c r="F525" s="152"/>
      <c r="G525" s="9"/>
      <c r="H525" s="9"/>
      <c r="I525" s="9"/>
      <c r="J525" s="8"/>
      <c r="K525" s="9"/>
      <c r="L525" s="10"/>
      <c r="M525" s="11"/>
      <c r="N525" s="12"/>
    </row>
    <row r="526" spans="1:14" x14ac:dyDescent="0.2">
      <c r="A526" s="7"/>
      <c r="E526" s="8"/>
      <c r="F526" s="152"/>
      <c r="G526" s="9"/>
      <c r="H526" s="9"/>
      <c r="I526" s="9"/>
      <c r="J526" s="8"/>
      <c r="K526" s="9"/>
      <c r="L526" s="10"/>
      <c r="M526" s="11"/>
      <c r="N526" s="12"/>
    </row>
    <row r="527" spans="1:14" x14ac:dyDescent="0.2">
      <c r="A527" s="7"/>
      <c r="E527" s="8"/>
      <c r="F527" s="152"/>
      <c r="G527" s="9"/>
      <c r="H527" s="9"/>
      <c r="I527" s="9"/>
      <c r="J527" s="8"/>
      <c r="K527" s="9"/>
      <c r="L527" s="10"/>
      <c r="M527" s="11"/>
      <c r="N527" s="12"/>
    </row>
    <row r="528" spans="1:14" x14ac:dyDescent="0.2">
      <c r="A528" s="7"/>
      <c r="E528" s="8"/>
      <c r="F528" s="152"/>
      <c r="G528" s="9"/>
      <c r="H528" s="9"/>
      <c r="I528" s="9"/>
      <c r="J528" s="8"/>
      <c r="K528" s="9"/>
      <c r="L528" s="10"/>
      <c r="M528" s="11"/>
      <c r="N528" s="12"/>
    </row>
    <row r="529" spans="1:14" x14ac:dyDescent="0.2">
      <c r="A529" s="7"/>
      <c r="E529" s="8"/>
      <c r="F529" s="152"/>
      <c r="G529" s="9"/>
      <c r="H529" s="9"/>
      <c r="I529" s="9"/>
      <c r="J529" s="8"/>
      <c r="K529" s="9"/>
      <c r="L529" s="10"/>
      <c r="M529" s="11"/>
      <c r="N529" s="12"/>
    </row>
    <row r="530" spans="1:14" x14ac:dyDescent="0.2">
      <c r="A530" s="7"/>
      <c r="B530" s="7"/>
      <c r="C530" s="13"/>
      <c r="D530" s="13"/>
      <c r="E530" s="8"/>
      <c r="F530" s="195"/>
      <c r="G530" s="8"/>
      <c r="H530" s="8"/>
      <c r="I530" s="8"/>
      <c r="J530" s="8"/>
      <c r="K530" s="9"/>
      <c r="L530" s="14"/>
      <c r="M530" s="11"/>
      <c r="N530" s="15"/>
    </row>
    <row r="531" spans="1:14" x14ac:dyDescent="0.2">
      <c r="A531" s="7"/>
      <c r="B531" s="7"/>
      <c r="C531" s="13"/>
      <c r="D531" s="13"/>
      <c r="E531" s="8"/>
      <c r="F531" s="195"/>
      <c r="G531" s="8"/>
      <c r="H531" s="8"/>
      <c r="I531" s="8"/>
      <c r="J531" s="8"/>
      <c r="K531" s="9"/>
      <c r="L531" s="14"/>
      <c r="M531" s="11"/>
      <c r="N531" s="15"/>
    </row>
    <row r="532" spans="1:14" x14ac:dyDescent="0.2">
      <c r="A532" s="7"/>
      <c r="B532" s="7"/>
      <c r="C532" s="13"/>
      <c r="D532" s="13"/>
      <c r="E532" s="8"/>
      <c r="F532" s="195"/>
      <c r="G532" s="8"/>
      <c r="H532" s="8"/>
      <c r="I532" s="8"/>
      <c r="J532" s="8"/>
      <c r="K532" s="9"/>
      <c r="L532" s="14"/>
      <c r="M532" s="11"/>
      <c r="N532" s="15"/>
    </row>
    <row r="533" spans="1:14" x14ac:dyDescent="0.2">
      <c r="A533" s="7"/>
      <c r="B533" s="7"/>
      <c r="C533" s="13"/>
      <c r="D533" s="13"/>
      <c r="E533" s="8"/>
      <c r="F533" s="195"/>
      <c r="G533" s="8"/>
      <c r="H533" s="8"/>
      <c r="I533" s="8"/>
      <c r="J533" s="8"/>
      <c r="K533" s="9"/>
      <c r="L533" s="14"/>
      <c r="M533" s="11"/>
      <c r="N533" s="15"/>
    </row>
    <row r="534" spans="1:14" x14ac:dyDescent="0.2">
      <c r="A534" s="7"/>
      <c r="B534" s="7"/>
      <c r="C534" s="13"/>
      <c r="D534" s="13"/>
      <c r="E534" s="8"/>
      <c r="F534" s="195"/>
      <c r="G534" s="8"/>
      <c r="H534" s="8"/>
      <c r="I534" s="8"/>
      <c r="J534" s="8"/>
      <c r="K534" s="9"/>
      <c r="L534" s="14"/>
      <c r="M534" s="11"/>
      <c r="N534" s="15"/>
    </row>
    <row r="535" spans="1:14" x14ac:dyDescent="0.2">
      <c r="A535" s="7"/>
      <c r="B535" s="7"/>
      <c r="C535" s="13"/>
      <c r="D535" s="13"/>
      <c r="E535" s="8"/>
      <c r="F535" s="195"/>
      <c r="G535" s="8"/>
      <c r="H535" s="8"/>
      <c r="I535" s="8"/>
      <c r="J535" s="8"/>
      <c r="K535" s="9"/>
      <c r="L535" s="14"/>
      <c r="M535" s="11"/>
      <c r="N535" s="15"/>
    </row>
    <row r="536" spans="1:14" x14ac:dyDescent="0.2">
      <c r="A536" s="7"/>
      <c r="B536" s="7"/>
      <c r="C536" s="13"/>
      <c r="D536" s="13"/>
      <c r="E536" s="8"/>
      <c r="F536" s="195"/>
      <c r="G536" s="8"/>
      <c r="H536" s="8"/>
      <c r="I536" s="8"/>
      <c r="J536" s="8"/>
      <c r="K536" s="9"/>
      <c r="L536" s="14"/>
      <c r="M536" s="11"/>
      <c r="N536" s="15"/>
    </row>
    <row r="537" spans="1:14" x14ac:dyDescent="0.2">
      <c r="A537" s="7"/>
      <c r="B537" s="7"/>
      <c r="C537" s="13"/>
      <c r="D537" s="13"/>
      <c r="E537" s="8"/>
      <c r="F537" s="195"/>
      <c r="G537" s="8"/>
      <c r="H537" s="8"/>
      <c r="I537" s="8"/>
      <c r="J537" s="8"/>
      <c r="K537" s="9"/>
      <c r="L537" s="14"/>
      <c r="M537" s="11"/>
      <c r="N537" s="15"/>
    </row>
    <row r="538" spans="1:14" x14ac:dyDescent="0.2">
      <c r="A538" s="7"/>
      <c r="B538" s="7"/>
      <c r="C538" s="13"/>
      <c r="D538" s="13"/>
      <c r="E538" s="8"/>
      <c r="F538" s="195"/>
      <c r="G538" s="8"/>
      <c r="H538" s="8"/>
      <c r="I538" s="8"/>
      <c r="J538" s="8"/>
      <c r="K538" s="9"/>
      <c r="L538" s="14"/>
      <c r="M538" s="11"/>
      <c r="N538" s="15"/>
    </row>
    <row r="539" spans="1:14" x14ac:dyDescent="0.2">
      <c r="A539" s="7"/>
      <c r="B539" s="7"/>
      <c r="C539" s="13"/>
      <c r="D539" s="13"/>
      <c r="E539" s="8"/>
      <c r="F539" s="195"/>
      <c r="G539" s="8"/>
      <c r="H539" s="8"/>
      <c r="I539" s="8"/>
      <c r="J539" s="8"/>
      <c r="K539" s="9"/>
      <c r="L539" s="14"/>
      <c r="M539" s="11"/>
      <c r="N539" s="15"/>
    </row>
    <row r="540" spans="1:14" x14ac:dyDescent="0.2">
      <c r="A540" s="7"/>
      <c r="B540" s="7"/>
      <c r="C540" s="13"/>
      <c r="D540" s="13"/>
      <c r="E540" s="8"/>
      <c r="F540" s="195"/>
      <c r="G540" s="8"/>
      <c r="H540" s="8"/>
      <c r="I540" s="8"/>
      <c r="J540" s="8"/>
      <c r="K540" s="9"/>
      <c r="L540" s="14"/>
      <c r="M540" s="11"/>
      <c r="N540" s="15"/>
    </row>
    <row r="541" spans="1:14" x14ac:dyDescent="0.2">
      <c r="A541" s="7"/>
      <c r="B541" s="7"/>
      <c r="C541" s="13"/>
      <c r="D541" s="13"/>
      <c r="E541" s="8"/>
      <c r="F541" s="195"/>
      <c r="G541" s="8"/>
      <c r="H541" s="8"/>
      <c r="I541" s="8"/>
      <c r="J541" s="8"/>
      <c r="K541" s="9"/>
      <c r="L541" s="14"/>
      <c r="M541" s="11"/>
      <c r="N541" s="15"/>
    </row>
    <row r="542" spans="1:14" x14ac:dyDescent="0.2">
      <c r="A542" s="7"/>
      <c r="B542" s="7"/>
      <c r="C542" s="13"/>
      <c r="D542" s="13"/>
      <c r="E542" s="8"/>
      <c r="F542" s="195"/>
      <c r="G542" s="8"/>
      <c r="H542" s="8"/>
      <c r="I542" s="8"/>
      <c r="J542" s="8"/>
      <c r="K542" s="9"/>
      <c r="L542" s="14"/>
      <c r="M542" s="11"/>
      <c r="N542" s="15"/>
    </row>
    <row r="543" spans="1:14" x14ac:dyDescent="0.2">
      <c r="A543" s="7"/>
      <c r="B543" s="7"/>
      <c r="C543" s="13"/>
      <c r="D543" s="13"/>
      <c r="E543" s="8"/>
      <c r="F543" s="195"/>
      <c r="G543" s="8"/>
      <c r="H543" s="8"/>
      <c r="I543" s="8"/>
      <c r="J543" s="8"/>
      <c r="K543" s="9"/>
      <c r="L543" s="14"/>
      <c r="M543" s="11"/>
      <c r="N543" s="15"/>
    </row>
    <row r="544" spans="1:14" x14ac:dyDescent="0.2">
      <c r="A544" s="7"/>
      <c r="B544" s="7"/>
      <c r="C544" s="13"/>
      <c r="D544" s="13"/>
      <c r="E544" s="8"/>
      <c r="F544" s="195"/>
      <c r="G544" s="8"/>
      <c r="H544" s="8"/>
      <c r="I544" s="8"/>
      <c r="J544" s="8"/>
      <c r="K544" s="9"/>
      <c r="L544" s="14"/>
      <c r="M544" s="11"/>
      <c r="N544" s="15"/>
    </row>
    <row r="545" spans="1:15" x14ac:dyDescent="0.2">
      <c r="A545" s="7"/>
      <c r="B545" s="7"/>
      <c r="C545" s="13"/>
      <c r="D545" s="13"/>
      <c r="E545" s="8"/>
      <c r="F545" s="195"/>
      <c r="G545" s="8"/>
      <c r="H545" s="8"/>
      <c r="I545" s="8"/>
      <c r="J545" s="8"/>
      <c r="K545" s="9"/>
      <c r="L545" s="14"/>
      <c r="M545" s="11"/>
      <c r="N545" s="15"/>
    </row>
    <row r="546" spans="1:15" x14ac:dyDescent="0.2">
      <c r="A546" s="7"/>
      <c r="B546" s="7"/>
      <c r="C546" s="13"/>
      <c r="D546" s="13"/>
      <c r="E546" s="8"/>
      <c r="F546" s="195"/>
      <c r="G546" s="8"/>
      <c r="H546" s="8"/>
      <c r="I546" s="8"/>
      <c r="J546" s="8"/>
      <c r="K546" s="9"/>
      <c r="L546" s="14"/>
      <c r="M546" s="11"/>
      <c r="N546" s="15"/>
    </row>
    <row r="547" spans="1:15" x14ac:dyDescent="0.2">
      <c r="A547" s="7"/>
      <c r="B547" s="7"/>
      <c r="C547" s="13"/>
      <c r="D547" s="13"/>
      <c r="E547" s="8"/>
      <c r="F547" s="195"/>
      <c r="G547" s="8"/>
      <c r="H547" s="8"/>
      <c r="I547" s="8"/>
      <c r="J547" s="8"/>
      <c r="K547" s="9"/>
      <c r="L547" s="14"/>
      <c r="M547" s="11"/>
      <c r="N547" s="15"/>
    </row>
    <row r="548" spans="1:15" x14ac:dyDescent="0.2">
      <c r="A548" s="7"/>
      <c r="B548" s="7"/>
      <c r="C548" s="13"/>
      <c r="D548" s="13"/>
      <c r="E548" s="8"/>
      <c r="F548" s="195"/>
      <c r="G548" s="8"/>
      <c r="H548" s="8"/>
      <c r="I548" s="8"/>
      <c r="J548" s="8"/>
      <c r="K548" s="9"/>
      <c r="L548" s="14"/>
      <c r="M548" s="11"/>
      <c r="N548" s="15"/>
    </row>
    <row r="549" spans="1:15" x14ac:dyDescent="0.2">
      <c r="A549" s="7"/>
      <c r="B549" s="7"/>
      <c r="C549" s="13"/>
      <c r="D549" s="13"/>
      <c r="E549" s="8"/>
      <c r="F549" s="195"/>
      <c r="G549" s="8"/>
      <c r="H549" s="8"/>
      <c r="I549" s="8"/>
      <c r="J549" s="8"/>
      <c r="K549" s="9"/>
      <c r="L549" s="14"/>
      <c r="M549" s="11"/>
      <c r="N549" s="15"/>
    </row>
    <row r="550" spans="1:15" x14ac:dyDescent="0.2">
      <c r="A550" s="7"/>
      <c r="B550" s="7"/>
      <c r="C550" s="13"/>
      <c r="D550" s="13"/>
      <c r="E550" s="8"/>
      <c r="F550" s="195"/>
      <c r="G550" s="8"/>
      <c r="H550" s="8"/>
      <c r="I550" s="8"/>
      <c r="J550" s="8"/>
      <c r="K550" s="9"/>
      <c r="L550" s="14"/>
      <c r="M550" s="11"/>
      <c r="N550" s="15"/>
    </row>
    <row r="551" spans="1:15" x14ac:dyDescent="0.2">
      <c r="A551" s="7"/>
      <c r="B551" s="7"/>
      <c r="C551" s="13"/>
      <c r="D551" s="13"/>
      <c r="E551" s="8"/>
      <c r="F551" s="195"/>
      <c r="G551" s="8"/>
      <c r="H551" s="8"/>
      <c r="I551" s="8"/>
      <c r="J551" s="8"/>
      <c r="K551" s="9"/>
      <c r="L551" s="14"/>
      <c r="M551" s="11"/>
      <c r="N551" s="15"/>
    </row>
    <row r="552" spans="1:15" x14ac:dyDescent="0.2">
      <c r="A552" s="7"/>
      <c r="B552" s="7"/>
      <c r="C552" s="13"/>
      <c r="D552" s="13"/>
      <c r="E552" s="8"/>
      <c r="F552" s="195"/>
      <c r="G552" s="8"/>
      <c r="H552" s="8"/>
      <c r="I552" s="8"/>
      <c r="J552" s="8"/>
      <c r="K552" s="9"/>
      <c r="L552" s="14"/>
      <c r="M552" s="11"/>
      <c r="N552" s="15"/>
    </row>
    <row r="553" spans="1:15" x14ac:dyDescent="0.2">
      <c r="A553" s="7"/>
      <c r="B553" s="7"/>
      <c r="C553" s="13"/>
      <c r="D553" s="13"/>
      <c r="E553" s="8"/>
      <c r="F553" s="195"/>
      <c r="G553" s="8"/>
      <c r="H553" s="8"/>
      <c r="I553" s="8"/>
      <c r="J553" s="8"/>
      <c r="K553" s="9"/>
      <c r="L553" s="14"/>
      <c r="M553" s="11"/>
      <c r="N553" s="15"/>
    </row>
    <row r="554" spans="1:15" x14ac:dyDescent="0.2">
      <c r="A554" s="13"/>
      <c r="B554" s="13"/>
      <c r="C554" s="13"/>
      <c r="D554" s="13"/>
      <c r="E554" s="13"/>
      <c r="F554" s="196"/>
      <c r="G554" s="13"/>
      <c r="H554" s="13"/>
      <c r="I554" s="13"/>
      <c r="J554" s="13"/>
      <c r="K554" s="13"/>
      <c r="L554" s="13"/>
      <c r="M554" s="11"/>
      <c r="N554" s="12"/>
      <c r="O554" s="13"/>
    </row>
    <row r="555" spans="1:15" x14ac:dyDescent="0.2">
      <c r="A555" s="13"/>
      <c r="B555" s="13"/>
      <c r="C555" s="13"/>
      <c r="D555" s="13"/>
      <c r="E555" s="13"/>
      <c r="F555" s="196"/>
      <c r="G555" s="13"/>
      <c r="H555" s="13"/>
      <c r="I555" s="13"/>
      <c r="J555" s="13"/>
      <c r="K555" s="13"/>
      <c r="L555" s="13"/>
      <c r="M555" s="11"/>
      <c r="N555" s="12"/>
      <c r="O555" s="13"/>
    </row>
    <row r="556" spans="1:15" x14ac:dyDescent="0.2">
      <c r="A556" s="13"/>
      <c r="B556" s="13"/>
      <c r="C556" s="13"/>
      <c r="D556" s="13"/>
      <c r="E556" s="13"/>
      <c r="F556" s="196"/>
      <c r="G556" s="13"/>
      <c r="H556" s="13"/>
      <c r="I556" s="13"/>
      <c r="J556" s="13"/>
      <c r="K556" s="13"/>
      <c r="L556" s="13"/>
      <c r="M556" s="11"/>
      <c r="N556" s="12"/>
      <c r="O556" s="13"/>
    </row>
    <row r="557" spans="1:15" x14ac:dyDescent="0.2">
      <c r="A557" s="13"/>
      <c r="B557" s="13"/>
      <c r="C557" s="13"/>
      <c r="D557" s="13"/>
      <c r="E557" s="13"/>
      <c r="F557" s="196"/>
      <c r="G557" s="13"/>
      <c r="H557" s="13"/>
      <c r="I557" s="13"/>
      <c r="J557" s="13"/>
      <c r="K557" s="13"/>
      <c r="L557" s="13"/>
      <c r="M557" s="11"/>
      <c r="N557" s="12"/>
      <c r="O557" s="13"/>
    </row>
    <row r="558" spans="1:15" x14ac:dyDescent="0.2">
      <c r="A558" s="13"/>
      <c r="B558" s="13"/>
      <c r="C558" s="13"/>
      <c r="D558" s="13"/>
      <c r="E558" s="13"/>
      <c r="F558" s="196"/>
      <c r="G558" s="13"/>
      <c r="H558" s="13"/>
      <c r="I558" s="13"/>
      <c r="J558" s="13"/>
      <c r="K558" s="13"/>
      <c r="L558" s="13"/>
      <c r="M558" s="11"/>
      <c r="N558" s="12"/>
      <c r="O558" s="13"/>
    </row>
    <row r="559" spans="1:15" x14ac:dyDescent="0.2">
      <c r="A559" s="13"/>
      <c r="B559" s="13"/>
      <c r="C559" s="13"/>
      <c r="D559" s="13"/>
      <c r="E559" s="13"/>
      <c r="F559" s="196"/>
      <c r="G559" s="13"/>
      <c r="H559" s="13"/>
      <c r="I559" s="13"/>
      <c r="J559" s="13"/>
      <c r="K559" s="13"/>
      <c r="L559" s="13"/>
      <c r="M559" s="11"/>
      <c r="N559" s="12"/>
      <c r="O559" s="13"/>
    </row>
    <row r="560" spans="1:15" x14ac:dyDescent="0.2">
      <c r="A560" s="13"/>
      <c r="B560" s="13"/>
      <c r="C560" s="13"/>
      <c r="D560" s="13"/>
      <c r="E560" s="13"/>
      <c r="F560" s="196"/>
      <c r="G560" s="13"/>
      <c r="H560" s="13"/>
      <c r="I560" s="13"/>
      <c r="J560" s="13"/>
      <c r="K560" s="13"/>
      <c r="L560" s="13"/>
      <c r="M560" s="11"/>
      <c r="N560" s="12"/>
      <c r="O560" s="13"/>
    </row>
    <row r="561" spans="1:15" x14ac:dyDescent="0.2">
      <c r="A561" s="13"/>
      <c r="B561" s="13"/>
      <c r="C561" s="13"/>
      <c r="D561" s="13"/>
      <c r="E561" s="13"/>
      <c r="F561" s="196"/>
      <c r="G561" s="13"/>
      <c r="H561" s="13"/>
      <c r="I561" s="13"/>
      <c r="J561" s="13"/>
      <c r="K561" s="13"/>
      <c r="L561" s="13"/>
      <c r="M561" s="11"/>
      <c r="N561" s="12"/>
      <c r="O561" s="13"/>
    </row>
    <row r="562" spans="1:15" x14ac:dyDescent="0.2">
      <c r="A562" s="13"/>
      <c r="B562" s="13"/>
      <c r="C562" s="13"/>
      <c r="D562" s="13"/>
      <c r="E562" s="13"/>
      <c r="F562" s="196"/>
      <c r="G562" s="13"/>
      <c r="H562" s="13"/>
      <c r="I562" s="13"/>
      <c r="J562" s="13"/>
      <c r="K562" s="13"/>
      <c r="L562" s="13"/>
      <c r="M562" s="11"/>
      <c r="N562" s="12"/>
      <c r="O562" s="13"/>
    </row>
    <row r="563" spans="1:15" x14ac:dyDescent="0.2">
      <c r="A563" s="13"/>
      <c r="B563" s="13"/>
      <c r="C563" s="13"/>
      <c r="D563" s="13"/>
      <c r="E563" s="13"/>
      <c r="F563" s="196"/>
      <c r="G563" s="13"/>
      <c r="H563" s="13"/>
      <c r="I563" s="13"/>
      <c r="J563" s="13"/>
      <c r="K563" s="13"/>
      <c r="L563" s="13"/>
      <c r="M563" s="11"/>
      <c r="N563" s="12"/>
      <c r="O563" s="13"/>
    </row>
    <row r="564" spans="1:15" x14ac:dyDescent="0.2">
      <c r="A564" s="13"/>
      <c r="B564" s="13"/>
      <c r="C564" s="13"/>
      <c r="D564" s="13"/>
      <c r="E564" s="13"/>
      <c r="F564" s="196"/>
      <c r="G564" s="13"/>
      <c r="H564" s="13"/>
      <c r="I564" s="13"/>
      <c r="J564" s="13"/>
      <c r="K564" s="13"/>
      <c r="L564" s="13"/>
      <c r="M564" s="11"/>
      <c r="N564" s="12"/>
      <c r="O564" s="13"/>
    </row>
    <row r="565" spans="1:15" x14ac:dyDescent="0.2">
      <c r="A565" s="13"/>
      <c r="B565" s="13"/>
      <c r="C565" s="13"/>
      <c r="D565" s="13"/>
      <c r="E565" s="13"/>
      <c r="F565" s="196"/>
      <c r="G565" s="13"/>
      <c r="H565" s="13"/>
      <c r="I565" s="13"/>
      <c r="J565" s="13"/>
      <c r="K565" s="13"/>
      <c r="L565" s="13"/>
      <c r="M565" s="11"/>
      <c r="N565" s="12"/>
      <c r="O565" s="13"/>
    </row>
    <row r="566" spans="1:15" x14ac:dyDescent="0.2">
      <c r="A566" s="13"/>
      <c r="B566" s="13"/>
      <c r="C566" s="13"/>
      <c r="D566" s="13"/>
      <c r="E566" s="13"/>
      <c r="F566" s="196"/>
      <c r="G566" s="13"/>
      <c r="H566" s="13"/>
      <c r="I566" s="13"/>
      <c r="J566" s="13"/>
      <c r="K566" s="13"/>
      <c r="L566" s="13"/>
      <c r="M566" s="11"/>
      <c r="N566" s="12"/>
      <c r="O566" s="13"/>
    </row>
    <row r="567" spans="1:15" x14ac:dyDescent="0.2">
      <c r="A567" s="13"/>
      <c r="B567" s="13"/>
      <c r="C567" s="13"/>
      <c r="D567" s="13"/>
      <c r="E567" s="13"/>
      <c r="F567" s="196"/>
      <c r="G567" s="13"/>
      <c r="H567" s="13"/>
      <c r="I567" s="13"/>
      <c r="J567" s="13"/>
      <c r="K567" s="13"/>
      <c r="L567" s="13"/>
      <c r="M567" s="11"/>
      <c r="N567" s="12"/>
      <c r="O567" s="13"/>
    </row>
    <row r="568" spans="1:15" x14ac:dyDescent="0.2">
      <c r="A568" s="13"/>
      <c r="B568" s="13"/>
      <c r="C568" s="13"/>
      <c r="D568" s="13"/>
      <c r="E568" s="13"/>
      <c r="F568" s="196"/>
      <c r="G568" s="13"/>
      <c r="H568" s="13"/>
      <c r="I568" s="13"/>
      <c r="J568" s="13"/>
      <c r="K568" s="13"/>
      <c r="L568" s="13"/>
      <c r="M568" s="11"/>
      <c r="N568" s="12"/>
      <c r="O568" s="13"/>
    </row>
    <row r="569" spans="1:15" x14ac:dyDescent="0.2">
      <c r="A569" s="13"/>
      <c r="B569" s="13"/>
      <c r="C569" s="13"/>
      <c r="D569" s="13"/>
      <c r="E569" s="13"/>
      <c r="F569" s="196"/>
      <c r="G569" s="13"/>
      <c r="H569" s="13"/>
      <c r="I569" s="13"/>
      <c r="J569" s="13"/>
      <c r="K569" s="13"/>
      <c r="L569" s="13"/>
      <c r="M569" s="11"/>
      <c r="N569" s="12"/>
      <c r="O569" s="13"/>
    </row>
    <row r="570" spans="1:15" x14ac:dyDescent="0.2">
      <c r="A570" s="13"/>
      <c r="B570" s="13"/>
      <c r="C570" s="13"/>
      <c r="D570" s="13"/>
      <c r="E570" s="13"/>
      <c r="F570" s="196"/>
      <c r="G570" s="13"/>
      <c r="H570" s="13"/>
      <c r="I570" s="13"/>
      <c r="J570" s="13"/>
      <c r="K570" s="13"/>
      <c r="L570" s="13"/>
      <c r="M570" s="11"/>
      <c r="N570" s="12"/>
      <c r="O570" s="13"/>
    </row>
    <row r="571" spans="1:15" x14ac:dyDescent="0.2">
      <c r="A571" s="13"/>
      <c r="B571" s="13"/>
      <c r="C571" s="13"/>
      <c r="D571" s="13"/>
      <c r="E571" s="13"/>
      <c r="F571" s="196"/>
      <c r="G571" s="13"/>
      <c r="H571" s="13"/>
      <c r="I571" s="13"/>
      <c r="J571" s="13"/>
      <c r="K571" s="13"/>
      <c r="L571" s="13"/>
      <c r="M571" s="11"/>
      <c r="N571" s="12"/>
      <c r="O571" s="13"/>
    </row>
    <row r="572" spans="1:15" x14ac:dyDescent="0.2">
      <c r="A572" s="13"/>
      <c r="B572" s="13"/>
      <c r="C572" s="13"/>
      <c r="D572" s="13"/>
      <c r="E572" s="13"/>
      <c r="F572" s="196"/>
      <c r="G572" s="13"/>
      <c r="H572" s="13"/>
      <c r="I572" s="13"/>
      <c r="J572" s="13"/>
      <c r="K572" s="13"/>
      <c r="L572" s="13"/>
      <c r="M572" s="11"/>
      <c r="N572" s="12"/>
      <c r="O572" s="13"/>
    </row>
    <row r="573" spans="1:15" x14ac:dyDescent="0.2">
      <c r="A573" s="13"/>
      <c r="B573" s="13"/>
      <c r="C573" s="13"/>
      <c r="D573" s="13"/>
      <c r="E573" s="13"/>
      <c r="F573" s="196"/>
      <c r="G573" s="13"/>
      <c r="H573" s="13"/>
      <c r="I573" s="13"/>
      <c r="J573" s="13"/>
      <c r="K573" s="13"/>
      <c r="L573" s="13"/>
      <c r="M573" s="11"/>
      <c r="N573" s="12"/>
      <c r="O573" s="13"/>
    </row>
    <row r="574" spans="1:15" x14ac:dyDescent="0.2">
      <c r="A574" s="13"/>
      <c r="B574" s="13"/>
      <c r="C574" s="13"/>
      <c r="D574" s="13"/>
      <c r="E574" s="13"/>
      <c r="F574" s="196"/>
      <c r="G574" s="13"/>
      <c r="H574" s="13"/>
      <c r="I574" s="13"/>
      <c r="J574" s="13"/>
      <c r="K574" s="13"/>
      <c r="L574" s="13"/>
      <c r="M574" s="11"/>
      <c r="N574" s="12"/>
      <c r="O574" s="13"/>
    </row>
    <row r="575" spans="1:15" x14ac:dyDescent="0.2">
      <c r="A575" s="13"/>
      <c r="B575" s="13"/>
      <c r="C575" s="13"/>
      <c r="D575" s="13"/>
      <c r="E575" s="13"/>
      <c r="F575" s="196"/>
      <c r="G575" s="13"/>
      <c r="H575" s="13"/>
      <c r="I575" s="13"/>
      <c r="J575" s="13"/>
      <c r="K575" s="13"/>
      <c r="L575" s="13"/>
      <c r="M575" s="11"/>
      <c r="N575" s="12"/>
      <c r="O575" s="13"/>
    </row>
    <row r="576" spans="1:15" x14ac:dyDescent="0.2">
      <c r="A576" s="13"/>
      <c r="B576" s="13"/>
      <c r="C576" s="13"/>
      <c r="D576" s="13"/>
      <c r="E576" s="13"/>
      <c r="F576" s="196"/>
      <c r="G576" s="13"/>
      <c r="H576" s="13"/>
      <c r="I576" s="13"/>
      <c r="J576" s="13"/>
      <c r="K576" s="13"/>
      <c r="L576" s="13"/>
      <c r="M576" s="11"/>
      <c r="N576" s="12"/>
      <c r="O576" s="13"/>
    </row>
    <row r="577" spans="1:15" x14ac:dyDescent="0.2">
      <c r="A577" s="13"/>
      <c r="B577" s="13"/>
      <c r="C577" s="13"/>
      <c r="D577" s="13"/>
      <c r="E577" s="13"/>
      <c r="F577" s="196"/>
      <c r="G577" s="13"/>
      <c r="H577" s="13"/>
      <c r="I577" s="13"/>
      <c r="J577" s="13"/>
      <c r="K577" s="13"/>
      <c r="L577" s="13"/>
      <c r="M577" s="11"/>
      <c r="N577" s="12"/>
      <c r="O577" s="13"/>
    </row>
    <row r="578" spans="1:15" x14ac:dyDescent="0.2">
      <c r="A578" s="13"/>
      <c r="B578" s="13"/>
      <c r="C578" s="13"/>
      <c r="D578" s="13"/>
      <c r="E578" s="13"/>
      <c r="F578" s="196"/>
      <c r="G578" s="13"/>
      <c r="H578" s="13"/>
      <c r="I578" s="13"/>
      <c r="J578" s="13"/>
      <c r="K578" s="13"/>
      <c r="L578" s="13"/>
      <c r="M578" s="11"/>
      <c r="N578" s="12"/>
      <c r="O578" s="13"/>
    </row>
    <row r="579" spans="1:15" x14ac:dyDescent="0.2">
      <c r="A579" s="13"/>
      <c r="B579" s="13"/>
      <c r="C579" s="13"/>
      <c r="D579" s="13"/>
      <c r="E579" s="13"/>
      <c r="F579" s="196"/>
      <c r="G579" s="13"/>
      <c r="H579" s="13"/>
      <c r="I579" s="13"/>
      <c r="J579" s="13"/>
      <c r="K579" s="13"/>
      <c r="L579" s="13"/>
      <c r="M579" s="11"/>
      <c r="N579" s="12"/>
      <c r="O579" s="13"/>
    </row>
    <row r="580" spans="1:15" x14ac:dyDescent="0.2">
      <c r="A580" s="13"/>
      <c r="B580" s="13"/>
      <c r="C580" s="13"/>
      <c r="D580" s="13"/>
      <c r="E580" s="13"/>
      <c r="F580" s="196"/>
      <c r="G580" s="13"/>
      <c r="H580" s="13"/>
      <c r="I580" s="13"/>
      <c r="J580" s="13"/>
      <c r="K580" s="13"/>
      <c r="L580" s="13"/>
      <c r="M580" s="11"/>
      <c r="N580" s="12"/>
      <c r="O580" s="13"/>
    </row>
    <row r="581" spans="1:15" x14ac:dyDescent="0.2">
      <c r="A581" s="13"/>
      <c r="B581" s="13"/>
      <c r="C581" s="13"/>
      <c r="D581" s="13"/>
      <c r="E581" s="13"/>
      <c r="F581" s="196"/>
      <c r="G581" s="13"/>
      <c r="H581" s="13"/>
      <c r="I581" s="13"/>
      <c r="J581" s="13"/>
      <c r="K581" s="13"/>
      <c r="L581" s="13"/>
      <c r="M581" s="11"/>
      <c r="N581" s="12"/>
      <c r="O581" s="13"/>
    </row>
    <row r="582" spans="1:15" x14ac:dyDescent="0.2">
      <c r="A582" s="13"/>
      <c r="B582" s="13"/>
      <c r="C582" s="13"/>
      <c r="D582" s="13"/>
      <c r="E582" s="13"/>
      <c r="F582" s="196"/>
      <c r="G582" s="13"/>
      <c r="H582" s="13"/>
      <c r="I582" s="13"/>
      <c r="J582" s="13"/>
      <c r="K582" s="13"/>
      <c r="L582" s="13"/>
      <c r="M582" s="11"/>
      <c r="N582" s="12"/>
      <c r="O582" s="13"/>
    </row>
    <row r="583" spans="1:15" x14ac:dyDescent="0.2">
      <c r="A583" s="13"/>
      <c r="B583" s="13"/>
      <c r="C583" s="13"/>
      <c r="D583" s="13"/>
      <c r="E583" s="13"/>
      <c r="F583" s="196"/>
      <c r="G583" s="13"/>
      <c r="H583" s="13"/>
      <c r="I583" s="13"/>
      <c r="J583" s="13"/>
      <c r="K583" s="13"/>
      <c r="L583" s="13"/>
      <c r="M583" s="11"/>
      <c r="N583" s="12"/>
      <c r="O583" s="13"/>
    </row>
    <row r="584" spans="1:15" x14ac:dyDescent="0.2">
      <c r="A584" s="13"/>
      <c r="B584" s="13"/>
      <c r="C584" s="13"/>
      <c r="D584" s="13"/>
      <c r="E584" s="13"/>
      <c r="F584" s="196"/>
      <c r="G584" s="13"/>
      <c r="H584" s="13"/>
      <c r="I584" s="13"/>
      <c r="J584" s="13"/>
      <c r="K584" s="13"/>
      <c r="L584" s="13"/>
      <c r="M584" s="11"/>
      <c r="N584" s="12"/>
      <c r="O584" s="13"/>
    </row>
    <row r="585" spans="1:15" x14ac:dyDescent="0.2">
      <c r="A585" s="13"/>
      <c r="B585" s="13"/>
      <c r="C585" s="13"/>
      <c r="D585" s="13"/>
      <c r="E585" s="13"/>
      <c r="F585" s="196"/>
      <c r="G585" s="13"/>
      <c r="H585" s="13"/>
      <c r="I585" s="13"/>
      <c r="J585" s="13"/>
      <c r="K585" s="13"/>
      <c r="L585" s="13"/>
      <c r="M585" s="11"/>
      <c r="N585" s="12"/>
      <c r="O585" s="13"/>
    </row>
    <row r="586" spans="1:15" x14ac:dyDescent="0.2">
      <c r="A586" s="13"/>
      <c r="B586" s="13"/>
      <c r="C586" s="13"/>
      <c r="D586" s="13"/>
      <c r="E586" s="13"/>
      <c r="F586" s="196"/>
      <c r="G586" s="13"/>
      <c r="H586" s="13"/>
      <c r="I586" s="13"/>
      <c r="J586" s="13"/>
      <c r="K586" s="13"/>
      <c r="L586" s="13"/>
      <c r="M586" s="11"/>
      <c r="N586" s="12"/>
      <c r="O586" s="13"/>
    </row>
    <row r="587" spans="1:15" x14ac:dyDescent="0.2">
      <c r="A587" s="13"/>
      <c r="B587" s="13"/>
      <c r="C587" s="13"/>
      <c r="D587" s="13"/>
      <c r="E587" s="13"/>
      <c r="F587" s="196"/>
      <c r="G587" s="13"/>
      <c r="H587" s="13"/>
      <c r="I587" s="13"/>
      <c r="J587" s="13"/>
      <c r="K587" s="13"/>
      <c r="L587" s="13"/>
      <c r="M587" s="11"/>
      <c r="N587" s="12"/>
      <c r="O587" s="13"/>
    </row>
    <row r="588" spans="1:15" x14ac:dyDescent="0.2">
      <c r="A588" s="13"/>
      <c r="B588" s="13"/>
      <c r="C588" s="13"/>
      <c r="D588" s="13"/>
      <c r="E588" s="13"/>
      <c r="F588" s="196"/>
      <c r="G588" s="13"/>
      <c r="H588" s="13"/>
      <c r="I588" s="13"/>
      <c r="J588" s="13"/>
      <c r="K588" s="13"/>
      <c r="L588" s="13"/>
      <c r="M588" s="11"/>
      <c r="N588" s="12"/>
      <c r="O588" s="13"/>
    </row>
    <row r="589" spans="1:15" x14ac:dyDescent="0.2">
      <c r="A589" s="13"/>
      <c r="B589" s="13"/>
      <c r="C589" s="13"/>
      <c r="D589" s="13"/>
      <c r="E589" s="13"/>
      <c r="F589" s="196"/>
      <c r="G589" s="13"/>
      <c r="H589" s="13"/>
      <c r="I589" s="13"/>
      <c r="J589" s="13"/>
      <c r="K589" s="13"/>
      <c r="L589" s="13"/>
      <c r="M589" s="11"/>
      <c r="N589" s="12"/>
      <c r="O589" s="13"/>
    </row>
    <row r="590" spans="1:15" x14ac:dyDescent="0.2">
      <c r="A590" s="13"/>
      <c r="B590" s="13"/>
      <c r="C590" s="13"/>
      <c r="D590" s="13"/>
      <c r="E590" s="13"/>
      <c r="F590" s="196"/>
      <c r="G590" s="13"/>
      <c r="H590" s="13"/>
      <c r="I590" s="13"/>
      <c r="J590" s="13"/>
      <c r="K590" s="13"/>
      <c r="L590" s="13"/>
      <c r="M590" s="11"/>
      <c r="O590" s="13"/>
    </row>
    <row r="591" spans="1:15" x14ac:dyDescent="0.2">
      <c r="A591" s="13"/>
      <c r="B591" s="13"/>
      <c r="C591" s="13"/>
      <c r="D591" s="13"/>
      <c r="E591" s="13"/>
      <c r="F591" s="196"/>
      <c r="G591" s="13"/>
      <c r="H591" s="13"/>
      <c r="I591" s="13"/>
      <c r="J591" s="13"/>
      <c r="K591" s="13"/>
      <c r="L591" s="13"/>
      <c r="M591" s="11"/>
      <c r="O591" s="13"/>
    </row>
    <row r="592" spans="1:15" x14ac:dyDescent="0.2">
      <c r="A592" s="13"/>
      <c r="B592" s="13"/>
      <c r="C592" s="13"/>
      <c r="D592" s="13"/>
      <c r="E592" s="13"/>
      <c r="F592" s="196"/>
      <c r="G592" s="13"/>
      <c r="H592" s="13"/>
      <c r="I592" s="13"/>
      <c r="J592" s="13"/>
      <c r="K592" s="13"/>
      <c r="L592" s="13"/>
      <c r="M592" s="11"/>
      <c r="O592" s="13"/>
    </row>
    <row r="593" spans="1:15" x14ac:dyDescent="0.2">
      <c r="A593" s="13"/>
      <c r="B593" s="13"/>
      <c r="C593" s="13"/>
      <c r="D593" s="13"/>
      <c r="E593" s="13"/>
      <c r="F593" s="196"/>
      <c r="G593" s="13"/>
      <c r="H593" s="13"/>
      <c r="I593" s="13"/>
      <c r="J593" s="13"/>
      <c r="K593" s="13"/>
      <c r="L593" s="13"/>
      <c r="M593" s="11"/>
      <c r="O593" s="13"/>
    </row>
    <row r="594" spans="1:15" x14ac:dyDescent="0.2">
      <c r="A594" s="13"/>
      <c r="B594" s="13"/>
      <c r="C594" s="13"/>
      <c r="D594" s="13"/>
      <c r="E594" s="13"/>
      <c r="F594" s="196"/>
      <c r="G594" s="13"/>
      <c r="H594" s="13"/>
      <c r="I594" s="13"/>
      <c r="J594" s="13"/>
      <c r="K594" s="13"/>
      <c r="L594" s="13"/>
      <c r="M594" s="11"/>
      <c r="O594" s="13"/>
    </row>
    <row r="595" spans="1:15" x14ac:dyDescent="0.2">
      <c r="A595" s="13"/>
      <c r="B595" s="13"/>
      <c r="C595" s="13"/>
      <c r="D595" s="13"/>
      <c r="E595" s="13"/>
      <c r="F595" s="196"/>
      <c r="G595" s="13"/>
      <c r="H595" s="13"/>
      <c r="I595" s="13"/>
      <c r="J595" s="13"/>
      <c r="K595" s="13"/>
      <c r="L595" s="13"/>
      <c r="M595" s="11"/>
      <c r="O595" s="13"/>
    </row>
    <row r="596" spans="1:15" x14ac:dyDescent="0.2">
      <c r="A596" s="13"/>
      <c r="B596" s="13"/>
      <c r="C596" s="13"/>
      <c r="D596" s="13"/>
      <c r="E596" s="13"/>
      <c r="F596" s="196"/>
      <c r="G596" s="13"/>
      <c r="H596" s="13"/>
      <c r="I596" s="13"/>
      <c r="J596" s="13"/>
      <c r="K596" s="13"/>
      <c r="L596" s="13"/>
      <c r="M596" s="11"/>
      <c r="O596" s="13"/>
    </row>
    <row r="597" spans="1:15" x14ac:dyDescent="0.2">
      <c r="A597" s="13"/>
      <c r="B597" s="13"/>
      <c r="C597" s="13"/>
      <c r="D597" s="13"/>
      <c r="E597" s="13"/>
      <c r="F597" s="196"/>
      <c r="G597" s="13"/>
      <c r="H597" s="13"/>
      <c r="I597" s="13"/>
      <c r="J597" s="13"/>
      <c r="K597" s="13"/>
      <c r="L597" s="13"/>
      <c r="M597" s="11"/>
      <c r="O597" s="13"/>
    </row>
    <row r="598" spans="1:15" x14ac:dyDescent="0.2">
      <c r="A598" s="13"/>
      <c r="B598" s="13"/>
      <c r="C598" s="13"/>
      <c r="D598" s="13"/>
      <c r="E598" s="13"/>
      <c r="F598" s="196"/>
      <c r="G598" s="13"/>
      <c r="H598" s="13"/>
      <c r="I598" s="13"/>
      <c r="J598" s="13"/>
      <c r="K598" s="13"/>
      <c r="L598" s="13"/>
      <c r="M598" s="11"/>
      <c r="O598" s="13"/>
    </row>
    <row r="599" spans="1:15" x14ac:dyDescent="0.2">
      <c r="A599" s="13"/>
      <c r="B599" s="13"/>
      <c r="C599" s="13"/>
      <c r="D599" s="13"/>
      <c r="E599" s="13"/>
      <c r="F599" s="196"/>
      <c r="G599" s="13"/>
      <c r="H599" s="13"/>
      <c r="I599" s="13"/>
      <c r="J599" s="13"/>
      <c r="K599" s="13"/>
      <c r="L599" s="13"/>
      <c r="M599" s="11"/>
      <c r="O599" s="13"/>
    </row>
    <row r="600" spans="1:15" x14ac:dyDescent="0.2">
      <c r="A600" s="13"/>
      <c r="B600" s="13"/>
      <c r="C600" s="13"/>
      <c r="D600" s="13"/>
      <c r="E600" s="13"/>
      <c r="F600" s="196"/>
      <c r="G600" s="13"/>
      <c r="H600" s="13"/>
      <c r="I600" s="13"/>
      <c r="J600" s="13"/>
      <c r="K600" s="13"/>
      <c r="L600" s="13"/>
      <c r="M600" s="11"/>
      <c r="O600" s="13"/>
    </row>
    <row r="601" spans="1:15" x14ac:dyDescent="0.2">
      <c r="A601" s="13"/>
      <c r="B601" s="13"/>
      <c r="C601" s="13"/>
      <c r="D601" s="13"/>
      <c r="E601" s="13"/>
      <c r="F601" s="196"/>
      <c r="G601" s="13"/>
      <c r="H601" s="13"/>
      <c r="I601" s="13"/>
      <c r="J601" s="13"/>
      <c r="K601" s="13"/>
      <c r="L601" s="13"/>
      <c r="M601" s="11"/>
      <c r="O601" s="13"/>
    </row>
    <row r="602" spans="1:15" x14ac:dyDescent="0.2">
      <c r="A602" s="13"/>
      <c r="B602" s="13"/>
      <c r="C602" s="13"/>
      <c r="D602" s="13"/>
      <c r="E602" s="13"/>
      <c r="F602" s="196"/>
      <c r="G602" s="13"/>
      <c r="H602" s="13"/>
      <c r="I602" s="13"/>
      <c r="J602" s="13"/>
      <c r="K602" s="13"/>
      <c r="L602" s="13"/>
      <c r="M602" s="11"/>
      <c r="O602" s="13"/>
    </row>
    <row r="603" spans="1:15" x14ac:dyDescent="0.2">
      <c r="A603" s="13"/>
      <c r="B603" s="13"/>
      <c r="C603" s="13"/>
      <c r="D603" s="13"/>
      <c r="E603" s="13"/>
      <c r="F603" s="196"/>
      <c r="G603" s="13"/>
      <c r="H603" s="13"/>
      <c r="I603" s="13"/>
      <c r="J603" s="13"/>
      <c r="K603" s="13"/>
      <c r="L603" s="13"/>
      <c r="M603" s="11"/>
      <c r="O603" s="13"/>
    </row>
    <row r="604" spans="1:15" x14ac:dyDescent="0.2">
      <c r="A604" s="13"/>
      <c r="B604" s="13"/>
      <c r="C604" s="13"/>
      <c r="D604" s="13"/>
      <c r="E604" s="13"/>
      <c r="F604" s="196"/>
      <c r="G604" s="13"/>
      <c r="H604" s="13"/>
      <c r="I604" s="13"/>
      <c r="J604" s="13"/>
      <c r="K604" s="13"/>
      <c r="L604" s="13"/>
      <c r="M604" s="11"/>
      <c r="O604" s="13"/>
    </row>
    <row r="605" spans="1:15" x14ac:dyDescent="0.2">
      <c r="A605" s="13"/>
      <c r="B605" s="13"/>
      <c r="C605" s="13"/>
      <c r="D605" s="13"/>
      <c r="E605" s="13"/>
      <c r="F605" s="196"/>
      <c r="G605" s="13"/>
      <c r="H605" s="13"/>
      <c r="I605" s="13"/>
      <c r="J605" s="13"/>
      <c r="K605" s="13"/>
      <c r="L605" s="13"/>
      <c r="M605" s="11"/>
      <c r="O605" s="13"/>
    </row>
    <row r="606" spans="1:15" x14ac:dyDescent="0.2">
      <c r="A606" s="13"/>
      <c r="B606" s="13"/>
      <c r="C606" s="13"/>
      <c r="D606" s="13"/>
      <c r="E606" s="13"/>
      <c r="F606" s="196"/>
      <c r="G606" s="13"/>
      <c r="H606" s="13"/>
      <c r="I606" s="13"/>
      <c r="J606" s="13"/>
      <c r="K606" s="13"/>
      <c r="L606" s="13"/>
      <c r="M606" s="11"/>
      <c r="O606" s="13"/>
    </row>
    <row r="607" spans="1:15" x14ac:dyDescent="0.2">
      <c r="A607" s="13"/>
      <c r="B607" s="13"/>
      <c r="C607" s="13"/>
      <c r="D607" s="13"/>
      <c r="E607" s="13"/>
      <c r="F607" s="196"/>
      <c r="G607" s="13"/>
      <c r="H607" s="13"/>
      <c r="I607" s="13"/>
      <c r="J607" s="13"/>
      <c r="K607" s="13"/>
      <c r="L607" s="13"/>
      <c r="M607" s="11"/>
      <c r="O607" s="13"/>
    </row>
    <row r="608" spans="1:15" x14ac:dyDescent="0.2">
      <c r="A608" s="13"/>
      <c r="B608" s="13"/>
      <c r="C608" s="13"/>
      <c r="D608" s="13"/>
      <c r="E608" s="13"/>
      <c r="F608" s="196"/>
      <c r="G608" s="13"/>
      <c r="H608" s="13"/>
      <c r="I608" s="13"/>
      <c r="J608" s="13"/>
      <c r="K608" s="13"/>
      <c r="L608" s="13"/>
      <c r="M608" s="11"/>
      <c r="O608" s="13"/>
    </row>
    <row r="609" spans="1:15" x14ac:dyDescent="0.2">
      <c r="A609" s="13"/>
      <c r="B609" s="13"/>
      <c r="C609" s="13"/>
      <c r="D609" s="13"/>
      <c r="E609" s="13"/>
      <c r="F609" s="196"/>
      <c r="G609" s="13"/>
      <c r="H609" s="13"/>
      <c r="I609" s="13"/>
      <c r="J609" s="13"/>
      <c r="K609" s="13"/>
      <c r="L609" s="13"/>
      <c r="M609" s="11"/>
      <c r="O609" s="13"/>
    </row>
    <row r="610" spans="1:15" x14ac:dyDescent="0.2">
      <c r="A610" s="13"/>
      <c r="B610" s="13"/>
      <c r="C610" s="13"/>
      <c r="D610" s="13"/>
      <c r="E610" s="13"/>
      <c r="F610" s="196"/>
      <c r="G610" s="13"/>
      <c r="H610" s="13"/>
      <c r="I610" s="13"/>
      <c r="J610" s="13"/>
      <c r="K610" s="13"/>
      <c r="L610" s="13"/>
      <c r="M610" s="11"/>
      <c r="O610" s="13"/>
    </row>
    <row r="611" spans="1:15" x14ac:dyDescent="0.2">
      <c r="A611" s="13"/>
      <c r="B611" s="13"/>
      <c r="C611" s="13"/>
      <c r="D611" s="13"/>
      <c r="E611" s="13"/>
      <c r="F611" s="196"/>
      <c r="G611" s="13"/>
      <c r="H611" s="13"/>
      <c r="I611" s="13"/>
      <c r="J611" s="13"/>
      <c r="K611" s="13"/>
      <c r="L611" s="13"/>
      <c r="M611" s="11"/>
      <c r="O611" s="13"/>
    </row>
    <row r="612" spans="1:15" x14ac:dyDescent="0.2">
      <c r="A612" s="13"/>
      <c r="B612" s="13"/>
      <c r="C612" s="13"/>
      <c r="D612" s="13"/>
      <c r="E612" s="13"/>
      <c r="F612" s="196"/>
      <c r="G612" s="13"/>
      <c r="H612" s="13"/>
      <c r="I612" s="13"/>
      <c r="J612" s="13"/>
      <c r="K612" s="13"/>
      <c r="L612" s="13"/>
      <c r="M612" s="11"/>
      <c r="O612" s="13"/>
    </row>
    <row r="613" spans="1:15" x14ac:dyDescent="0.2">
      <c r="M613" s="11"/>
      <c r="O613" s="13"/>
    </row>
    <row r="614" spans="1:15" x14ac:dyDescent="0.2">
      <c r="M614" s="11"/>
      <c r="O614" s="13"/>
    </row>
    <row r="615" spans="1:15" x14ac:dyDescent="0.2">
      <c r="M615" s="11"/>
      <c r="O615" s="13"/>
    </row>
    <row r="616" spans="1:15" x14ac:dyDescent="0.2">
      <c r="M616" s="11"/>
      <c r="O616" s="13"/>
    </row>
    <row r="617" spans="1:15" x14ac:dyDescent="0.2">
      <c r="M617" s="11"/>
      <c r="O617" s="13"/>
    </row>
    <row r="618" spans="1:15" x14ac:dyDescent="0.2">
      <c r="M618" s="11"/>
      <c r="O618" s="13"/>
    </row>
    <row r="619" spans="1:15" x14ac:dyDescent="0.2">
      <c r="M619" s="11"/>
      <c r="O619" s="13"/>
    </row>
    <row r="620" spans="1:15" x14ac:dyDescent="0.2">
      <c r="M620" s="11"/>
      <c r="O620" s="13"/>
    </row>
    <row r="621" spans="1:15" x14ac:dyDescent="0.2">
      <c r="M621" s="11"/>
      <c r="O621" s="13"/>
    </row>
    <row r="622" spans="1:15" x14ac:dyDescent="0.2">
      <c r="M622" s="11"/>
      <c r="O622" s="13"/>
    </row>
    <row r="623" spans="1:15" x14ac:dyDescent="0.2">
      <c r="M623" s="11"/>
      <c r="O623" s="13"/>
    </row>
    <row r="624" spans="1:15" x14ac:dyDescent="0.2">
      <c r="M624" s="11"/>
      <c r="O624" s="13"/>
    </row>
    <row r="625" spans="1:56" x14ac:dyDescent="0.2">
      <c r="M625" s="11"/>
    </row>
    <row r="626" spans="1:56" x14ac:dyDescent="0.2">
      <c r="M626" s="11"/>
    </row>
    <row r="627" spans="1:56" x14ac:dyDescent="0.2">
      <c r="M627" s="11"/>
    </row>
    <row r="628" spans="1:56" x14ac:dyDescent="0.2">
      <c r="M628" s="11"/>
    </row>
    <row r="629" spans="1:56" x14ac:dyDescent="0.2">
      <c r="M629" s="11"/>
    </row>
    <row r="630" spans="1:56" x14ac:dyDescent="0.2">
      <c r="M630" s="11"/>
    </row>
    <row r="631" spans="1:56" x14ac:dyDescent="0.2">
      <c r="M631" s="11"/>
    </row>
    <row r="632" spans="1:56" x14ac:dyDescent="0.2">
      <c r="M632" s="11"/>
    </row>
    <row r="633" spans="1:56" x14ac:dyDescent="0.2">
      <c r="M633" s="11"/>
    </row>
    <row r="634" spans="1:56" x14ac:dyDescent="0.2">
      <c r="M634" s="11"/>
    </row>
    <row r="635" spans="1:56" x14ac:dyDescent="0.2">
      <c r="M635" s="11"/>
    </row>
    <row r="636" spans="1:56" x14ac:dyDescent="0.2">
      <c r="M636" s="11"/>
    </row>
    <row r="637" spans="1:56" x14ac:dyDescent="0.2">
      <c r="M637" s="11"/>
    </row>
    <row r="638" spans="1:56" x14ac:dyDescent="0.2">
      <c r="M638" s="11"/>
    </row>
    <row r="639" spans="1:56" s="6" customFormat="1" x14ac:dyDescent="0.2">
      <c r="A639" s="1"/>
      <c r="B639" s="1"/>
      <c r="C639" s="1"/>
      <c r="D639" s="1"/>
      <c r="E639" s="1"/>
      <c r="F639" s="151"/>
      <c r="G639" s="1"/>
      <c r="H639" s="1"/>
      <c r="I639" s="1"/>
      <c r="J639" s="1"/>
      <c r="K639" s="1"/>
      <c r="L639" s="1"/>
      <c r="M639" s="1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</row>
    <row r="640" spans="1:56" s="6" customFormat="1" x14ac:dyDescent="0.2">
      <c r="A640" s="1"/>
      <c r="B640" s="1"/>
      <c r="C640" s="1"/>
      <c r="D640" s="1"/>
      <c r="E640" s="1"/>
      <c r="F640" s="151"/>
      <c r="G640" s="1"/>
      <c r="H640" s="1"/>
      <c r="I640" s="1"/>
      <c r="J640" s="1"/>
      <c r="K640" s="1"/>
      <c r="L640" s="1"/>
      <c r="M640" s="1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</row>
    <row r="641" spans="1:56" s="6" customFormat="1" x14ac:dyDescent="0.2">
      <c r="A641" s="1"/>
      <c r="B641" s="1"/>
      <c r="C641" s="1"/>
      <c r="D641" s="1"/>
      <c r="E641" s="1"/>
      <c r="F641" s="151"/>
      <c r="G641" s="1"/>
      <c r="H641" s="1"/>
      <c r="I641" s="1"/>
      <c r="J641" s="1"/>
      <c r="K641" s="1"/>
      <c r="L641" s="1"/>
      <c r="M641" s="1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</row>
    <row r="642" spans="1:56" s="6" customFormat="1" x14ac:dyDescent="0.2">
      <c r="A642" s="1"/>
      <c r="B642" s="1"/>
      <c r="C642" s="1"/>
      <c r="D642" s="1"/>
      <c r="E642" s="1"/>
      <c r="F642" s="151"/>
      <c r="G642" s="1"/>
      <c r="H642" s="1"/>
      <c r="I642" s="1"/>
      <c r="J642" s="1"/>
      <c r="K642" s="1"/>
      <c r="L642" s="1"/>
      <c r="M642" s="1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</row>
    <row r="643" spans="1:56" s="6" customFormat="1" x14ac:dyDescent="0.2">
      <c r="A643" s="1"/>
      <c r="B643" s="1"/>
      <c r="C643" s="1"/>
      <c r="D643" s="1"/>
      <c r="E643" s="1"/>
      <c r="F643" s="151"/>
      <c r="G643" s="1"/>
      <c r="H643" s="1"/>
      <c r="I643" s="1"/>
      <c r="J643" s="1"/>
      <c r="K643" s="1"/>
      <c r="L643" s="1"/>
      <c r="M643" s="1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</row>
    <row r="644" spans="1:56" s="6" customFormat="1" x14ac:dyDescent="0.2">
      <c r="A644" s="1"/>
      <c r="B644" s="1"/>
      <c r="C644" s="1"/>
      <c r="D644" s="1"/>
      <c r="E644" s="1"/>
      <c r="F644" s="151"/>
      <c r="G644" s="1"/>
      <c r="H644" s="1"/>
      <c r="I644" s="1"/>
      <c r="J644" s="1"/>
      <c r="K644" s="1"/>
      <c r="L644" s="1"/>
      <c r="M644" s="1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</row>
    <row r="645" spans="1:56" s="6" customFormat="1" x14ac:dyDescent="0.2">
      <c r="A645" s="1"/>
      <c r="B645" s="1"/>
      <c r="C645" s="1"/>
      <c r="D645" s="1"/>
      <c r="E645" s="1"/>
      <c r="F645" s="151"/>
      <c r="G645" s="1"/>
      <c r="H645" s="1"/>
      <c r="I645" s="1"/>
      <c r="J645" s="1"/>
      <c r="K645" s="1"/>
      <c r="L645" s="1"/>
      <c r="M645" s="1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</row>
    <row r="646" spans="1:56" s="6" customFormat="1" x14ac:dyDescent="0.2">
      <c r="A646" s="1"/>
      <c r="B646" s="1"/>
      <c r="C646" s="1"/>
      <c r="D646" s="1"/>
      <c r="E646" s="1"/>
      <c r="F646" s="151"/>
      <c r="G646" s="1"/>
      <c r="H646" s="1"/>
      <c r="I646" s="1"/>
      <c r="J646" s="1"/>
      <c r="K646" s="1"/>
      <c r="L646" s="1"/>
      <c r="M646" s="1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</row>
    <row r="647" spans="1:56" s="6" customFormat="1" x14ac:dyDescent="0.2">
      <c r="A647" s="1"/>
      <c r="B647" s="1"/>
      <c r="C647" s="1"/>
      <c r="D647" s="1"/>
      <c r="E647" s="1"/>
      <c r="F647" s="151"/>
      <c r="G647" s="1"/>
      <c r="H647" s="1"/>
      <c r="I647" s="1"/>
      <c r="J647" s="1"/>
      <c r="K647" s="1"/>
      <c r="L647" s="1"/>
      <c r="M647" s="1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</row>
    <row r="648" spans="1:56" s="6" customFormat="1" x14ac:dyDescent="0.2">
      <c r="A648" s="1"/>
      <c r="B648" s="1"/>
      <c r="C648" s="1"/>
      <c r="D648" s="1"/>
      <c r="E648" s="1"/>
      <c r="F648" s="151"/>
      <c r="G648" s="1"/>
      <c r="H648" s="1"/>
      <c r="I648" s="1"/>
      <c r="J648" s="1"/>
      <c r="K648" s="1"/>
      <c r="L648" s="1"/>
      <c r="M648" s="1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</row>
    <row r="649" spans="1:56" s="6" customFormat="1" x14ac:dyDescent="0.2">
      <c r="A649" s="1"/>
      <c r="B649" s="1"/>
      <c r="C649" s="1"/>
      <c r="D649" s="1"/>
      <c r="E649" s="1"/>
      <c r="F649" s="151"/>
      <c r="G649" s="1"/>
      <c r="H649" s="1"/>
      <c r="I649" s="1"/>
      <c r="J649" s="1"/>
      <c r="K649" s="1"/>
      <c r="L649" s="1"/>
      <c r="M649" s="1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</row>
    <row r="650" spans="1:56" s="6" customFormat="1" x14ac:dyDescent="0.2">
      <c r="A650" s="1"/>
      <c r="B650" s="1"/>
      <c r="C650" s="1"/>
      <c r="D650" s="1"/>
      <c r="E650" s="1"/>
      <c r="F650" s="151"/>
      <c r="G650" s="1"/>
      <c r="H650" s="1"/>
      <c r="I650" s="1"/>
      <c r="J650" s="1"/>
      <c r="K650" s="1"/>
      <c r="L650" s="1"/>
      <c r="M650" s="1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</row>
    <row r="651" spans="1:56" s="6" customFormat="1" x14ac:dyDescent="0.2">
      <c r="A651" s="1"/>
      <c r="B651" s="1"/>
      <c r="C651" s="1"/>
      <c r="D651" s="1"/>
      <c r="E651" s="1"/>
      <c r="F651" s="151"/>
      <c r="G651" s="1"/>
      <c r="H651" s="1"/>
      <c r="I651" s="1"/>
      <c r="J651" s="1"/>
      <c r="K651" s="1"/>
      <c r="L651" s="1"/>
      <c r="M651" s="1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</row>
    <row r="652" spans="1:56" s="6" customFormat="1" x14ac:dyDescent="0.2">
      <c r="A652" s="1"/>
      <c r="B652" s="1"/>
      <c r="C652" s="1"/>
      <c r="D652" s="1"/>
      <c r="E652" s="1"/>
      <c r="F652" s="151"/>
      <c r="G652" s="1"/>
      <c r="H652" s="1"/>
      <c r="I652" s="1"/>
      <c r="J652" s="1"/>
      <c r="K652" s="1"/>
      <c r="L652" s="1"/>
      <c r="M652" s="1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</row>
    <row r="653" spans="1:56" s="6" customFormat="1" x14ac:dyDescent="0.2">
      <c r="A653" s="1"/>
      <c r="B653" s="1"/>
      <c r="C653" s="1"/>
      <c r="D653" s="1"/>
      <c r="E653" s="1"/>
      <c r="F653" s="151"/>
      <c r="G653" s="1"/>
      <c r="H653" s="1"/>
      <c r="I653" s="1"/>
      <c r="J653" s="1"/>
      <c r="K653" s="1"/>
      <c r="L653" s="1"/>
      <c r="M653" s="1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</row>
    <row r="654" spans="1:56" s="6" customFormat="1" x14ac:dyDescent="0.2">
      <c r="A654" s="1"/>
      <c r="B654" s="1"/>
      <c r="C654" s="1"/>
      <c r="D654" s="1"/>
      <c r="E654" s="1"/>
      <c r="F654" s="151"/>
      <c r="G654" s="1"/>
      <c r="H654" s="1"/>
      <c r="I654" s="1"/>
      <c r="J654" s="1"/>
      <c r="K654" s="1"/>
      <c r="L654" s="1"/>
      <c r="M654" s="1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</row>
    <row r="655" spans="1:56" s="6" customFormat="1" x14ac:dyDescent="0.2">
      <c r="A655" s="1"/>
      <c r="B655" s="1"/>
      <c r="C655" s="1"/>
      <c r="D655" s="1"/>
      <c r="E655" s="1"/>
      <c r="F655" s="151"/>
      <c r="G655" s="1"/>
      <c r="H655" s="1"/>
      <c r="I655" s="1"/>
      <c r="J655" s="1"/>
      <c r="K655" s="1"/>
      <c r="L655" s="1"/>
      <c r="M655" s="1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</row>
    <row r="656" spans="1:56" s="6" customFormat="1" x14ac:dyDescent="0.2">
      <c r="A656" s="1"/>
      <c r="B656" s="1"/>
      <c r="C656" s="1"/>
      <c r="D656" s="1"/>
      <c r="E656" s="1"/>
      <c r="F656" s="151"/>
      <c r="G656" s="1"/>
      <c r="H656" s="1"/>
      <c r="I656" s="1"/>
      <c r="J656" s="1"/>
      <c r="K656" s="1"/>
      <c r="L656" s="1"/>
      <c r="M656" s="1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</row>
    <row r="657" spans="1:56" s="6" customFormat="1" x14ac:dyDescent="0.2">
      <c r="A657" s="1"/>
      <c r="B657" s="1"/>
      <c r="C657" s="1"/>
      <c r="D657" s="1"/>
      <c r="E657" s="1"/>
      <c r="F657" s="151"/>
      <c r="G657" s="1"/>
      <c r="H657" s="1"/>
      <c r="I657" s="1"/>
      <c r="J657" s="1"/>
      <c r="K657" s="1"/>
      <c r="L657" s="1"/>
      <c r="M657" s="1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</row>
    <row r="658" spans="1:56" s="6" customFormat="1" x14ac:dyDescent="0.2">
      <c r="A658" s="1"/>
      <c r="B658" s="1"/>
      <c r="C658" s="1"/>
      <c r="D658" s="1"/>
      <c r="E658" s="1"/>
      <c r="F658" s="151"/>
      <c r="G658" s="1"/>
      <c r="H658" s="1"/>
      <c r="I658" s="1"/>
      <c r="J658" s="1"/>
      <c r="K658" s="1"/>
      <c r="L658" s="1"/>
      <c r="M658" s="1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</row>
    <row r="659" spans="1:56" s="6" customFormat="1" x14ac:dyDescent="0.2">
      <c r="A659" s="1"/>
      <c r="B659" s="1"/>
      <c r="C659" s="1"/>
      <c r="D659" s="1"/>
      <c r="E659" s="1"/>
      <c r="F659" s="151"/>
      <c r="G659" s="1"/>
      <c r="H659" s="1"/>
      <c r="I659" s="1"/>
      <c r="J659" s="1"/>
      <c r="K659" s="1"/>
      <c r="L659" s="1"/>
      <c r="M659" s="1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</row>
    <row r="660" spans="1:56" s="6" customFormat="1" x14ac:dyDescent="0.2">
      <c r="A660" s="1"/>
      <c r="B660" s="1"/>
      <c r="C660" s="1"/>
      <c r="D660" s="1"/>
      <c r="E660" s="1"/>
      <c r="F660" s="151"/>
      <c r="G660" s="1"/>
      <c r="H660" s="1"/>
      <c r="I660" s="1"/>
      <c r="J660" s="1"/>
      <c r="K660" s="1"/>
      <c r="L660" s="1"/>
      <c r="M660" s="1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</row>
    <row r="661" spans="1:56" s="6" customFormat="1" x14ac:dyDescent="0.2">
      <c r="A661" s="1"/>
      <c r="B661" s="1"/>
      <c r="C661" s="1"/>
      <c r="D661" s="1"/>
      <c r="E661" s="1"/>
      <c r="F661" s="151"/>
      <c r="G661" s="1"/>
      <c r="H661" s="1"/>
      <c r="I661" s="1"/>
      <c r="J661" s="1"/>
      <c r="K661" s="1"/>
      <c r="L661" s="1"/>
      <c r="M661" s="1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</row>
    <row r="662" spans="1:56" s="6" customFormat="1" x14ac:dyDescent="0.2">
      <c r="A662" s="1"/>
      <c r="B662" s="1"/>
      <c r="C662" s="1"/>
      <c r="D662" s="1"/>
      <c r="E662" s="1"/>
      <c r="F662" s="151"/>
      <c r="G662" s="1"/>
      <c r="H662" s="1"/>
      <c r="I662" s="1"/>
      <c r="J662" s="1"/>
      <c r="K662" s="1"/>
      <c r="L662" s="1"/>
      <c r="M662" s="1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</row>
    <row r="663" spans="1:56" s="6" customFormat="1" x14ac:dyDescent="0.2">
      <c r="A663" s="1"/>
      <c r="B663" s="1"/>
      <c r="C663" s="1"/>
      <c r="D663" s="1"/>
      <c r="E663" s="1"/>
      <c r="F663" s="151"/>
      <c r="G663" s="1"/>
      <c r="H663" s="1"/>
      <c r="I663" s="1"/>
      <c r="J663" s="1"/>
      <c r="K663" s="1"/>
      <c r="L663" s="1"/>
      <c r="M663" s="1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</row>
    <row r="664" spans="1:56" s="6" customFormat="1" x14ac:dyDescent="0.2">
      <c r="A664" s="1"/>
      <c r="B664" s="1"/>
      <c r="C664" s="1"/>
      <c r="D664" s="1"/>
      <c r="E664" s="1"/>
      <c r="F664" s="151"/>
      <c r="G664" s="1"/>
      <c r="H664" s="1"/>
      <c r="I664" s="1"/>
      <c r="J664" s="1"/>
      <c r="K664" s="1"/>
      <c r="L664" s="1"/>
      <c r="M664" s="1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</row>
    <row r="665" spans="1:56" s="6" customFormat="1" x14ac:dyDescent="0.2">
      <c r="A665" s="1"/>
      <c r="B665" s="1"/>
      <c r="C665" s="1"/>
      <c r="D665" s="1"/>
      <c r="E665" s="1"/>
      <c r="F665" s="151"/>
      <c r="G665" s="1"/>
      <c r="H665" s="1"/>
      <c r="I665" s="1"/>
      <c r="J665" s="1"/>
      <c r="K665" s="1"/>
      <c r="L665" s="1"/>
      <c r="M665" s="1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</row>
    <row r="666" spans="1:56" s="6" customFormat="1" x14ac:dyDescent="0.2">
      <c r="A666" s="1"/>
      <c r="B666" s="1"/>
      <c r="C666" s="1"/>
      <c r="D666" s="1"/>
      <c r="E666" s="1"/>
      <c r="F666" s="151"/>
      <c r="G666" s="1"/>
      <c r="H666" s="1"/>
      <c r="I666" s="1"/>
      <c r="J666" s="1"/>
      <c r="K666" s="1"/>
      <c r="L666" s="1"/>
      <c r="M666" s="1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</row>
    <row r="667" spans="1:56" s="6" customFormat="1" x14ac:dyDescent="0.2">
      <c r="A667" s="1"/>
      <c r="B667" s="1"/>
      <c r="C667" s="1"/>
      <c r="D667" s="1"/>
      <c r="E667" s="1"/>
      <c r="F667" s="151"/>
      <c r="G667" s="1"/>
      <c r="H667" s="1"/>
      <c r="I667" s="1"/>
      <c r="J667" s="1"/>
      <c r="K667" s="1"/>
      <c r="L667" s="1"/>
      <c r="M667" s="1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</row>
    <row r="668" spans="1:56" s="6" customFormat="1" x14ac:dyDescent="0.2">
      <c r="A668" s="1"/>
      <c r="B668" s="1"/>
      <c r="C668" s="1"/>
      <c r="D668" s="1"/>
      <c r="E668" s="1"/>
      <c r="F668" s="151"/>
      <c r="G668" s="1"/>
      <c r="H668" s="1"/>
      <c r="I668" s="1"/>
      <c r="J668" s="1"/>
      <c r="K668" s="1"/>
      <c r="L668" s="1"/>
      <c r="M668" s="1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</row>
    <row r="669" spans="1:56" s="6" customFormat="1" x14ac:dyDescent="0.2">
      <c r="A669" s="1"/>
      <c r="B669" s="1"/>
      <c r="C669" s="1"/>
      <c r="D669" s="1"/>
      <c r="E669" s="1"/>
      <c r="F669" s="151"/>
      <c r="G669" s="1"/>
      <c r="H669" s="1"/>
      <c r="I669" s="1"/>
      <c r="J669" s="1"/>
      <c r="K669" s="1"/>
      <c r="L669" s="1"/>
      <c r="M669" s="1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</row>
    <row r="670" spans="1:56" s="6" customFormat="1" x14ac:dyDescent="0.2">
      <c r="A670" s="1"/>
      <c r="B670" s="1"/>
      <c r="C670" s="1"/>
      <c r="D670" s="1"/>
      <c r="E670" s="1"/>
      <c r="F670" s="151"/>
      <c r="G670" s="1"/>
      <c r="H670" s="1"/>
      <c r="I670" s="1"/>
      <c r="J670" s="1"/>
      <c r="K670" s="1"/>
      <c r="L670" s="1"/>
      <c r="M670" s="1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</row>
    <row r="671" spans="1:56" s="6" customFormat="1" x14ac:dyDescent="0.2">
      <c r="A671" s="1"/>
      <c r="B671" s="1"/>
      <c r="C671" s="1"/>
      <c r="D671" s="1"/>
      <c r="E671" s="1"/>
      <c r="F671" s="151"/>
      <c r="G671" s="1"/>
      <c r="H671" s="1"/>
      <c r="I671" s="1"/>
      <c r="J671" s="1"/>
      <c r="K671" s="1"/>
      <c r="L671" s="1"/>
      <c r="M671" s="1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</row>
    <row r="672" spans="1:56" s="6" customFormat="1" x14ac:dyDescent="0.2">
      <c r="A672" s="1"/>
      <c r="B672" s="1"/>
      <c r="C672" s="1"/>
      <c r="D672" s="1"/>
      <c r="E672" s="1"/>
      <c r="F672" s="151"/>
      <c r="G672" s="1"/>
      <c r="H672" s="1"/>
      <c r="I672" s="1"/>
      <c r="J672" s="1"/>
      <c r="K672" s="1"/>
      <c r="L672" s="1"/>
      <c r="M672" s="1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</row>
    <row r="673" spans="1:56" s="6" customFormat="1" x14ac:dyDescent="0.2">
      <c r="A673" s="1"/>
      <c r="B673" s="1"/>
      <c r="C673" s="1"/>
      <c r="D673" s="1"/>
      <c r="E673" s="1"/>
      <c r="F673" s="151"/>
      <c r="G673" s="1"/>
      <c r="H673" s="1"/>
      <c r="I673" s="1"/>
      <c r="J673" s="1"/>
      <c r="K673" s="1"/>
      <c r="L673" s="1"/>
      <c r="M673" s="1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</row>
    <row r="674" spans="1:56" s="6" customFormat="1" x14ac:dyDescent="0.2">
      <c r="A674" s="1"/>
      <c r="B674" s="1"/>
      <c r="C674" s="1"/>
      <c r="D674" s="1"/>
      <c r="E674" s="1"/>
      <c r="F674" s="151"/>
      <c r="G674" s="1"/>
      <c r="H674" s="1"/>
      <c r="I674" s="1"/>
      <c r="J674" s="1"/>
      <c r="K674" s="1"/>
      <c r="L674" s="1"/>
      <c r="M674" s="1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</row>
    <row r="675" spans="1:56" s="6" customFormat="1" x14ac:dyDescent="0.2">
      <c r="A675" s="1"/>
      <c r="B675" s="1"/>
      <c r="C675" s="1"/>
      <c r="D675" s="1"/>
      <c r="E675" s="1"/>
      <c r="F675" s="151"/>
      <c r="G675" s="1"/>
      <c r="H675" s="1"/>
      <c r="I675" s="1"/>
      <c r="J675" s="1"/>
      <c r="K675" s="1"/>
      <c r="L675" s="1"/>
      <c r="M675" s="1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</row>
    <row r="676" spans="1:56" s="6" customFormat="1" x14ac:dyDescent="0.2">
      <c r="A676" s="1"/>
      <c r="B676" s="1"/>
      <c r="C676" s="1"/>
      <c r="D676" s="1"/>
      <c r="E676" s="1"/>
      <c r="F676" s="151"/>
      <c r="G676" s="1"/>
      <c r="H676" s="1"/>
      <c r="I676" s="1"/>
      <c r="J676" s="1"/>
      <c r="K676" s="1"/>
      <c r="L676" s="1"/>
      <c r="M676" s="1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</row>
    <row r="677" spans="1:56" s="6" customFormat="1" x14ac:dyDescent="0.2">
      <c r="A677" s="1"/>
      <c r="B677" s="1"/>
      <c r="C677" s="1"/>
      <c r="D677" s="1"/>
      <c r="E677" s="1"/>
      <c r="F677" s="151"/>
      <c r="G677" s="1"/>
      <c r="H677" s="1"/>
      <c r="I677" s="1"/>
      <c r="J677" s="1"/>
      <c r="K677" s="1"/>
      <c r="L677" s="1"/>
      <c r="M677" s="1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</row>
    <row r="678" spans="1:56" s="6" customFormat="1" x14ac:dyDescent="0.2">
      <c r="A678" s="1"/>
      <c r="B678" s="1"/>
      <c r="C678" s="1"/>
      <c r="D678" s="1"/>
      <c r="E678" s="1"/>
      <c r="F678" s="151"/>
      <c r="G678" s="1"/>
      <c r="H678" s="1"/>
      <c r="I678" s="1"/>
      <c r="J678" s="1"/>
      <c r="K678" s="1"/>
      <c r="L678" s="1"/>
      <c r="M678" s="1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</row>
    <row r="679" spans="1:56" s="6" customFormat="1" x14ac:dyDescent="0.2">
      <c r="A679" s="1"/>
      <c r="B679" s="1"/>
      <c r="C679" s="1"/>
      <c r="D679" s="1"/>
      <c r="E679" s="1"/>
      <c r="F679" s="151"/>
      <c r="G679" s="1"/>
      <c r="H679" s="1"/>
      <c r="I679" s="1"/>
      <c r="J679" s="1"/>
      <c r="K679" s="1"/>
      <c r="L679" s="1"/>
      <c r="M679" s="1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</row>
    <row r="680" spans="1:56" s="6" customFormat="1" x14ac:dyDescent="0.2">
      <c r="A680" s="1"/>
      <c r="B680" s="1"/>
      <c r="C680" s="1"/>
      <c r="D680" s="1"/>
      <c r="E680" s="1"/>
      <c r="F680" s="151"/>
      <c r="G680" s="1"/>
      <c r="H680" s="1"/>
      <c r="I680" s="1"/>
      <c r="J680" s="1"/>
      <c r="K680" s="1"/>
      <c r="L680" s="1"/>
      <c r="M680" s="1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</row>
    <row r="681" spans="1:56" s="6" customFormat="1" x14ac:dyDescent="0.2">
      <c r="A681" s="1"/>
      <c r="B681" s="1"/>
      <c r="C681" s="1"/>
      <c r="D681" s="1"/>
      <c r="E681" s="1"/>
      <c r="F681" s="151"/>
      <c r="G681" s="1"/>
      <c r="H681" s="1"/>
      <c r="I681" s="1"/>
      <c r="J681" s="1"/>
      <c r="K681" s="1"/>
      <c r="L681" s="1"/>
      <c r="M681" s="1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</row>
    <row r="682" spans="1:56" s="6" customFormat="1" x14ac:dyDescent="0.2">
      <c r="A682" s="1"/>
      <c r="B682" s="1"/>
      <c r="C682" s="1"/>
      <c r="D682" s="1"/>
      <c r="E682" s="1"/>
      <c r="F682" s="151"/>
      <c r="G682" s="1"/>
      <c r="H682" s="1"/>
      <c r="I682" s="1"/>
      <c r="J682" s="1"/>
      <c r="K682" s="1"/>
      <c r="L682" s="1"/>
      <c r="M682" s="1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</row>
    <row r="683" spans="1:56" s="6" customFormat="1" x14ac:dyDescent="0.2">
      <c r="A683" s="1"/>
      <c r="B683" s="1"/>
      <c r="C683" s="1"/>
      <c r="D683" s="1"/>
      <c r="E683" s="1"/>
      <c r="F683" s="151"/>
      <c r="G683" s="1"/>
      <c r="H683" s="1"/>
      <c r="I683" s="1"/>
      <c r="J683" s="1"/>
      <c r="K683" s="1"/>
      <c r="L683" s="1"/>
      <c r="M683" s="1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</row>
    <row r="684" spans="1:56" s="6" customFormat="1" x14ac:dyDescent="0.2">
      <c r="A684" s="1"/>
      <c r="B684" s="1"/>
      <c r="C684" s="1"/>
      <c r="D684" s="1"/>
      <c r="E684" s="1"/>
      <c r="F684" s="151"/>
      <c r="G684" s="1"/>
      <c r="H684" s="1"/>
      <c r="I684" s="1"/>
      <c r="J684" s="1"/>
      <c r="K684" s="1"/>
      <c r="L684" s="1"/>
      <c r="M684" s="1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</row>
    <row r="685" spans="1:56" s="6" customFormat="1" x14ac:dyDescent="0.2">
      <c r="A685" s="1"/>
      <c r="B685" s="1"/>
      <c r="C685" s="1"/>
      <c r="D685" s="1"/>
      <c r="E685" s="1"/>
      <c r="F685" s="151"/>
      <c r="G685" s="1"/>
      <c r="H685" s="1"/>
      <c r="I685" s="1"/>
      <c r="J685" s="1"/>
      <c r="K685" s="1"/>
      <c r="L685" s="1"/>
      <c r="M685" s="1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</row>
    <row r="686" spans="1:56" s="6" customFormat="1" x14ac:dyDescent="0.2">
      <c r="A686" s="1"/>
      <c r="B686" s="1"/>
      <c r="C686" s="1"/>
      <c r="D686" s="1"/>
      <c r="E686" s="1"/>
      <c r="F686" s="151"/>
      <c r="G686" s="1"/>
      <c r="H686" s="1"/>
      <c r="I686" s="1"/>
      <c r="J686" s="1"/>
      <c r="K686" s="1"/>
      <c r="L686" s="1"/>
      <c r="M686" s="1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</row>
    <row r="687" spans="1:56" s="6" customFormat="1" x14ac:dyDescent="0.2">
      <c r="A687" s="1"/>
      <c r="B687" s="1"/>
      <c r="C687" s="1"/>
      <c r="D687" s="1"/>
      <c r="E687" s="1"/>
      <c r="F687" s="151"/>
      <c r="G687" s="1"/>
      <c r="H687" s="1"/>
      <c r="I687" s="1"/>
      <c r="J687" s="1"/>
      <c r="K687" s="1"/>
      <c r="L687" s="1"/>
      <c r="M687" s="1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</row>
    <row r="688" spans="1:56" s="6" customFormat="1" x14ac:dyDescent="0.2">
      <c r="A688" s="1"/>
      <c r="B688" s="1"/>
      <c r="C688" s="1"/>
      <c r="D688" s="1"/>
      <c r="E688" s="1"/>
      <c r="F688" s="151"/>
      <c r="G688" s="1"/>
      <c r="H688" s="1"/>
      <c r="I688" s="1"/>
      <c r="J688" s="1"/>
      <c r="K688" s="1"/>
      <c r="L688" s="1"/>
      <c r="M688" s="1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</row>
    <row r="689" spans="1:56" s="6" customFormat="1" x14ac:dyDescent="0.2">
      <c r="A689" s="1"/>
      <c r="B689" s="1"/>
      <c r="C689" s="1"/>
      <c r="D689" s="1"/>
      <c r="E689" s="1"/>
      <c r="F689" s="151"/>
      <c r="G689" s="1"/>
      <c r="H689" s="1"/>
      <c r="I689" s="1"/>
      <c r="J689" s="1"/>
      <c r="K689" s="1"/>
      <c r="L689" s="1"/>
      <c r="M689" s="1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</row>
    <row r="690" spans="1:56" s="6" customFormat="1" x14ac:dyDescent="0.2">
      <c r="A690" s="1"/>
      <c r="B690" s="1"/>
      <c r="C690" s="1"/>
      <c r="D690" s="1"/>
      <c r="E690" s="1"/>
      <c r="F690" s="151"/>
      <c r="G690" s="1"/>
      <c r="H690" s="1"/>
      <c r="I690" s="1"/>
      <c r="J690" s="1"/>
      <c r="K690" s="1"/>
      <c r="L690" s="1"/>
      <c r="M690" s="1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</row>
    <row r="691" spans="1:56" s="6" customFormat="1" x14ac:dyDescent="0.2">
      <c r="A691" s="1"/>
      <c r="B691" s="1"/>
      <c r="C691" s="1"/>
      <c r="D691" s="1"/>
      <c r="E691" s="1"/>
      <c r="F691" s="151"/>
      <c r="G691" s="1"/>
      <c r="H691" s="1"/>
      <c r="I691" s="1"/>
      <c r="J691" s="1"/>
      <c r="K691" s="1"/>
      <c r="L691" s="1"/>
      <c r="M691" s="1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</row>
    <row r="692" spans="1:56" s="6" customFormat="1" x14ac:dyDescent="0.2">
      <c r="A692" s="1"/>
      <c r="B692" s="1"/>
      <c r="C692" s="1"/>
      <c r="D692" s="1"/>
      <c r="E692" s="1"/>
      <c r="F692" s="151"/>
      <c r="G692" s="1"/>
      <c r="H692" s="1"/>
      <c r="I692" s="1"/>
      <c r="J692" s="1"/>
      <c r="K692" s="1"/>
      <c r="L692" s="1"/>
      <c r="M692" s="1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</row>
    <row r="693" spans="1:56" s="6" customFormat="1" x14ac:dyDescent="0.2">
      <c r="A693" s="1"/>
      <c r="B693" s="1"/>
      <c r="C693" s="1"/>
      <c r="D693" s="1"/>
      <c r="E693" s="1"/>
      <c r="F693" s="151"/>
      <c r="G693" s="1"/>
      <c r="H693" s="1"/>
      <c r="I693" s="1"/>
      <c r="J693" s="1"/>
      <c r="K693" s="1"/>
      <c r="L693" s="1"/>
      <c r="M693" s="1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</row>
    <row r="694" spans="1:56" s="6" customFormat="1" x14ac:dyDescent="0.2">
      <c r="A694" s="1"/>
      <c r="B694" s="1"/>
      <c r="C694" s="1"/>
      <c r="D694" s="1"/>
      <c r="E694" s="1"/>
      <c r="F694" s="151"/>
      <c r="G694" s="1"/>
      <c r="H694" s="1"/>
      <c r="I694" s="1"/>
      <c r="J694" s="1"/>
      <c r="K694" s="1"/>
      <c r="L694" s="1"/>
      <c r="M694" s="1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</row>
    <row r="695" spans="1:56" s="6" customFormat="1" x14ac:dyDescent="0.2">
      <c r="A695" s="1"/>
      <c r="B695" s="1"/>
      <c r="C695" s="1"/>
      <c r="D695" s="1"/>
      <c r="E695" s="1"/>
      <c r="F695" s="151"/>
      <c r="G695" s="1"/>
      <c r="H695" s="1"/>
      <c r="I695" s="1"/>
      <c r="J695" s="1"/>
      <c r="K695" s="1"/>
      <c r="L695" s="1"/>
      <c r="M695" s="1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</row>
    <row r="696" spans="1:56" s="6" customFormat="1" x14ac:dyDescent="0.2">
      <c r="A696" s="1"/>
      <c r="B696" s="1"/>
      <c r="C696" s="1"/>
      <c r="D696" s="1"/>
      <c r="E696" s="1"/>
      <c r="F696" s="151"/>
      <c r="G696" s="1"/>
      <c r="H696" s="1"/>
      <c r="I696" s="1"/>
      <c r="J696" s="1"/>
      <c r="K696" s="1"/>
      <c r="L696" s="1"/>
      <c r="M696" s="1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</row>
    <row r="697" spans="1:56" s="6" customFormat="1" x14ac:dyDescent="0.2">
      <c r="A697" s="1"/>
      <c r="B697" s="1"/>
      <c r="C697" s="1"/>
      <c r="D697" s="1"/>
      <c r="E697" s="1"/>
      <c r="F697" s="151"/>
      <c r="G697" s="1"/>
      <c r="H697" s="1"/>
      <c r="I697" s="1"/>
      <c r="J697" s="1"/>
      <c r="K697" s="1"/>
      <c r="L697" s="1"/>
      <c r="M697" s="1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</row>
    <row r="698" spans="1:56" s="6" customFormat="1" x14ac:dyDescent="0.2">
      <c r="A698" s="1"/>
      <c r="B698" s="1"/>
      <c r="C698" s="1"/>
      <c r="D698" s="1"/>
      <c r="E698" s="1"/>
      <c r="F698" s="151"/>
      <c r="G698" s="1"/>
      <c r="H698" s="1"/>
      <c r="I698" s="1"/>
      <c r="J698" s="1"/>
      <c r="K698" s="1"/>
      <c r="L698" s="1"/>
      <c r="M698" s="1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</row>
    <row r="699" spans="1:56" s="6" customFormat="1" x14ac:dyDescent="0.2">
      <c r="A699" s="1"/>
      <c r="B699" s="1"/>
      <c r="C699" s="1"/>
      <c r="D699" s="1"/>
      <c r="E699" s="1"/>
      <c r="F699" s="151"/>
      <c r="G699" s="1"/>
      <c r="H699" s="1"/>
      <c r="I699" s="1"/>
      <c r="J699" s="1"/>
      <c r="K699" s="1"/>
      <c r="L699" s="1"/>
      <c r="M699" s="1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</row>
    <row r="700" spans="1:56" s="6" customFormat="1" x14ac:dyDescent="0.2">
      <c r="A700" s="1"/>
      <c r="B700" s="1"/>
      <c r="C700" s="1"/>
      <c r="D700" s="1"/>
      <c r="E700" s="1"/>
      <c r="F700" s="151"/>
      <c r="G700" s="1"/>
      <c r="H700" s="1"/>
      <c r="I700" s="1"/>
      <c r="J700" s="1"/>
      <c r="K700" s="1"/>
      <c r="L700" s="1"/>
      <c r="M700" s="1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</row>
    <row r="701" spans="1:56" s="6" customFormat="1" x14ac:dyDescent="0.2">
      <c r="A701" s="1"/>
      <c r="B701" s="1"/>
      <c r="C701" s="1"/>
      <c r="D701" s="1"/>
      <c r="E701" s="1"/>
      <c r="F701" s="151"/>
      <c r="G701" s="1"/>
      <c r="H701" s="1"/>
      <c r="I701" s="1"/>
      <c r="J701" s="1"/>
      <c r="K701" s="1"/>
      <c r="L701" s="1"/>
      <c r="M701" s="1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</row>
    <row r="702" spans="1:56" s="6" customFormat="1" x14ac:dyDescent="0.2">
      <c r="A702" s="1"/>
      <c r="B702" s="1"/>
      <c r="C702" s="1"/>
      <c r="D702" s="1"/>
      <c r="E702" s="1"/>
      <c r="F702" s="151"/>
      <c r="G702" s="1"/>
      <c r="H702" s="1"/>
      <c r="I702" s="1"/>
      <c r="J702" s="1"/>
      <c r="K702" s="1"/>
      <c r="L702" s="1"/>
      <c r="M702" s="1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</row>
    <row r="703" spans="1:56" s="6" customFormat="1" x14ac:dyDescent="0.2">
      <c r="A703" s="1"/>
      <c r="B703" s="1"/>
      <c r="C703" s="1"/>
      <c r="D703" s="1"/>
      <c r="E703" s="1"/>
      <c r="F703" s="151"/>
      <c r="G703" s="1"/>
      <c r="H703" s="1"/>
      <c r="I703" s="1"/>
      <c r="J703" s="1"/>
      <c r="K703" s="1"/>
      <c r="L703" s="1"/>
      <c r="M703" s="1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</row>
    <row r="704" spans="1:56" s="6" customFormat="1" x14ac:dyDescent="0.2">
      <c r="A704" s="1"/>
      <c r="B704" s="1"/>
      <c r="C704" s="1"/>
      <c r="D704" s="1"/>
      <c r="E704" s="1"/>
      <c r="F704" s="151"/>
      <c r="G704" s="1"/>
      <c r="H704" s="1"/>
      <c r="I704" s="1"/>
      <c r="J704" s="1"/>
      <c r="K704" s="1"/>
      <c r="L704" s="1"/>
      <c r="M704" s="1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</row>
    <row r="705" spans="1:56" s="6" customFormat="1" x14ac:dyDescent="0.2">
      <c r="A705" s="1"/>
      <c r="B705" s="1"/>
      <c r="C705" s="1"/>
      <c r="D705" s="1"/>
      <c r="E705" s="1"/>
      <c r="F705" s="151"/>
      <c r="G705" s="1"/>
      <c r="H705" s="1"/>
      <c r="I705" s="1"/>
      <c r="J705" s="1"/>
      <c r="K705" s="1"/>
      <c r="L705" s="1"/>
      <c r="M705" s="1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</row>
    <row r="706" spans="1:56" s="6" customFormat="1" x14ac:dyDescent="0.2">
      <c r="A706" s="1"/>
      <c r="B706" s="1"/>
      <c r="C706" s="1"/>
      <c r="D706" s="1"/>
      <c r="E706" s="1"/>
      <c r="F706" s="151"/>
      <c r="G706" s="1"/>
      <c r="H706" s="1"/>
      <c r="I706" s="1"/>
      <c r="J706" s="1"/>
      <c r="K706" s="1"/>
      <c r="L706" s="1"/>
      <c r="M706" s="1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</row>
    <row r="707" spans="1:56" s="6" customFormat="1" x14ac:dyDescent="0.2">
      <c r="A707" s="1"/>
      <c r="B707" s="1"/>
      <c r="C707" s="1"/>
      <c r="D707" s="1"/>
      <c r="E707" s="1"/>
      <c r="F707" s="151"/>
      <c r="G707" s="1"/>
      <c r="H707" s="1"/>
      <c r="I707" s="1"/>
      <c r="J707" s="1"/>
      <c r="K707" s="1"/>
      <c r="L707" s="1"/>
      <c r="M707" s="1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</row>
    <row r="708" spans="1:56" s="6" customFormat="1" x14ac:dyDescent="0.2">
      <c r="A708" s="1"/>
      <c r="B708" s="1"/>
      <c r="C708" s="1"/>
      <c r="D708" s="1"/>
      <c r="E708" s="1"/>
      <c r="F708" s="151"/>
      <c r="G708" s="1"/>
      <c r="H708" s="1"/>
      <c r="I708" s="1"/>
      <c r="J708" s="1"/>
      <c r="K708" s="1"/>
      <c r="L708" s="1"/>
      <c r="M708" s="1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</row>
    <row r="709" spans="1:56" s="6" customFormat="1" x14ac:dyDescent="0.2">
      <c r="A709" s="1"/>
      <c r="B709" s="1"/>
      <c r="C709" s="1"/>
      <c r="D709" s="1"/>
      <c r="E709" s="1"/>
      <c r="F709" s="151"/>
      <c r="G709" s="1"/>
      <c r="H709" s="1"/>
      <c r="I709" s="1"/>
      <c r="J709" s="1"/>
      <c r="K709" s="1"/>
      <c r="L709" s="1"/>
      <c r="M709" s="1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</row>
    <row r="710" spans="1:56" s="6" customFormat="1" x14ac:dyDescent="0.2">
      <c r="A710" s="1"/>
      <c r="B710" s="1"/>
      <c r="C710" s="1"/>
      <c r="D710" s="1"/>
      <c r="E710" s="1"/>
      <c r="F710" s="151"/>
      <c r="G710" s="1"/>
      <c r="H710" s="1"/>
      <c r="I710" s="1"/>
      <c r="J710" s="1"/>
      <c r="K710" s="1"/>
      <c r="L710" s="1"/>
      <c r="M710" s="1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</row>
    <row r="711" spans="1:56" s="6" customFormat="1" x14ac:dyDescent="0.2">
      <c r="A711" s="1"/>
      <c r="B711" s="1"/>
      <c r="C711" s="1"/>
      <c r="D711" s="1"/>
      <c r="E711" s="1"/>
      <c r="F711" s="151"/>
      <c r="G711" s="1"/>
      <c r="H711" s="1"/>
      <c r="I711" s="1"/>
      <c r="J711" s="1"/>
      <c r="K711" s="1"/>
      <c r="L711" s="1"/>
      <c r="M711" s="1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</row>
    <row r="712" spans="1:56" s="6" customFormat="1" x14ac:dyDescent="0.2">
      <c r="A712" s="1"/>
      <c r="B712" s="1"/>
      <c r="C712" s="1"/>
      <c r="D712" s="1"/>
      <c r="E712" s="1"/>
      <c r="F712" s="151"/>
      <c r="G712" s="1"/>
      <c r="H712" s="1"/>
      <c r="I712" s="1"/>
      <c r="J712" s="1"/>
      <c r="K712" s="1"/>
      <c r="L712" s="1"/>
      <c r="M712" s="1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</row>
    <row r="713" spans="1:56" s="6" customFormat="1" x14ac:dyDescent="0.2">
      <c r="A713" s="1"/>
      <c r="B713" s="1"/>
      <c r="C713" s="1"/>
      <c r="D713" s="1"/>
      <c r="E713" s="1"/>
      <c r="F713" s="151"/>
      <c r="G713" s="1"/>
      <c r="H713" s="1"/>
      <c r="I713" s="1"/>
      <c r="J713" s="1"/>
      <c r="K713" s="1"/>
      <c r="L713" s="1"/>
      <c r="M713" s="1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</row>
    <row r="714" spans="1:56" s="6" customFormat="1" x14ac:dyDescent="0.2">
      <c r="A714" s="1"/>
      <c r="B714" s="1"/>
      <c r="C714" s="1"/>
      <c r="D714" s="1"/>
      <c r="E714" s="1"/>
      <c r="F714" s="151"/>
      <c r="G714" s="1"/>
      <c r="H714" s="1"/>
      <c r="I714" s="1"/>
      <c r="J714" s="1"/>
      <c r="K714" s="1"/>
      <c r="L714" s="1"/>
      <c r="M714" s="1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</row>
    <row r="715" spans="1:56" s="6" customFormat="1" x14ac:dyDescent="0.2">
      <c r="A715" s="1"/>
      <c r="B715" s="1"/>
      <c r="C715" s="1"/>
      <c r="D715" s="1"/>
      <c r="E715" s="1"/>
      <c r="F715" s="151"/>
      <c r="G715" s="1"/>
      <c r="H715" s="1"/>
      <c r="I715" s="1"/>
      <c r="J715" s="1"/>
      <c r="K715" s="1"/>
      <c r="L715" s="1"/>
      <c r="M715" s="1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</row>
    <row r="716" spans="1:56" s="6" customFormat="1" x14ac:dyDescent="0.2">
      <c r="A716" s="1"/>
      <c r="B716" s="1"/>
      <c r="C716" s="1"/>
      <c r="D716" s="1"/>
      <c r="E716" s="1"/>
      <c r="F716" s="151"/>
      <c r="G716" s="1"/>
      <c r="H716" s="1"/>
      <c r="I716" s="1"/>
      <c r="J716" s="1"/>
      <c r="K716" s="1"/>
      <c r="L716" s="1"/>
      <c r="M716" s="1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</row>
    <row r="717" spans="1:56" s="6" customFormat="1" x14ac:dyDescent="0.2">
      <c r="A717" s="1"/>
      <c r="B717" s="1"/>
      <c r="C717" s="1"/>
      <c r="D717" s="1"/>
      <c r="E717" s="1"/>
      <c r="F717" s="151"/>
      <c r="G717" s="1"/>
      <c r="H717" s="1"/>
      <c r="I717" s="1"/>
      <c r="J717" s="1"/>
      <c r="K717" s="1"/>
      <c r="L717" s="1"/>
      <c r="M717" s="1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</row>
    <row r="718" spans="1:56" s="6" customFormat="1" x14ac:dyDescent="0.2">
      <c r="A718" s="1"/>
      <c r="B718" s="1"/>
      <c r="C718" s="1"/>
      <c r="D718" s="1"/>
      <c r="E718" s="1"/>
      <c r="F718" s="151"/>
      <c r="G718" s="1"/>
      <c r="H718" s="1"/>
      <c r="I718" s="1"/>
      <c r="J718" s="1"/>
      <c r="K718" s="1"/>
      <c r="L718" s="1"/>
      <c r="M718" s="1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</row>
    <row r="719" spans="1:56" s="6" customFormat="1" x14ac:dyDescent="0.2">
      <c r="A719" s="1"/>
      <c r="B719" s="1"/>
      <c r="C719" s="1"/>
      <c r="D719" s="1"/>
      <c r="E719" s="1"/>
      <c r="F719" s="151"/>
      <c r="G719" s="1"/>
      <c r="H719" s="1"/>
      <c r="I719" s="1"/>
      <c r="J719" s="1"/>
      <c r="K719" s="1"/>
      <c r="L719" s="1"/>
      <c r="M719" s="1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</row>
    <row r="720" spans="1:56" s="6" customFormat="1" x14ac:dyDescent="0.2">
      <c r="A720" s="1"/>
      <c r="B720" s="1"/>
      <c r="C720" s="1"/>
      <c r="D720" s="1"/>
      <c r="E720" s="1"/>
      <c r="F720" s="151"/>
      <c r="G720" s="1"/>
      <c r="H720" s="1"/>
      <c r="I720" s="1"/>
      <c r="J720" s="1"/>
      <c r="K720" s="1"/>
      <c r="L720" s="1"/>
      <c r="M720" s="1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</row>
    <row r="721" spans="1:56" s="6" customFormat="1" x14ac:dyDescent="0.2">
      <c r="A721" s="1"/>
      <c r="B721" s="1"/>
      <c r="C721" s="1"/>
      <c r="D721" s="1"/>
      <c r="E721" s="1"/>
      <c r="F721" s="151"/>
      <c r="G721" s="1"/>
      <c r="H721" s="1"/>
      <c r="I721" s="1"/>
      <c r="J721" s="1"/>
      <c r="K721" s="1"/>
      <c r="L721" s="1"/>
      <c r="M721" s="1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</row>
    <row r="722" spans="1:56" s="6" customFormat="1" x14ac:dyDescent="0.2">
      <c r="A722" s="1"/>
      <c r="B722" s="1"/>
      <c r="C722" s="1"/>
      <c r="D722" s="1"/>
      <c r="E722" s="1"/>
      <c r="F722" s="151"/>
      <c r="G722" s="1"/>
      <c r="H722" s="1"/>
      <c r="I722" s="1"/>
      <c r="J722" s="1"/>
      <c r="K722" s="1"/>
      <c r="L722" s="1"/>
      <c r="M722" s="1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</row>
    <row r="723" spans="1:56" s="6" customFormat="1" x14ac:dyDescent="0.2">
      <c r="A723" s="1"/>
      <c r="B723" s="1"/>
      <c r="C723" s="1"/>
      <c r="D723" s="1"/>
      <c r="E723" s="1"/>
      <c r="F723" s="151"/>
      <c r="G723" s="1"/>
      <c r="H723" s="1"/>
      <c r="I723" s="1"/>
      <c r="J723" s="1"/>
      <c r="K723" s="1"/>
      <c r="L723" s="1"/>
      <c r="M723" s="1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</row>
    <row r="724" spans="1:56" s="6" customFormat="1" x14ac:dyDescent="0.2">
      <c r="A724" s="1"/>
      <c r="B724" s="1"/>
      <c r="C724" s="1"/>
      <c r="D724" s="1"/>
      <c r="E724" s="1"/>
      <c r="F724" s="151"/>
      <c r="G724" s="1"/>
      <c r="H724" s="1"/>
      <c r="I724" s="1"/>
      <c r="J724" s="1"/>
      <c r="K724" s="1"/>
      <c r="L724" s="1"/>
      <c r="M724" s="1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</row>
    <row r="725" spans="1:56" s="6" customFormat="1" x14ac:dyDescent="0.2">
      <c r="A725" s="1"/>
      <c r="B725" s="1"/>
      <c r="C725" s="1"/>
      <c r="D725" s="1"/>
      <c r="E725" s="1"/>
      <c r="F725" s="151"/>
      <c r="G725" s="1"/>
      <c r="H725" s="1"/>
      <c r="I725" s="1"/>
      <c r="J725" s="1"/>
      <c r="K725" s="1"/>
      <c r="L725" s="1"/>
      <c r="M725" s="1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</row>
    <row r="726" spans="1:56" s="6" customFormat="1" x14ac:dyDescent="0.2">
      <c r="A726" s="1"/>
      <c r="B726" s="1"/>
      <c r="C726" s="1"/>
      <c r="D726" s="1"/>
      <c r="E726" s="1"/>
      <c r="F726" s="151"/>
      <c r="G726" s="1"/>
      <c r="H726" s="1"/>
      <c r="I726" s="1"/>
      <c r="J726" s="1"/>
      <c r="K726" s="1"/>
      <c r="L726" s="1"/>
      <c r="M726" s="1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</row>
    <row r="727" spans="1:56" s="6" customFormat="1" x14ac:dyDescent="0.2">
      <c r="A727" s="1"/>
      <c r="B727" s="1"/>
      <c r="C727" s="1"/>
      <c r="D727" s="1"/>
      <c r="E727" s="1"/>
      <c r="F727" s="151"/>
      <c r="G727" s="1"/>
      <c r="H727" s="1"/>
      <c r="I727" s="1"/>
      <c r="J727" s="1"/>
      <c r="K727" s="1"/>
      <c r="L727" s="1"/>
      <c r="M727" s="1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</row>
    <row r="728" spans="1:56" s="6" customFormat="1" x14ac:dyDescent="0.2">
      <c r="A728" s="1"/>
      <c r="B728" s="1"/>
      <c r="C728" s="1"/>
      <c r="D728" s="1"/>
      <c r="E728" s="1"/>
      <c r="F728" s="151"/>
      <c r="G728" s="1"/>
      <c r="H728" s="1"/>
      <c r="I728" s="1"/>
      <c r="J728" s="1"/>
      <c r="K728" s="1"/>
      <c r="L728" s="1"/>
      <c r="M728" s="1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</row>
    <row r="729" spans="1:56" s="6" customFormat="1" x14ac:dyDescent="0.2">
      <c r="A729" s="1"/>
      <c r="B729" s="1"/>
      <c r="C729" s="1"/>
      <c r="D729" s="1"/>
      <c r="E729" s="1"/>
      <c r="F729" s="151"/>
      <c r="G729" s="1"/>
      <c r="H729" s="1"/>
      <c r="I729" s="1"/>
      <c r="J729" s="1"/>
      <c r="K729" s="1"/>
      <c r="L729" s="1"/>
      <c r="M729" s="1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</row>
    <row r="730" spans="1:56" s="6" customFormat="1" x14ac:dyDescent="0.2">
      <c r="A730" s="1"/>
      <c r="B730" s="1"/>
      <c r="C730" s="1"/>
      <c r="D730" s="1"/>
      <c r="E730" s="1"/>
      <c r="F730" s="151"/>
      <c r="G730" s="1"/>
      <c r="H730" s="1"/>
      <c r="I730" s="1"/>
      <c r="J730" s="1"/>
      <c r="K730" s="1"/>
      <c r="L730" s="1"/>
      <c r="M730" s="1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</row>
    <row r="731" spans="1:56" s="6" customFormat="1" x14ac:dyDescent="0.2">
      <c r="A731" s="1"/>
      <c r="B731" s="1"/>
      <c r="C731" s="1"/>
      <c r="D731" s="1"/>
      <c r="E731" s="1"/>
      <c r="F731" s="151"/>
      <c r="G731" s="1"/>
      <c r="H731" s="1"/>
      <c r="I731" s="1"/>
      <c r="J731" s="1"/>
      <c r="K731" s="1"/>
      <c r="L731" s="1"/>
      <c r="M731" s="1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</row>
    <row r="732" spans="1:56" s="6" customFormat="1" x14ac:dyDescent="0.2">
      <c r="A732" s="1"/>
      <c r="B732" s="1"/>
      <c r="C732" s="1"/>
      <c r="D732" s="1"/>
      <c r="E732" s="1"/>
      <c r="F732" s="151"/>
      <c r="G732" s="1"/>
      <c r="H732" s="1"/>
      <c r="I732" s="1"/>
      <c r="J732" s="1"/>
      <c r="K732" s="1"/>
      <c r="L732" s="1"/>
      <c r="M732" s="1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</row>
    <row r="733" spans="1:56" s="6" customFormat="1" x14ac:dyDescent="0.2">
      <c r="A733" s="1"/>
      <c r="B733" s="1"/>
      <c r="C733" s="1"/>
      <c r="D733" s="1"/>
      <c r="E733" s="1"/>
      <c r="F733" s="151"/>
      <c r="G733" s="1"/>
      <c r="H733" s="1"/>
      <c r="I733" s="1"/>
      <c r="J733" s="1"/>
      <c r="K733" s="1"/>
      <c r="L733" s="1"/>
      <c r="M733" s="1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</row>
    <row r="734" spans="1:56" s="6" customFormat="1" x14ac:dyDescent="0.2">
      <c r="A734" s="1"/>
      <c r="B734" s="1"/>
      <c r="C734" s="1"/>
      <c r="D734" s="1"/>
      <c r="E734" s="1"/>
      <c r="F734" s="151"/>
      <c r="G734" s="1"/>
      <c r="H734" s="1"/>
      <c r="I734" s="1"/>
      <c r="J734" s="1"/>
      <c r="K734" s="1"/>
      <c r="L734" s="1"/>
      <c r="M734" s="1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</row>
    <row r="735" spans="1:56" s="6" customFormat="1" x14ac:dyDescent="0.2">
      <c r="A735" s="1"/>
      <c r="B735" s="1"/>
      <c r="C735" s="1"/>
      <c r="D735" s="1"/>
      <c r="E735" s="1"/>
      <c r="F735" s="151"/>
      <c r="G735" s="1"/>
      <c r="H735" s="1"/>
      <c r="I735" s="1"/>
      <c r="J735" s="1"/>
      <c r="K735" s="1"/>
      <c r="L735" s="1"/>
      <c r="M735" s="1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</row>
    <row r="736" spans="1:56" s="6" customFormat="1" x14ac:dyDescent="0.2">
      <c r="A736" s="1"/>
      <c r="B736" s="1"/>
      <c r="C736" s="1"/>
      <c r="D736" s="1"/>
      <c r="E736" s="1"/>
      <c r="F736" s="151"/>
      <c r="G736" s="1"/>
      <c r="H736" s="1"/>
      <c r="I736" s="1"/>
      <c r="J736" s="1"/>
      <c r="K736" s="1"/>
      <c r="L736" s="1"/>
      <c r="M736" s="1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</row>
    <row r="737" spans="1:56" s="6" customFormat="1" x14ac:dyDescent="0.2">
      <c r="A737" s="1"/>
      <c r="B737" s="1"/>
      <c r="C737" s="1"/>
      <c r="D737" s="1"/>
      <c r="E737" s="1"/>
      <c r="F737" s="151"/>
      <c r="G737" s="1"/>
      <c r="H737" s="1"/>
      <c r="I737" s="1"/>
      <c r="J737" s="1"/>
      <c r="K737" s="1"/>
      <c r="L737" s="1"/>
      <c r="M737" s="1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</row>
    <row r="738" spans="1:56" s="6" customFormat="1" x14ac:dyDescent="0.2">
      <c r="A738" s="1"/>
      <c r="B738" s="1"/>
      <c r="C738" s="1"/>
      <c r="D738" s="1"/>
      <c r="E738" s="1"/>
      <c r="F738" s="151"/>
      <c r="G738" s="1"/>
      <c r="H738" s="1"/>
      <c r="I738" s="1"/>
      <c r="J738" s="1"/>
      <c r="K738" s="1"/>
      <c r="L738" s="1"/>
      <c r="M738" s="1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</row>
    <row r="739" spans="1:56" s="6" customFormat="1" x14ac:dyDescent="0.2">
      <c r="A739" s="1"/>
      <c r="B739" s="1"/>
      <c r="C739" s="1"/>
      <c r="D739" s="1"/>
      <c r="E739" s="1"/>
      <c r="F739" s="151"/>
      <c r="G739" s="1"/>
      <c r="H739" s="1"/>
      <c r="I739" s="1"/>
      <c r="J739" s="1"/>
      <c r="K739" s="1"/>
      <c r="L739" s="1"/>
      <c r="M739" s="1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</row>
    <row r="740" spans="1:56" s="6" customFormat="1" x14ac:dyDescent="0.2">
      <c r="A740" s="1"/>
      <c r="B740" s="1"/>
      <c r="C740" s="1"/>
      <c r="D740" s="1"/>
      <c r="E740" s="1"/>
      <c r="F740" s="151"/>
      <c r="G740" s="1"/>
      <c r="H740" s="1"/>
      <c r="I740" s="1"/>
      <c r="J740" s="1"/>
      <c r="K740" s="1"/>
      <c r="L740" s="1"/>
      <c r="M740" s="1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</row>
    <row r="741" spans="1:56" s="6" customFormat="1" x14ac:dyDescent="0.2">
      <c r="A741" s="1"/>
      <c r="B741" s="1"/>
      <c r="C741" s="1"/>
      <c r="D741" s="1"/>
      <c r="E741" s="1"/>
      <c r="F741" s="151"/>
      <c r="G741" s="1"/>
      <c r="H741" s="1"/>
      <c r="I741" s="1"/>
      <c r="J741" s="1"/>
      <c r="K741" s="1"/>
      <c r="L741" s="1"/>
      <c r="M741" s="1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</row>
    <row r="742" spans="1:56" s="6" customFormat="1" x14ac:dyDescent="0.2">
      <c r="A742" s="1"/>
      <c r="B742" s="1"/>
      <c r="C742" s="1"/>
      <c r="D742" s="1"/>
      <c r="E742" s="1"/>
      <c r="F742" s="151"/>
      <c r="G742" s="1"/>
      <c r="H742" s="1"/>
      <c r="I742" s="1"/>
      <c r="J742" s="1"/>
      <c r="K742" s="1"/>
      <c r="L742" s="1"/>
      <c r="M742" s="1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</row>
    <row r="743" spans="1:56" s="6" customFormat="1" x14ac:dyDescent="0.2">
      <c r="A743" s="1"/>
      <c r="B743" s="1"/>
      <c r="C743" s="1"/>
      <c r="D743" s="1"/>
      <c r="E743" s="1"/>
      <c r="F743" s="151"/>
      <c r="G743" s="1"/>
      <c r="H743" s="1"/>
      <c r="I743" s="1"/>
      <c r="J743" s="1"/>
      <c r="K743" s="1"/>
      <c r="L743" s="1"/>
      <c r="M743" s="1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</row>
    <row r="744" spans="1:56" s="6" customFormat="1" x14ac:dyDescent="0.2">
      <c r="A744" s="1"/>
      <c r="B744" s="1"/>
      <c r="C744" s="1"/>
      <c r="D744" s="1"/>
      <c r="E744" s="1"/>
      <c r="F744" s="151"/>
      <c r="G744" s="1"/>
      <c r="H744" s="1"/>
      <c r="I744" s="1"/>
      <c r="J744" s="1"/>
      <c r="K744" s="1"/>
      <c r="L744" s="1"/>
      <c r="M744" s="1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</row>
    <row r="745" spans="1:56" s="6" customFormat="1" x14ac:dyDescent="0.2">
      <c r="A745" s="1"/>
      <c r="B745" s="1"/>
      <c r="C745" s="1"/>
      <c r="D745" s="1"/>
      <c r="E745" s="1"/>
      <c r="F745" s="151"/>
      <c r="G745" s="1"/>
      <c r="H745" s="1"/>
      <c r="I745" s="1"/>
      <c r="J745" s="1"/>
      <c r="K745" s="1"/>
      <c r="L745" s="1"/>
      <c r="M745" s="1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</row>
    <row r="746" spans="1:56" s="6" customFormat="1" x14ac:dyDescent="0.2">
      <c r="A746" s="1"/>
      <c r="B746" s="1"/>
      <c r="C746" s="1"/>
      <c r="D746" s="1"/>
      <c r="E746" s="1"/>
      <c r="F746" s="151"/>
      <c r="G746" s="1"/>
      <c r="H746" s="1"/>
      <c r="I746" s="1"/>
      <c r="J746" s="1"/>
      <c r="K746" s="1"/>
      <c r="L746" s="1"/>
      <c r="M746" s="1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</row>
    <row r="747" spans="1:56" s="6" customFormat="1" x14ac:dyDescent="0.2">
      <c r="A747" s="1"/>
      <c r="B747" s="1"/>
      <c r="C747" s="1"/>
      <c r="D747" s="1"/>
      <c r="E747" s="1"/>
      <c r="F747" s="151"/>
      <c r="G747" s="1"/>
      <c r="H747" s="1"/>
      <c r="I747" s="1"/>
      <c r="J747" s="1"/>
      <c r="K747" s="1"/>
      <c r="L747" s="1"/>
      <c r="M747" s="1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</row>
    <row r="748" spans="1:56" s="6" customFormat="1" x14ac:dyDescent="0.2">
      <c r="A748" s="1"/>
      <c r="B748" s="1"/>
      <c r="C748" s="1"/>
      <c r="D748" s="1"/>
      <c r="E748" s="1"/>
      <c r="F748" s="151"/>
      <c r="G748" s="1"/>
      <c r="H748" s="1"/>
      <c r="I748" s="1"/>
      <c r="J748" s="1"/>
      <c r="K748" s="1"/>
      <c r="L748" s="1"/>
      <c r="M748" s="1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</row>
    <row r="749" spans="1:56" s="6" customFormat="1" x14ac:dyDescent="0.2">
      <c r="A749" s="1"/>
      <c r="B749" s="1"/>
      <c r="C749" s="1"/>
      <c r="D749" s="1"/>
      <c r="E749" s="1"/>
      <c r="F749" s="151"/>
      <c r="G749" s="1"/>
      <c r="H749" s="1"/>
      <c r="I749" s="1"/>
      <c r="J749" s="1"/>
      <c r="K749" s="1"/>
      <c r="L749" s="1"/>
      <c r="M749" s="1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</row>
    <row r="750" spans="1:56" s="6" customFormat="1" x14ac:dyDescent="0.2">
      <c r="A750" s="1"/>
      <c r="B750" s="1"/>
      <c r="C750" s="1"/>
      <c r="D750" s="1"/>
      <c r="E750" s="1"/>
      <c r="F750" s="151"/>
      <c r="G750" s="1"/>
      <c r="H750" s="1"/>
      <c r="I750" s="1"/>
      <c r="J750" s="1"/>
      <c r="K750" s="1"/>
      <c r="L750" s="1"/>
      <c r="M750" s="1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</row>
    <row r="751" spans="1:56" s="6" customFormat="1" x14ac:dyDescent="0.2">
      <c r="A751" s="1"/>
      <c r="B751" s="1"/>
      <c r="C751" s="1"/>
      <c r="D751" s="1"/>
      <c r="E751" s="1"/>
      <c r="F751" s="151"/>
      <c r="G751" s="1"/>
      <c r="H751" s="1"/>
      <c r="I751" s="1"/>
      <c r="J751" s="1"/>
      <c r="K751" s="1"/>
      <c r="L751" s="1"/>
      <c r="M751" s="1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</row>
    <row r="752" spans="1:56" s="6" customFormat="1" x14ac:dyDescent="0.2">
      <c r="A752" s="1"/>
      <c r="B752" s="1"/>
      <c r="C752" s="1"/>
      <c r="D752" s="1"/>
      <c r="E752" s="1"/>
      <c r="F752" s="151"/>
      <c r="G752" s="1"/>
      <c r="H752" s="1"/>
      <c r="I752" s="1"/>
      <c r="J752" s="1"/>
      <c r="K752" s="1"/>
      <c r="L752" s="1"/>
      <c r="M752" s="1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</row>
    <row r="753" spans="1:56" s="6" customFormat="1" x14ac:dyDescent="0.2">
      <c r="A753" s="1"/>
      <c r="B753" s="1"/>
      <c r="C753" s="1"/>
      <c r="D753" s="1"/>
      <c r="E753" s="1"/>
      <c r="F753" s="151"/>
      <c r="G753" s="1"/>
      <c r="H753" s="1"/>
      <c r="I753" s="1"/>
      <c r="J753" s="1"/>
      <c r="K753" s="1"/>
      <c r="L753" s="1"/>
      <c r="M753" s="1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</row>
    <row r="754" spans="1:56" s="6" customFormat="1" x14ac:dyDescent="0.2">
      <c r="A754" s="1"/>
      <c r="B754" s="1"/>
      <c r="C754" s="1"/>
      <c r="D754" s="1"/>
      <c r="E754" s="1"/>
      <c r="F754" s="151"/>
      <c r="G754" s="1"/>
      <c r="H754" s="1"/>
      <c r="I754" s="1"/>
      <c r="J754" s="1"/>
      <c r="K754" s="1"/>
      <c r="L754" s="1"/>
      <c r="M754" s="1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</row>
    <row r="755" spans="1:56" s="6" customFormat="1" x14ac:dyDescent="0.2">
      <c r="A755" s="1"/>
      <c r="B755" s="1"/>
      <c r="C755" s="1"/>
      <c r="D755" s="1"/>
      <c r="E755" s="1"/>
      <c r="F755" s="151"/>
      <c r="G755" s="1"/>
      <c r="H755" s="1"/>
      <c r="I755" s="1"/>
      <c r="J755" s="1"/>
      <c r="K755" s="1"/>
      <c r="L755" s="1"/>
      <c r="M755" s="1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</row>
    <row r="756" spans="1:56" s="6" customFormat="1" x14ac:dyDescent="0.2">
      <c r="A756" s="1"/>
      <c r="B756" s="1"/>
      <c r="C756" s="1"/>
      <c r="D756" s="1"/>
      <c r="E756" s="1"/>
      <c r="F756" s="151"/>
      <c r="G756" s="1"/>
      <c r="H756" s="1"/>
      <c r="I756" s="1"/>
      <c r="J756" s="1"/>
      <c r="K756" s="1"/>
      <c r="L756" s="1"/>
      <c r="M756" s="1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</row>
    <row r="757" spans="1:56" s="6" customFormat="1" x14ac:dyDescent="0.2">
      <c r="A757" s="1"/>
      <c r="B757" s="1"/>
      <c r="C757" s="1"/>
      <c r="D757" s="1"/>
      <c r="E757" s="1"/>
      <c r="F757" s="151"/>
      <c r="G757" s="1"/>
      <c r="H757" s="1"/>
      <c r="I757" s="1"/>
      <c r="J757" s="1"/>
      <c r="K757" s="1"/>
      <c r="L757" s="1"/>
      <c r="M757" s="1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</row>
    <row r="758" spans="1:56" s="6" customFormat="1" x14ac:dyDescent="0.2">
      <c r="A758" s="1"/>
      <c r="B758" s="1"/>
      <c r="C758" s="1"/>
      <c r="D758" s="1"/>
      <c r="E758" s="1"/>
      <c r="F758" s="151"/>
      <c r="G758" s="1"/>
      <c r="H758" s="1"/>
      <c r="I758" s="1"/>
      <c r="J758" s="1"/>
      <c r="K758" s="1"/>
      <c r="L758" s="1"/>
      <c r="M758" s="1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</row>
    <row r="759" spans="1:56" s="6" customFormat="1" x14ac:dyDescent="0.2">
      <c r="A759" s="1"/>
      <c r="B759" s="1"/>
      <c r="C759" s="1"/>
      <c r="D759" s="1"/>
      <c r="E759" s="1"/>
      <c r="F759" s="151"/>
      <c r="G759" s="1"/>
      <c r="H759" s="1"/>
      <c r="I759" s="1"/>
      <c r="J759" s="1"/>
      <c r="K759" s="1"/>
      <c r="L759" s="1"/>
      <c r="M759" s="1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</row>
    <row r="760" spans="1:56" s="6" customFormat="1" x14ac:dyDescent="0.2">
      <c r="A760" s="1"/>
      <c r="B760" s="1"/>
      <c r="C760" s="1"/>
      <c r="D760" s="1"/>
      <c r="E760" s="1"/>
      <c r="F760" s="151"/>
      <c r="G760" s="1"/>
      <c r="H760" s="1"/>
      <c r="I760" s="1"/>
      <c r="J760" s="1"/>
      <c r="K760" s="1"/>
      <c r="L760" s="1"/>
      <c r="M760" s="1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</row>
    <row r="761" spans="1:56" s="6" customFormat="1" x14ac:dyDescent="0.2">
      <c r="A761" s="1"/>
      <c r="B761" s="1"/>
      <c r="C761" s="1"/>
      <c r="D761" s="1"/>
      <c r="E761" s="1"/>
      <c r="F761" s="151"/>
      <c r="G761" s="1"/>
      <c r="H761" s="1"/>
      <c r="I761" s="1"/>
      <c r="J761" s="1"/>
      <c r="K761" s="1"/>
      <c r="L761" s="1"/>
      <c r="M761" s="1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</row>
    <row r="762" spans="1:56" s="6" customFormat="1" x14ac:dyDescent="0.2">
      <c r="A762" s="1"/>
      <c r="B762" s="1"/>
      <c r="C762" s="1"/>
      <c r="D762" s="1"/>
      <c r="E762" s="1"/>
      <c r="F762" s="151"/>
      <c r="G762" s="1"/>
      <c r="H762" s="1"/>
      <c r="I762" s="1"/>
      <c r="J762" s="1"/>
      <c r="K762" s="1"/>
      <c r="L762" s="1"/>
      <c r="M762" s="1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</row>
    <row r="763" spans="1:56" s="6" customFormat="1" x14ac:dyDescent="0.2">
      <c r="A763" s="1"/>
      <c r="B763" s="1"/>
      <c r="C763" s="1"/>
      <c r="D763" s="1"/>
      <c r="E763" s="1"/>
      <c r="F763" s="151"/>
      <c r="G763" s="1"/>
      <c r="H763" s="1"/>
      <c r="I763" s="1"/>
      <c r="J763" s="1"/>
      <c r="K763" s="1"/>
      <c r="L763" s="1"/>
      <c r="M763" s="1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</row>
    <row r="764" spans="1:56" s="6" customFormat="1" x14ac:dyDescent="0.2">
      <c r="A764" s="1"/>
      <c r="B764" s="1"/>
      <c r="C764" s="1"/>
      <c r="D764" s="1"/>
      <c r="E764" s="1"/>
      <c r="F764" s="151"/>
      <c r="G764" s="1"/>
      <c r="H764" s="1"/>
      <c r="I764" s="1"/>
      <c r="J764" s="1"/>
      <c r="K764" s="1"/>
      <c r="L764" s="1"/>
      <c r="M764" s="1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</row>
    <row r="765" spans="1:56" s="6" customFormat="1" x14ac:dyDescent="0.2">
      <c r="A765" s="1"/>
      <c r="B765" s="1"/>
      <c r="C765" s="1"/>
      <c r="D765" s="1"/>
      <c r="E765" s="1"/>
      <c r="F765" s="151"/>
      <c r="G765" s="1"/>
      <c r="H765" s="1"/>
      <c r="I765" s="1"/>
      <c r="J765" s="1"/>
      <c r="K765" s="1"/>
      <c r="L765" s="1"/>
      <c r="M765" s="1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</row>
    <row r="766" spans="1:56" s="6" customFormat="1" x14ac:dyDescent="0.2">
      <c r="A766" s="1"/>
      <c r="B766" s="1"/>
      <c r="C766" s="1"/>
      <c r="D766" s="1"/>
      <c r="E766" s="1"/>
      <c r="F766" s="151"/>
      <c r="G766" s="1"/>
      <c r="H766" s="1"/>
      <c r="I766" s="1"/>
      <c r="J766" s="1"/>
      <c r="K766" s="1"/>
      <c r="L766" s="1"/>
      <c r="M766" s="1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</row>
    <row r="767" spans="1:56" s="6" customFormat="1" x14ac:dyDescent="0.2">
      <c r="A767" s="1"/>
      <c r="B767" s="1"/>
      <c r="C767" s="1"/>
      <c r="D767" s="1"/>
      <c r="E767" s="1"/>
      <c r="F767" s="151"/>
      <c r="G767" s="1"/>
      <c r="H767" s="1"/>
      <c r="I767" s="1"/>
      <c r="J767" s="1"/>
      <c r="K767" s="1"/>
      <c r="L767" s="1"/>
      <c r="M767" s="1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</row>
    <row r="768" spans="1:56" s="6" customFormat="1" x14ac:dyDescent="0.2">
      <c r="A768" s="1"/>
      <c r="B768" s="1"/>
      <c r="C768" s="1"/>
      <c r="D768" s="1"/>
      <c r="E768" s="1"/>
      <c r="F768" s="151"/>
      <c r="G768" s="1"/>
      <c r="H768" s="1"/>
      <c r="I768" s="1"/>
      <c r="J768" s="1"/>
      <c r="K768" s="1"/>
      <c r="L768" s="1"/>
      <c r="M768" s="1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</row>
    <row r="769" spans="1:56" s="6" customFormat="1" x14ac:dyDescent="0.2">
      <c r="A769" s="1"/>
      <c r="B769" s="1"/>
      <c r="C769" s="1"/>
      <c r="D769" s="1"/>
      <c r="E769" s="1"/>
      <c r="F769" s="151"/>
      <c r="G769" s="1"/>
      <c r="H769" s="1"/>
      <c r="I769" s="1"/>
      <c r="J769" s="1"/>
      <c r="K769" s="1"/>
      <c r="L769" s="1"/>
      <c r="M769" s="1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</row>
    <row r="770" spans="1:56" s="6" customFormat="1" x14ac:dyDescent="0.2">
      <c r="A770" s="1"/>
      <c r="B770" s="1"/>
      <c r="C770" s="1"/>
      <c r="D770" s="1"/>
      <c r="E770" s="1"/>
      <c r="F770" s="151"/>
      <c r="G770" s="1"/>
      <c r="H770" s="1"/>
      <c r="I770" s="1"/>
      <c r="J770" s="1"/>
      <c r="K770" s="1"/>
      <c r="L770" s="1"/>
      <c r="M770" s="1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</row>
    <row r="771" spans="1:56" s="6" customFormat="1" x14ac:dyDescent="0.2">
      <c r="A771" s="1"/>
      <c r="B771" s="1"/>
      <c r="C771" s="1"/>
      <c r="D771" s="1"/>
      <c r="E771" s="1"/>
      <c r="F771" s="151"/>
      <c r="G771" s="1"/>
      <c r="H771" s="1"/>
      <c r="I771" s="1"/>
      <c r="J771" s="1"/>
      <c r="K771" s="1"/>
      <c r="L771" s="1"/>
      <c r="M771" s="1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</row>
    <row r="772" spans="1:56" s="6" customFormat="1" x14ac:dyDescent="0.2">
      <c r="A772" s="1"/>
      <c r="B772" s="1"/>
      <c r="C772" s="1"/>
      <c r="D772" s="1"/>
      <c r="E772" s="1"/>
      <c r="F772" s="151"/>
      <c r="G772" s="1"/>
      <c r="H772" s="1"/>
      <c r="I772" s="1"/>
      <c r="J772" s="1"/>
      <c r="K772" s="1"/>
      <c r="L772" s="1"/>
      <c r="M772" s="1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</row>
    <row r="773" spans="1:56" s="6" customFormat="1" x14ac:dyDescent="0.2">
      <c r="A773" s="1"/>
      <c r="B773" s="1"/>
      <c r="C773" s="1"/>
      <c r="D773" s="1"/>
      <c r="E773" s="1"/>
      <c r="F773" s="151"/>
      <c r="G773" s="1"/>
      <c r="H773" s="1"/>
      <c r="I773" s="1"/>
      <c r="J773" s="1"/>
      <c r="K773" s="1"/>
      <c r="L773" s="1"/>
      <c r="M773" s="1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</row>
    <row r="774" spans="1:56" s="6" customFormat="1" x14ac:dyDescent="0.2">
      <c r="A774" s="1"/>
      <c r="B774" s="1"/>
      <c r="C774" s="1"/>
      <c r="D774" s="1"/>
      <c r="E774" s="1"/>
      <c r="F774" s="151"/>
      <c r="G774" s="1"/>
      <c r="H774" s="1"/>
      <c r="I774" s="1"/>
      <c r="J774" s="1"/>
      <c r="K774" s="1"/>
      <c r="L774" s="1"/>
      <c r="M774" s="1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</row>
    <row r="775" spans="1:56" s="6" customFormat="1" x14ac:dyDescent="0.2">
      <c r="A775" s="1"/>
      <c r="B775" s="1"/>
      <c r="C775" s="1"/>
      <c r="D775" s="1"/>
      <c r="E775" s="1"/>
      <c r="F775" s="151"/>
      <c r="G775" s="1"/>
      <c r="H775" s="1"/>
      <c r="I775" s="1"/>
      <c r="J775" s="1"/>
      <c r="K775" s="1"/>
      <c r="L775" s="1"/>
      <c r="M775" s="1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</row>
    <row r="776" spans="1:56" s="6" customFormat="1" x14ac:dyDescent="0.2">
      <c r="A776" s="1"/>
      <c r="B776" s="1"/>
      <c r="C776" s="1"/>
      <c r="D776" s="1"/>
      <c r="E776" s="1"/>
      <c r="F776" s="151"/>
      <c r="G776" s="1"/>
      <c r="H776" s="1"/>
      <c r="I776" s="1"/>
      <c r="J776" s="1"/>
      <c r="K776" s="1"/>
      <c r="L776" s="1"/>
      <c r="M776" s="1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</row>
    <row r="777" spans="1:56" s="6" customFormat="1" x14ac:dyDescent="0.2">
      <c r="A777" s="1"/>
      <c r="B777" s="1"/>
      <c r="C777" s="1"/>
      <c r="D777" s="1"/>
      <c r="E777" s="1"/>
      <c r="F777" s="151"/>
      <c r="G777" s="1"/>
      <c r="H777" s="1"/>
      <c r="I777" s="1"/>
      <c r="J777" s="1"/>
      <c r="K777" s="1"/>
      <c r="L777" s="1"/>
      <c r="M777" s="1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</row>
    <row r="778" spans="1:56" s="6" customFormat="1" x14ac:dyDescent="0.2">
      <c r="A778" s="1"/>
      <c r="B778" s="1"/>
      <c r="C778" s="1"/>
      <c r="D778" s="1"/>
      <c r="E778" s="1"/>
      <c r="F778" s="151"/>
      <c r="G778" s="1"/>
      <c r="H778" s="1"/>
      <c r="I778" s="1"/>
      <c r="J778" s="1"/>
      <c r="K778" s="1"/>
      <c r="L778" s="1"/>
      <c r="M778" s="1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</row>
    <row r="779" spans="1:56" s="6" customFormat="1" x14ac:dyDescent="0.2">
      <c r="A779" s="1"/>
      <c r="B779" s="1"/>
      <c r="C779" s="1"/>
      <c r="D779" s="1"/>
      <c r="E779" s="1"/>
      <c r="F779" s="151"/>
      <c r="G779" s="1"/>
      <c r="H779" s="1"/>
      <c r="I779" s="1"/>
      <c r="J779" s="1"/>
      <c r="K779" s="1"/>
      <c r="L779" s="1"/>
      <c r="M779" s="1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</row>
    <row r="780" spans="1:56" s="6" customFormat="1" x14ac:dyDescent="0.2">
      <c r="A780" s="1"/>
      <c r="B780" s="1"/>
      <c r="C780" s="1"/>
      <c r="D780" s="1"/>
      <c r="E780" s="1"/>
      <c r="F780" s="151"/>
      <c r="G780" s="1"/>
      <c r="H780" s="1"/>
      <c r="I780" s="1"/>
      <c r="J780" s="1"/>
      <c r="K780" s="1"/>
      <c r="L780" s="1"/>
      <c r="M780" s="1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</row>
    <row r="781" spans="1:56" s="6" customFormat="1" x14ac:dyDescent="0.2">
      <c r="A781" s="1"/>
      <c r="B781" s="1"/>
      <c r="C781" s="1"/>
      <c r="D781" s="1"/>
      <c r="E781" s="1"/>
      <c r="F781" s="151"/>
      <c r="G781" s="1"/>
      <c r="H781" s="1"/>
      <c r="I781" s="1"/>
      <c r="J781" s="1"/>
      <c r="K781" s="1"/>
      <c r="L781" s="1"/>
      <c r="M781" s="1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</row>
    <row r="782" spans="1:56" s="6" customFormat="1" x14ac:dyDescent="0.2">
      <c r="A782" s="1"/>
      <c r="B782" s="1"/>
      <c r="C782" s="1"/>
      <c r="D782" s="1"/>
      <c r="E782" s="1"/>
      <c r="F782" s="151"/>
      <c r="G782" s="1"/>
      <c r="H782" s="1"/>
      <c r="I782" s="1"/>
      <c r="J782" s="1"/>
      <c r="K782" s="1"/>
      <c r="L782" s="1"/>
      <c r="M782" s="1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</row>
    <row r="783" spans="1:56" s="6" customFormat="1" x14ac:dyDescent="0.2">
      <c r="A783" s="1"/>
      <c r="B783" s="1"/>
      <c r="C783" s="1"/>
      <c r="D783" s="1"/>
      <c r="E783" s="1"/>
      <c r="F783" s="151"/>
      <c r="G783" s="1"/>
      <c r="H783" s="1"/>
      <c r="I783" s="1"/>
      <c r="J783" s="1"/>
      <c r="K783" s="1"/>
      <c r="L783" s="1"/>
      <c r="M783" s="1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</row>
    <row r="784" spans="1:56" s="6" customFormat="1" x14ac:dyDescent="0.2">
      <c r="A784" s="1"/>
      <c r="B784" s="1"/>
      <c r="C784" s="1"/>
      <c r="D784" s="1"/>
      <c r="E784" s="1"/>
      <c r="F784" s="151"/>
      <c r="G784" s="1"/>
      <c r="H784" s="1"/>
      <c r="I784" s="1"/>
      <c r="J784" s="1"/>
      <c r="K784" s="1"/>
      <c r="L784" s="1"/>
      <c r="M784" s="1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</row>
    <row r="785" spans="1:56" s="6" customFormat="1" x14ac:dyDescent="0.2">
      <c r="A785" s="1"/>
      <c r="B785" s="1"/>
      <c r="C785" s="1"/>
      <c r="D785" s="1"/>
      <c r="E785" s="1"/>
      <c r="F785" s="151"/>
      <c r="G785" s="1"/>
      <c r="H785" s="1"/>
      <c r="I785" s="1"/>
      <c r="J785" s="1"/>
      <c r="K785" s="1"/>
      <c r="L785" s="1"/>
      <c r="M785" s="1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</row>
    <row r="786" spans="1:56" s="6" customFormat="1" x14ac:dyDescent="0.2">
      <c r="A786" s="1"/>
      <c r="B786" s="1"/>
      <c r="C786" s="1"/>
      <c r="D786" s="1"/>
      <c r="E786" s="1"/>
      <c r="F786" s="151"/>
      <c r="G786" s="1"/>
      <c r="H786" s="1"/>
      <c r="I786" s="1"/>
      <c r="J786" s="1"/>
      <c r="K786" s="1"/>
      <c r="L786" s="1"/>
      <c r="M786" s="1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</row>
    <row r="787" spans="1:56" s="6" customFormat="1" x14ac:dyDescent="0.2">
      <c r="A787" s="1"/>
      <c r="B787" s="1"/>
      <c r="C787" s="1"/>
      <c r="D787" s="1"/>
      <c r="E787" s="1"/>
      <c r="F787" s="151"/>
      <c r="G787" s="1"/>
      <c r="H787" s="1"/>
      <c r="I787" s="1"/>
      <c r="J787" s="1"/>
      <c r="K787" s="1"/>
      <c r="L787" s="1"/>
      <c r="M787" s="1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</row>
    <row r="788" spans="1:56" s="6" customFormat="1" x14ac:dyDescent="0.2">
      <c r="A788" s="1"/>
      <c r="B788" s="1"/>
      <c r="C788" s="1"/>
      <c r="D788" s="1"/>
      <c r="E788" s="1"/>
      <c r="F788" s="151"/>
      <c r="G788" s="1"/>
      <c r="H788" s="1"/>
      <c r="I788" s="1"/>
      <c r="J788" s="1"/>
      <c r="K788" s="1"/>
      <c r="L788" s="1"/>
      <c r="M788" s="1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</row>
    <row r="789" spans="1:56" s="6" customFormat="1" x14ac:dyDescent="0.2">
      <c r="A789" s="1"/>
      <c r="B789" s="1"/>
      <c r="C789" s="1"/>
      <c r="D789" s="1"/>
      <c r="E789" s="1"/>
      <c r="F789" s="151"/>
      <c r="G789" s="1"/>
      <c r="H789" s="1"/>
      <c r="I789" s="1"/>
      <c r="J789" s="1"/>
      <c r="K789" s="1"/>
      <c r="L789" s="1"/>
      <c r="M789" s="1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</row>
    <row r="790" spans="1:56" s="6" customFormat="1" x14ac:dyDescent="0.2">
      <c r="A790" s="1"/>
      <c r="B790" s="1"/>
      <c r="C790" s="1"/>
      <c r="D790" s="1"/>
      <c r="E790" s="1"/>
      <c r="F790" s="151"/>
      <c r="G790" s="1"/>
      <c r="H790" s="1"/>
      <c r="I790" s="1"/>
      <c r="J790" s="1"/>
      <c r="K790" s="1"/>
      <c r="L790" s="1"/>
      <c r="M790" s="1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</row>
    <row r="791" spans="1:56" s="6" customFormat="1" x14ac:dyDescent="0.2">
      <c r="A791" s="1"/>
      <c r="B791" s="1"/>
      <c r="C791" s="1"/>
      <c r="D791" s="1"/>
      <c r="E791" s="1"/>
      <c r="F791" s="151"/>
      <c r="G791" s="1"/>
      <c r="H791" s="1"/>
      <c r="I791" s="1"/>
      <c r="J791" s="1"/>
      <c r="K791" s="1"/>
      <c r="L791" s="1"/>
      <c r="M791" s="1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</row>
    <row r="792" spans="1:56" s="6" customFormat="1" x14ac:dyDescent="0.2">
      <c r="A792" s="1"/>
      <c r="B792" s="1"/>
      <c r="C792" s="1"/>
      <c r="D792" s="1"/>
      <c r="E792" s="1"/>
      <c r="F792" s="151"/>
      <c r="G792" s="1"/>
      <c r="H792" s="1"/>
      <c r="I792" s="1"/>
      <c r="J792" s="1"/>
      <c r="K792" s="1"/>
      <c r="L792" s="1"/>
      <c r="M792" s="1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</row>
    <row r="793" spans="1:56" s="6" customFormat="1" x14ac:dyDescent="0.2">
      <c r="A793" s="1"/>
      <c r="B793" s="1"/>
      <c r="C793" s="1"/>
      <c r="D793" s="1"/>
      <c r="E793" s="1"/>
      <c r="F793" s="151"/>
      <c r="G793" s="1"/>
      <c r="H793" s="1"/>
      <c r="I793" s="1"/>
      <c r="J793" s="1"/>
      <c r="K793" s="1"/>
      <c r="L793" s="1"/>
      <c r="M793" s="1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</row>
    <row r="794" spans="1:56" s="6" customFormat="1" x14ac:dyDescent="0.2">
      <c r="A794" s="1"/>
      <c r="B794" s="1"/>
      <c r="C794" s="1"/>
      <c r="D794" s="1"/>
      <c r="E794" s="1"/>
      <c r="F794" s="151"/>
      <c r="G794" s="1"/>
      <c r="H794" s="1"/>
      <c r="I794" s="1"/>
      <c r="J794" s="1"/>
      <c r="K794" s="1"/>
      <c r="L794" s="1"/>
      <c r="M794" s="1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</row>
    <row r="795" spans="1:56" s="6" customFormat="1" x14ac:dyDescent="0.2">
      <c r="A795" s="1"/>
      <c r="B795" s="1"/>
      <c r="C795" s="1"/>
      <c r="D795" s="1"/>
      <c r="E795" s="1"/>
      <c r="F795" s="151"/>
      <c r="G795" s="1"/>
      <c r="H795" s="1"/>
      <c r="I795" s="1"/>
      <c r="J795" s="1"/>
      <c r="K795" s="1"/>
      <c r="L795" s="1"/>
      <c r="M795" s="1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</row>
    <row r="796" spans="1:56" s="6" customFormat="1" x14ac:dyDescent="0.2">
      <c r="A796" s="1"/>
      <c r="B796" s="1"/>
      <c r="C796" s="1"/>
      <c r="D796" s="1"/>
      <c r="E796" s="1"/>
      <c r="F796" s="151"/>
      <c r="G796" s="1"/>
      <c r="H796" s="1"/>
      <c r="I796" s="1"/>
      <c r="J796" s="1"/>
      <c r="K796" s="1"/>
      <c r="L796" s="1"/>
      <c r="M796" s="1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</row>
    <row r="797" spans="1:56" s="6" customFormat="1" x14ac:dyDescent="0.2">
      <c r="A797" s="1"/>
      <c r="B797" s="1"/>
      <c r="C797" s="1"/>
      <c r="D797" s="1"/>
      <c r="E797" s="1"/>
      <c r="F797" s="151"/>
      <c r="G797" s="1"/>
      <c r="H797" s="1"/>
      <c r="I797" s="1"/>
      <c r="J797" s="1"/>
      <c r="K797" s="1"/>
      <c r="L797" s="1"/>
      <c r="M797" s="1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</row>
    <row r="798" spans="1:56" s="6" customFormat="1" x14ac:dyDescent="0.2">
      <c r="A798" s="1"/>
      <c r="B798" s="1"/>
      <c r="C798" s="1"/>
      <c r="D798" s="1"/>
      <c r="E798" s="1"/>
      <c r="F798" s="151"/>
      <c r="G798" s="1"/>
      <c r="H798" s="1"/>
      <c r="I798" s="1"/>
      <c r="J798" s="1"/>
      <c r="K798" s="1"/>
      <c r="L798" s="1"/>
      <c r="M798" s="1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</row>
    <row r="799" spans="1:56" s="6" customFormat="1" x14ac:dyDescent="0.2">
      <c r="A799" s="1"/>
      <c r="B799" s="1"/>
      <c r="C799" s="1"/>
      <c r="D799" s="1"/>
      <c r="E799" s="1"/>
      <c r="F799" s="151"/>
      <c r="G799" s="1"/>
      <c r="H799" s="1"/>
      <c r="I799" s="1"/>
      <c r="J799" s="1"/>
      <c r="K799" s="1"/>
      <c r="L799" s="1"/>
      <c r="M799" s="1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</row>
    <row r="800" spans="1:56" s="6" customFormat="1" x14ac:dyDescent="0.2">
      <c r="A800" s="1"/>
      <c r="B800" s="1"/>
      <c r="C800" s="1"/>
      <c r="D800" s="1"/>
      <c r="E800" s="1"/>
      <c r="F800" s="151"/>
      <c r="G800" s="1"/>
      <c r="H800" s="1"/>
      <c r="I800" s="1"/>
      <c r="J800" s="1"/>
      <c r="K800" s="1"/>
      <c r="L800" s="1"/>
      <c r="M800" s="1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</row>
    <row r="801" spans="1:56" s="6" customFormat="1" x14ac:dyDescent="0.2">
      <c r="A801" s="1"/>
      <c r="B801" s="1"/>
      <c r="C801" s="1"/>
      <c r="D801" s="1"/>
      <c r="E801" s="1"/>
      <c r="F801" s="151"/>
      <c r="G801" s="1"/>
      <c r="H801" s="1"/>
      <c r="I801" s="1"/>
      <c r="J801" s="1"/>
      <c r="K801" s="1"/>
      <c r="L801" s="1"/>
      <c r="M801" s="1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</row>
    <row r="802" spans="1:56" s="6" customFormat="1" x14ac:dyDescent="0.2">
      <c r="A802" s="1"/>
      <c r="B802" s="1"/>
      <c r="C802" s="1"/>
      <c r="D802" s="1"/>
      <c r="E802" s="1"/>
      <c r="F802" s="151"/>
      <c r="G802" s="1"/>
      <c r="H802" s="1"/>
      <c r="I802" s="1"/>
      <c r="J802" s="1"/>
      <c r="K802" s="1"/>
      <c r="L802" s="1"/>
      <c r="M802" s="1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</row>
    <row r="803" spans="1:56" s="6" customFormat="1" x14ac:dyDescent="0.2">
      <c r="A803" s="1"/>
      <c r="B803" s="1"/>
      <c r="C803" s="1"/>
      <c r="D803" s="1"/>
      <c r="E803" s="1"/>
      <c r="F803" s="151"/>
      <c r="G803" s="1"/>
      <c r="H803" s="1"/>
      <c r="I803" s="1"/>
      <c r="J803" s="1"/>
      <c r="K803" s="1"/>
      <c r="L803" s="1"/>
      <c r="M803" s="1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</row>
    <row r="804" spans="1:56" s="6" customFormat="1" x14ac:dyDescent="0.2">
      <c r="A804" s="1"/>
      <c r="B804" s="1"/>
      <c r="C804" s="1"/>
      <c r="D804" s="1"/>
      <c r="E804" s="1"/>
      <c r="F804" s="151"/>
      <c r="G804" s="1"/>
      <c r="H804" s="1"/>
      <c r="I804" s="1"/>
      <c r="J804" s="1"/>
      <c r="K804" s="1"/>
      <c r="L804" s="1"/>
      <c r="M804" s="1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</row>
    <row r="805" spans="1:56" s="6" customFormat="1" x14ac:dyDescent="0.2">
      <c r="A805" s="1"/>
      <c r="B805" s="1"/>
      <c r="C805" s="1"/>
      <c r="D805" s="1"/>
      <c r="E805" s="1"/>
      <c r="F805" s="151"/>
      <c r="G805" s="1"/>
      <c r="H805" s="1"/>
      <c r="I805" s="1"/>
      <c r="J805" s="1"/>
      <c r="K805" s="1"/>
      <c r="L805" s="1"/>
      <c r="M805" s="1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</row>
    <row r="806" spans="1:56" s="6" customFormat="1" x14ac:dyDescent="0.2">
      <c r="A806" s="1"/>
      <c r="B806" s="1"/>
      <c r="C806" s="1"/>
      <c r="D806" s="1"/>
      <c r="E806" s="1"/>
      <c r="F806" s="151"/>
      <c r="G806" s="1"/>
      <c r="H806" s="1"/>
      <c r="I806" s="1"/>
      <c r="J806" s="1"/>
      <c r="K806" s="1"/>
      <c r="L806" s="1"/>
      <c r="M806" s="1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</row>
    <row r="807" spans="1:56" x14ac:dyDescent="0.2">
      <c r="M807" s="11"/>
    </row>
    <row r="1523" spans="56:56" x14ac:dyDescent="0.2">
      <c r="BD1523" s="1" t="s">
        <v>17</v>
      </c>
    </row>
  </sheetData>
  <mergeCells count="30">
    <mergeCell ref="D64:E64"/>
    <mergeCell ref="D65:E65"/>
    <mergeCell ref="D66:E66"/>
    <mergeCell ref="D148:E148"/>
    <mergeCell ref="A71:F72"/>
    <mergeCell ref="D67:E67"/>
    <mergeCell ref="D68:E68"/>
    <mergeCell ref="D69:E69"/>
    <mergeCell ref="D74:E74"/>
    <mergeCell ref="M54:N54"/>
    <mergeCell ref="M55:N55"/>
    <mergeCell ref="M56:N56"/>
    <mergeCell ref="M58:N58"/>
    <mergeCell ref="D63:E63"/>
    <mergeCell ref="Q3:R3"/>
    <mergeCell ref="Q4:R4"/>
    <mergeCell ref="J33:N33"/>
    <mergeCell ref="M57:N57"/>
    <mergeCell ref="A1:B2"/>
    <mergeCell ref="F2:J2"/>
    <mergeCell ref="N2:O2"/>
    <mergeCell ref="A3:B5"/>
    <mergeCell ref="F3:J3"/>
    <mergeCell ref="F5:G5"/>
    <mergeCell ref="N5:O5"/>
    <mergeCell ref="M3:O3"/>
    <mergeCell ref="F4:G4"/>
    <mergeCell ref="M4:O4"/>
    <mergeCell ref="A6:H6"/>
    <mergeCell ref="I6:O6"/>
  </mergeCells>
  <conditionalFormatting sqref="J79 G148 H93 M95 H109 M111 H119:H120 M121:M122">
    <cfRule type="cellIs" dxfId="33" priority="49" stopIfTrue="1" operator="equal">
      <formula>"&gt;"</formula>
    </cfRule>
  </conditionalFormatting>
  <conditionalFormatting sqref="J29">
    <cfRule type="cellIs" dxfId="32" priority="47" stopIfTrue="1" operator="equal">
      <formula>"[THE WALL DESIGN IS INADEQUATE.]"</formula>
    </cfRule>
  </conditionalFormatting>
  <conditionalFormatting sqref="K114 H108 M62 M67 L118:L119 H118:H119">
    <cfRule type="cellIs" dxfId="31" priority="45" stopIfTrue="1" operator="notEqual">
      <formula>"&gt;"</formula>
    </cfRule>
  </conditionalFormatting>
  <hyperlinks>
    <hyperlink ref="F159" r:id="rId1"/>
  </hyperlinks>
  <pageMargins left="0.63" right="0.35" top="0.5" bottom="0.17" header="0.17" footer="3.37"/>
  <pageSetup paperSize="9" scale="86" orientation="portrait" horizontalDpi="4294967292" verticalDpi="4294967292" r:id="rId2"/>
  <headerFooter alignWithMargins="0"/>
  <rowBreaks count="2" manualBreakCount="2">
    <brk id="37" max="14" man="1"/>
    <brk id="102" max="14" man="1"/>
  </rowBreaks>
  <drawing r:id="rId3"/>
  <legacyDrawing r:id="rId4"/>
  <oleObjects>
    <mc:AlternateContent xmlns:mc="http://schemas.openxmlformats.org/markup-compatibility/2006">
      <mc:Choice Requires="x14">
        <oleObject progId="Equation.DSMT4" shapeId="12299" r:id="rId5">
          <objectPr defaultSize="0" r:id="rId6">
            <anchor moveWithCells="1" sizeWithCells="1">
              <from>
                <xdr:col>9</xdr:col>
                <xdr:colOff>76200</xdr:colOff>
                <xdr:row>60</xdr:row>
                <xdr:rowOff>38100</xdr:rowOff>
              </from>
              <to>
                <xdr:col>11</xdr:col>
                <xdr:colOff>0</xdr:colOff>
                <xdr:row>62</xdr:row>
                <xdr:rowOff>104775</xdr:rowOff>
              </to>
            </anchor>
          </objectPr>
        </oleObject>
      </mc:Choice>
      <mc:Fallback>
        <oleObject progId="Equation.DSMT4" shapeId="12299" r:id="rId5"/>
      </mc:Fallback>
    </mc:AlternateContent>
    <mc:AlternateContent xmlns:mc="http://schemas.openxmlformats.org/markup-compatibility/2006">
      <mc:Choice Requires="x14">
        <oleObject progId="Equation.DSMT4" shapeId="12300" r:id="rId7">
          <objectPr defaultSize="0" r:id="rId8">
            <anchor moveWithCells="1" sizeWithCells="1">
              <from>
                <xdr:col>8</xdr:col>
                <xdr:colOff>228600</xdr:colOff>
                <xdr:row>73</xdr:row>
                <xdr:rowOff>9525</xdr:rowOff>
              </from>
              <to>
                <xdr:col>11</xdr:col>
                <xdr:colOff>28575</xdr:colOff>
                <xdr:row>75</xdr:row>
                <xdr:rowOff>85725</xdr:rowOff>
              </to>
            </anchor>
          </objectPr>
        </oleObject>
      </mc:Choice>
      <mc:Fallback>
        <oleObject progId="Equation.DSMT4" shapeId="12300" r:id="rId7"/>
      </mc:Fallback>
    </mc:AlternateContent>
    <mc:AlternateContent xmlns:mc="http://schemas.openxmlformats.org/markup-compatibility/2006">
      <mc:Choice Requires="x14">
        <oleObject progId="Equation.DSMT4" shapeId="12301" r:id="rId9">
          <objectPr defaultSize="0" autoPict="0" r:id="rId10">
            <anchor moveWithCells="1" sizeWithCells="1">
              <from>
                <xdr:col>0</xdr:col>
                <xdr:colOff>104775</xdr:colOff>
                <xdr:row>74</xdr:row>
                <xdr:rowOff>66675</xdr:rowOff>
              </from>
              <to>
                <xdr:col>5</xdr:col>
                <xdr:colOff>142875</xdr:colOff>
                <xdr:row>81</xdr:row>
                <xdr:rowOff>76200</xdr:rowOff>
              </to>
            </anchor>
          </objectPr>
        </oleObject>
      </mc:Choice>
      <mc:Fallback>
        <oleObject progId="Equation.DSMT4" shapeId="12301" r:id="rId9"/>
      </mc:Fallback>
    </mc:AlternateContent>
    <mc:AlternateContent xmlns:mc="http://schemas.openxmlformats.org/markup-compatibility/2006">
      <mc:Choice Requires="x14">
        <oleObject progId="Equation.DSMT4" shapeId="12302" r:id="rId11">
          <objectPr defaultSize="0" r:id="rId12">
            <anchor moveWithCells="1" sizeWithCells="1">
              <from>
                <xdr:col>0</xdr:col>
                <xdr:colOff>123825</xdr:colOff>
                <xdr:row>72</xdr:row>
                <xdr:rowOff>85725</xdr:rowOff>
              </from>
              <to>
                <xdr:col>2</xdr:col>
                <xdr:colOff>85725</xdr:colOff>
                <xdr:row>74</xdr:row>
                <xdr:rowOff>19050</xdr:rowOff>
              </to>
            </anchor>
          </objectPr>
        </oleObject>
      </mc:Choice>
      <mc:Fallback>
        <oleObject progId="Equation.DSMT4" shapeId="12302" r:id="rId11"/>
      </mc:Fallback>
    </mc:AlternateContent>
    <mc:AlternateContent xmlns:mc="http://schemas.openxmlformats.org/markup-compatibility/2006">
      <mc:Choice Requires="x14">
        <oleObject progId="Equation.DSMT4" shapeId="12329" r:id="rId13">
          <objectPr defaultSize="0" autoPict="0" r:id="rId14">
            <anchor moveWithCells="1" sizeWithCells="1">
              <from>
                <xdr:col>14</xdr:col>
                <xdr:colOff>95250</xdr:colOff>
                <xdr:row>124</xdr:row>
                <xdr:rowOff>19050</xdr:rowOff>
              </from>
              <to>
                <xdr:col>14</xdr:col>
                <xdr:colOff>95250</xdr:colOff>
                <xdr:row>124</xdr:row>
                <xdr:rowOff>19050</xdr:rowOff>
              </to>
            </anchor>
          </objectPr>
        </oleObject>
      </mc:Choice>
      <mc:Fallback>
        <oleObject progId="Equation.DSMT4" shapeId="12329" r:id="rId13"/>
      </mc:Fallback>
    </mc:AlternateContent>
    <mc:AlternateContent xmlns:mc="http://schemas.openxmlformats.org/markup-compatibility/2006">
      <mc:Choice Requires="x14">
        <oleObject progId="Equation.DSMT4" shapeId="12330" r:id="rId15">
          <objectPr defaultSize="0" autoPict="0" r:id="rId16">
            <anchor moveWithCells="1" sizeWithCells="1">
              <from>
                <xdr:col>12</xdr:col>
                <xdr:colOff>200025</xdr:colOff>
                <xdr:row>126</xdr:row>
                <xdr:rowOff>95250</xdr:rowOff>
              </from>
              <to>
                <xdr:col>12</xdr:col>
                <xdr:colOff>200025</xdr:colOff>
                <xdr:row>126</xdr:row>
                <xdr:rowOff>95250</xdr:rowOff>
              </to>
            </anchor>
          </objectPr>
        </oleObject>
      </mc:Choice>
      <mc:Fallback>
        <oleObject progId="Equation.DSMT4" shapeId="12330" r:id="rId1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B3:F22"/>
  <sheetViews>
    <sheetView topLeftCell="A4" workbookViewId="0">
      <selection activeCell="H6" sqref="H6"/>
    </sheetView>
  </sheetViews>
  <sheetFormatPr defaultColWidth="9" defaultRowHeight="15.75" x14ac:dyDescent="0.25"/>
  <cols>
    <col min="1" max="1" width="9" style="228"/>
    <col min="2" max="2" width="13.25" style="228" customWidth="1"/>
    <col min="3" max="3" width="35" style="228" customWidth="1"/>
    <col min="4" max="4" width="9" style="228"/>
    <col min="5" max="5" width="13.25" style="228" customWidth="1"/>
    <col min="6" max="6" width="34.625" style="228" customWidth="1"/>
    <col min="7" max="16384" width="9" style="228"/>
  </cols>
  <sheetData>
    <row r="3" spans="2:6" x14ac:dyDescent="0.25">
      <c r="B3" s="291" t="s">
        <v>180</v>
      </c>
      <c r="C3" s="291"/>
      <c r="E3" s="291" t="s">
        <v>179</v>
      </c>
      <c r="F3" s="291"/>
    </row>
    <row r="4" spans="2:6" x14ac:dyDescent="0.25">
      <c r="E4" s="225"/>
    </row>
    <row r="5" spans="2:6" x14ac:dyDescent="0.25">
      <c r="B5" s="226" t="s">
        <v>175</v>
      </c>
      <c r="C5" s="226" t="s">
        <v>178</v>
      </c>
      <c r="E5" s="226" t="s">
        <v>175</v>
      </c>
      <c r="F5" s="226" t="s">
        <v>178</v>
      </c>
    </row>
    <row r="6" spans="2:6" ht="297" customHeight="1" x14ac:dyDescent="0.25">
      <c r="B6" s="227" t="s">
        <v>176</v>
      </c>
      <c r="C6" s="230"/>
      <c r="E6" s="227" t="s">
        <v>176</v>
      </c>
      <c r="F6" s="230"/>
    </row>
    <row r="7" spans="2:6" ht="276" customHeight="1" x14ac:dyDescent="0.25">
      <c r="B7" s="227" t="s">
        <v>177</v>
      </c>
      <c r="C7" s="229"/>
      <c r="E7" s="227" t="s">
        <v>177</v>
      </c>
      <c r="F7" s="229"/>
    </row>
    <row r="8" spans="2:6" x14ac:dyDescent="0.25">
      <c r="B8" s="225"/>
    </row>
    <row r="9" spans="2:6" x14ac:dyDescent="0.25">
      <c r="B9" s="225"/>
    </row>
    <row r="10" spans="2:6" x14ac:dyDescent="0.25">
      <c r="B10" s="225"/>
    </row>
    <row r="11" spans="2:6" x14ac:dyDescent="0.25">
      <c r="B11" s="225"/>
    </row>
    <row r="12" spans="2:6" x14ac:dyDescent="0.25">
      <c r="B12" s="225"/>
    </row>
    <row r="13" spans="2:6" x14ac:dyDescent="0.25">
      <c r="B13" s="225"/>
    </row>
    <row r="14" spans="2:6" x14ac:dyDescent="0.25">
      <c r="B14" s="225"/>
    </row>
    <row r="15" spans="2:6" x14ac:dyDescent="0.25">
      <c r="B15" s="225"/>
    </row>
    <row r="16" spans="2:6" x14ac:dyDescent="0.25">
      <c r="B16" s="225"/>
    </row>
    <row r="17" spans="2:2" x14ac:dyDescent="0.25">
      <c r="B17" s="225"/>
    </row>
    <row r="18" spans="2:2" x14ac:dyDescent="0.25">
      <c r="B18" s="225"/>
    </row>
    <row r="19" spans="2:2" x14ac:dyDescent="0.25">
      <c r="B19" s="225"/>
    </row>
    <row r="20" spans="2:2" x14ac:dyDescent="0.25">
      <c r="B20" s="225"/>
    </row>
    <row r="21" spans="2:2" x14ac:dyDescent="0.25">
      <c r="B21" s="225"/>
    </row>
    <row r="22" spans="2:2" x14ac:dyDescent="0.25">
      <c r="B22" s="225"/>
    </row>
  </sheetData>
  <mergeCells count="2">
    <mergeCell ref="E3:F3"/>
    <mergeCell ref="B3:C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2"/>
  <sheetViews>
    <sheetView workbookViewId="0">
      <selection activeCell="S10" sqref="S10"/>
    </sheetView>
  </sheetViews>
  <sheetFormatPr defaultColWidth="9" defaultRowHeight="20.100000000000001" customHeight="1" x14ac:dyDescent="0.25"/>
  <cols>
    <col min="1" max="1" width="4.375" style="238" customWidth="1"/>
    <col min="2" max="2" width="4.25" style="238" customWidth="1"/>
    <col min="3" max="3" width="4.25" style="243" customWidth="1"/>
    <col min="4" max="4" width="3.75" style="243" customWidth="1"/>
    <col min="5" max="5" width="4.125" style="238" customWidth="1"/>
    <col min="6" max="6" width="7.875" style="238" customWidth="1"/>
    <col min="7" max="7" width="8" style="238" customWidth="1"/>
    <col min="8" max="8" width="7.625" style="238" customWidth="1"/>
    <col min="9" max="9" width="7.875" style="238" customWidth="1"/>
    <col min="10" max="10" width="7.75" style="238" customWidth="1"/>
    <col min="11" max="12" width="7.625" style="238" customWidth="1"/>
    <col min="13" max="13" width="7.5" style="238" customWidth="1"/>
    <col min="14" max="14" width="7.875" style="238" customWidth="1"/>
    <col min="15" max="16384" width="9" style="238"/>
  </cols>
  <sheetData>
    <row r="1" spans="1:14" ht="16.5" customHeight="1" x14ac:dyDescent="0.25">
      <c r="A1" s="293" t="s">
        <v>251</v>
      </c>
      <c r="B1" s="293"/>
      <c r="C1" s="293"/>
      <c r="D1" s="293"/>
      <c r="E1" s="293"/>
      <c r="F1" s="293"/>
      <c r="G1" s="293"/>
      <c r="H1" s="239"/>
      <c r="I1" s="239"/>
      <c r="J1" s="239"/>
      <c r="K1" s="239"/>
      <c r="L1" s="239"/>
      <c r="M1" s="239"/>
      <c r="N1" s="239"/>
    </row>
    <row r="2" spans="1:14" s="239" customFormat="1" ht="16.5" customHeight="1" x14ac:dyDescent="0.25">
      <c r="C2" s="243"/>
      <c r="D2" s="243"/>
    </row>
    <row r="3" spans="1:14" s="239" customFormat="1" ht="16.5" customHeight="1" x14ac:dyDescent="0.25">
      <c r="A3" s="239" t="s">
        <v>54</v>
      </c>
      <c r="B3" s="243" t="s">
        <v>252</v>
      </c>
      <c r="C3" s="243" t="s">
        <v>253</v>
      </c>
      <c r="D3" s="243" t="s">
        <v>254</v>
      </c>
      <c r="E3" s="239" t="s">
        <v>181</v>
      </c>
      <c r="F3" s="239" t="s">
        <v>182</v>
      </c>
      <c r="G3" s="239" t="s">
        <v>183</v>
      </c>
      <c r="H3" s="239" t="s">
        <v>184</v>
      </c>
      <c r="I3" s="239" t="s">
        <v>185</v>
      </c>
      <c r="J3" s="239" t="s">
        <v>186</v>
      </c>
      <c r="K3" s="239" t="s">
        <v>187</v>
      </c>
      <c r="L3" s="239" t="s">
        <v>188</v>
      </c>
      <c r="M3" s="239" t="s">
        <v>189</v>
      </c>
      <c r="N3" s="239" t="s">
        <v>190</v>
      </c>
    </row>
    <row r="4" spans="1:14" s="239" customFormat="1" ht="16.5" customHeight="1" x14ac:dyDescent="0.25">
      <c r="A4" s="239">
        <v>1000</v>
      </c>
      <c r="B4" s="239">
        <v>350</v>
      </c>
      <c r="C4" s="243">
        <v>100</v>
      </c>
      <c r="D4" s="243">
        <v>150</v>
      </c>
      <c r="E4" s="239">
        <v>150</v>
      </c>
      <c r="F4" s="239">
        <v>150</v>
      </c>
      <c r="G4" s="240" t="s">
        <v>191</v>
      </c>
      <c r="H4" s="240" t="s">
        <v>192</v>
      </c>
      <c r="I4" s="240" t="s">
        <v>191</v>
      </c>
      <c r="J4" s="240" t="s">
        <v>200</v>
      </c>
      <c r="K4" s="240" t="s">
        <v>201</v>
      </c>
      <c r="L4" s="240" t="s">
        <v>202</v>
      </c>
      <c r="M4" s="240" t="s">
        <v>196</v>
      </c>
      <c r="N4" s="240" t="s">
        <v>197</v>
      </c>
    </row>
    <row r="5" spans="1:14" s="239" customFormat="1" ht="16.5" customHeight="1" x14ac:dyDescent="0.25">
      <c r="A5" s="239">
        <f>A4+500</f>
        <v>1500</v>
      </c>
      <c r="B5" s="239">
        <v>550</v>
      </c>
      <c r="C5" s="243">
        <v>100</v>
      </c>
      <c r="D5" s="243">
        <v>150</v>
      </c>
      <c r="E5" s="239">
        <v>150</v>
      </c>
      <c r="F5" s="239">
        <v>150</v>
      </c>
      <c r="G5" s="240" t="s">
        <v>191</v>
      </c>
      <c r="H5" s="240" t="s">
        <v>192</v>
      </c>
      <c r="I5" s="240" t="s">
        <v>191</v>
      </c>
      <c r="J5" s="240" t="s">
        <v>200</v>
      </c>
      <c r="K5" s="240" t="s">
        <v>201</v>
      </c>
      <c r="L5" s="240" t="s">
        <v>202</v>
      </c>
      <c r="M5" s="240" t="s">
        <v>196</v>
      </c>
      <c r="N5" s="240" t="s">
        <v>197</v>
      </c>
    </row>
    <row r="6" spans="1:14" s="239" customFormat="1" ht="16.5" customHeight="1" x14ac:dyDescent="0.25">
      <c r="A6" s="239">
        <f t="shared" ref="A6:A14" si="0">A5+500</f>
        <v>2000</v>
      </c>
      <c r="B6" s="239">
        <v>700</v>
      </c>
      <c r="C6" s="243">
        <v>150</v>
      </c>
      <c r="D6" s="243">
        <v>200</v>
      </c>
      <c r="E6" s="239">
        <v>200</v>
      </c>
      <c r="F6" s="239">
        <v>200</v>
      </c>
      <c r="G6" s="240" t="s">
        <v>193</v>
      </c>
      <c r="H6" s="240" t="s">
        <v>203</v>
      </c>
      <c r="I6" s="240" t="s">
        <v>193</v>
      </c>
      <c r="J6" s="240" t="s">
        <v>194</v>
      </c>
      <c r="K6" s="240" t="s">
        <v>195</v>
      </c>
      <c r="L6" s="240" t="s">
        <v>199</v>
      </c>
      <c r="M6" s="240" t="s">
        <v>204</v>
      </c>
      <c r="N6" s="240" t="s">
        <v>205</v>
      </c>
    </row>
    <row r="7" spans="1:14" s="239" customFormat="1" ht="16.5" customHeight="1" x14ac:dyDescent="0.25">
      <c r="A7" s="239">
        <f t="shared" si="0"/>
        <v>2500</v>
      </c>
      <c r="B7" s="239">
        <v>800</v>
      </c>
      <c r="C7" s="243">
        <v>200</v>
      </c>
      <c r="D7" s="243">
        <v>250</v>
      </c>
      <c r="E7" s="239">
        <v>250</v>
      </c>
      <c r="F7" s="239">
        <v>250</v>
      </c>
      <c r="G7" s="240" t="s">
        <v>206</v>
      </c>
      <c r="H7" s="240" t="s">
        <v>197</v>
      </c>
      <c r="I7" s="240" t="s">
        <v>206</v>
      </c>
      <c r="J7" s="240" t="s">
        <v>208</v>
      </c>
      <c r="K7" s="240" t="s">
        <v>209</v>
      </c>
      <c r="L7" s="240" t="s">
        <v>255</v>
      </c>
      <c r="M7" s="240" t="s">
        <v>211</v>
      </c>
      <c r="N7" s="240" t="s">
        <v>212</v>
      </c>
    </row>
    <row r="8" spans="1:14" s="239" customFormat="1" ht="16.5" customHeight="1" x14ac:dyDescent="0.25">
      <c r="A8" s="239">
        <f t="shared" si="0"/>
        <v>3000</v>
      </c>
      <c r="B8" s="239">
        <v>950</v>
      </c>
      <c r="C8" s="243">
        <v>250</v>
      </c>
      <c r="D8" s="243">
        <v>300</v>
      </c>
      <c r="E8" s="239">
        <v>300</v>
      </c>
      <c r="F8" s="239">
        <v>300</v>
      </c>
      <c r="G8" s="240" t="s">
        <v>207</v>
      </c>
      <c r="H8" s="240" t="s">
        <v>201</v>
      </c>
      <c r="I8" s="240" t="s">
        <v>207</v>
      </c>
      <c r="J8" s="240" t="s">
        <v>213</v>
      </c>
      <c r="K8" s="240" t="s">
        <v>214</v>
      </c>
      <c r="L8" s="240" t="s">
        <v>256</v>
      </c>
      <c r="M8" s="240" t="s">
        <v>197</v>
      </c>
      <c r="N8" s="240" t="s">
        <v>209</v>
      </c>
    </row>
    <row r="9" spans="1:14" s="239" customFormat="1" ht="16.5" customHeight="1" x14ac:dyDescent="0.25">
      <c r="A9" s="239">
        <f t="shared" si="0"/>
        <v>3500</v>
      </c>
      <c r="B9" s="239">
        <v>1100</v>
      </c>
      <c r="C9" s="243">
        <v>350</v>
      </c>
      <c r="D9" s="243">
        <v>350</v>
      </c>
      <c r="E9" s="239">
        <v>350</v>
      </c>
      <c r="F9" s="239">
        <v>350</v>
      </c>
      <c r="G9" s="240" t="s">
        <v>257</v>
      </c>
      <c r="H9" s="240" t="s">
        <v>216</v>
      </c>
      <c r="I9" s="240" t="s">
        <v>257</v>
      </c>
      <c r="J9" s="240" t="s">
        <v>258</v>
      </c>
      <c r="K9" s="240" t="s">
        <v>247</v>
      </c>
      <c r="L9" s="240" t="s">
        <v>259</v>
      </c>
      <c r="M9" s="240" t="s">
        <v>221</v>
      </c>
      <c r="N9" s="240" t="s">
        <v>214</v>
      </c>
    </row>
    <row r="10" spans="1:14" s="239" customFormat="1" ht="16.5" customHeight="1" x14ac:dyDescent="0.25">
      <c r="A10" s="239">
        <f t="shared" si="0"/>
        <v>4000</v>
      </c>
      <c r="B10" s="239">
        <v>1400</v>
      </c>
      <c r="C10" s="243">
        <v>400</v>
      </c>
      <c r="D10" s="243">
        <v>300</v>
      </c>
      <c r="E10" s="239">
        <v>300</v>
      </c>
      <c r="F10" s="239">
        <v>300</v>
      </c>
      <c r="G10" s="240" t="s">
        <v>222</v>
      </c>
      <c r="H10" s="240" t="s">
        <v>201</v>
      </c>
      <c r="I10" s="240" t="s">
        <v>260</v>
      </c>
      <c r="J10" s="240" t="s">
        <v>213</v>
      </c>
      <c r="K10" s="240" t="s">
        <v>214</v>
      </c>
      <c r="L10" s="240" t="s">
        <v>261</v>
      </c>
      <c r="M10" s="240" t="s">
        <v>197</v>
      </c>
      <c r="N10" s="240" t="s">
        <v>262</v>
      </c>
    </row>
    <row r="11" spans="1:14" s="239" customFormat="1" ht="16.5" customHeight="1" x14ac:dyDescent="0.25">
      <c r="A11" s="239">
        <f t="shared" si="0"/>
        <v>4500</v>
      </c>
      <c r="B11" s="239">
        <v>1650</v>
      </c>
      <c r="C11" s="243">
        <v>500</v>
      </c>
      <c r="D11" s="243">
        <v>300</v>
      </c>
      <c r="E11" s="239">
        <v>300</v>
      </c>
      <c r="F11" s="239">
        <v>350</v>
      </c>
      <c r="G11" s="240" t="s">
        <v>238</v>
      </c>
      <c r="H11" s="240" t="s">
        <v>201</v>
      </c>
      <c r="I11" s="240" t="s">
        <v>238</v>
      </c>
      <c r="J11" s="240" t="s">
        <v>258</v>
      </c>
      <c r="K11" s="240" t="s">
        <v>247</v>
      </c>
      <c r="L11" s="240" t="s">
        <v>259</v>
      </c>
      <c r="M11" s="240" t="s">
        <v>197</v>
      </c>
      <c r="N11" s="240" t="s">
        <v>262</v>
      </c>
    </row>
    <row r="12" spans="1:14" s="239" customFormat="1" ht="16.5" customHeight="1" x14ac:dyDescent="0.25">
      <c r="A12" s="239">
        <f t="shared" si="0"/>
        <v>5000</v>
      </c>
      <c r="B12" s="239">
        <v>1750</v>
      </c>
      <c r="C12" s="243">
        <v>700</v>
      </c>
      <c r="D12" s="243">
        <v>350</v>
      </c>
      <c r="E12" s="239">
        <v>350</v>
      </c>
      <c r="F12" s="239">
        <v>400</v>
      </c>
      <c r="G12" s="240" t="s">
        <v>238</v>
      </c>
      <c r="H12" s="240" t="s">
        <v>216</v>
      </c>
      <c r="I12" s="240" t="s">
        <v>238</v>
      </c>
      <c r="J12" s="240" t="s">
        <v>257</v>
      </c>
      <c r="K12" s="240" t="s">
        <v>263</v>
      </c>
      <c r="L12" s="240" t="s">
        <v>264</v>
      </c>
      <c r="M12" s="240" t="s">
        <v>221</v>
      </c>
      <c r="N12" s="240" t="s">
        <v>214</v>
      </c>
    </row>
    <row r="13" spans="1:14" s="239" customFormat="1" ht="16.5" customHeight="1" x14ac:dyDescent="0.25">
      <c r="A13" s="239">
        <f t="shared" si="0"/>
        <v>5500</v>
      </c>
      <c r="B13" s="239">
        <v>1650</v>
      </c>
      <c r="C13" s="243">
        <v>950</v>
      </c>
      <c r="D13" s="243">
        <v>400</v>
      </c>
      <c r="E13" s="239">
        <v>400</v>
      </c>
      <c r="F13" s="239">
        <v>500</v>
      </c>
      <c r="G13" s="240" t="s">
        <v>223</v>
      </c>
      <c r="H13" s="240" t="s">
        <v>195</v>
      </c>
      <c r="I13" s="240" t="s">
        <v>238</v>
      </c>
      <c r="J13" s="240" t="s">
        <v>265</v>
      </c>
      <c r="K13" s="240" t="s">
        <v>213</v>
      </c>
      <c r="L13" s="240" t="s">
        <v>266</v>
      </c>
      <c r="M13" s="240" t="s">
        <v>205</v>
      </c>
      <c r="N13" s="240" t="s">
        <v>193</v>
      </c>
    </row>
    <row r="14" spans="1:14" s="239" customFormat="1" ht="16.5" customHeight="1" x14ac:dyDescent="0.25">
      <c r="A14" s="239">
        <f t="shared" si="0"/>
        <v>6000</v>
      </c>
      <c r="B14" s="239">
        <v>2000</v>
      </c>
      <c r="C14" s="243">
        <v>1100</v>
      </c>
      <c r="D14" s="243">
        <v>400</v>
      </c>
      <c r="E14" s="239">
        <v>400</v>
      </c>
      <c r="F14" s="239">
        <v>500</v>
      </c>
      <c r="G14" s="240" t="s">
        <v>267</v>
      </c>
      <c r="H14" s="240" t="s">
        <v>195</v>
      </c>
      <c r="I14" s="240" t="s">
        <v>217</v>
      </c>
      <c r="J14" s="240" t="s">
        <v>238</v>
      </c>
      <c r="K14" s="240" t="s">
        <v>213</v>
      </c>
      <c r="L14" s="240" t="s">
        <v>268</v>
      </c>
      <c r="M14" s="240" t="s">
        <v>205</v>
      </c>
      <c r="N14" s="240" t="s">
        <v>193</v>
      </c>
    </row>
    <row r="15" spans="1:14" s="239" customFormat="1" ht="16.5" customHeight="1" x14ac:dyDescent="0.25">
      <c r="C15" s="243"/>
      <c r="D15" s="243"/>
    </row>
    <row r="16" spans="1:14" ht="20.100000000000001" customHeight="1" x14ac:dyDescent="0.25">
      <c r="A16" s="293" t="s">
        <v>198</v>
      </c>
      <c r="B16" s="293"/>
      <c r="C16" s="293"/>
      <c r="D16" s="293"/>
      <c r="E16" s="293"/>
      <c r="F16" s="293"/>
      <c r="G16" s="293"/>
    </row>
    <row r="18" spans="1:13" ht="20.100000000000001" customHeight="1" x14ac:dyDescent="0.25">
      <c r="A18" s="238" t="s">
        <v>54</v>
      </c>
      <c r="B18" s="238" t="s">
        <v>110</v>
      </c>
      <c r="C18" s="243" t="s">
        <v>181</v>
      </c>
      <c r="D18" s="243" t="s">
        <v>254</v>
      </c>
      <c r="E18" s="238" t="s">
        <v>182</v>
      </c>
      <c r="F18" s="238" t="s">
        <v>183</v>
      </c>
      <c r="G18" s="238" t="s">
        <v>184</v>
      </c>
      <c r="H18" s="238" t="s">
        <v>185</v>
      </c>
      <c r="I18" s="238" t="s">
        <v>186</v>
      </c>
      <c r="J18" s="238" t="s">
        <v>187</v>
      </c>
      <c r="K18" s="238" t="s">
        <v>188</v>
      </c>
      <c r="L18" s="238" t="s">
        <v>189</v>
      </c>
      <c r="M18" s="238" t="s">
        <v>190</v>
      </c>
    </row>
    <row r="19" spans="1:13" ht="20.100000000000001" customHeight="1" x14ac:dyDescent="0.25">
      <c r="A19" s="238">
        <v>1000</v>
      </c>
      <c r="B19" s="238">
        <v>600</v>
      </c>
      <c r="C19" s="243">
        <v>150</v>
      </c>
      <c r="D19" s="238">
        <v>150</v>
      </c>
      <c r="E19" s="238">
        <v>150</v>
      </c>
      <c r="F19" s="240" t="s">
        <v>191</v>
      </c>
      <c r="G19" s="240" t="s">
        <v>192</v>
      </c>
      <c r="H19" s="240" t="s">
        <v>191</v>
      </c>
      <c r="I19" s="240" t="s">
        <v>200</v>
      </c>
      <c r="J19" s="240" t="s">
        <v>201</v>
      </c>
      <c r="K19" s="240" t="s">
        <v>202</v>
      </c>
      <c r="L19" s="240" t="s">
        <v>196</v>
      </c>
      <c r="M19" s="240" t="s">
        <v>197</v>
      </c>
    </row>
    <row r="20" spans="1:13" ht="20.100000000000001" customHeight="1" x14ac:dyDescent="0.25">
      <c r="A20" s="238">
        <f>A19+500</f>
        <v>1500</v>
      </c>
      <c r="B20" s="238">
        <v>800</v>
      </c>
      <c r="C20" s="243">
        <v>150</v>
      </c>
      <c r="D20" s="238">
        <v>150</v>
      </c>
      <c r="E20" s="238">
        <v>200</v>
      </c>
      <c r="F20" s="240" t="s">
        <v>191</v>
      </c>
      <c r="G20" s="240" t="s">
        <v>192</v>
      </c>
      <c r="H20" s="240" t="s">
        <v>193</v>
      </c>
      <c r="I20" s="240" t="s">
        <v>194</v>
      </c>
      <c r="J20" s="240" t="s">
        <v>195</v>
      </c>
      <c r="K20" s="240" t="s">
        <v>199</v>
      </c>
      <c r="L20" s="240" t="s">
        <v>196</v>
      </c>
      <c r="M20" s="240" t="s">
        <v>197</v>
      </c>
    </row>
    <row r="21" spans="1:13" ht="20.100000000000001" customHeight="1" x14ac:dyDescent="0.25">
      <c r="A21" s="238">
        <f t="shared" ref="A21:A29" si="1">A20+500</f>
        <v>2000</v>
      </c>
      <c r="B21" s="238">
        <v>1100</v>
      </c>
      <c r="C21" s="243">
        <v>200</v>
      </c>
      <c r="D21" s="238">
        <v>200</v>
      </c>
      <c r="E21" s="238">
        <v>200</v>
      </c>
      <c r="F21" s="240" t="s">
        <v>193</v>
      </c>
      <c r="G21" s="240" t="s">
        <v>203</v>
      </c>
      <c r="H21" s="240" t="s">
        <v>193</v>
      </c>
      <c r="I21" s="240" t="s">
        <v>194</v>
      </c>
      <c r="J21" s="240" t="s">
        <v>195</v>
      </c>
      <c r="K21" s="240" t="s">
        <v>199</v>
      </c>
      <c r="L21" s="240" t="s">
        <v>204</v>
      </c>
      <c r="M21" s="240" t="s">
        <v>205</v>
      </c>
    </row>
    <row r="22" spans="1:13" ht="20.100000000000001" customHeight="1" x14ac:dyDescent="0.25">
      <c r="A22" s="238">
        <f t="shared" si="1"/>
        <v>2500</v>
      </c>
      <c r="B22" s="238">
        <v>1500</v>
      </c>
      <c r="C22" s="243">
        <v>250</v>
      </c>
      <c r="D22" s="238">
        <v>250</v>
      </c>
      <c r="E22" s="238">
        <v>250</v>
      </c>
      <c r="F22" s="240" t="s">
        <v>206</v>
      </c>
      <c r="G22" s="240" t="s">
        <v>197</v>
      </c>
      <c r="H22" s="240" t="s">
        <v>207</v>
      </c>
      <c r="I22" s="240" t="s">
        <v>208</v>
      </c>
      <c r="J22" s="240" t="s">
        <v>209</v>
      </c>
      <c r="K22" s="240" t="s">
        <v>210</v>
      </c>
      <c r="L22" s="240" t="s">
        <v>211</v>
      </c>
      <c r="M22" s="240" t="s">
        <v>212</v>
      </c>
    </row>
    <row r="23" spans="1:13" ht="20.100000000000001" customHeight="1" x14ac:dyDescent="0.25">
      <c r="A23" s="238">
        <f t="shared" si="1"/>
        <v>3000</v>
      </c>
      <c r="B23" s="238">
        <v>1900</v>
      </c>
      <c r="C23" s="243">
        <v>300</v>
      </c>
      <c r="D23" s="238">
        <v>300</v>
      </c>
      <c r="E23" s="238">
        <v>300</v>
      </c>
      <c r="F23" s="240" t="s">
        <v>207</v>
      </c>
      <c r="G23" s="240" t="s">
        <v>201</v>
      </c>
      <c r="H23" s="240" t="s">
        <v>207</v>
      </c>
      <c r="I23" s="240" t="s">
        <v>213</v>
      </c>
      <c r="J23" s="240" t="s">
        <v>214</v>
      </c>
      <c r="K23" s="240" t="s">
        <v>210</v>
      </c>
      <c r="L23" s="240" t="s">
        <v>197</v>
      </c>
      <c r="M23" s="240" t="s">
        <v>209</v>
      </c>
    </row>
    <row r="24" spans="1:13" ht="20.100000000000001" customHeight="1" x14ac:dyDescent="0.25">
      <c r="A24" s="238">
        <f t="shared" si="1"/>
        <v>3500</v>
      </c>
      <c r="B24" s="238">
        <v>2400</v>
      </c>
      <c r="C24" s="243">
        <v>350</v>
      </c>
      <c r="D24" s="238">
        <v>350</v>
      </c>
      <c r="E24" s="238">
        <v>350</v>
      </c>
      <c r="F24" s="240" t="s">
        <v>215</v>
      </c>
      <c r="G24" s="240" t="s">
        <v>216</v>
      </c>
      <c r="H24" s="240" t="s">
        <v>217</v>
      </c>
      <c r="I24" s="240" t="s">
        <v>218</v>
      </c>
      <c r="J24" s="240" t="s">
        <v>219</v>
      </c>
      <c r="K24" s="240" t="s">
        <v>220</v>
      </c>
      <c r="L24" s="240" t="s">
        <v>221</v>
      </c>
      <c r="M24" s="240" t="s">
        <v>214</v>
      </c>
    </row>
    <row r="25" spans="1:13" ht="20.100000000000001" customHeight="1" x14ac:dyDescent="0.25">
      <c r="A25" s="238">
        <f t="shared" si="1"/>
        <v>4000</v>
      </c>
      <c r="B25" s="238">
        <v>3000</v>
      </c>
      <c r="C25" s="243">
        <v>300</v>
      </c>
      <c r="D25" s="238">
        <v>400</v>
      </c>
      <c r="E25" s="238">
        <v>600</v>
      </c>
      <c r="F25" s="240" t="s">
        <v>222</v>
      </c>
      <c r="G25" s="240" t="s">
        <v>195</v>
      </c>
      <c r="H25" s="240" t="s">
        <v>223</v>
      </c>
      <c r="I25" s="240" t="s">
        <v>223</v>
      </c>
      <c r="J25" s="240" t="s">
        <v>224</v>
      </c>
      <c r="K25" s="240" t="s">
        <v>225</v>
      </c>
      <c r="L25" s="240" t="s">
        <v>205</v>
      </c>
      <c r="M25" s="240" t="s">
        <v>226</v>
      </c>
    </row>
    <row r="26" spans="1:13" ht="20.100000000000001" customHeight="1" x14ac:dyDescent="0.25">
      <c r="A26" s="238">
        <f t="shared" si="1"/>
        <v>4500</v>
      </c>
      <c r="B26" s="238">
        <v>4000</v>
      </c>
      <c r="C26" s="243">
        <v>300</v>
      </c>
      <c r="D26" s="238">
        <v>450</v>
      </c>
      <c r="E26" s="238">
        <v>700</v>
      </c>
      <c r="F26" s="240" t="s">
        <v>227</v>
      </c>
      <c r="G26" s="240" t="s">
        <v>228</v>
      </c>
      <c r="H26" s="240" t="s">
        <v>229</v>
      </c>
      <c r="I26" s="240" t="s">
        <v>230</v>
      </c>
      <c r="J26" s="240" t="s">
        <v>231</v>
      </c>
      <c r="K26" s="240" t="s">
        <v>232</v>
      </c>
      <c r="L26" s="240" t="s">
        <v>233</v>
      </c>
      <c r="M26" s="240" t="s">
        <v>234</v>
      </c>
    </row>
    <row r="27" spans="1:13" ht="20.100000000000001" customHeight="1" x14ac:dyDescent="0.25">
      <c r="A27" s="238">
        <f t="shared" si="1"/>
        <v>5000</v>
      </c>
      <c r="B27" s="238">
        <v>5000</v>
      </c>
      <c r="C27" s="243">
        <v>350</v>
      </c>
      <c r="D27" s="238">
        <v>500</v>
      </c>
      <c r="E27" s="238">
        <v>1000</v>
      </c>
      <c r="F27" s="240" t="s">
        <v>238</v>
      </c>
      <c r="G27" s="240" t="s">
        <v>209</v>
      </c>
      <c r="H27" s="240" t="s">
        <v>235</v>
      </c>
      <c r="I27" s="240" t="s">
        <v>239</v>
      </c>
      <c r="J27" s="240" t="s">
        <v>240</v>
      </c>
      <c r="K27" s="240" t="s">
        <v>236</v>
      </c>
      <c r="L27" s="240" t="s">
        <v>212</v>
      </c>
      <c r="M27" s="240" t="s">
        <v>237</v>
      </c>
    </row>
    <row r="28" spans="1:13" ht="20.100000000000001" customHeight="1" x14ac:dyDescent="0.25">
      <c r="A28" s="238">
        <f t="shared" si="1"/>
        <v>5500</v>
      </c>
      <c r="B28" s="238">
        <v>6600</v>
      </c>
      <c r="C28" s="243">
        <v>400</v>
      </c>
      <c r="D28" s="238">
        <v>600</v>
      </c>
      <c r="E28" s="238">
        <v>1300</v>
      </c>
      <c r="F28" s="240" t="s">
        <v>223</v>
      </c>
      <c r="G28" s="240" t="s">
        <v>214</v>
      </c>
      <c r="H28" s="240" t="s">
        <v>241</v>
      </c>
      <c r="I28" s="240" t="s">
        <v>243</v>
      </c>
      <c r="J28" s="240" t="s">
        <v>244</v>
      </c>
      <c r="K28" s="240" t="s">
        <v>245</v>
      </c>
      <c r="L28" s="240" t="s">
        <v>209</v>
      </c>
      <c r="M28" s="240" t="s">
        <v>213</v>
      </c>
    </row>
    <row r="29" spans="1:13" ht="20.100000000000001" customHeight="1" x14ac:dyDescent="0.25">
      <c r="A29" s="238">
        <f t="shared" si="1"/>
        <v>6000</v>
      </c>
      <c r="B29" s="238">
        <v>6700</v>
      </c>
      <c r="C29" s="243">
        <v>400</v>
      </c>
      <c r="D29" s="238">
        <v>600</v>
      </c>
      <c r="E29" s="238">
        <v>1500</v>
      </c>
      <c r="F29" s="240" t="s">
        <v>246</v>
      </c>
      <c r="G29" s="240" t="s">
        <v>247</v>
      </c>
      <c r="H29" s="240" t="s">
        <v>248</v>
      </c>
      <c r="I29" s="240" t="s">
        <v>242</v>
      </c>
      <c r="J29" s="240" t="s">
        <v>246</v>
      </c>
      <c r="K29" s="240" t="s">
        <v>249</v>
      </c>
      <c r="L29" s="240" t="s">
        <v>214</v>
      </c>
      <c r="M29" s="240" t="s">
        <v>250</v>
      </c>
    </row>
    <row r="32" spans="1:13" ht="20.100000000000001" customHeight="1" x14ac:dyDescent="0.25">
      <c r="A32" s="292"/>
      <c r="B32" s="292"/>
      <c r="C32" s="292"/>
      <c r="D32" s="292"/>
      <c r="E32" s="292"/>
      <c r="F32" s="292"/>
    </row>
  </sheetData>
  <mergeCells count="3">
    <mergeCell ref="A32:F32"/>
    <mergeCell ref="A1:G1"/>
    <mergeCell ref="A16:G16"/>
  </mergeCells>
  <pageMargins left="0.83" right="0.16" top="0.51" bottom="0.41" header="0.31496062992125984" footer="0.31496062992125984"/>
  <pageSetup paperSize="9" orientation="landscape" verticalDpi="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RETAINING WALL</vt:lpstr>
      <vt:lpstr>WALL TYPE</vt:lpstr>
      <vt:lpstr>TYPICAL RETAINING WALL</vt:lpstr>
      <vt:lpstr>'RETAINING WALL'!Print_Area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KUNAKORN</cp:lastModifiedBy>
  <cp:lastPrinted>2011-06-14T05:25:12Z</cp:lastPrinted>
  <dcterms:created xsi:type="dcterms:W3CDTF">2000-01-25T00:53:19Z</dcterms:created>
  <dcterms:modified xsi:type="dcterms:W3CDTF">2018-02-17T21:46:32Z</dcterms:modified>
</cp:coreProperties>
</file>