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Footing Data" sheetId="1" r:id="rId1"/>
    <sheet name="2P" sheetId="2" r:id="rId2"/>
    <sheet name="3P" sheetId="3" r:id="rId3"/>
    <sheet name="4P" sheetId="4" r:id="rId4"/>
    <sheet name="5P" sheetId="5" r:id="rId5"/>
  </sheets>
  <definedNames>
    <definedName name="_xlnm.Print_Titles" localSheetId="1">'2P'!$1:$2</definedName>
    <definedName name="_xlnm.Print_Titles" localSheetId="2">'3P'!$1:$2</definedName>
    <definedName name="_xlnm.Print_Titles" localSheetId="3">'4P'!$1:$2</definedName>
  </definedNames>
  <calcPr fullCalcOnLoad="1"/>
</workbook>
</file>

<file path=xl/sharedStrings.xml><?xml version="1.0" encoding="utf-8"?>
<sst xmlns="http://schemas.openxmlformats.org/spreadsheetml/2006/main" count="471" uniqueCount="150">
  <si>
    <t>หน้าตัดเสา / กำแพง</t>
  </si>
  <si>
    <t>m</t>
  </si>
  <si>
    <t>คุณสมบัติของวัสดุ</t>
  </si>
  <si>
    <t>ksc</t>
  </si>
  <si>
    <t>Steel</t>
  </si>
  <si>
    <t>RB</t>
  </si>
  <si>
    <t>mm</t>
  </si>
  <si>
    <t xml:space="preserve">P   :   </t>
  </si>
  <si>
    <t xml:space="preserve">b   :   </t>
  </si>
  <si>
    <t xml:space="preserve">fc'   :   </t>
  </si>
  <si>
    <t xml:space="preserve">Type   :   </t>
  </si>
  <si>
    <t xml:space="preserve">Size   :   </t>
  </si>
  <si>
    <t>DB</t>
  </si>
  <si>
    <t>m  ( กรณีกำแพง = 1.00 m )</t>
  </si>
  <si>
    <t xml:space="preserve">a   :   </t>
  </si>
  <si>
    <t>=</t>
  </si>
  <si>
    <t>คุณสมบัติของวัสดุในการออกแบบ</t>
  </si>
  <si>
    <t>โมเมนต์ดัด</t>
  </si>
  <si>
    <t>cm</t>
  </si>
  <si>
    <t>หาปริมาณเหล็กเสริม</t>
  </si>
  <si>
    <t>เหล็กเสริมที่เลือกใช้คือ</t>
  </si>
  <si>
    <t>มีค่าหน่วยแรงยึดเหนี่ยวที่ยอมให้       u       =</t>
  </si>
  <si>
    <t>sq.cm</t>
  </si>
  <si>
    <t>หาจำนวนเหล็กเสริมจากค่า                                 และ</t>
  </si>
  <si>
    <t>ท่อน</t>
  </si>
  <si>
    <t>สรุปใช้เหล็กเสริม   :</t>
  </si>
  <si>
    <t>พิจารณาระยะเรียงของเหล็กเสริมตามข้อกำหนด</t>
  </si>
  <si>
    <t>ช่องว่างระหว่างผิวเหล็ก</t>
  </si>
  <si>
    <t>ระยะห่างระหว่างเหล็กเสริม  s</t>
  </si>
  <si>
    <t>ออกแบบฐานราก</t>
  </si>
  <si>
    <t>DATE   :</t>
  </si>
  <si>
    <t>PLAN</t>
  </si>
  <si>
    <t>SECTION</t>
  </si>
  <si>
    <t>F1</t>
  </si>
  <si>
    <t>1 - RB 9 mm  รัดรอบ</t>
  </si>
  <si>
    <t>ข้อมูลออกแบบฐานเสาเข็ม</t>
  </si>
  <si>
    <t>เสาเข็มที่ใช้ออกแบบ</t>
  </si>
  <si>
    <t xml:space="preserve">Length   :   </t>
  </si>
  <si>
    <t>น้ำหนักจากเสาตามแนวแกน</t>
  </si>
  <si>
    <t>เสาเข็ม</t>
  </si>
  <si>
    <t>Tons</t>
  </si>
  <si>
    <t>ฐานราก</t>
  </si>
  <si>
    <t>จำนวนเสาเข็ม</t>
  </si>
  <si>
    <t># 4 - DB 19 mm สามชั้นแผ่เป็นรูปพัด</t>
  </si>
  <si>
    <t>เสาเข็ม ค.ส.ล.  3 -      0.35 x 0.35 x 21.00 m</t>
  </si>
  <si>
    <t>Tons.m</t>
  </si>
  <si>
    <t>n  =</t>
  </si>
  <si>
    <t>k  =</t>
  </si>
  <si>
    <t>j  =</t>
  </si>
  <si>
    <t>R  =</t>
  </si>
  <si>
    <t>H =</t>
  </si>
  <si>
    <t>ความลึกประสิทธิผล</t>
  </si>
  <si>
    <t>fc'  =</t>
  </si>
  <si>
    <t>fs  =</t>
  </si>
  <si>
    <t>จากรูป :</t>
  </si>
  <si>
    <t>หน่วยแรงเฉือนที่ยอมให้</t>
  </si>
  <si>
    <t>กำหนดความหนาของฐานราก</t>
  </si>
  <si>
    <t>ดังนั้น        Actual  d</t>
  </si>
  <si>
    <t>หน่วยแรงเฉือนที่เกิดจริง</t>
  </si>
  <si>
    <t>ระยะจากหัวเข็มถึงขอบเสา</t>
  </si>
  <si>
    <t>ความกว้างฐานรากที่ขอบเสา</t>
  </si>
  <si>
    <t xml:space="preserve">รับน้ำหนักปลอดภัย   :   </t>
  </si>
  <si>
    <t>คอนกรีตฐานราก :</t>
  </si>
  <si>
    <t>และ    fc  =</t>
  </si>
  <si>
    <t>คอนกรีตเสาเข็ม :</t>
  </si>
  <si>
    <t>ค่า  n,  k,  j  และ  R  ในการออกแบบ</t>
  </si>
  <si>
    <t>P   =</t>
  </si>
  <si>
    <t>หาจำนวนเสาเข็ม</t>
  </si>
  <si>
    <t>P'  =</t>
  </si>
  <si>
    <t>ต้น</t>
  </si>
  <si>
    <t>น้ำหนักที่เสาเข็มแต่ละต้นรับ</t>
  </si>
  <si>
    <t xml:space="preserve"> =</t>
  </si>
  <si>
    <t>น้ำหนักปลอดภัยของเสาเข็ม</t>
  </si>
  <si>
    <t>พิจารณา Effective Depth ( d )</t>
  </si>
  <si>
    <t>แรงเฉือนที่ขอบเสา</t>
  </si>
  <si>
    <t>V   =</t>
  </si>
  <si>
    <t>B   =</t>
  </si>
  <si>
    <t>ตรวจสอบแรงเฉือน</t>
  </si>
  <si>
    <t>แรงเฉือนที่หน้าตัดวิกฤติ</t>
  </si>
  <si>
    <t>V = P'/30(x+15)  =</t>
  </si>
  <si>
    <t>หัวเสาเข็มห่างจากหน้าตัดวิกฤติ</t>
  </si>
  <si>
    <t>x   =</t>
  </si>
  <si>
    <t>ความกว้างฐานรากที่หน้าตัดวิกฤติ</t>
  </si>
  <si>
    <t>v  =  V / Bd   =</t>
  </si>
  <si>
    <t>จำนวนเข็ม</t>
  </si>
  <si>
    <t>ความหนาฐานรากต่ำสุด</t>
  </si>
  <si>
    <t>t   =</t>
  </si>
  <si>
    <t>กรณีแรงเฉือนแบบคาน</t>
  </si>
  <si>
    <t>หน้าตัดวิกฤติห่างจากขอบเสา</t>
  </si>
  <si>
    <t>กรณีแรงเฉือนแบบเจาะทะลุ</t>
  </si>
  <si>
    <t>โครงการ</t>
  </si>
  <si>
    <t>S</t>
  </si>
  <si>
    <t>สรุปใช้เหล็กเสริมทางยาว   :</t>
  </si>
  <si>
    <t>สรุปใช้เหล็กเสริมทางสั้น   :</t>
  </si>
  <si>
    <t>มีหน่วยแรงยึดเหนี่ยว       u       =</t>
  </si>
  <si>
    <t xml:space="preserve">M   :   </t>
  </si>
  <si>
    <t>T</t>
  </si>
  <si>
    <t>น้ำหนักปลอดภัยของเสาเข็ม      =</t>
  </si>
  <si>
    <t>จำนวนเสาเข็ม     =</t>
  </si>
  <si>
    <t>น้ำหนัก / ต้น     =</t>
  </si>
  <si>
    <r>
      <t>S</t>
    </r>
    <r>
      <rPr>
        <sz val="14"/>
        <rFont val="CordiaUPC"/>
        <family val="2"/>
      </rPr>
      <t>F</t>
    </r>
    <r>
      <rPr>
        <vertAlign val="subscript"/>
        <sz val="14"/>
        <rFont val="CordiaUPC"/>
        <family val="2"/>
      </rPr>
      <t>y</t>
    </r>
    <r>
      <rPr>
        <sz val="14"/>
        <rFont val="CordiaUPC"/>
        <family val="2"/>
      </rPr>
      <t xml:space="preserve">  =  0</t>
    </r>
  </si>
  <si>
    <r>
      <t>S</t>
    </r>
    <r>
      <rPr>
        <sz val="14"/>
        <rFont val="CordiaUPC"/>
        <family val="2"/>
      </rPr>
      <t>M</t>
    </r>
    <r>
      <rPr>
        <vertAlign val="subscript"/>
        <sz val="14"/>
        <rFont val="CordiaUPC"/>
        <family val="2"/>
      </rPr>
      <t>H</t>
    </r>
    <r>
      <rPr>
        <sz val="14"/>
        <rFont val="CordiaUPC"/>
        <family val="2"/>
      </rPr>
      <t xml:space="preserve">  =  0</t>
    </r>
  </si>
  <si>
    <t>H.</t>
  </si>
  <si>
    <t>2P1</t>
  </si>
  <si>
    <t>2P2</t>
  </si>
  <si>
    <t>P2 + P1   =</t>
  </si>
  <si>
    <t>P2  - P1   =</t>
  </si>
  <si>
    <t>( 1 ) + ( 2 )</t>
  </si>
  <si>
    <t>( 1 ) -  ( 2 )</t>
  </si>
  <si>
    <t>P1</t>
  </si>
  <si>
    <t>P2</t>
  </si>
  <si>
    <t>กรณีแรงเฉือน</t>
  </si>
  <si>
    <t>แบบคาน</t>
  </si>
  <si>
    <t>แบบเจาะทะลุ</t>
  </si>
  <si>
    <t>หน่วยแรงเฉือนที่ยอมให้  (ksc)</t>
  </si>
  <si>
    <t>หน้าตัดวิกฤติห่างจากขอบเสา  (m)</t>
  </si>
  <si>
    <t>หน่วยแรงเฉือนที่เกิดจริง  (ksc)</t>
  </si>
  <si>
    <t>หัวเสาเข็มห่างจากหน้าตัดวิกฤติ  (cm)</t>
  </si>
  <si>
    <t>แรงดันเสาเข็ม  P1'  (T)</t>
  </si>
  <si>
    <t>แรงดันเสาเข็ม  P2'  (T)</t>
  </si>
  <si>
    <t>แรงเฉือนที่หน้าตัดวิกฤติ  V  (T)</t>
  </si>
  <si>
    <t>ความยาวหน้าตัดวิกฤติ  (m)</t>
  </si>
  <si>
    <t>ออกแบบฐานราก  :</t>
  </si>
  <si>
    <t>2P3</t>
  </si>
  <si>
    <t>P3</t>
  </si>
  <si>
    <t>O.</t>
  </si>
  <si>
    <t>A.</t>
  </si>
  <si>
    <t>B.</t>
  </si>
  <si>
    <r>
      <t>S</t>
    </r>
    <r>
      <rPr>
        <sz val="14"/>
        <rFont val="CordiaUPC"/>
        <family val="2"/>
      </rPr>
      <t>F</t>
    </r>
    <r>
      <rPr>
        <vertAlign val="subscript"/>
        <sz val="14"/>
        <rFont val="CordiaUPC"/>
        <family val="2"/>
      </rPr>
      <t>y</t>
    </r>
    <r>
      <rPr>
        <sz val="14"/>
        <rFont val="CordiaUPC"/>
        <family val="2"/>
      </rPr>
      <t xml:space="preserve">  =  0 ;</t>
    </r>
  </si>
  <si>
    <r>
      <t>S</t>
    </r>
    <r>
      <rPr>
        <sz val="14"/>
        <rFont val="CordiaUPC"/>
        <family val="2"/>
      </rPr>
      <t>M</t>
    </r>
    <r>
      <rPr>
        <vertAlign val="subscript"/>
        <sz val="14"/>
        <rFont val="CordiaUPC"/>
        <family val="2"/>
      </rPr>
      <t>O</t>
    </r>
    <r>
      <rPr>
        <sz val="14"/>
        <rFont val="CordiaUPC"/>
        <family val="2"/>
      </rPr>
      <t xml:space="preserve">  =  0 ;</t>
    </r>
  </si>
  <si>
    <t>น้ำหนักปลอดภัยเสาเข็ม      =</t>
  </si>
  <si>
    <t>P3  - P1   =</t>
  </si>
  <si>
    <t>P2 + 2(P1 + P3)  =</t>
  </si>
  <si>
    <t xml:space="preserve">m        t    :   </t>
  </si>
  <si>
    <t>ระยะห่างระหว่างเสาเข็ม</t>
  </si>
  <si>
    <t>ขอบฐานราก - กึ่งกลางเข็ม</t>
  </si>
  <si>
    <t>ดังนั้น        Actual  d   =</t>
  </si>
  <si>
    <t>น้ำหนักจากเสาตามแนวแกน   =</t>
  </si>
  <si>
    <t>โมเมนต์ดัด   =</t>
  </si>
  <si>
    <t>T.m</t>
  </si>
  <si>
    <t>a + d  =</t>
  </si>
  <si>
    <t>เหล็กเสริมกันร้าวด้านสั้น  =</t>
  </si>
  <si>
    <t>ระยะ   s  =</t>
  </si>
  <si>
    <t>0.25%  ของหน้าตัดตามยาว    =</t>
  </si>
  <si>
    <t>v คาน</t>
  </si>
  <si>
    <t>v ทะลุ</t>
  </si>
  <si>
    <t>ปรับปรุงอปรับปรุงอาคารฟอก-นึ่งกลาง ร.พ.หางดงเชียงใหม่</t>
  </si>
  <si>
    <r>
      <t xml:space="preserve">วิศวกรผู้ออกแบบ  :  </t>
    </r>
    <r>
      <rPr>
        <sz val="14"/>
        <color indexed="9"/>
        <rFont val="CordiaUPC"/>
        <family val="2"/>
      </rPr>
      <t>พ.อ.ปิยะบุตร  ศรีสารากร</t>
    </r>
  </si>
  <si>
    <r>
      <t xml:space="preserve">วิศวกรผู้ออกแบบ  : </t>
    </r>
    <r>
      <rPr>
        <sz val="14"/>
        <color indexed="9"/>
        <rFont val="CordiaUPC"/>
        <family val="2"/>
      </rPr>
      <t xml:space="preserve"> พ.อ.ปิยะบุตร  ศรีสารากร</t>
    </r>
  </si>
  <si>
    <r>
      <t xml:space="preserve">วิศวกรผู้ออกแบบ   : </t>
    </r>
    <r>
      <rPr>
        <sz val="14"/>
        <color indexed="9"/>
        <rFont val="CordiaUPC"/>
        <family val="2"/>
      </rPr>
      <t xml:space="preserve">  พ.อ.ปิยะบุตร  ศรีสารากร</t>
    </r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</si>
</sst>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"/>
    <numFmt numFmtId="200" formatCode="[$-41E]d\ mmmm\ yyyy"/>
    <numFmt numFmtId="201" formatCode="[$-1070409]d/mm/yyyy\ h:mm\ AM/PM;@"/>
    <numFmt numFmtId="202" formatCode="[$-1010409]d/m/yyyy\ h:mm\ AM/PM;@"/>
    <numFmt numFmtId="203" formatCode="0.000"/>
    <numFmt numFmtId="204" formatCode="_-* #,##0.000_-;\-* #,##0.000_-;_-* &quot;-&quot;??_-;_-@_-"/>
    <numFmt numFmtId="205" formatCode="_-* #,##0.000_-;\-* #,##0.000_-;_-* &quot;-&quot;???_-;_-@_-"/>
    <numFmt numFmtId="206" formatCode="\(0\)"/>
    <numFmt numFmtId="207" formatCode="\(\ 0\ \)"/>
    <numFmt numFmtId="208" formatCode="0.00_ ;[Red]\-0.00\ "/>
    <numFmt numFmtId="209" formatCode="0.000_ ;[Red]\-0.000\ "/>
  </numFmts>
  <fonts count="61">
    <font>
      <sz val="10"/>
      <name val="Arial"/>
      <family val="0"/>
    </font>
    <font>
      <sz val="14"/>
      <name val="CordiaUPC"/>
      <family val="2"/>
    </font>
    <font>
      <sz val="8"/>
      <name val="Arial"/>
      <family val="0"/>
    </font>
    <font>
      <sz val="20"/>
      <name val="CordiaUPC"/>
      <family val="2"/>
    </font>
    <font>
      <sz val="8"/>
      <name val="CordiaUPC"/>
      <family val="2"/>
    </font>
    <font>
      <sz val="8"/>
      <color indexed="22"/>
      <name val="CordiaUPC"/>
      <family val="2"/>
    </font>
    <font>
      <sz val="12"/>
      <name val="CordiaUPC"/>
      <family val="2"/>
    </font>
    <font>
      <sz val="14"/>
      <color indexed="9"/>
      <name val="CordiaUPC"/>
      <family val="2"/>
    </font>
    <font>
      <b/>
      <i/>
      <sz val="14"/>
      <name val="CordiaUPC"/>
      <family val="2"/>
    </font>
    <font>
      <i/>
      <sz val="14"/>
      <name val="CordiaUPC"/>
      <family val="2"/>
    </font>
    <font>
      <b/>
      <sz val="14"/>
      <color indexed="10"/>
      <name val="CordiaUPC"/>
      <family val="2"/>
    </font>
    <font>
      <vertAlign val="subscript"/>
      <sz val="14"/>
      <name val="CordiaUPC"/>
      <family val="2"/>
    </font>
    <font>
      <sz val="14"/>
      <color indexed="10"/>
      <name val="CordiaUPC"/>
      <family val="2"/>
    </font>
    <font>
      <b/>
      <sz val="14"/>
      <name val="CordiaUPC"/>
      <family val="2"/>
    </font>
    <font>
      <b/>
      <sz val="20"/>
      <name val="CordiaUPC"/>
      <family val="2"/>
    </font>
    <font>
      <sz val="14"/>
      <name val="Symbol"/>
      <family val="1"/>
    </font>
    <font>
      <sz val="5"/>
      <name val="CordiaUPC"/>
      <family val="2"/>
    </font>
    <font>
      <sz val="5"/>
      <color indexed="10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56"/>
      <name val="CordiaUPC"/>
      <family val="2"/>
    </font>
    <font>
      <sz val="10"/>
      <color indexed="9"/>
      <name val="Arial"/>
      <family val="2"/>
    </font>
    <font>
      <sz val="11"/>
      <color indexed="10"/>
      <name val="Arial"/>
      <family val="0"/>
    </font>
    <font>
      <sz val="14"/>
      <color indexed="8"/>
      <name val="CordiaUPC"/>
      <family val="0"/>
    </font>
    <font>
      <sz val="12"/>
      <color indexed="8"/>
      <name val="CordiaUPC"/>
      <family val="0"/>
    </font>
    <font>
      <sz val="36"/>
      <color indexed="8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002060"/>
      <name val="CordiaUPC"/>
      <family val="2"/>
    </font>
    <font>
      <sz val="14"/>
      <color theme="0"/>
      <name val="CordiaUPC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1" fillId="33" borderId="0" xfId="0" applyNumberFormat="1" applyFont="1" applyFill="1" applyAlignment="1">
      <alignment vertical="center"/>
    </xf>
    <xf numFmtId="0" fontId="1" fillId="33" borderId="0" xfId="0" applyNumberFormat="1" applyFont="1" applyFill="1" applyAlignment="1">
      <alignment horizontal="right" vertical="center"/>
    </xf>
    <xf numFmtId="0" fontId="1" fillId="33" borderId="0" xfId="0" applyNumberFormat="1" applyFont="1" applyFill="1" applyAlignment="1">
      <alignment horizontal="center" vertical="center"/>
    </xf>
    <xf numFmtId="0" fontId="1" fillId="33" borderId="0" xfId="0" applyNumberFormat="1" applyFont="1" applyFill="1" applyAlignment="1">
      <alignment horizontal="left" vertical="center" indent="1"/>
    </xf>
    <xf numFmtId="0" fontId="1" fillId="33" borderId="0" xfId="0" applyNumberFormat="1" applyFont="1" applyFill="1" applyAlignment="1">
      <alignment horizontal="left" vertical="center"/>
    </xf>
    <xf numFmtId="0" fontId="1" fillId="33" borderId="0" xfId="0" applyNumberFormat="1" applyFont="1" applyFill="1" applyBorder="1" applyAlignment="1">
      <alignment vertical="center"/>
    </xf>
    <xf numFmtId="0" fontId="1" fillId="33" borderId="0" xfId="0" applyNumberFormat="1" applyFont="1" applyFill="1" applyAlignment="1">
      <alignment horizontal="left" vertical="center" indent="2"/>
    </xf>
    <xf numFmtId="2" fontId="1" fillId="33" borderId="0" xfId="0" applyNumberFormat="1" applyFont="1" applyFill="1" applyAlignment="1">
      <alignment horizontal="center" vertical="center"/>
    </xf>
    <xf numFmtId="0" fontId="1" fillId="33" borderId="0" xfId="0" applyNumberFormat="1" applyFont="1" applyFill="1" applyBorder="1" applyAlignment="1">
      <alignment horizontal="right" vertical="center"/>
    </xf>
    <xf numFmtId="3" fontId="1" fillId="33" borderId="0" xfId="0" applyNumberFormat="1" applyFont="1" applyFill="1" applyAlignment="1">
      <alignment horizontal="center" vertical="center"/>
    </xf>
    <xf numFmtId="0" fontId="1" fillId="33" borderId="10" xfId="0" applyNumberFormat="1" applyFont="1" applyFill="1" applyBorder="1" applyAlignment="1">
      <alignment horizontal="right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right" vertical="center"/>
    </xf>
    <xf numFmtId="0" fontId="1" fillId="33" borderId="12" xfId="0" applyNumberFormat="1" applyFont="1" applyFill="1" applyBorder="1" applyAlignment="1">
      <alignment vertical="center"/>
    </xf>
    <xf numFmtId="0" fontId="8" fillId="33" borderId="0" xfId="0" applyNumberFormat="1" applyFont="1" applyFill="1" applyAlignment="1">
      <alignment vertical="center"/>
    </xf>
    <xf numFmtId="0" fontId="9" fillId="33" borderId="0" xfId="0" applyNumberFormat="1" applyFont="1" applyFill="1" applyAlignment="1">
      <alignment vertical="center"/>
    </xf>
    <xf numFmtId="0" fontId="9" fillId="33" borderId="0" xfId="0" applyNumberFormat="1" applyFont="1" applyFill="1" applyAlignment="1">
      <alignment horizontal="center" vertical="center"/>
    </xf>
    <xf numFmtId="0" fontId="9" fillId="33" borderId="0" xfId="0" applyNumberFormat="1" applyFont="1" applyFill="1" applyBorder="1" applyAlignment="1">
      <alignment horizontal="left" vertical="center"/>
    </xf>
    <xf numFmtId="0" fontId="8" fillId="33" borderId="0" xfId="0" applyNumberFormat="1" applyFont="1" applyFill="1" applyAlignment="1">
      <alignment horizontal="center" vertical="center"/>
    </xf>
    <xf numFmtId="199" fontId="1" fillId="33" borderId="0" xfId="0" applyNumberFormat="1" applyFont="1" applyFill="1" applyAlignment="1">
      <alignment horizontal="center" vertical="center"/>
    </xf>
    <xf numFmtId="0" fontId="1" fillId="33" borderId="11" xfId="0" applyNumberFormat="1" applyFont="1" applyFill="1" applyBorder="1" applyAlignment="1">
      <alignment vertical="center"/>
    </xf>
    <xf numFmtId="0" fontId="1" fillId="33" borderId="10" xfId="0" applyNumberFormat="1" applyFont="1" applyFill="1" applyBorder="1" applyAlignment="1">
      <alignment vertical="center"/>
    </xf>
    <xf numFmtId="0" fontId="1" fillId="33" borderId="0" xfId="0" applyFont="1" applyFill="1" applyAlignment="1">
      <alignment horizontal="center" vertical="center"/>
    </xf>
    <xf numFmtId="2" fontId="6" fillId="33" borderId="0" xfId="0" applyNumberFormat="1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2" fontId="6" fillId="33" borderId="0" xfId="0" applyNumberFormat="1" applyFont="1" applyFill="1" applyAlignment="1">
      <alignment horizontal="left" vertical="center" indent="1"/>
    </xf>
    <xf numFmtId="2" fontId="6" fillId="33" borderId="0" xfId="0" applyNumberFormat="1" applyFont="1" applyFill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right" vertical="center"/>
    </xf>
    <xf numFmtId="0" fontId="13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left" vertical="center" indent="2"/>
    </xf>
    <xf numFmtId="0" fontId="1" fillId="33" borderId="0" xfId="0" applyFont="1" applyFill="1" applyAlignment="1">
      <alignment horizontal="left" vertical="center" indent="4"/>
    </xf>
    <xf numFmtId="0" fontId="12" fillId="33" borderId="0" xfId="0" applyNumberFormat="1" applyFont="1" applyFill="1" applyAlignment="1">
      <alignment vertical="center"/>
    </xf>
    <xf numFmtId="2" fontId="6" fillId="33" borderId="0" xfId="0" applyNumberFormat="1" applyFont="1" applyFill="1" applyAlignment="1">
      <alignment horizontal="left" vertical="center" indent="4"/>
    </xf>
    <xf numFmtId="2" fontId="1" fillId="33" borderId="0" xfId="0" applyNumberFormat="1" applyFont="1" applyFill="1" applyAlignment="1">
      <alignment vertical="center"/>
    </xf>
    <xf numFmtId="1" fontId="1" fillId="33" borderId="0" xfId="0" applyNumberFormat="1" applyFont="1" applyFill="1" applyAlignment="1">
      <alignment horizontal="center" vertical="center"/>
    </xf>
    <xf numFmtId="2" fontId="6" fillId="33" borderId="0" xfId="0" applyNumberFormat="1" applyFont="1" applyFill="1" applyAlignment="1">
      <alignment horizontal="left" vertical="center"/>
    </xf>
    <xf numFmtId="0" fontId="13" fillId="33" borderId="11" xfId="0" applyNumberFormat="1" applyFont="1" applyFill="1" applyBorder="1" applyAlignment="1">
      <alignment vertical="center"/>
    </xf>
    <xf numFmtId="2" fontId="1" fillId="33" borderId="0" xfId="0" applyNumberFormat="1" applyFont="1" applyFill="1" applyAlignment="1">
      <alignment horizontal="left" vertical="center"/>
    </xf>
    <xf numFmtId="2" fontId="6" fillId="33" borderId="0" xfId="0" applyNumberFormat="1" applyFont="1" applyFill="1" applyAlignment="1">
      <alignment horizontal="right" vertical="center"/>
    </xf>
    <xf numFmtId="2" fontId="6" fillId="33" borderId="0" xfId="0" applyNumberFormat="1" applyFont="1" applyFill="1" applyAlignment="1">
      <alignment horizontal="left" vertical="center" indent="2"/>
    </xf>
    <xf numFmtId="0" fontId="6" fillId="33" borderId="0" xfId="0" applyNumberFormat="1" applyFont="1" applyFill="1" applyAlignment="1">
      <alignment horizontal="left" vertical="center" indent="1"/>
    </xf>
    <xf numFmtId="43" fontId="1" fillId="33" borderId="0" xfId="0" applyNumberFormat="1" applyFont="1" applyFill="1" applyAlignment="1">
      <alignment horizontal="center" vertical="center"/>
    </xf>
    <xf numFmtId="0" fontId="1" fillId="33" borderId="0" xfId="0" applyFont="1" applyFill="1" applyAlignment="1">
      <alignment horizontal="right" vertical="center"/>
    </xf>
    <xf numFmtId="203" fontId="1" fillId="33" borderId="0" xfId="0" applyNumberFormat="1" applyFont="1" applyFill="1" applyAlignment="1">
      <alignment vertical="center"/>
    </xf>
    <xf numFmtId="43" fontId="1" fillId="33" borderId="0" xfId="0" applyNumberFormat="1" applyFont="1" applyFill="1" applyAlignment="1">
      <alignment vertical="center"/>
    </xf>
    <xf numFmtId="203" fontId="6" fillId="33" borderId="0" xfId="0" applyNumberFormat="1" applyFont="1" applyFill="1" applyAlignment="1">
      <alignment horizontal="center" vertical="center"/>
    </xf>
    <xf numFmtId="204" fontId="1" fillId="33" borderId="0" xfId="0" applyNumberFormat="1" applyFont="1" applyFill="1" applyAlignment="1">
      <alignment vertical="center"/>
    </xf>
    <xf numFmtId="0" fontId="1" fillId="33" borderId="0" xfId="0" applyNumberFormat="1" applyFont="1" applyFill="1" applyAlignment="1">
      <alignment horizontal="left" vertical="center" indent="4"/>
    </xf>
    <xf numFmtId="204" fontId="1" fillId="33" borderId="0" xfId="0" applyNumberFormat="1" applyFont="1" applyFill="1" applyAlignment="1">
      <alignment horizontal="right" vertical="center"/>
    </xf>
    <xf numFmtId="0" fontId="0" fillId="33" borderId="0" xfId="0" applyFill="1" applyAlignment="1">
      <alignment/>
    </xf>
    <xf numFmtId="204" fontId="1" fillId="33" borderId="0" xfId="0" applyNumberFormat="1" applyFont="1" applyFill="1" applyAlignment="1">
      <alignment horizontal="center" vertical="center"/>
    </xf>
    <xf numFmtId="2" fontId="6" fillId="33" borderId="0" xfId="0" applyNumberFormat="1" applyFont="1" applyFill="1" applyAlignment="1">
      <alignment vertical="center" textRotation="60"/>
    </xf>
    <xf numFmtId="203" fontId="6" fillId="33" borderId="0" xfId="0" applyNumberFormat="1" applyFont="1" applyFill="1" applyAlignment="1">
      <alignment vertical="center"/>
    </xf>
    <xf numFmtId="0" fontId="7" fillId="33" borderId="0" xfId="0" applyNumberFormat="1" applyFont="1" applyFill="1" applyAlignment="1">
      <alignment horizontal="right" vertical="center"/>
    </xf>
    <xf numFmtId="0" fontId="7" fillId="33" borderId="0" xfId="0" applyNumberFormat="1" applyFont="1" applyFill="1" applyAlignment="1">
      <alignment horizontal="center" vertical="center"/>
    </xf>
    <xf numFmtId="203" fontId="1" fillId="33" borderId="0" xfId="0" applyNumberFormat="1" applyFont="1" applyFill="1" applyAlignment="1">
      <alignment horizontal="center" vertical="center"/>
    </xf>
    <xf numFmtId="0" fontId="1" fillId="33" borderId="0" xfId="0" applyFont="1" applyFill="1" applyAlignment="1">
      <alignment horizontal="left" vertical="center"/>
    </xf>
    <xf numFmtId="0" fontId="1" fillId="33" borderId="13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14" xfId="0" applyNumberFormat="1" applyFont="1" applyFill="1" applyBorder="1" applyAlignment="1">
      <alignment horizontal="left" vertical="center" indent="2"/>
    </xf>
    <xf numFmtId="0" fontId="1" fillId="33" borderId="15" xfId="0" applyNumberFormat="1" applyFont="1" applyFill="1" applyBorder="1" applyAlignment="1">
      <alignment horizontal="left" vertical="center" indent="2"/>
    </xf>
    <xf numFmtId="0" fontId="1" fillId="33" borderId="14" xfId="0" applyNumberFormat="1" applyFont="1" applyFill="1" applyBorder="1" applyAlignment="1">
      <alignment horizontal="left" vertical="center" indent="3"/>
    </xf>
    <xf numFmtId="0" fontId="1" fillId="33" borderId="15" xfId="0" applyNumberFormat="1" applyFont="1" applyFill="1" applyBorder="1" applyAlignment="1">
      <alignment horizontal="left" vertical="center" indent="3"/>
    </xf>
    <xf numFmtId="0" fontId="1" fillId="33" borderId="0" xfId="0" applyFont="1" applyFill="1" applyAlignment="1">
      <alignment horizontal="left" vertical="center" indent="1"/>
    </xf>
    <xf numFmtId="0" fontId="12" fillId="33" borderId="0" xfId="0" applyFont="1" applyFill="1" applyAlignment="1">
      <alignment vertical="center"/>
    </xf>
    <xf numFmtId="1" fontId="1" fillId="33" borderId="0" xfId="0" applyNumberFormat="1" applyFont="1" applyFill="1" applyAlignment="1">
      <alignment horizontal="right" vertical="center"/>
    </xf>
    <xf numFmtId="3" fontId="1" fillId="33" borderId="0" xfId="0" applyNumberFormat="1" applyFont="1" applyFill="1" applyAlignment="1">
      <alignment horizontal="left" vertical="center" indent="1"/>
    </xf>
    <xf numFmtId="0" fontId="15" fillId="33" borderId="0" xfId="0" applyFont="1" applyFill="1" applyAlignment="1">
      <alignment horizontal="right" vertical="center"/>
    </xf>
    <xf numFmtId="203" fontId="1" fillId="33" borderId="0" xfId="0" applyNumberFormat="1" applyFont="1" applyFill="1" applyAlignment="1">
      <alignment horizontal="left" vertical="center" indent="1"/>
    </xf>
    <xf numFmtId="207" fontId="1" fillId="33" borderId="0" xfId="0" applyNumberFormat="1" applyFont="1" applyFill="1" applyAlignment="1">
      <alignment horizontal="left" vertical="center"/>
    </xf>
    <xf numFmtId="0" fontId="1" fillId="33" borderId="16" xfId="0" applyNumberFormat="1" applyFont="1" applyFill="1" applyBorder="1" applyAlignment="1">
      <alignment horizontal="left" vertical="center" indent="2"/>
    </xf>
    <xf numFmtId="0" fontId="1" fillId="33" borderId="0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0" fontId="1" fillId="33" borderId="18" xfId="0" applyFont="1" applyFill="1" applyBorder="1" applyAlignment="1">
      <alignment horizontal="center" vertical="center"/>
    </xf>
    <xf numFmtId="204" fontId="1" fillId="33" borderId="19" xfId="0" applyNumberFormat="1" applyFont="1" applyFill="1" applyBorder="1" applyAlignment="1">
      <alignment vertical="center"/>
    </xf>
    <xf numFmtId="204" fontId="1" fillId="33" borderId="20" xfId="0" applyNumberFormat="1" applyFont="1" applyFill="1" applyBorder="1" applyAlignment="1">
      <alignment vertical="center"/>
    </xf>
    <xf numFmtId="204" fontId="1" fillId="33" borderId="2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Alignment="1">
      <alignment horizontal="left" vertical="center" indent="3"/>
    </xf>
    <xf numFmtId="204" fontId="1" fillId="33" borderId="21" xfId="0" applyNumberFormat="1" applyFont="1" applyFill="1" applyBorder="1" applyAlignment="1">
      <alignment vertical="center"/>
    </xf>
    <xf numFmtId="209" fontId="1" fillId="33" borderId="20" xfId="0" applyNumberFormat="1" applyFont="1" applyFill="1" applyBorder="1" applyAlignment="1">
      <alignment horizontal="right" vertical="center"/>
    </xf>
    <xf numFmtId="2" fontId="6" fillId="33" borderId="0" xfId="0" applyNumberFormat="1" applyFont="1" applyFill="1" applyAlignment="1">
      <alignment horizontal="left" vertical="center" indent="5"/>
    </xf>
    <xf numFmtId="0" fontId="1" fillId="33" borderId="22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left" vertical="center" indent="2"/>
    </xf>
    <xf numFmtId="0" fontId="1" fillId="33" borderId="22" xfId="0" applyNumberFormat="1" applyFont="1" applyFill="1" applyBorder="1" applyAlignment="1">
      <alignment horizontal="left" vertical="center" indent="3"/>
    </xf>
    <xf numFmtId="0" fontId="1" fillId="33" borderId="23" xfId="0" applyFont="1" applyFill="1" applyBorder="1" applyAlignment="1">
      <alignment vertical="center"/>
    </xf>
    <xf numFmtId="0" fontId="1" fillId="33" borderId="23" xfId="0" applyNumberFormat="1" applyFont="1" applyFill="1" applyBorder="1" applyAlignment="1">
      <alignment vertical="center"/>
    </xf>
    <xf numFmtId="0" fontId="1" fillId="33" borderId="24" xfId="0" applyFont="1" applyFill="1" applyBorder="1" applyAlignment="1">
      <alignment vertical="center"/>
    </xf>
    <xf numFmtId="2" fontId="6" fillId="33" borderId="0" xfId="0" applyNumberFormat="1" applyFont="1" applyFill="1" applyAlignment="1">
      <alignment horizontal="left" vertical="center" indent="3"/>
    </xf>
    <xf numFmtId="0" fontId="1" fillId="33" borderId="0" xfId="0" applyFont="1" applyFill="1" applyAlignment="1">
      <alignment horizontal="left" vertical="center" indent="3"/>
    </xf>
    <xf numFmtId="0" fontId="6" fillId="33" borderId="0" xfId="0" applyFont="1" applyFill="1" applyAlignment="1">
      <alignment vertical="center"/>
    </xf>
    <xf numFmtId="209" fontId="1" fillId="33" borderId="20" xfId="0" applyNumberFormat="1" applyFont="1" applyFill="1" applyBorder="1" applyAlignment="1">
      <alignment vertical="center"/>
    </xf>
    <xf numFmtId="0" fontId="12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0" xfId="0" applyNumberFormat="1" applyFont="1" applyFill="1" applyBorder="1" applyAlignment="1">
      <alignment horizontal="left" vertical="center" indent="1"/>
    </xf>
    <xf numFmtId="0" fontId="1" fillId="33" borderId="11" xfId="0" applyFont="1" applyFill="1" applyBorder="1" applyAlignment="1">
      <alignment horizontal="left" vertical="center" indent="1"/>
    </xf>
    <xf numFmtId="0" fontId="16" fillId="33" borderId="0" xfId="0" applyFont="1" applyFill="1" applyAlignment="1">
      <alignment horizontal="left" vertical="center" indent="3"/>
    </xf>
    <xf numFmtId="0" fontId="16" fillId="33" borderId="0" xfId="0" applyFont="1" applyFill="1" applyAlignment="1">
      <alignment vertical="center"/>
    </xf>
    <xf numFmtId="0" fontId="16" fillId="33" borderId="0" xfId="0" applyFont="1" applyFill="1" applyAlignment="1">
      <alignment horizontal="left" vertical="center"/>
    </xf>
    <xf numFmtId="0" fontId="16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7" fillId="33" borderId="0" xfId="0" applyFont="1" applyFill="1" applyAlignment="1">
      <alignment horizontal="right" vertical="center"/>
    </xf>
    <xf numFmtId="2" fontId="7" fillId="33" borderId="0" xfId="0" applyNumberFormat="1" applyFont="1" applyFill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0" fontId="58" fillId="34" borderId="0" xfId="0" applyFont="1" applyFill="1" applyAlignment="1">
      <alignment vertical="center"/>
    </xf>
    <xf numFmtId="0" fontId="58" fillId="34" borderId="25" xfId="0" applyFont="1" applyFill="1" applyBorder="1" applyAlignment="1">
      <alignment horizontal="left" vertical="center" indent="3"/>
    </xf>
    <xf numFmtId="0" fontId="58" fillId="34" borderId="0" xfId="0" applyFont="1" applyFill="1" applyBorder="1" applyAlignment="1">
      <alignment vertical="center"/>
    </xf>
    <xf numFmtId="0" fontId="58" fillId="34" borderId="0" xfId="0" applyFont="1" applyFill="1" applyBorder="1" applyAlignment="1">
      <alignment horizontal="right" vertical="center"/>
    </xf>
    <xf numFmtId="0" fontId="58" fillId="34" borderId="25" xfId="0" applyFont="1" applyFill="1" applyBorder="1" applyAlignment="1">
      <alignment horizontal="left" vertical="center" indent="5"/>
    </xf>
    <xf numFmtId="0" fontId="58" fillId="34" borderId="25" xfId="0" applyNumberFormat="1" applyFont="1" applyFill="1" applyBorder="1" applyAlignment="1">
      <alignment horizontal="left" vertical="center" indent="5"/>
    </xf>
    <xf numFmtId="0" fontId="1" fillId="34" borderId="0" xfId="0" applyFont="1" applyFill="1" applyAlignment="1">
      <alignment vertical="center"/>
    </xf>
    <xf numFmtId="0" fontId="1" fillId="34" borderId="26" xfId="0" applyFont="1" applyFill="1" applyBorder="1" applyAlignment="1">
      <alignment vertical="center"/>
    </xf>
    <xf numFmtId="0" fontId="3" fillId="34" borderId="27" xfId="0" applyFont="1" applyFill="1" applyBorder="1" applyAlignment="1">
      <alignment horizontal="left" vertical="center" indent="4"/>
    </xf>
    <xf numFmtId="0" fontId="1" fillId="34" borderId="27" xfId="0" applyFont="1" applyFill="1" applyBorder="1" applyAlignment="1">
      <alignment vertical="center"/>
    </xf>
    <xf numFmtId="0" fontId="3" fillId="34" borderId="27" xfId="0" applyFont="1" applyFill="1" applyBorder="1" applyAlignment="1">
      <alignment vertical="center"/>
    </xf>
    <xf numFmtId="0" fontId="14" fillId="34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left" vertical="center"/>
    </xf>
    <xf numFmtId="0" fontId="1" fillId="34" borderId="25" xfId="0" applyFont="1" applyFill="1" applyBorder="1" applyAlignment="1">
      <alignment horizontal="left" vertical="center" indent="3"/>
    </xf>
    <xf numFmtId="0" fontId="1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vertical="center"/>
    </xf>
    <xf numFmtId="0" fontId="1" fillId="34" borderId="29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right" vertical="center"/>
    </xf>
    <xf numFmtId="3" fontId="1" fillId="34" borderId="30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left" vertical="center"/>
    </xf>
    <xf numFmtId="0" fontId="1" fillId="34" borderId="29" xfId="0" applyFont="1" applyFill="1" applyBorder="1" applyAlignment="1">
      <alignment vertical="center"/>
    </xf>
    <xf numFmtId="3" fontId="1" fillId="34" borderId="31" xfId="0" applyNumberFormat="1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2" fontId="1" fillId="34" borderId="31" xfId="0" applyNumberFormat="1" applyFont="1" applyFill="1" applyBorder="1" applyAlignment="1">
      <alignment horizontal="center" vertical="center"/>
    </xf>
    <xf numFmtId="0" fontId="1" fillId="34" borderId="31" xfId="0" applyNumberFormat="1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left" vertical="center" indent="5"/>
    </xf>
    <xf numFmtId="0" fontId="1" fillId="34" borderId="25" xfId="0" applyFont="1" applyFill="1" applyBorder="1" applyAlignment="1">
      <alignment vertical="center"/>
    </xf>
    <xf numFmtId="2" fontId="1" fillId="34" borderId="0" xfId="0" applyNumberFormat="1" applyFont="1" applyFill="1" applyBorder="1" applyAlignment="1">
      <alignment horizontal="center" vertical="center"/>
    </xf>
    <xf numFmtId="0" fontId="12" fillId="34" borderId="0" xfId="0" applyFont="1" applyFill="1" applyAlignment="1">
      <alignment horizontal="center" vertical="center"/>
    </xf>
    <xf numFmtId="0" fontId="12" fillId="34" borderId="29" xfId="0" applyFont="1" applyFill="1" applyBorder="1" applyAlignment="1">
      <alignment horizontal="center" vertical="center"/>
    </xf>
    <xf numFmtId="0" fontId="1" fillId="34" borderId="32" xfId="0" applyFont="1" applyFill="1" applyBorder="1" applyAlignment="1">
      <alignment vertical="center"/>
    </xf>
    <xf numFmtId="0" fontId="1" fillId="34" borderId="33" xfId="0" applyFont="1" applyFill="1" applyBorder="1" applyAlignment="1">
      <alignment vertical="center"/>
    </xf>
    <xf numFmtId="0" fontId="1" fillId="34" borderId="34" xfId="0" applyFont="1" applyFill="1" applyBorder="1" applyAlignment="1">
      <alignment vertical="center"/>
    </xf>
    <xf numFmtId="3" fontId="1" fillId="35" borderId="31" xfId="0" applyNumberFormat="1" applyFont="1" applyFill="1" applyBorder="1" applyAlignment="1">
      <alignment horizontal="center" vertical="center"/>
    </xf>
    <xf numFmtId="0" fontId="1" fillId="5" borderId="31" xfId="0" applyNumberFormat="1" applyFont="1" applyFill="1" applyBorder="1" applyAlignment="1">
      <alignment horizontal="center" vertical="center"/>
    </xf>
    <xf numFmtId="2" fontId="1" fillId="13" borderId="31" xfId="0" applyNumberFormat="1" applyFont="1" applyFill="1" applyBorder="1" applyAlignment="1">
      <alignment horizontal="center" vertical="center"/>
    </xf>
    <xf numFmtId="3" fontId="1" fillId="36" borderId="31" xfId="0" applyNumberFormat="1" applyFont="1" applyFill="1" applyBorder="1" applyAlignment="1">
      <alignment horizontal="center" vertical="center"/>
    </xf>
    <xf numFmtId="2" fontId="1" fillId="34" borderId="35" xfId="0" applyNumberFormat="1" applyFont="1" applyFill="1" applyBorder="1" applyAlignment="1">
      <alignment horizontal="left" vertical="center"/>
    </xf>
    <xf numFmtId="0" fontId="1" fillId="34" borderId="35" xfId="0" applyFont="1" applyFill="1" applyBorder="1" applyAlignment="1">
      <alignment horizontal="left" vertical="center"/>
    </xf>
    <xf numFmtId="0" fontId="1" fillId="34" borderId="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left" vertical="center"/>
    </xf>
    <xf numFmtId="0" fontId="10" fillId="34" borderId="29" xfId="0" applyFont="1" applyFill="1" applyBorder="1" applyAlignment="1">
      <alignment horizontal="left" vertical="center"/>
    </xf>
    <xf numFmtId="0" fontId="59" fillId="34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201" fontId="1" fillId="33" borderId="10" xfId="0" applyNumberFormat="1" applyFont="1" applyFill="1" applyBorder="1" applyAlignment="1">
      <alignment horizontal="right" vertical="center"/>
    </xf>
    <xf numFmtId="2" fontId="6" fillId="33" borderId="0" xfId="0" applyNumberFormat="1" applyFont="1" applyFill="1" applyAlignment="1">
      <alignment horizontal="left" vertical="center" indent="4"/>
    </xf>
    <xf numFmtId="2" fontId="6" fillId="33" borderId="0" xfId="0" applyNumberFormat="1" applyFont="1" applyFill="1" applyAlignment="1">
      <alignment horizontal="left" vertical="center" indent="5"/>
    </xf>
    <xf numFmtId="2" fontId="6" fillId="33" borderId="0" xfId="0" applyNumberFormat="1" applyFont="1" applyFill="1" applyAlignment="1">
      <alignment horizontal="center" vertical="center"/>
    </xf>
    <xf numFmtId="0" fontId="1" fillId="33" borderId="0" xfId="0" applyFont="1" applyFill="1" applyAlignment="1">
      <alignment horizontal="left" vertical="center" indent="3"/>
    </xf>
    <xf numFmtId="0" fontId="1" fillId="33" borderId="0" xfId="0" applyFont="1" applyFill="1" applyAlignment="1">
      <alignment horizontal="left" vertical="center" indent="5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202" fontId="1" fillId="33" borderId="10" xfId="0" applyNumberFormat="1" applyFont="1" applyFill="1" applyBorder="1" applyAlignment="1">
      <alignment horizontal="right" vertical="center"/>
    </xf>
    <xf numFmtId="2" fontId="6" fillId="33" borderId="0" xfId="0" applyNumberFormat="1" applyFont="1" applyFill="1" applyAlignment="1">
      <alignment horizontal="left" vertical="center" indent="1"/>
    </xf>
    <xf numFmtId="2" fontId="6" fillId="33" borderId="0" xfId="0" applyNumberFormat="1" applyFont="1" applyFill="1" applyAlignment="1">
      <alignment horizontal="right" vertical="center"/>
    </xf>
    <xf numFmtId="2" fontId="6" fillId="33" borderId="0" xfId="0" applyNumberFormat="1" applyFont="1" applyFill="1" applyAlignment="1">
      <alignment horizontal="center" vertical="center" textRotation="60"/>
    </xf>
    <xf numFmtId="0" fontId="1" fillId="33" borderId="22" xfId="0" applyNumberFormat="1" applyFont="1" applyFill="1" applyBorder="1" applyAlignment="1">
      <alignment horizontal="center" vertical="center"/>
    </xf>
    <xf numFmtId="0" fontId="1" fillId="33" borderId="23" xfId="0" applyNumberFormat="1" applyFont="1" applyFill="1" applyBorder="1" applyAlignment="1">
      <alignment horizontal="center" vertical="center"/>
    </xf>
    <xf numFmtId="0" fontId="1" fillId="33" borderId="24" xfId="0" applyNumberFormat="1" applyFont="1" applyFill="1" applyBorder="1" applyAlignment="1">
      <alignment horizontal="center" vertical="center"/>
    </xf>
    <xf numFmtId="203" fontId="6" fillId="33" borderId="0" xfId="0" applyNumberFormat="1" applyFont="1" applyFill="1" applyAlignment="1">
      <alignment vertical="center"/>
    </xf>
    <xf numFmtId="203" fontId="6" fillId="33" borderId="0" xfId="0" applyNumberFormat="1" applyFont="1" applyFill="1" applyAlignment="1">
      <alignment horizontal="left" vertical="center" indent="1"/>
    </xf>
    <xf numFmtId="0" fontId="1" fillId="33" borderId="0" xfId="0" applyNumberFormat="1" applyFont="1" applyFill="1" applyAlignment="1">
      <alignment horizontal="left" vertical="center"/>
    </xf>
    <xf numFmtId="2" fontId="6" fillId="33" borderId="0" xfId="0" applyNumberFormat="1" applyFont="1" applyFill="1" applyAlignment="1">
      <alignment horizontal="left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right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1.emf" /><Relationship Id="rId3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7.emf" /><Relationship Id="rId3" Type="http://schemas.openxmlformats.org/officeDocument/2006/relationships/image" Target="../media/image4.emf" /><Relationship Id="rId4" Type="http://schemas.openxmlformats.org/officeDocument/2006/relationships/image" Target="../media/image11.emf" /><Relationship Id="rId5" Type="http://schemas.openxmlformats.org/officeDocument/2006/relationships/image" Target="../media/image10.emf" /><Relationship Id="rId6" Type="http://schemas.openxmlformats.org/officeDocument/2006/relationships/image" Target="../media/image6.emf" /><Relationship Id="rId7" Type="http://schemas.openxmlformats.org/officeDocument/2006/relationships/image" Target="../media/image8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1.emf" /><Relationship Id="rId3" Type="http://schemas.openxmlformats.org/officeDocument/2006/relationships/image" Target="../media/image10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1.emf" /><Relationship Id="rId3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11</xdr:row>
      <xdr:rowOff>104775</xdr:rowOff>
    </xdr:from>
    <xdr:to>
      <xdr:col>4</xdr:col>
      <xdr:colOff>457200</xdr:colOff>
      <xdr:row>12</xdr:row>
      <xdr:rowOff>190500</xdr:rowOff>
    </xdr:to>
    <xdr:sp>
      <xdr:nvSpPr>
        <xdr:cNvPr id="1" name="Rectangle 2" descr="ลายเส้นบางทแยงมุมขึ้น"/>
        <xdr:cNvSpPr>
          <a:spLocks/>
        </xdr:cNvSpPr>
      </xdr:nvSpPr>
      <xdr:spPr>
        <a:xfrm>
          <a:off x="1981200" y="2867025"/>
          <a:ext cx="361950" cy="36195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190500</xdr:colOff>
      <xdr:row>10</xdr:row>
      <xdr:rowOff>200025</xdr:rowOff>
    </xdr:from>
    <xdr:ext cx="114300" cy="200025"/>
    <xdr:sp>
      <xdr:nvSpPr>
        <xdr:cNvPr id="2" name="Text Box 3"/>
        <xdr:cNvSpPr txBox="1">
          <a:spLocks noChangeArrowheads="1"/>
        </xdr:cNvSpPr>
      </xdr:nvSpPr>
      <xdr:spPr>
        <a:xfrm>
          <a:off x="2076450" y="26860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4</xdr:col>
      <xdr:colOff>438150</xdr:colOff>
      <xdr:row>11</xdr:row>
      <xdr:rowOff>180975</xdr:rowOff>
    </xdr:from>
    <xdr:ext cx="114300" cy="200025"/>
    <xdr:sp>
      <xdr:nvSpPr>
        <xdr:cNvPr id="3" name="Text Box 4"/>
        <xdr:cNvSpPr txBox="1">
          <a:spLocks noChangeArrowheads="1"/>
        </xdr:cNvSpPr>
      </xdr:nvSpPr>
      <xdr:spPr>
        <a:xfrm>
          <a:off x="2324100" y="29432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419100</xdr:colOff>
      <xdr:row>3</xdr:row>
      <xdr:rowOff>209550</xdr:rowOff>
    </xdr:from>
    <xdr:ext cx="3019425" cy="1762125"/>
    <xdr:grpSp>
      <xdr:nvGrpSpPr>
        <xdr:cNvPr id="1" name="Group 299"/>
        <xdr:cNvGrpSpPr>
          <a:grpSpLocks/>
        </xdr:cNvGrpSpPr>
      </xdr:nvGrpSpPr>
      <xdr:grpSpPr>
        <a:xfrm>
          <a:off x="1028700" y="1019175"/>
          <a:ext cx="3019425" cy="1762125"/>
          <a:chOff x="108" y="148"/>
          <a:chExt cx="317" cy="185"/>
        </a:xfrm>
        <a:solidFill>
          <a:srgbClr val="FFFFFF"/>
        </a:solidFill>
      </xdr:grpSpPr>
      <xdr:sp>
        <xdr:nvSpPr>
          <xdr:cNvPr id="2" name="Line 300"/>
          <xdr:cNvSpPr>
            <a:spLocks/>
          </xdr:cNvSpPr>
        </xdr:nvSpPr>
        <xdr:spPr>
          <a:xfrm flipV="1">
            <a:off x="417" y="149"/>
            <a:ext cx="0" cy="4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01"/>
          <xdr:cNvSpPr>
            <a:spLocks/>
          </xdr:cNvSpPr>
        </xdr:nvSpPr>
        <xdr:spPr>
          <a:xfrm>
            <a:off x="152" y="156"/>
            <a:ext cx="27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302"/>
          <xdr:cNvSpPr>
            <a:spLocks/>
          </xdr:cNvSpPr>
        </xdr:nvSpPr>
        <xdr:spPr>
          <a:xfrm flipV="1">
            <a:off x="160" y="148"/>
            <a:ext cx="0" cy="4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303"/>
          <xdr:cNvSpPr>
            <a:spLocks/>
          </xdr:cNvSpPr>
        </xdr:nvSpPr>
        <xdr:spPr>
          <a:xfrm rot="18900000">
            <a:off x="154" y="156"/>
            <a:ext cx="1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304"/>
          <xdr:cNvSpPr>
            <a:spLocks/>
          </xdr:cNvSpPr>
        </xdr:nvSpPr>
        <xdr:spPr>
          <a:xfrm rot="18900000">
            <a:off x="411" y="156"/>
            <a:ext cx="1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305"/>
          <xdr:cNvSpPr>
            <a:spLocks/>
          </xdr:cNvSpPr>
        </xdr:nvSpPr>
        <xdr:spPr>
          <a:xfrm>
            <a:off x="109" y="197"/>
            <a:ext cx="47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306"/>
          <xdr:cNvSpPr>
            <a:spLocks/>
          </xdr:cNvSpPr>
        </xdr:nvSpPr>
        <xdr:spPr>
          <a:xfrm>
            <a:off x="114" y="190"/>
            <a:ext cx="0" cy="14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307"/>
          <xdr:cNvSpPr>
            <a:spLocks/>
          </xdr:cNvSpPr>
        </xdr:nvSpPr>
        <xdr:spPr>
          <a:xfrm>
            <a:off x="108" y="326"/>
            <a:ext cx="4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308"/>
          <xdr:cNvSpPr>
            <a:spLocks/>
          </xdr:cNvSpPr>
        </xdr:nvSpPr>
        <xdr:spPr>
          <a:xfrm rot="18900000">
            <a:off x="108" y="197"/>
            <a:ext cx="1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309"/>
          <xdr:cNvSpPr>
            <a:spLocks/>
          </xdr:cNvSpPr>
        </xdr:nvSpPr>
        <xdr:spPr>
          <a:xfrm rot="18900000">
            <a:off x="108" y="327"/>
            <a:ext cx="1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" name="Group 310"/>
          <xdr:cNvGrpSpPr>
            <a:grpSpLocks/>
          </xdr:cNvGrpSpPr>
        </xdr:nvGrpSpPr>
        <xdr:grpSpPr>
          <a:xfrm>
            <a:off x="160" y="197"/>
            <a:ext cx="257" cy="129"/>
            <a:chOff x="160" y="197"/>
            <a:chExt cx="257" cy="129"/>
          </a:xfrm>
          <a:solidFill>
            <a:srgbClr val="FFFFFF"/>
          </a:solidFill>
        </xdr:grpSpPr>
        <xdr:sp>
          <xdr:nvSpPr>
            <xdr:cNvPr id="13" name="Rectangle 311"/>
            <xdr:cNvSpPr>
              <a:spLocks/>
            </xdr:cNvSpPr>
          </xdr:nvSpPr>
          <xdr:spPr>
            <a:xfrm>
              <a:off x="160" y="197"/>
              <a:ext cx="257" cy="129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Rectangle 312" descr="ลายเส้นบางทแยงมุมขึ้น"/>
            <xdr:cNvSpPr>
              <a:spLocks/>
            </xdr:cNvSpPr>
          </xdr:nvSpPr>
          <xdr:spPr>
            <a:xfrm>
              <a:off x="270" y="243"/>
              <a:ext cx="38" cy="38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5" name="Group 313"/>
            <xdr:cNvGrpSpPr>
              <a:grpSpLocks/>
            </xdr:cNvGrpSpPr>
          </xdr:nvGrpSpPr>
          <xdr:grpSpPr>
            <a:xfrm>
              <a:off x="216" y="252"/>
              <a:ext cx="19" cy="19"/>
              <a:chOff x="240" y="359"/>
              <a:chExt cx="19" cy="19"/>
            </a:xfrm>
            <a:solidFill>
              <a:srgbClr val="FFFFFF"/>
            </a:solidFill>
          </xdr:grpSpPr>
          <xdr:sp>
            <xdr:nvSpPr>
              <xdr:cNvPr id="16" name="Line 314"/>
              <xdr:cNvSpPr>
                <a:spLocks/>
              </xdr:cNvSpPr>
            </xdr:nvSpPr>
            <xdr:spPr>
              <a:xfrm>
                <a:off x="240" y="369"/>
                <a:ext cx="1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" name="Line 315"/>
              <xdr:cNvSpPr>
                <a:spLocks/>
              </xdr:cNvSpPr>
            </xdr:nvSpPr>
            <xdr:spPr>
              <a:xfrm rot="5400000">
                <a:off x="240" y="368"/>
                <a:ext cx="1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8" name="Group 316"/>
            <xdr:cNvGrpSpPr>
              <a:grpSpLocks/>
            </xdr:cNvGrpSpPr>
          </xdr:nvGrpSpPr>
          <xdr:grpSpPr>
            <a:xfrm>
              <a:off x="345" y="252"/>
              <a:ext cx="19" cy="19"/>
              <a:chOff x="240" y="359"/>
              <a:chExt cx="19" cy="19"/>
            </a:xfrm>
            <a:solidFill>
              <a:srgbClr val="FFFFFF"/>
            </a:solidFill>
          </xdr:grpSpPr>
          <xdr:sp>
            <xdr:nvSpPr>
              <xdr:cNvPr id="19" name="Line 317"/>
              <xdr:cNvSpPr>
                <a:spLocks/>
              </xdr:cNvSpPr>
            </xdr:nvSpPr>
            <xdr:spPr>
              <a:xfrm>
                <a:off x="240" y="369"/>
                <a:ext cx="1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0" name="Line 318"/>
              <xdr:cNvSpPr>
                <a:spLocks/>
              </xdr:cNvSpPr>
            </xdr:nvSpPr>
            <xdr:spPr>
              <a:xfrm rot="5400000">
                <a:off x="240" y="368"/>
                <a:ext cx="1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21" name="Line 319"/>
          <xdr:cNvSpPr>
            <a:spLocks/>
          </xdr:cNvSpPr>
        </xdr:nvSpPr>
        <xdr:spPr>
          <a:xfrm flipV="1">
            <a:off x="225" y="156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320"/>
          <xdr:cNvSpPr>
            <a:spLocks/>
          </xdr:cNvSpPr>
        </xdr:nvSpPr>
        <xdr:spPr>
          <a:xfrm flipV="1">
            <a:off x="354" y="156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321"/>
          <xdr:cNvSpPr>
            <a:spLocks/>
          </xdr:cNvSpPr>
        </xdr:nvSpPr>
        <xdr:spPr>
          <a:xfrm>
            <a:off x="114" y="262"/>
            <a:ext cx="1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4</xdr:col>
      <xdr:colOff>38100</xdr:colOff>
      <xdr:row>5</xdr:row>
      <xdr:rowOff>123825</xdr:rowOff>
    </xdr:from>
    <xdr:to>
      <xdr:col>4</xdr:col>
      <xdr:colOff>38100</xdr:colOff>
      <xdr:row>9</xdr:row>
      <xdr:rowOff>142875</xdr:rowOff>
    </xdr:to>
    <xdr:sp>
      <xdr:nvSpPr>
        <xdr:cNvPr id="24" name="Line 392"/>
        <xdr:cNvSpPr>
          <a:spLocks/>
        </xdr:cNvSpPr>
      </xdr:nvSpPr>
      <xdr:spPr>
        <a:xfrm>
          <a:off x="2571750" y="1485900"/>
          <a:ext cx="0" cy="1219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9</xdr:row>
      <xdr:rowOff>219075</xdr:rowOff>
    </xdr:from>
    <xdr:to>
      <xdr:col>4</xdr:col>
      <xdr:colOff>38100</xdr:colOff>
      <xdr:row>10</xdr:row>
      <xdr:rowOff>257175</xdr:rowOff>
    </xdr:to>
    <xdr:sp>
      <xdr:nvSpPr>
        <xdr:cNvPr id="25" name="Line 396"/>
        <xdr:cNvSpPr>
          <a:spLocks/>
        </xdr:cNvSpPr>
      </xdr:nvSpPr>
      <xdr:spPr>
        <a:xfrm>
          <a:off x="2571750" y="2781300"/>
          <a:ext cx="0" cy="314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9</xdr:row>
      <xdr:rowOff>219075</xdr:rowOff>
    </xdr:from>
    <xdr:to>
      <xdr:col>3</xdr:col>
      <xdr:colOff>314325</xdr:colOff>
      <xdr:row>10</xdr:row>
      <xdr:rowOff>257175</xdr:rowOff>
    </xdr:to>
    <xdr:sp>
      <xdr:nvSpPr>
        <xdr:cNvPr id="26" name="Line 397"/>
        <xdr:cNvSpPr>
          <a:spLocks/>
        </xdr:cNvSpPr>
      </xdr:nvSpPr>
      <xdr:spPr>
        <a:xfrm>
          <a:off x="2143125" y="2781300"/>
          <a:ext cx="0" cy="314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10</xdr:row>
      <xdr:rowOff>228600</xdr:rowOff>
    </xdr:from>
    <xdr:to>
      <xdr:col>4</xdr:col>
      <xdr:colOff>38100</xdr:colOff>
      <xdr:row>10</xdr:row>
      <xdr:rowOff>228600</xdr:rowOff>
    </xdr:to>
    <xdr:sp>
      <xdr:nvSpPr>
        <xdr:cNvPr id="27" name="Line 398"/>
        <xdr:cNvSpPr>
          <a:spLocks/>
        </xdr:cNvSpPr>
      </xdr:nvSpPr>
      <xdr:spPr>
        <a:xfrm>
          <a:off x="2143125" y="30670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419100</xdr:colOff>
      <xdr:row>69</xdr:row>
      <xdr:rowOff>209550</xdr:rowOff>
    </xdr:from>
    <xdr:ext cx="3019425" cy="1762125"/>
    <xdr:grpSp>
      <xdr:nvGrpSpPr>
        <xdr:cNvPr id="28" name="Group 436"/>
        <xdr:cNvGrpSpPr>
          <a:grpSpLocks/>
        </xdr:cNvGrpSpPr>
      </xdr:nvGrpSpPr>
      <xdr:grpSpPr>
        <a:xfrm>
          <a:off x="1028700" y="18926175"/>
          <a:ext cx="3019425" cy="1762125"/>
          <a:chOff x="108" y="148"/>
          <a:chExt cx="317" cy="185"/>
        </a:xfrm>
        <a:solidFill>
          <a:srgbClr val="FFFFFF"/>
        </a:solidFill>
      </xdr:grpSpPr>
      <xdr:sp>
        <xdr:nvSpPr>
          <xdr:cNvPr id="29" name="Line 437"/>
          <xdr:cNvSpPr>
            <a:spLocks/>
          </xdr:cNvSpPr>
        </xdr:nvSpPr>
        <xdr:spPr>
          <a:xfrm flipV="1">
            <a:off x="417" y="149"/>
            <a:ext cx="0" cy="4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438"/>
          <xdr:cNvSpPr>
            <a:spLocks/>
          </xdr:cNvSpPr>
        </xdr:nvSpPr>
        <xdr:spPr>
          <a:xfrm>
            <a:off x="152" y="156"/>
            <a:ext cx="27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439"/>
          <xdr:cNvSpPr>
            <a:spLocks/>
          </xdr:cNvSpPr>
        </xdr:nvSpPr>
        <xdr:spPr>
          <a:xfrm flipV="1">
            <a:off x="160" y="148"/>
            <a:ext cx="0" cy="4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440"/>
          <xdr:cNvSpPr>
            <a:spLocks/>
          </xdr:cNvSpPr>
        </xdr:nvSpPr>
        <xdr:spPr>
          <a:xfrm rot="18900000">
            <a:off x="154" y="156"/>
            <a:ext cx="1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441"/>
          <xdr:cNvSpPr>
            <a:spLocks/>
          </xdr:cNvSpPr>
        </xdr:nvSpPr>
        <xdr:spPr>
          <a:xfrm rot="18900000">
            <a:off x="411" y="156"/>
            <a:ext cx="1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442"/>
          <xdr:cNvSpPr>
            <a:spLocks/>
          </xdr:cNvSpPr>
        </xdr:nvSpPr>
        <xdr:spPr>
          <a:xfrm>
            <a:off x="109" y="197"/>
            <a:ext cx="47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443"/>
          <xdr:cNvSpPr>
            <a:spLocks/>
          </xdr:cNvSpPr>
        </xdr:nvSpPr>
        <xdr:spPr>
          <a:xfrm>
            <a:off x="114" y="190"/>
            <a:ext cx="0" cy="14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444"/>
          <xdr:cNvSpPr>
            <a:spLocks/>
          </xdr:cNvSpPr>
        </xdr:nvSpPr>
        <xdr:spPr>
          <a:xfrm>
            <a:off x="108" y="326"/>
            <a:ext cx="4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445"/>
          <xdr:cNvSpPr>
            <a:spLocks/>
          </xdr:cNvSpPr>
        </xdr:nvSpPr>
        <xdr:spPr>
          <a:xfrm rot="18900000">
            <a:off x="108" y="197"/>
            <a:ext cx="1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446"/>
          <xdr:cNvSpPr>
            <a:spLocks/>
          </xdr:cNvSpPr>
        </xdr:nvSpPr>
        <xdr:spPr>
          <a:xfrm rot="18900000">
            <a:off x="108" y="327"/>
            <a:ext cx="1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9" name="Group 447"/>
          <xdr:cNvGrpSpPr>
            <a:grpSpLocks/>
          </xdr:cNvGrpSpPr>
        </xdr:nvGrpSpPr>
        <xdr:grpSpPr>
          <a:xfrm>
            <a:off x="160" y="197"/>
            <a:ext cx="257" cy="129"/>
            <a:chOff x="160" y="197"/>
            <a:chExt cx="257" cy="129"/>
          </a:xfrm>
          <a:solidFill>
            <a:srgbClr val="FFFFFF"/>
          </a:solidFill>
        </xdr:grpSpPr>
        <xdr:sp>
          <xdr:nvSpPr>
            <xdr:cNvPr id="40" name="Rectangle 448"/>
            <xdr:cNvSpPr>
              <a:spLocks/>
            </xdr:cNvSpPr>
          </xdr:nvSpPr>
          <xdr:spPr>
            <a:xfrm>
              <a:off x="160" y="197"/>
              <a:ext cx="257" cy="129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" name="Rectangle 449" descr="ลายเส้นบางทแยงมุมขึ้น"/>
            <xdr:cNvSpPr>
              <a:spLocks/>
            </xdr:cNvSpPr>
          </xdr:nvSpPr>
          <xdr:spPr>
            <a:xfrm>
              <a:off x="270" y="243"/>
              <a:ext cx="38" cy="38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42" name="Group 450"/>
            <xdr:cNvGrpSpPr>
              <a:grpSpLocks/>
            </xdr:cNvGrpSpPr>
          </xdr:nvGrpSpPr>
          <xdr:grpSpPr>
            <a:xfrm>
              <a:off x="216" y="252"/>
              <a:ext cx="19" cy="19"/>
              <a:chOff x="240" y="359"/>
              <a:chExt cx="19" cy="19"/>
            </a:xfrm>
            <a:solidFill>
              <a:srgbClr val="FFFFFF"/>
            </a:solidFill>
          </xdr:grpSpPr>
          <xdr:sp>
            <xdr:nvSpPr>
              <xdr:cNvPr id="43" name="Line 451"/>
              <xdr:cNvSpPr>
                <a:spLocks/>
              </xdr:cNvSpPr>
            </xdr:nvSpPr>
            <xdr:spPr>
              <a:xfrm>
                <a:off x="240" y="369"/>
                <a:ext cx="1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4" name="Line 452"/>
              <xdr:cNvSpPr>
                <a:spLocks/>
              </xdr:cNvSpPr>
            </xdr:nvSpPr>
            <xdr:spPr>
              <a:xfrm rot="5400000">
                <a:off x="240" y="368"/>
                <a:ext cx="1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45" name="Group 453"/>
            <xdr:cNvGrpSpPr>
              <a:grpSpLocks/>
            </xdr:cNvGrpSpPr>
          </xdr:nvGrpSpPr>
          <xdr:grpSpPr>
            <a:xfrm>
              <a:off x="345" y="252"/>
              <a:ext cx="19" cy="19"/>
              <a:chOff x="240" y="359"/>
              <a:chExt cx="19" cy="19"/>
            </a:xfrm>
            <a:solidFill>
              <a:srgbClr val="FFFFFF"/>
            </a:solidFill>
          </xdr:grpSpPr>
          <xdr:sp>
            <xdr:nvSpPr>
              <xdr:cNvPr id="46" name="Line 454"/>
              <xdr:cNvSpPr>
                <a:spLocks/>
              </xdr:cNvSpPr>
            </xdr:nvSpPr>
            <xdr:spPr>
              <a:xfrm>
                <a:off x="240" y="369"/>
                <a:ext cx="1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7" name="Line 455"/>
              <xdr:cNvSpPr>
                <a:spLocks/>
              </xdr:cNvSpPr>
            </xdr:nvSpPr>
            <xdr:spPr>
              <a:xfrm rot="5400000">
                <a:off x="240" y="368"/>
                <a:ext cx="1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48" name="Line 456"/>
          <xdr:cNvSpPr>
            <a:spLocks/>
          </xdr:cNvSpPr>
        </xdr:nvSpPr>
        <xdr:spPr>
          <a:xfrm flipV="1">
            <a:off x="225" y="156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457"/>
          <xdr:cNvSpPr>
            <a:spLocks/>
          </xdr:cNvSpPr>
        </xdr:nvSpPr>
        <xdr:spPr>
          <a:xfrm flipV="1">
            <a:off x="354" y="156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458"/>
          <xdr:cNvSpPr>
            <a:spLocks/>
          </xdr:cNvSpPr>
        </xdr:nvSpPr>
        <xdr:spPr>
          <a:xfrm>
            <a:off x="114" y="262"/>
            <a:ext cx="1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333375</xdr:colOff>
      <xdr:row>79</xdr:row>
      <xdr:rowOff>190500</xdr:rowOff>
    </xdr:from>
    <xdr:ext cx="4762500" cy="3362325"/>
    <xdr:grpSp>
      <xdr:nvGrpSpPr>
        <xdr:cNvPr id="51" name="Group 459"/>
        <xdr:cNvGrpSpPr>
          <a:grpSpLocks/>
        </xdr:cNvGrpSpPr>
      </xdr:nvGrpSpPr>
      <xdr:grpSpPr>
        <a:xfrm>
          <a:off x="333375" y="21555075"/>
          <a:ext cx="4762500" cy="3362325"/>
          <a:chOff x="36" y="614"/>
          <a:chExt cx="500" cy="317"/>
        </a:xfrm>
        <a:solidFill>
          <a:srgbClr val="FFFFFF"/>
        </a:solidFill>
      </xdr:grpSpPr>
      <xdr:sp>
        <xdr:nvSpPr>
          <xdr:cNvPr id="52" name="Rectangle 460" descr="40%"/>
          <xdr:cNvSpPr>
            <a:spLocks/>
          </xdr:cNvSpPr>
        </xdr:nvSpPr>
        <xdr:spPr>
          <a:xfrm>
            <a:off x="160" y="810"/>
            <a:ext cx="257" cy="17"/>
          </a:xfrm>
          <a:prstGeom prst="rect">
            <a:avLst/>
          </a:prstGeom>
          <a:pattFill prst="pct40">
            <a:fgClr>
              <a:srgbClr val="808080"/>
            </a:fgClr>
            <a:bgClr>
              <a:srgbClr val="FFFFFF"/>
            </a:bgClr>
          </a:pattFill>
          <a:ln w="63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461" descr="5%"/>
          <xdr:cNvSpPr>
            <a:spLocks/>
          </xdr:cNvSpPr>
        </xdr:nvSpPr>
        <xdr:spPr>
          <a:xfrm>
            <a:off x="160" y="826"/>
            <a:ext cx="257" cy="17"/>
          </a:xfrm>
          <a:prstGeom prst="rect">
            <a:avLst/>
          </a:prstGeom>
          <a:pattFill prst="pct5">
            <a:fgClr>
              <a:srgbClr val="808080"/>
            </a:fgClr>
            <a:bgClr>
              <a:srgbClr val="FFFFFF"/>
            </a:bgClr>
          </a:pattFill>
          <a:ln w="63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462"/>
          <xdr:cNvSpPr>
            <a:spLocks/>
          </xdr:cNvSpPr>
        </xdr:nvSpPr>
        <xdr:spPr>
          <a:xfrm>
            <a:off x="59" y="649"/>
            <a:ext cx="35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463"/>
          <xdr:cNvSpPr>
            <a:spLocks/>
          </xdr:cNvSpPr>
        </xdr:nvSpPr>
        <xdr:spPr>
          <a:xfrm>
            <a:off x="160" y="756"/>
            <a:ext cx="257" cy="54"/>
          </a:xfrm>
          <a:prstGeom prst="rect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464"/>
          <xdr:cNvSpPr>
            <a:spLocks/>
          </xdr:cNvSpPr>
        </xdr:nvSpPr>
        <xdr:spPr>
          <a:xfrm>
            <a:off x="270" y="643"/>
            <a:ext cx="38" cy="113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465"/>
          <xdr:cNvSpPr>
            <a:spLocks/>
          </xdr:cNvSpPr>
        </xdr:nvSpPr>
        <xdr:spPr>
          <a:xfrm>
            <a:off x="271" y="753"/>
            <a:ext cx="37" cy="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466"/>
          <xdr:cNvSpPr>
            <a:spLocks/>
          </xdr:cNvSpPr>
        </xdr:nvSpPr>
        <xdr:spPr>
          <a:xfrm>
            <a:off x="271" y="637"/>
            <a:ext cx="37" cy="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467"/>
          <xdr:cNvSpPr>
            <a:spLocks/>
          </xdr:cNvSpPr>
        </xdr:nvSpPr>
        <xdr:spPr>
          <a:xfrm flipV="1">
            <a:off x="270" y="614"/>
            <a:ext cx="0" cy="2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468"/>
          <xdr:cNvSpPr>
            <a:spLocks/>
          </xdr:cNvSpPr>
        </xdr:nvSpPr>
        <xdr:spPr>
          <a:xfrm flipV="1">
            <a:off x="308" y="614"/>
            <a:ext cx="0" cy="2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469"/>
          <xdr:cNvSpPr>
            <a:spLocks/>
          </xdr:cNvSpPr>
        </xdr:nvSpPr>
        <xdr:spPr>
          <a:xfrm>
            <a:off x="263" y="621"/>
            <a:ext cx="54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470" descr="ลายทอผ้า"/>
          <xdr:cNvSpPr>
            <a:spLocks/>
          </xdr:cNvSpPr>
        </xdr:nvSpPr>
        <xdr:spPr>
          <a:xfrm>
            <a:off x="327" y="651"/>
            <a:ext cx="77" cy="11"/>
          </a:xfrm>
          <a:prstGeom prst="rect">
            <a:avLst/>
          </a:prstGeom>
          <a:pattFill prst="weave">
            <a:fgClr>
              <a:srgbClr val="000000"/>
            </a:fgClr>
            <a:bgClr>
              <a:srgbClr val="FFFFFF"/>
            </a:bgClr>
          </a:patt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471"/>
          <xdr:cNvSpPr>
            <a:spLocks/>
          </xdr:cNvSpPr>
        </xdr:nvSpPr>
        <xdr:spPr>
          <a:xfrm flipH="1">
            <a:off x="135" y="797"/>
            <a:ext cx="2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472"/>
          <xdr:cNvSpPr>
            <a:spLocks/>
          </xdr:cNvSpPr>
        </xdr:nvSpPr>
        <xdr:spPr>
          <a:xfrm flipH="1">
            <a:off x="60" y="810"/>
            <a:ext cx="9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473"/>
          <xdr:cNvSpPr>
            <a:spLocks/>
          </xdr:cNvSpPr>
        </xdr:nvSpPr>
        <xdr:spPr>
          <a:xfrm>
            <a:off x="141" y="791"/>
            <a:ext cx="0" cy="2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Text Box 474"/>
          <xdr:cNvSpPr txBox="1">
            <a:spLocks noChangeArrowheads="1"/>
          </xdr:cNvSpPr>
        </xdr:nvSpPr>
        <xdr:spPr>
          <a:xfrm>
            <a:off x="110" y="791"/>
            <a:ext cx="25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45720" rIns="18288" bIns="0">
            <a:spAutoFit/>
          </a:bodyPr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0.05</a:t>
            </a:r>
          </a:p>
        </xdr:txBody>
      </xdr:sp>
      <xdr:sp>
        <xdr:nvSpPr>
          <xdr:cNvPr id="67" name="Line 475"/>
          <xdr:cNvSpPr>
            <a:spLocks/>
          </xdr:cNvSpPr>
        </xdr:nvSpPr>
        <xdr:spPr>
          <a:xfrm flipH="1">
            <a:off x="101" y="756"/>
            <a:ext cx="5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476"/>
          <xdr:cNvSpPr>
            <a:spLocks/>
          </xdr:cNvSpPr>
        </xdr:nvSpPr>
        <xdr:spPr>
          <a:xfrm>
            <a:off x="106" y="749"/>
            <a:ext cx="0" cy="67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477"/>
          <xdr:cNvSpPr>
            <a:spLocks/>
          </xdr:cNvSpPr>
        </xdr:nvSpPr>
        <xdr:spPr>
          <a:xfrm>
            <a:off x="66" y="643"/>
            <a:ext cx="0" cy="20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Text Box 478"/>
          <xdr:cNvSpPr txBox="1">
            <a:spLocks noChangeArrowheads="1"/>
          </xdr:cNvSpPr>
        </xdr:nvSpPr>
        <xdr:spPr>
          <a:xfrm>
            <a:off x="334" y="629"/>
            <a:ext cx="60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45720" rIns="18288" bIns="0">
            <a:spAutoFit/>
          </a:bodyPr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ระดับดินเดิม</a:t>
            </a:r>
          </a:p>
        </xdr:txBody>
      </xdr:sp>
      <xdr:sp>
        <xdr:nvSpPr>
          <xdr:cNvPr id="71" name="Oval 479"/>
          <xdr:cNvSpPr>
            <a:spLocks/>
          </xdr:cNvSpPr>
        </xdr:nvSpPr>
        <xdr:spPr>
          <a:xfrm>
            <a:off x="172" y="794"/>
            <a:ext cx="4" cy="4"/>
          </a:xfrm>
          <a:prstGeom prst="ellipse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Oval 480"/>
          <xdr:cNvSpPr>
            <a:spLocks/>
          </xdr:cNvSpPr>
        </xdr:nvSpPr>
        <xdr:spPr>
          <a:xfrm>
            <a:off x="401" y="794"/>
            <a:ext cx="4" cy="4"/>
          </a:xfrm>
          <a:prstGeom prst="ellipse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Oval 481"/>
          <xdr:cNvSpPr>
            <a:spLocks/>
          </xdr:cNvSpPr>
        </xdr:nvSpPr>
        <xdr:spPr>
          <a:xfrm>
            <a:off x="287" y="794"/>
            <a:ext cx="4" cy="4"/>
          </a:xfrm>
          <a:prstGeom prst="ellipse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Oval 482"/>
          <xdr:cNvSpPr>
            <a:spLocks/>
          </xdr:cNvSpPr>
        </xdr:nvSpPr>
        <xdr:spPr>
          <a:xfrm>
            <a:off x="228" y="794"/>
            <a:ext cx="4" cy="4"/>
          </a:xfrm>
          <a:prstGeom prst="ellipse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Oval 483"/>
          <xdr:cNvSpPr>
            <a:spLocks/>
          </xdr:cNvSpPr>
        </xdr:nvSpPr>
        <xdr:spPr>
          <a:xfrm>
            <a:off x="258" y="794"/>
            <a:ext cx="4" cy="4"/>
          </a:xfrm>
          <a:prstGeom prst="ellipse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Oval 484"/>
          <xdr:cNvSpPr>
            <a:spLocks/>
          </xdr:cNvSpPr>
        </xdr:nvSpPr>
        <xdr:spPr>
          <a:xfrm>
            <a:off x="198" y="794"/>
            <a:ext cx="4" cy="4"/>
          </a:xfrm>
          <a:prstGeom prst="ellipse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Oval 485"/>
          <xdr:cNvSpPr>
            <a:spLocks/>
          </xdr:cNvSpPr>
        </xdr:nvSpPr>
        <xdr:spPr>
          <a:xfrm>
            <a:off x="346" y="794"/>
            <a:ext cx="4" cy="4"/>
          </a:xfrm>
          <a:prstGeom prst="ellipse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Oval 486"/>
          <xdr:cNvSpPr>
            <a:spLocks/>
          </xdr:cNvSpPr>
        </xdr:nvSpPr>
        <xdr:spPr>
          <a:xfrm>
            <a:off x="376" y="794"/>
            <a:ext cx="4" cy="4"/>
          </a:xfrm>
          <a:prstGeom prst="ellipse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Oval 487"/>
          <xdr:cNvSpPr>
            <a:spLocks/>
          </xdr:cNvSpPr>
        </xdr:nvSpPr>
        <xdr:spPr>
          <a:xfrm>
            <a:off x="316" y="794"/>
            <a:ext cx="4" cy="4"/>
          </a:xfrm>
          <a:prstGeom prst="ellipse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488"/>
          <xdr:cNvSpPr>
            <a:spLocks/>
          </xdr:cNvSpPr>
        </xdr:nvSpPr>
        <xdr:spPr>
          <a:xfrm>
            <a:off x="276" y="788"/>
            <a:ext cx="2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489"/>
          <xdr:cNvSpPr>
            <a:spLocks/>
          </xdr:cNvSpPr>
        </xdr:nvSpPr>
        <xdr:spPr>
          <a:xfrm>
            <a:off x="276" y="773"/>
            <a:ext cx="2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490"/>
          <xdr:cNvSpPr>
            <a:spLocks/>
          </xdr:cNvSpPr>
        </xdr:nvSpPr>
        <xdr:spPr>
          <a:xfrm>
            <a:off x="276" y="743"/>
            <a:ext cx="2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491"/>
          <xdr:cNvSpPr>
            <a:spLocks/>
          </xdr:cNvSpPr>
        </xdr:nvSpPr>
        <xdr:spPr>
          <a:xfrm>
            <a:off x="276" y="758"/>
            <a:ext cx="2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492"/>
          <xdr:cNvSpPr>
            <a:spLocks/>
          </xdr:cNvSpPr>
        </xdr:nvSpPr>
        <xdr:spPr>
          <a:xfrm>
            <a:off x="276" y="728"/>
            <a:ext cx="2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493"/>
          <xdr:cNvSpPr>
            <a:spLocks/>
          </xdr:cNvSpPr>
        </xdr:nvSpPr>
        <xdr:spPr>
          <a:xfrm>
            <a:off x="276" y="698"/>
            <a:ext cx="2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494"/>
          <xdr:cNvSpPr>
            <a:spLocks/>
          </xdr:cNvSpPr>
        </xdr:nvSpPr>
        <xdr:spPr>
          <a:xfrm>
            <a:off x="276" y="713"/>
            <a:ext cx="2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495"/>
          <xdr:cNvSpPr>
            <a:spLocks/>
          </xdr:cNvSpPr>
        </xdr:nvSpPr>
        <xdr:spPr>
          <a:xfrm>
            <a:off x="276" y="683"/>
            <a:ext cx="2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496"/>
          <xdr:cNvSpPr>
            <a:spLocks/>
          </xdr:cNvSpPr>
        </xdr:nvSpPr>
        <xdr:spPr>
          <a:xfrm>
            <a:off x="276" y="653"/>
            <a:ext cx="2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497"/>
          <xdr:cNvSpPr>
            <a:spLocks/>
          </xdr:cNvSpPr>
        </xdr:nvSpPr>
        <xdr:spPr>
          <a:xfrm>
            <a:off x="276" y="668"/>
            <a:ext cx="2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498"/>
          <xdr:cNvSpPr>
            <a:spLocks/>
          </xdr:cNvSpPr>
        </xdr:nvSpPr>
        <xdr:spPr>
          <a:xfrm rot="18900000">
            <a:off x="136" y="810"/>
            <a:ext cx="1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499"/>
          <xdr:cNvSpPr>
            <a:spLocks/>
          </xdr:cNvSpPr>
        </xdr:nvSpPr>
        <xdr:spPr>
          <a:xfrm rot="18900000">
            <a:off x="136" y="797"/>
            <a:ext cx="1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500"/>
          <xdr:cNvSpPr>
            <a:spLocks/>
          </xdr:cNvSpPr>
        </xdr:nvSpPr>
        <xdr:spPr>
          <a:xfrm rot="18900000">
            <a:off x="61" y="649"/>
            <a:ext cx="1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501"/>
          <xdr:cNvSpPr>
            <a:spLocks/>
          </xdr:cNvSpPr>
        </xdr:nvSpPr>
        <xdr:spPr>
          <a:xfrm rot="18900000">
            <a:off x="61" y="811"/>
            <a:ext cx="1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Line 502"/>
          <xdr:cNvSpPr>
            <a:spLocks/>
          </xdr:cNvSpPr>
        </xdr:nvSpPr>
        <xdr:spPr>
          <a:xfrm rot="18900000">
            <a:off x="101" y="756"/>
            <a:ext cx="1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Line 503"/>
          <xdr:cNvSpPr>
            <a:spLocks/>
          </xdr:cNvSpPr>
        </xdr:nvSpPr>
        <xdr:spPr>
          <a:xfrm rot="18900000">
            <a:off x="101" y="810"/>
            <a:ext cx="1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Line 504"/>
          <xdr:cNvSpPr>
            <a:spLocks/>
          </xdr:cNvSpPr>
        </xdr:nvSpPr>
        <xdr:spPr>
          <a:xfrm>
            <a:off x="160" y="827"/>
            <a:ext cx="257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Line 505"/>
          <xdr:cNvSpPr>
            <a:spLocks/>
          </xdr:cNvSpPr>
        </xdr:nvSpPr>
        <xdr:spPr>
          <a:xfrm>
            <a:off x="160" y="843"/>
            <a:ext cx="257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Line 506"/>
          <xdr:cNvSpPr>
            <a:spLocks/>
          </xdr:cNvSpPr>
        </xdr:nvSpPr>
        <xdr:spPr>
          <a:xfrm>
            <a:off x="59" y="827"/>
            <a:ext cx="1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507"/>
          <xdr:cNvSpPr>
            <a:spLocks/>
          </xdr:cNvSpPr>
        </xdr:nvSpPr>
        <xdr:spPr>
          <a:xfrm>
            <a:off x="58" y="843"/>
            <a:ext cx="1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508"/>
          <xdr:cNvSpPr>
            <a:spLocks/>
          </xdr:cNvSpPr>
        </xdr:nvSpPr>
        <xdr:spPr>
          <a:xfrm rot="18900000">
            <a:off x="61" y="827"/>
            <a:ext cx="1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Line 509"/>
          <xdr:cNvSpPr>
            <a:spLocks/>
          </xdr:cNvSpPr>
        </xdr:nvSpPr>
        <xdr:spPr>
          <a:xfrm rot="18900000">
            <a:off x="61" y="844"/>
            <a:ext cx="1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Text Box 510"/>
          <xdr:cNvSpPr txBox="1">
            <a:spLocks noChangeArrowheads="1"/>
          </xdr:cNvSpPr>
        </xdr:nvSpPr>
        <xdr:spPr>
          <a:xfrm>
            <a:off x="36" y="822"/>
            <a:ext cx="25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45720" rIns="18288" bIns="0">
            <a:spAutoFit/>
          </a:bodyPr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0.10</a:t>
            </a:r>
          </a:p>
        </xdr:txBody>
      </xdr:sp>
      <xdr:sp>
        <xdr:nvSpPr>
          <xdr:cNvPr id="103" name="Text Box 511"/>
          <xdr:cNvSpPr txBox="1">
            <a:spLocks noChangeArrowheads="1"/>
          </xdr:cNvSpPr>
        </xdr:nvSpPr>
        <xdr:spPr>
          <a:xfrm>
            <a:off x="36" y="806"/>
            <a:ext cx="25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45720" rIns="18288" bIns="0">
            <a:spAutoFit/>
          </a:bodyPr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0.10</a:t>
            </a:r>
          </a:p>
        </xdr:txBody>
      </xdr:sp>
      <xdr:sp>
        <xdr:nvSpPr>
          <xdr:cNvPr id="104" name="Text Box 512"/>
          <xdr:cNvSpPr txBox="1">
            <a:spLocks noChangeArrowheads="1"/>
          </xdr:cNvSpPr>
        </xdr:nvSpPr>
        <xdr:spPr>
          <a:xfrm>
            <a:off x="420" y="822"/>
            <a:ext cx="85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4572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ทรายหยาบอัดแน่น</a:t>
            </a:r>
          </a:p>
        </xdr:txBody>
      </xdr:sp>
      <xdr:sp>
        <xdr:nvSpPr>
          <xdr:cNvPr id="105" name="Text Box 513"/>
          <xdr:cNvSpPr txBox="1">
            <a:spLocks noChangeArrowheads="1"/>
          </xdr:cNvSpPr>
        </xdr:nvSpPr>
        <xdr:spPr>
          <a:xfrm>
            <a:off x="421" y="805"/>
            <a:ext cx="66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4572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คอนกรีตหยาบ</a:t>
            </a:r>
          </a:p>
        </xdr:txBody>
      </xdr:sp>
      <xdr:sp>
        <xdr:nvSpPr>
          <xdr:cNvPr id="106" name="Line 514"/>
          <xdr:cNvSpPr>
            <a:spLocks/>
          </xdr:cNvSpPr>
        </xdr:nvSpPr>
        <xdr:spPr>
          <a:xfrm rot="18900000">
            <a:off x="265" y="621"/>
            <a:ext cx="1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Line 515"/>
          <xdr:cNvSpPr>
            <a:spLocks/>
          </xdr:cNvSpPr>
        </xdr:nvSpPr>
        <xdr:spPr>
          <a:xfrm rot="18900000">
            <a:off x="303" y="621"/>
            <a:ext cx="1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516"/>
          <xdr:cNvSpPr>
            <a:spLocks/>
          </xdr:cNvSpPr>
        </xdr:nvSpPr>
        <xdr:spPr>
          <a:xfrm>
            <a:off x="208" y="801"/>
            <a:ext cx="34" cy="1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517"/>
          <xdr:cNvSpPr>
            <a:spLocks/>
          </xdr:cNvSpPr>
        </xdr:nvSpPr>
        <xdr:spPr>
          <a:xfrm>
            <a:off x="337" y="801"/>
            <a:ext cx="34" cy="1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518"/>
          <xdr:cNvSpPr>
            <a:spLocks/>
          </xdr:cNvSpPr>
        </xdr:nvSpPr>
        <xdr:spPr>
          <a:xfrm>
            <a:off x="203" y="923"/>
            <a:ext cx="43" cy="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519"/>
          <xdr:cNvSpPr>
            <a:spLocks/>
          </xdr:cNvSpPr>
        </xdr:nvSpPr>
        <xdr:spPr>
          <a:xfrm>
            <a:off x="333" y="923"/>
            <a:ext cx="43" cy="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Oval 524"/>
          <xdr:cNvSpPr>
            <a:spLocks/>
          </xdr:cNvSpPr>
        </xdr:nvSpPr>
        <xdr:spPr>
          <a:xfrm>
            <a:off x="172" y="766"/>
            <a:ext cx="4" cy="4"/>
          </a:xfrm>
          <a:prstGeom prst="ellipse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Oval 526"/>
          <xdr:cNvSpPr>
            <a:spLocks/>
          </xdr:cNvSpPr>
        </xdr:nvSpPr>
        <xdr:spPr>
          <a:xfrm>
            <a:off x="401" y="766"/>
            <a:ext cx="4" cy="4"/>
          </a:xfrm>
          <a:prstGeom prst="ellipse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95250</xdr:colOff>
      <xdr:row>19</xdr:row>
      <xdr:rowOff>219075</xdr:rowOff>
    </xdr:from>
    <xdr:ext cx="2000250" cy="1790700"/>
    <xdr:grpSp>
      <xdr:nvGrpSpPr>
        <xdr:cNvPr id="121" name="Group 529"/>
        <xdr:cNvGrpSpPr>
          <a:grpSpLocks/>
        </xdr:cNvGrpSpPr>
      </xdr:nvGrpSpPr>
      <xdr:grpSpPr>
        <a:xfrm>
          <a:off x="704850" y="5429250"/>
          <a:ext cx="2000250" cy="1790700"/>
          <a:chOff x="74" y="676"/>
          <a:chExt cx="210" cy="188"/>
        </a:xfrm>
        <a:solidFill>
          <a:srgbClr val="FFFFFF"/>
        </a:solidFill>
      </xdr:grpSpPr>
      <xdr:sp>
        <xdr:nvSpPr>
          <xdr:cNvPr id="122" name="Rectangle 530"/>
          <xdr:cNvSpPr>
            <a:spLocks/>
          </xdr:cNvSpPr>
        </xdr:nvSpPr>
        <xdr:spPr>
          <a:xfrm>
            <a:off x="74" y="757"/>
            <a:ext cx="210" cy="2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531"/>
          <xdr:cNvSpPr>
            <a:spLocks/>
          </xdr:cNvSpPr>
        </xdr:nvSpPr>
        <xdr:spPr>
          <a:xfrm>
            <a:off x="161" y="722"/>
            <a:ext cx="36" cy="3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Line 532"/>
          <xdr:cNvSpPr>
            <a:spLocks/>
          </xdr:cNvSpPr>
        </xdr:nvSpPr>
        <xdr:spPr>
          <a:xfrm>
            <a:off x="179" y="676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534"/>
          <xdr:cNvSpPr>
            <a:spLocks/>
          </xdr:cNvSpPr>
        </xdr:nvSpPr>
        <xdr:spPr>
          <a:xfrm>
            <a:off x="162" y="753"/>
            <a:ext cx="35" cy="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Line 535"/>
          <xdr:cNvSpPr>
            <a:spLocks/>
          </xdr:cNvSpPr>
        </xdr:nvSpPr>
        <xdr:spPr>
          <a:xfrm flipV="1">
            <a:off x="95" y="786"/>
            <a:ext cx="0" cy="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536"/>
          <xdr:cNvSpPr>
            <a:spLocks/>
          </xdr:cNvSpPr>
        </xdr:nvSpPr>
        <xdr:spPr>
          <a:xfrm flipV="1">
            <a:off x="263" y="786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537"/>
          <xdr:cNvSpPr>
            <a:spLocks/>
          </xdr:cNvSpPr>
        </xdr:nvSpPr>
        <xdr:spPr>
          <a:xfrm>
            <a:off x="197" y="791"/>
            <a:ext cx="0" cy="3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Line 538"/>
          <xdr:cNvSpPr>
            <a:spLocks/>
          </xdr:cNvSpPr>
        </xdr:nvSpPr>
        <xdr:spPr>
          <a:xfrm>
            <a:off x="197" y="821"/>
            <a:ext cx="6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Line 539"/>
          <xdr:cNvSpPr>
            <a:spLocks/>
          </xdr:cNvSpPr>
        </xdr:nvSpPr>
        <xdr:spPr>
          <a:xfrm>
            <a:off x="95" y="837"/>
            <a:ext cx="0" cy="2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Line 540"/>
          <xdr:cNvSpPr>
            <a:spLocks/>
          </xdr:cNvSpPr>
        </xdr:nvSpPr>
        <xdr:spPr>
          <a:xfrm>
            <a:off x="95" y="857"/>
            <a:ext cx="16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Line 541"/>
          <xdr:cNvSpPr>
            <a:spLocks/>
          </xdr:cNvSpPr>
        </xdr:nvSpPr>
        <xdr:spPr>
          <a:xfrm>
            <a:off x="263" y="838"/>
            <a:ext cx="0" cy="2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Line 542"/>
          <xdr:cNvSpPr>
            <a:spLocks/>
          </xdr:cNvSpPr>
        </xdr:nvSpPr>
        <xdr:spPr>
          <a:xfrm>
            <a:off x="179" y="843"/>
            <a:ext cx="0" cy="1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57</xdr:row>
      <xdr:rowOff>209550</xdr:rowOff>
    </xdr:from>
    <xdr:ext cx="1038225" cy="895350"/>
    <xdr:grpSp>
      <xdr:nvGrpSpPr>
        <xdr:cNvPr id="135" name="Group 558"/>
        <xdr:cNvGrpSpPr>
          <a:grpSpLocks/>
        </xdr:cNvGrpSpPr>
      </xdr:nvGrpSpPr>
      <xdr:grpSpPr>
        <a:xfrm>
          <a:off x="771525" y="16125825"/>
          <a:ext cx="1038225" cy="895350"/>
          <a:chOff x="80" y="1294"/>
          <a:chExt cx="121" cy="97"/>
        </a:xfrm>
        <a:solidFill>
          <a:srgbClr val="FFFFFF"/>
        </a:solidFill>
      </xdr:grpSpPr>
      <xdr:sp>
        <xdr:nvSpPr>
          <xdr:cNvPr id="136" name="Oval 559"/>
          <xdr:cNvSpPr>
            <a:spLocks/>
          </xdr:cNvSpPr>
        </xdr:nvSpPr>
        <xdr:spPr>
          <a:xfrm>
            <a:off x="80" y="1331"/>
            <a:ext cx="22" cy="2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Oval 560"/>
          <xdr:cNvSpPr>
            <a:spLocks/>
          </xdr:cNvSpPr>
        </xdr:nvSpPr>
        <xdr:spPr>
          <a:xfrm>
            <a:off x="179" y="1331"/>
            <a:ext cx="22" cy="2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561"/>
          <xdr:cNvSpPr>
            <a:spLocks/>
          </xdr:cNvSpPr>
        </xdr:nvSpPr>
        <xdr:spPr>
          <a:xfrm>
            <a:off x="91" y="1357"/>
            <a:ext cx="0" cy="2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562"/>
          <xdr:cNvSpPr>
            <a:spLocks/>
          </xdr:cNvSpPr>
        </xdr:nvSpPr>
        <xdr:spPr>
          <a:xfrm>
            <a:off x="190" y="1357"/>
            <a:ext cx="0" cy="2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Line 563"/>
          <xdr:cNvSpPr>
            <a:spLocks/>
          </xdr:cNvSpPr>
        </xdr:nvSpPr>
        <xdr:spPr>
          <a:xfrm>
            <a:off x="91" y="1379"/>
            <a:ext cx="99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oval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Line 564"/>
          <xdr:cNvSpPr>
            <a:spLocks/>
          </xdr:cNvSpPr>
        </xdr:nvSpPr>
        <xdr:spPr>
          <a:xfrm>
            <a:off x="102" y="1313"/>
            <a:ext cx="0" cy="2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Line 565"/>
          <xdr:cNvSpPr>
            <a:spLocks/>
          </xdr:cNvSpPr>
        </xdr:nvSpPr>
        <xdr:spPr>
          <a:xfrm>
            <a:off x="178" y="1313"/>
            <a:ext cx="0" cy="2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Line 566"/>
          <xdr:cNvSpPr>
            <a:spLocks/>
          </xdr:cNvSpPr>
        </xdr:nvSpPr>
        <xdr:spPr>
          <a:xfrm>
            <a:off x="102" y="1318"/>
            <a:ext cx="7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Text Box 567"/>
          <xdr:cNvSpPr txBox="1">
            <a:spLocks noChangeArrowheads="1"/>
          </xdr:cNvSpPr>
        </xdr:nvSpPr>
        <xdr:spPr>
          <a:xfrm>
            <a:off x="109" y="1356"/>
            <a:ext cx="65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50292" rIns="18288" bIns="0">
            <a:spAutoFit/>
          </a:bodyPr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s &lt; 30 cm</a:t>
            </a:r>
          </a:p>
        </xdr:txBody>
      </xdr:sp>
      <xdr:sp>
        <xdr:nvSpPr>
          <xdr:cNvPr id="145" name="Text Box 568"/>
          <xdr:cNvSpPr txBox="1">
            <a:spLocks noChangeArrowheads="1"/>
          </xdr:cNvSpPr>
        </xdr:nvSpPr>
        <xdr:spPr>
          <a:xfrm>
            <a:off x="123" y="1294"/>
            <a:ext cx="36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50292" rIns="18288" bIns="0">
            <a:spAutoFit/>
          </a:bodyPr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3 cm</a:t>
            </a:r>
          </a:p>
        </xdr:txBody>
      </xdr:sp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</xdr:row>
      <xdr:rowOff>104775</xdr:rowOff>
    </xdr:from>
    <xdr:to>
      <xdr:col>1</xdr:col>
      <xdr:colOff>19050</xdr:colOff>
      <xdr:row>9</xdr:row>
      <xdr:rowOff>219075</xdr:rowOff>
    </xdr:to>
    <xdr:sp>
      <xdr:nvSpPr>
        <xdr:cNvPr id="1" name="Line 375"/>
        <xdr:cNvSpPr>
          <a:spLocks/>
        </xdr:cNvSpPr>
      </xdr:nvSpPr>
      <xdr:spPr>
        <a:xfrm flipV="1">
          <a:off x="628650" y="1838325"/>
          <a:ext cx="0" cy="91440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571500</xdr:colOff>
      <xdr:row>18</xdr:row>
      <xdr:rowOff>28575</xdr:rowOff>
    </xdr:from>
    <xdr:ext cx="5219700" cy="3924300"/>
    <xdr:grpSp>
      <xdr:nvGrpSpPr>
        <xdr:cNvPr id="2" name="Group 243"/>
        <xdr:cNvGrpSpPr>
          <a:grpSpLocks/>
        </xdr:cNvGrpSpPr>
      </xdr:nvGrpSpPr>
      <xdr:grpSpPr>
        <a:xfrm>
          <a:off x="6410325" y="5114925"/>
          <a:ext cx="5219700" cy="3924300"/>
          <a:chOff x="60" y="537"/>
          <a:chExt cx="548" cy="412"/>
        </a:xfrm>
        <a:solidFill>
          <a:srgbClr val="FFFFFF"/>
        </a:solidFill>
      </xdr:grpSpPr>
      <xdr:sp>
        <xdr:nvSpPr>
          <xdr:cNvPr id="3" name="Rectangle 107" descr="10%"/>
          <xdr:cNvSpPr>
            <a:spLocks/>
          </xdr:cNvSpPr>
        </xdr:nvSpPr>
        <xdr:spPr>
          <a:xfrm>
            <a:off x="154" y="825"/>
            <a:ext cx="268" cy="21"/>
          </a:xfrm>
          <a:prstGeom prst="rect">
            <a:avLst/>
          </a:prstGeom>
          <a:pattFill prst="pct10">
            <a:fgClr>
              <a:srgbClr val="808080"/>
            </a:fgClr>
            <a:bgClr>
              <a:srgbClr val="FFFFFF"/>
            </a:bgClr>
          </a:patt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7" descr="60%"/>
          <xdr:cNvSpPr>
            <a:spLocks/>
          </xdr:cNvSpPr>
        </xdr:nvSpPr>
        <xdr:spPr>
          <a:xfrm>
            <a:off x="154" y="803"/>
            <a:ext cx="268" cy="21"/>
          </a:xfrm>
          <a:prstGeom prst="rect">
            <a:avLst/>
          </a:prstGeom>
          <a:pattFill prst="pct60">
            <a:fgClr>
              <a:srgbClr val="808080"/>
            </a:fgClr>
            <a:bgClr>
              <a:srgbClr val="FFFFFF"/>
            </a:bgClr>
          </a:patt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75"/>
          <xdr:cNvSpPr>
            <a:spLocks/>
          </xdr:cNvSpPr>
        </xdr:nvSpPr>
        <xdr:spPr>
          <a:xfrm>
            <a:off x="60" y="558"/>
            <a:ext cx="3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79"/>
          <xdr:cNvSpPr>
            <a:spLocks/>
          </xdr:cNvSpPr>
        </xdr:nvSpPr>
        <xdr:spPr>
          <a:xfrm>
            <a:off x="153" y="729"/>
            <a:ext cx="268" cy="7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80"/>
          <xdr:cNvSpPr>
            <a:spLocks/>
          </xdr:cNvSpPr>
        </xdr:nvSpPr>
        <xdr:spPr>
          <a:xfrm>
            <a:off x="269" y="541"/>
            <a:ext cx="38" cy="18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81"/>
          <xdr:cNvSpPr>
            <a:spLocks/>
          </xdr:cNvSpPr>
        </xdr:nvSpPr>
        <xdr:spPr>
          <a:xfrm>
            <a:off x="267" y="537"/>
            <a:ext cx="43" cy="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82"/>
          <xdr:cNvSpPr>
            <a:spLocks/>
          </xdr:cNvSpPr>
        </xdr:nvSpPr>
        <xdr:spPr>
          <a:xfrm>
            <a:off x="270" y="725"/>
            <a:ext cx="37" cy="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83" descr="ลายทอผ้า"/>
          <xdr:cNvSpPr>
            <a:spLocks/>
          </xdr:cNvSpPr>
        </xdr:nvSpPr>
        <xdr:spPr>
          <a:xfrm>
            <a:off x="331" y="560"/>
            <a:ext cx="98" cy="9"/>
          </a:xfrm>
          <a:prstGeom prst="rect">
            <a:avLst/>
          </a:prstGeom>
          <a:pattFill prst="weave">
            <a:fgClr>
              <a:srgbClr val="000000"/>
            </a:fgClr>
            <a:bgClr>
              <a:srgbClr val="FFFFFF"/>
            </a:bgClr>
          </a:patt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84"/>
          <xdr:cNvSpPr txBox="1">
            <a:spLocks noChangeArrowheads="1"/>
          </xdr:cNvSpPr>
        </xdr:nvSpPr>
        <xdr:spPr>
          <a:xfrm>
            <a:off x="350" y="538"/>
            <a:ext cx="60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45720" rIns="18288" bIns="0">
            <a:spAutoFit/>
          </a:bodyPr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ระดับดินเดิม</a:t>
            </a:r>
          </a:p>
        </xdr:txBody>
      </xdr:sp>
      <xdr:sp>
        <xdr:nvSpPr>
          <xdr:cNvPr id="13" name="Line 85"/>
          <xdr:cNvSpPr>
            <a:spLocks/>
          </xdr:cNvSpPr>
        </xdr:nvSpPr>
        <xdr:spPr>
          <a:xfrm>
            <a:off x="60" y="803"/>
            <a:ext cx="8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86"/>
          <xdr:cNvSpPr>
            <a:spLocks/>
          </xdr:cNvSpPr>
        </xdr:nvSpPr>
        <xdr:spPr>
          <a:xfrm>
            <a:off x="67" y="552"/>
            <a:ext cx="0" cy="258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87"/>
          <xdr:cNvSpPr>
            <a:spLocks/>
          </xdr:cNvSpPr>
        </xdr:nvSpPr>
        <xdr:spPr>
          <a:xfrm>
            <a:off x="99" y="729"/>
            <a:ext cx="49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93"/>
          <xdr:cNvSpPr>
            <a:spLocks/>
          </xdr:cNvSpPr>
        </xdr:nvSpPr>
        <xdr:spPr>
          <a:xfrm>
            <a:off x="132" y="790"/>
            <a:ext cx="1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94"/>
          <xdr:cNvSpPr>
            <a:spLocks/>
          </xdr:cNvSpPr>
        </xdr:nvSpPr>
        <xdr:spPr>
          <a:xfrm>
            <a:off x="138" y="786"/>
            <a:ext cx="0" cy="6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Text Box 95"/>
          <xdr:cNvSpPr txBox="1">
            <a:spLocks noChangeArrowheads="1"/>
          </xdr:cNvSpPr>
        </xdr:nvSpPr>
        <xdr:spPr>
          <a:xfrm>
            <a:off x="106" y="784"/>
            <a:ext cx="25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45720" rIns="18288" bIns="0">
            <a:spAutoFit/>
          </a:bodyPr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0.05</a:t>
            </a:r>
          </a:p>
        </xdr:txBody>
      </xdr:sp>
      <xdr:sp>
        <xdr:nvSpPr>
          <xdr:cNvPr id="20" name="Line 96"/>
          <xdr:cNvSpPr>
            <a:spLocks/>
          </xdr:cNvSpPr>
        </xdr:nvSpPr>
        <xdr:spPr>
          <a:xfrm>
            <a:off x="103" y="725"/>
            <a:ext cx="0" cy="8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99"/>
          <xdr:cNvSpPr>
            <a:spLocks/>
          </xdr:cNvSpPr>
        </xdr:nvSpPr>
        <xdr:spPr>
          <a:xfrm>
            <a:off x="153" y="846"/>
            <a:ext cx="26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100"/>
          <xdr:cNvSpPr>
            <a:spLocks/>
          </xdr:cNvSpPr>
        </xdr:nvSpPr>
        <xdr:spPr>
          <a:xfrm>
            <a:off x="153" y="824"/>
            <a:ext cx="26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101"/>
          <xdr:cNvSpPr>
            <a:spLocks/>
          </xdr:cNvSpPr>
        </xdr:nvSpPr>
        <xdr:spPr>
          <a:xfrm>
            <a:off x="131" y="824"/>
            <a:ext cx="1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104"/>
          <xdr:cNvSpPr>
            <a:spLocks/>
          </xdr:cNvSpPr>
        </xdr:nvSpPr>
        <xdr:spPr>
          <a:xfrm>
            <a:off x="131" y="846"/>
            <a:ext cx="1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Text Box 105"/>
          <xdr:cNvSpPr txBox="1">
            <a:spLocks noChangeArrowheads="1"/>
          </xdr:cNvSpPr>
        </xdr:nvSpPr>
        <xdr:spPr>
          <a:xfrm>
            <a:off x="106" y="801"/>
            <a:ext cx="25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45720" rIns="18288" bIns="0">
            <a:spAutoFit/>
          </a:bodyPr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0.10</a:t>
            </a:r>
          </a:p>
        </xdr:txBody>
      </xdr:sp>
      <xdr:sp>
        <xdr:nvSpPr>
          <xdr:cNvPr id="26" name="Text Box 108"/>
          <xdr:cNvSpPr txBox="1">
            <a:spLocks noChangeArrowheads="1"/>
          </xdr:cNvSpPr>
        </xdr:nvSpPr>
        <xdr:spPr>
          <a:xfrm>
            <a:off x="106" y="823"/>
            <a:ext cx="25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45720" rIns="18288" bIns="0">
            <a:spAutoFit/>
          </a:bodyPr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0.10</a:t>
            </a:r>
          </a:p>
        </xdr:txBody>
      </xdr:sp>
      <xdr:sp>
        <xdr:nvSpPr>
          <xdr:cNvPr id="27" name="Text Box 109"/>
          <xdr:cNvSpPr txBox="1">
            <a:spLocks noChangeArrowheads="1"/>
          </xdr:cNvSpPr>
        </xdr:nvSpPr>
        <xdr:spPr>
          <a:xfrm>
            <a:off x="433" y="800"/>
            <a:ext cx="68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45720" rIns="18288" bIns="0">
            <a:spAutoFit/>
          </a:bodyPr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คอนกรีตหยาบ</a:t>
            </a:r>
          </a:p>
        </xdr:txBody>
      </xdr:sp>
      <xdr:sp>
        <xdr:nvSpPr>
          <xdr:cNvPr id="28" name="Text Box 110"/>
          <xdr:cNvSpPr txBox="1">
            <a:spLocks noChangeArrowheads="1"/>
          </xdr:cNvSpPr>
        </xdr:nvSpPr>
        <xdr:spPr>
          <a:xfrm>
            <a:off x="434" y="822"/>
            <a:ext cx="87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45720" rIns="18288" bIns="0">
            <a:spAutoFit/>
          </a:bodyPr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ทรายหยาบอัดแน่น</a:t>
            </a:r>
          </a:p>
        </xdr:txBody>
      </xdr:sp>
      <xdr:sp>
        <xdr:nvSpPr>
          <xdr:cNvPr id="29" name="Rectangle 117"/>
          <xdr:cNvSpPr>
            <a:spLocks/>
          </xdr:cNvSpPr>
        </xdr:nvSpPr>
        <xdr:spPr>
          <a:xfrm>
            <a:off x="197" y="941"/>
            <a:ext cx="30" cy="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118"/>
          <xdr:cNvSpPr>
            <a:spLocks/>
          </xdr:cNvSpPr>
        </xdr:nvSpPr>
        <xdr:spPr>
          <a:xfrm>
            <a:off x="272" y="941"/>
            <a:ext cx="30" cy="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119"/>
          <xdr:cNvSpPr>
            <a:spLocks/>
          </xdr:cNvSpPr>
        </xdr:nvSpPr>
        <xdr:spPr>
          <a:xfrm>
            <a:off x="347" y="941"/>
            <a:ext cx="30" cy="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Oval 123"/>
          <xdr:cNvSpPr>
            <a:spLocks/>
          </xdr:cNvSpPr>
        </xdr:nvSpPr>
        <xdr:spPr>
          <a:xfrm>
            <a:off x="166" y="786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Oval 124"/>
          <xdr:cNvSpPr>
            <a:spLocks/>
          </xdr:cNvSpPr>
        </xdr:nvSpPr>
        <xdr:spPr>
          <a:xfrm>
            <a:off x="285" y="786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Oval 125"/>
          <xdr:cNvSpPr>
            <a:spLocks/>
          </xdr:cNvSpPr>
        </xdr:nvSpPr>
        <xdr:spPr>
          <a:xfrm>
            <a:off x="404" y="786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Oval 126"/>
          <xdr:cNvSpPr>
            <a:spLocks/>
          </xdr:cNvSpPr>
        </xdr:nvSpPr>
        <xdr:spPr>
          <a:xfrm>
            <a:off x="404" y="740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Oval 127"/>
          <xdr:cNvSpPr>
            <a:spLocks/>
          </xdr:cNvSpPr>
        </xdr:nvSpPr>
        <xdr:spPr>
          <a:xfrm>
            <a:off x="343" y="786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Oval 128"/>
          <xdr:cNvSpPr>
            <a:spLocks/>
          </xdr:cNvSpPr>
        </xdr:nvSpPr>
        <xdr:spPr>
          <a:xfrm>
            <a:off x="375" y="786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Oval 129"/>
          <xdr:cNvSpPr>
            <a:spLocks/>
          </xdr:cNvSpPr>
        </xdr:nvSpPr>
        <xdr:spPr>
          <a:xfrm>
            <a:off x="314" y="786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Oval 130"/>
          <xdr:cNvSpPr>
            <a:spLocks/>
          </xdr:cNvSpPr>
        </xdr:nvSpPr>
        <xdr:spPr>
          <a:xfrm>
            <a:off x="225" y="786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Oval 131"/>
          <xdr:cNvSpPr>
            <a:spLocks/>
          </xdr:cNvSpPr>
        </xdr:nvSpPr>
        <xdr:spPr>
          <a:xfrm>
            <a:off x="256" y="786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Oval 132"/>
          <xdr:cNvSpPr>
            <a:spLocks/>
          </xdr:cNvSpPr>
        </xdr:nvSpPr>
        <xdr:spPr>
          <a:xfrm>
            <a:off x="195" y="786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135"/>
          <xdr:cNvSpPr>
            <a:spLocks/>
          </xdr:cNvSpPr>
        </xdr:nvSpPr>
        <xdr:spPr>
          <a:xfrm>
            <a:off x="275" y="775"/>
            <a:ext cx="26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136"/>
          <xdr:cNvSpPr>
            <a:spLocks/>
          </xdr:cNvSpPr>
        </xdr:nvSpPr>
        <xdr:spPr>
          <a:xfrm>
            <a:off x="275" y="760"/>
            <a:ext cx="26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137"/>
          <xdr:cNvSpPr>
            <a:spLocks/>
          </xdr:cNvSpPr>
        </xdr:nvSpPr>
        <xdr:spPr>
          <a:xfrm>
            <a:off x="275" y="745"/>
            <a:ext cx="26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138"/>
          <xdr:cNvSpPr>
            <a:spLocks/>
          </xdr:cNvSpPr>
        </xdr:nvSpPr>
        <xdr:spPr>
          <a:xfrm>
            <a:off x="275" y="730"/>
            <a:ext cx="26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139"/>
          <xdr:cNvSpPr>
            <a:spLocks/>
          </xdr:cNvSpPr>
        </xdr:nvSpPr>
        <xdr:spPr>
          <a:xfrm>
            <a:off x="275" y="715"/>
            <a:ext cx="26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140"/>
          <xdr:cNvSpPr>
            <a:spLocks/>
          </xdr:cNvSpPr>
        </xdr:nvSpPr>
        <xdr:spPr>
          <a:xfrm>
            <a:off x="275" y="700"/>
            <a:ext cx="26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141"/>
          <xdr:cNvSpPr>
            <a:spLocks/>
          </xdr:cNvSpPr>
        </xdr:nvSpPr>
        <xdr:spPr>
          <a:xfrm>
            <a:off x="275" y="685"/>
            <a:ext cx="26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142"/>
          <xdr:cNvSpPr>
            <a:spLocks/>
          </xdr:cNvSpPr>
        </xdr:nvSpPr>
        <xdr:spPr>
          <a:xfrm>
            <a:off x="275" y="670"/>
            <a:ext cx="26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143"/>
          <xdr:cNvSpPr>
            <a:spLocks/>
          </xdr:cNvSpPr>
        </xdr:nvSpPr>
        <xdr:spPr>
          <a:xfrm>
            <a:off x="275" y="655"/>
            <a:ext cx="26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144"/>
          <xdr:cNvSpPr>
            <a:spLocks/>
          </xdr:cNvSpPr>
        </xdr:nvSpPr>
        <xdr:spPr>
          <a:xfrm>
            <a:off x="275" y="640"/>
            <a:ext cx="26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145"/>
          <xdr:cNvSpPr>
            <a:spLocks/>
          </xdr:cNvSpPr>
        </xdr:nvSpPr>
        <xdr:spPr>
          <a:xfrm>
            <a:off x="275" y="625"/>
            <a:ext cx="26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146"/>
          <xdr:cNvSpPr>
            <a:spLocks/>
          </xdr:cNvSpPr>
        </xdr:nvSpPr>
        <xdr:spPr>
          <a:xfrm>
            <a:off x="275" y="610"/>
            <a:ext cx="26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147"/>
          <xdr:cNvSpPr>
            <a:spLocks/>
          </xdr:cNvSpPr>
        </xdr:nvSpPr>
        <xdr:spPr>
          <a:xfrm>
            <a:off x="275" y="595"/>
            <a:ext cx="26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148"/>
          <xdr:cNvSpPr>
            <a:spLocks/>
          </xdr:cNvSpPr>
        </xdr:nvSpPr>
        <xdr:spPr>
          <a:xfrm>
            <a:off x="275" y="580"/>
            <a:ext cx="26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149"/>
          <xdr:cNvSpPr>
            <a:spLocks/>
          </xdr:cNvSpPr>
        </xdr:nvSpPr>
        <xdr:spPr>
          <a:xfrm>
            <a:off x="275" y="565"/>
            <a:ext cx="26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150"/>
          <xdr:cNvSpPr>
            <a:spLocks/>
          </xdr:cNvSpPr>
        </xdr:nvSpPr>
        <xdr:spPr>
          <a:xfrm>
            <a:off x="275" y="550"/>
            <a:ext cx="26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14"/>
          <xdr:cNvSpPr>
            <a:spLocks/>
          </xdr:cNvSpPr>
        </xdr:nvSpPr>
        <xdr:spPr>
          <a:xfrm>
            <a:off x="200" y="793"/>
            <a:ext cx="24" cy="1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15"/>
          <xdr:cNvSpPr>
            <a:spLocks/>
          </xdr:cNvSpPr>
        </xdr:nvSpPr>
        <xdr:spPr>
          <a:xfrm>
            <a:off x="275" y="793"/>
            <a:ext cx="24" cy="1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16"/>
          <xdr:cNvSpPr>
            <a:spLocks/>
          </xdr:cNvSpPr>
        </xdr:nvSpPr>
        <xdr:spPr>
          <a:xfrm>
            <a:off x="350" y="793"/>
            <a:ext cx="24" cy="1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237"/>
          <xdr:cNvSpPr>
            <a:spLocks/>
          </xdr:cNvSpPr>
        </xdr:nvSpPr>
        <xdr:spPr>
          <a:xfrm>
            <a:off x="213" y="876"/>
            <a:ext cx="39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238"/>
          <xdr:cNvSpPr>
            <a:spLocks/>
          </xdr:cNvSpPr>
        </xdr:nvSpPr>
        <xdr:spPr>
          <a:xfrm>
            <a:off x="285" y="876"/>
            <a:ext cx="94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239"/>
          <xdr:cNvSpPr>
            <a:spLocks/>
          </xdr:cNvSpPr>
        </xdr:nvSpPr>
        <xdr:spPr>
          <a:xfrm>
            <a:off x="359" y="876"/>
            <a:ext cx="94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9525</xdr:colOff>
      <xdr:row>6</xdr:row>
      <xdr:rowOff>19050</xdr:rowOff>
    </xdr:from>
    <xdr:ext cx="295275" cy="800100"/>
    <xdr:sp>
      <xdr:nvSpPr>
        <xdr:cNvPr id="69" name="Text Box 278"/>
        <xdr:cNvSpPr txBox="1">
          <a:spLocks noChangeArrowheads="1"/>
        </xdr:cNvSpPr>
      </xdr:nvSpPr>
      <xdr:spPr>
        <a:xfrm>
          <a:off x="2571750" y="1752600"/>
          <a:ext cx="2952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14300" rIns="45720" bIns="0">
          <a:spAutoFit/>
        </a:bodyPr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+</a:t>
          </a:r>
        </a:p>
      </xdr:txBody>
    </xdr:sp>
    <xdr:clientData/>
  </xdr:oneCellAnchor>
  <xdr:oneCellAnchor>
    <xdr:from>
      <xdr:col>3</xdr:col>
      <xdr:colOff>28575</xdr:colOff>
      <xdr:row>10</xdr:row>
      <xdr:rowOff>180975</xdr:rowOff>
    </xdr:from>
    <xdr:ext cx="295275" cy="800100"/>
    <xdr:sp>
      <xdr:nvSpPr>
        <xdr:cNvPr id="70" name="Text Box 279"/>
        <xdr:cNvSpPr txBox="1">
          <a:spLocks noChangeArrowheads="1"/>
        </xdr:cNvSpPr>
      </xdr:nvSpPr>
      <xdr:spPr>
        <a:xfrm>
          <a:off x="1857375" y="2990850"/>
          <a:ext cx="2952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14300" rIns="45720" bIns="0">
          <a:spAutoFit/>
        </a:bodyPr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+</a:t>
          </a:r>
        </a:p>
      </xdr:txBody>
    </xdr:sp>
    <xdr:clientData/>
  </xdr:oneCellAnchor>
  <xdr:oneCellAnchor>
    <xdr:from>
      <xdr:col>5</xdr:col>
      <xdr:colOff>361950</xdr:colOff>
      <xdr:row>10</xdr:row>
      <xdr:rowOff>180975</xdr:rowOff>
    </xdr:from>
    <xdr:ext cx="295275" cy="800100"/>
    <xdr:sp>
      <xdr:nvSpPr>
        <xdr:cNvPr id="71" name="Text Box 280"/>
        <xdr:cNvSpPr txBox="1">
          <a:spLocks noChangeArrowheads="1"/>
        </xdr:cNvSpPr>
      </xdr:nvSpPr>
      <xdr:spPr>
        <a:xfrm>
          <a:off x="3286125" y="2990850"/>
          <a:ext cx="2952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14300" rIns="45720" bIns="0">
          <a:spAutoFit/>
        </a:bodyPr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+</a:t>
          </a:r>
        </a:p>
      </xdr:txBody>
    </xdr:sp>
    <xdr:clientData/>
  </xdr:oneCellAnchor>
  <xdr:twoCellAnchor>
    <xdr:from>
      <xdr:col>4</xdr:col>
      <xdr:colOff>0</xdr:colOff>
      <xdr:row>9</xdr:row>
      <xdr:rowOff>228600</xdr:rowOff>
    </xdr:from>
    <xdr:to>
      <xdr:col>5</xdr:col>
      <xdr:colOff>0</xdr:colOff>
      <xdr:row>11</xdr:row>
      <xdr:rowOff>114300</xdr:rowOff>
    </xdr:to>
    <xdr:sp>
      <xdr:nvSpPr>
        <xdr:cNvPr id="72" name="Rectangle 287"/>
        <xdr:cNvSpPr>
          <a:spLocks/>
        </xdr:cNvSpPr>
      </xdr:nvSpPr>
      <xdr:spPr>
        <a:xfrm>
          <a:off x="2562225" y="2762250"/>
          <a:ext cx="36195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12</xdr:row>
      <xdr:rowOff>533400</xdr:rowOff>
    </xdr:from>
    <xdr:to>
      <xdr:col>8</xdr:col>
      <xdr:colOff>95250</xdr:colOff>
      <xdr:row>12</xdr:row>
      <xdr:rowOff>533400</xdr:rowOff>
    </xdr:to>
    <xdr:sp>
      <xdr:nvSpPr>
        <xdr:cNvPr id="73" name="Line 288"/>
        <xdr:cNvSpPr>
          <a:spLocks/>
        </xdr:cNvSpPr>
      </xdr:nvSpPr>
      <xdr:spPr>
        <a:xfrm>
          <a:off x="4171950" y="3819525"/>
          <a:ext cx="4572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5</xdr:row>
      <xdr:rowOff>114300</xdr:rowOff>
    </xdr:from>
    <xdr:to>
      <xdr:col>8</xdr:col>
      <xdr:colOff>38100</xdr:colOff>
      <xdr:row>12</xdr:row>
      <xdr:rowOff>590550</xdr:rowOff>
    </xdr:to>
    <xdr:sp>
      <xdr:nvSpPr>
        <xdr:cNvPr id="74" name="Line 289"/>
        <xdr:cNvSpPr>
          <a:spLocks/>
        </xdr:cNvSpPr>
      </xdr:nvSpPr>
      <xdr:spPr>
        <a:xfrm>
          <a:off x="4572000" y="1590675"/>
          <a:ext cx="0" cy="2286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5</xdr:row>
      <xdr:rowOff>171450</xdr:rowOff>
    </xdr:from>
    <xdr:to>
      <xdr:col>8</xdr:col>
      <xdr:colOff>95250</xdr:colOff>
      <xdr:row>5</xdr:row>
      <xdr:rowOff>171450</xdr:rowOff>
    </xdr:to>
    <xdr:sp>
      <xdr:nvSpPr>
        <xdr:cNvPr id="75" name="Line 290"/>
        <xdr:cNvSpPr>
          <a:spLocks/>
        </xdr:cNvSpPr>
      </xdr:nvSpPr>
      <xdr:spPr>
        <a:xfrm>
          <a:off x="4181475" y="1647825"/>
          <a:ext cx="447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12</xdr:row>
      <xdr:rowOff>66675</xdr:rowOff>
    </xdr:from>
    <xdr:to>
      <xdr:col>8</xdr:col>
      <xdr:colOff>38100</xdr:colOff>
      <xdr:row>12</xdr:row>
      <xdr:rowOff>66675</xdr:rowOff>
    </xdr:to>
    <xdr:sp>
      <xdr:nvSpPr>
        <xdr:cNvPr id="76" name="Line 291"/>
        <xdr:cNvSpPr>
          <a:spLocks/>
        </xdr:cNvSpPr>
      </xdr:nvSpPr>
      <xdr:spPr>
        <a:xfrm>
          <a:off x="4419600" y="3352800"/>
          <a:ext cx="152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7</xdr:row>
      <xdr:rowOff>104775</xdr:rowOff>
    </xdr:from>
    <xdr:to>
      <xdr:col>8</xdr:col>
      <xdr:colOff>38100</xdr:colOff>
      <xdr:row>7</xdr:row>
      <xdr:rowOff>104775</xdr:rowOff>
    </xdr:to>
    <xdr:sp>
      <xdr:nvSpPr>
        <xdr:cNvPr id="77" name="Line 292"/>
        <xdr:cNvSpPr>
          <a:spLocks/>
        </xdr:cNvSpPr>
      </xdr:nvSpPr>
      <xdr:spPr>
        <a:xfrm>
          <a:off x="4419600" y="2114550"/>
          <a:ext cx="152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10</xdr:row>
      <xdr:rowOff>133350</xdr:rowOff>
    </xdr:from>
    <xdr:to>
      <xdr:col>8</xdr:col>
      <xdr:colOff>38100</xdr:colOff>
      <xdr:row>10</xdr:row>
      <xdr:rowOff>133350</xdr:rowOff>
    </xdr:to>
    <xdr:sp>
      <xdr:nvSpPr>
        <xdr:cNvPr id="78" name="Line 293"/>
        <xdr:cNvSpPr>
          <a:spLocks/>
        </xdr:cNvSpPr>
      </xdr:nvSpPr>
      <xdr:spPr>
        <a:xfrm>
          <a:off x="4419600" y="2943225"/>
          <a:ext cx="152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12</xdr:row>
      <xdr:rowOff>581025</xdr:rowOff>
    </xdr:from>
    <xdr:to>
      <xdr:col>3</xdr:col>
      <xdr:colOff>190500</xdr:colOff>
      <xdr:row>15</xdr:row>
      <xdr:rowOff>57150</xdr:rowOff>
    </xdr:to>
    <xdr:sp>
      <xdr:nvSpPr>
        <xdr:cNvPr id="79" name="Line 294"/>
        <xdr:cNvSpPr>
          <a:spLocks/>
        </xdr:cNvSpPr>
      </xdr:nvSpPr>
      <xdr:spPr>
        <a:xfrm>
          <a:off x="2019300" y="3867150"/>
          <a:ext cx="0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523875</xdr:colOff>
      <xdr:row>12</xdr:row>
      <xdr:rowOff>581025</xdr:rowOff>
    </xdr:from>
    <xdr:to>
      <xdr:col>5</xdr:col>
      <xdr:colOff>523875</xdr:colOff>
      <xdr:row>15</xdr:row>
      <xdr:rowOff>57150</xdr:rowOff>
    </xdr:to>
    <xdr:sp>
      <xdr:nvSpPr>
        <xdr:cNvPr id="80" name="Line 295"/>
        <xdr:cNvSpPr>
          <a:spLocks/>
        </xdr:cNvSpPr>
      </xdr:nvSpPr>
      <xdr:spPr>
        <a:xfrm>
          <a:off x="3448050" y="3867150"/>
          <a:ext cx="0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14</xdr:row>
      <xdr:rowOff>228600</xdr:rowOff>
    </xdr:from>
    <xdr:to>
      <xdr:col>6</xdr:col>
      <xdr:colOff>0</xdr:colOff>
      <xdr:row>14</xdr:row>
      <xdr:rowOff>228600</xdr:rowOff>
    </xdr:to>
    <xdr:sp>
      <xdr:nvSpPr>
        <xdr:cNvPr id="81" name="Line 296"/>
        <xdr:cNvSpPr>
          <a:spLocks/>
        </xdr:cNvSpPr>
      </xdr:nvSpPr>
      <xdr:spPr>
        <a:xfrm>
          <a:off x="1943100" y="4295775"/>
          <a:ext cx="1590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14</xdr:row>
      <xdr:rowOff>104775</xdr:rowOff>
    </xdr:from>
    <xdr:to>
      <xdr:col>4</xdr:col>
      <xdr:colOff>180975</xdr:colOff>
      <xdr:row>14</xdr:row>
      <xdr:rowOff>228600</xdr:rowOff>
    </xdr:to>
    <xdr:sp>
      <xdr:nvSpPr>
        <xdr:cNvPr id="82" name="Line 297"/>
        <xdr:cNvSpPr>
          <a:spLocks/>
        </xdr:cNvSpPr>
      </xdr:nvSpPr>
      <xdr:spPr>
        <a:xfrm>
          <a:off x="2743200" y="4171950"/>
          <a:ext cx="0" cy="123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4</xdr:row>
      <xdr:rowOff>180975</xdr:rowOff>
    </xdr:from>
    <xdr:to>
      <xdr:col>3</xdr:col>
      <xdr:colOff>485775</xdr:colOff>
      <xdr:row>6</xdr:row>
      <xdr:rowOff>76200</xdr:rowOff>
    </xdr:to>
    <xdr:sp>
      <xdr:nvSpPr>
        <xdr:cNvPr id="83" name="Line 301"/>
        <xdr:cNvSpPr>
          <a:spLocks/>
        </xdr:cNvSpPr>
      </xdr:nvSpPr>
      <xdr:spPr>
        <a:xfrm flipV="1">
          <a:off x="2314575" y="1381125"/>
          <a:ext cx="0" cy="428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4</xdr:row>
      <xdr:rowOff>180975</xdr:rowOff>
    </xdr:from>
    <xdr:to>
      <xdr:col>5</xdr:col>
      <xdr:colOff>209550</xdr:colOff>
      <xdr:row>6</xdr:row>
      <xdr:rowOff>66675</xdr:rowOff>
    </xdr:to>
    <xdr:sp>
      <xdr:nvSpPr>
        <xdr:cNvPr id="84" name="Line 302"/>
        <xdr:cNvSpPr>
          <a:spLocks/>
        </xdr:cNvSpPr>
      </xdr:nvSpPr>
      <xdr:spPr>
        <a:xfrm flipV="1">
          <a:off x="3133725" y="1381125"/>
          <a:ext cx="0" cy="419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4</xdr:row>
      <xdr:rowOff>228600</xdr:rowOff>
    </xdr:from>
    <xdr:to>
      <xdr:col>5</xdr:col>
      <xdr:colOff>209550</xdr:colOff>
      <xdr:row>4</xdr:row>
      <xdr:rowOff>228600</xdr:rowOff>
    </xdr:to>
    <xdr:sp>
      <xdr:nvSpPr>
        <xdr:cNvPr id="85" name="Line 303"/>
        <xdr:cNvSpPr>
          <a:spLocks/>
        </xdr:cNvSpPr>
      </xdr:nvSpPr>
      <xdr:spPr>
        <a:xfrm>
          <a:off x="2314575" y="1428750"/>
          <a:ext cx="819150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9</xdr:row>
      <xdr:rowOff>228600</xdr:rowOff>
    </xdr:from>
    <xdr:to>
      <xdr:col>6</xdr:col>
      <xdr:colOff>114300</xdr:colOff>
      <xdr:row>9</xdr:row>
      <xdr:rowOff>228600</xdr:rowOff>
    </xdr:to>
    <xdr:sp>
      <xdr:nvSpPr>
        <xdr:cNvPr id="86" name="Line 371"/>
        <xdr:cNvSpPr>
          <a:spLocks/>
        </xdr:cNvSpPr>
      </xdr:nvSpPr>
      <xdr:spPr>
        <a:xfrm>
          <a:off x="1809750" y="27622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7</xdr:row>
      <xdr:rowOff>104775</xdr:rowOff>
    </xdr:from>
    <xdr:to>
      <xdr:col>3</xdr:col>
      <xdr:colOff>295275</xdr:colOff>
      <xdr:row>7</xdr:row>
      <xdr:rowOff>104775</xdr:rowOff>
    </xdr:to>
    <xdr:sp>
      <xdr:nvSpPr>
        <xdr:cNvPr id="87" name="Line 372"/>
        <xdr:cNvSpPr>
          <a:spLocks/>
        </xdr:cNvSpPr>
      </xdr:nvSpPr>
      <xdr:spPr>
        <a:xfrm>
          <a:off x="1171575" y="2114550"/>
          <a:ext cx="9525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9</xdr:row>
      <xdr:rowOff>228600</xdr:rowOff>
    </xdr:from>
    <xdr:to>
      <xdr:col>2</xdr:col>
      <xdr:colOff>533400</xdr:colOff>
      <xdr:row>9</xdr:row>
      <xdr:rowOff>228600</xdr:rowOff>
    </xdr:to>
    <xdr:sp>
      <xdr:nvSpPr>
        <xdr:cNvPr id="88" name="Line 373"/>
        <xdr:cNvSpPr>
          <a:spLocks/>
        </xdr:cNvSpPr>
      </xdr:nvSpPr>
      <xdr:spPr>
        <a:xfrm>
          <a:off x="552450" y="2762250"/>
          <a:ext cx="1200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2</xdr:col>
      <xdr:colOff>0</xdr:colOff>
      <xdr:row>9</xdr:row>
      <xdr:rowOff>228600</xdr:rowOff>
    </xdr:to>
    <xdr:sp>
      <xdr:nvSpPr>
        <xdr:cNvPr id="89" name="Line 374"/>
        <xdr:cNvSpPr>
          <a:spLocks/>
        </xdr:cNvSpPr>
      </xdr:nvSpPr>
      <xdr:spPr>
        <a:xfrm flipV="1">
          <a:off x="1219200" y="2114550"/>
          <a:ext cx="0" cy="64770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2</xdr:row>
      <xdr:rowOff>152400</xdr:rowOff>
    </xdr:from>
    <xdr:to>
      <xdr:col>2</xdr:col>
      <xdr:colOff>590550</xdr:colOff>
      <xdr:row>9</xdr:row>
      <xdr:rowOff>161925</xdr:rowOff>
    </xdr:to>
    <xdr:sp>
      <xdr:nvSpPr>
        <xdr:cNvPr id="90" name="Line 376"/>
        <xdr:cNvSpPr>
          <a:spLocks/>
        </xdr:cNvSpPr>
      </xdr:nvSpPr>
      <xdr:spPr>
        <a:xfrm flipV="1">
          <a:off x="1809750" y="800100"/>
          <a:ext cx="0" cy="1895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2</xdr:row>
      <xdr:rowOff>152400</xdr:rowOff>
    </xdr:from>
    <xdr:to>
      <xdr:col>6</xdr:col>
      <xdr:colOff>123825</xdr:colOff>
      <xdr:row>9</xdr:row>
      <xdr:rowOff>171450</xdr:rowOff>
    </xdr:to>
    <xdr:sp>
      <xdr:nvSpPr>
        <xdr:cNvPr id="91" name="Line 377"/>
        <xdr:cNvSpPr>
          <a:spLocks/>
        </xdr:cNvSpPr>
      </xdr:nvSpPr>
      <xdr:spPr>
        <a:xfrm flipV="1">
          <a:off x="3657600" y="800100"/>
          <a:ext cx="0" cy="1905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2</xdr:row>
      <xdr:rowOff>219075</xdr:rowOff>
    </xdr:from>
    <xdr:to>
      <xdr:col>6</xdr:col>
      <xdr:colOff>114300</xdr:colOff>
      <xdr:row>2</xdr:row>
      <xdr:rowOff>219075</xdr:rowOff>
    </xdr:to>
    <xdr:sp>
      <xdr:nvSpPr>
        <xdr:cNvPr id="92" name="Line 378"/>
        <xdr:cNvSpPr>
          <a:spLocks/>
        </xdr:cNvSpPr>
      </xdr:nvSpPr>
      <xdr:spPr>
        <a:xfrm>
          <a:off x="1809750" y="866775"/>
          <a:ext cx="1838325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6</xdr:row>
      <xdr:rowOff>19050</xdr:rowOff>
    </xdr:from>
    <xdr:to>
      <xdr:col>19</xdr:col>
      <xdr:colOff>114300</xdr:colOff>
      <xdr:row>15</xdr:row>
      <xdr:rowOff>57150</xdr:rowOff>
    </xdr:to>
    <xdr:grpSp>
      <xdr:nvGrpSpPr>
        <xdr:cNvPr id="93" name="Group 396"/>
        <xdr:cNvGrpSpPr>
          <a:grpSpLocks/>
        </xdr:cNvGrpSpPr>
      </xdr:nvGrpSpPr>
      <xdr:grpSpPr>
        <a:xfrm>
          <a:off x="7696200" y="1752600"/>
          <a:ext cx="2790825" cy="2609850"/>
          <a:chOff x="195" y="184"/>
          <a:chExt cx="293" cy="274"/>
        </a:xfrm>
        <a:solidFill>
          <a:srgbClr val="FFFFFF"/>
        </a:solidFill>
      </xdr:grpSpPr>
      <xdr:sp>
        <xdr:nvSpPr>
          <xdr:cNvPr id="94" name="Text Box 7"/>
          <xdr:cNvSpPr txBox="1">
            <a:spLocks noChangeArrowheads="1"/>
          </xdr:cNvSpPr>
        </xdr:nvSpPr>
        <xdr:spPr>
          <a:xfrm>
            <a:off x="270" y="184"/>
            <a:ext cx="31" cy="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114300" rIns="45720" bIns="0">
            <a:spAutoFit/>
          </a:bodyPr>
          <a:p>
            <a:pPr algn="ctr">
              <a:defRPr/>
            </a:pPr>
            <a:r>
              <a:rPr lang="en-US" cap="none" sz="3600" b="0" i="0" u="none" baseline="0">
                <a:solidFill>
                  <a:srgbClr val="000000"/>
                </a:solidFill>
              </a:rPr>
              <a:t>+</a:t>
            </a:r>
          </a:p>
        </xdr:txBody>
      </xdr:sp>
      <xdr:sp>
        <xdr:nvSpPr>
          <xdr:cNvPr id="95" name="Text Box 8"/>
          <xdr:cNvSpPr txBox="1">
            <a:spLocks noChangeArrowheads="1"/>
          </xdr:cNvSpPr>
        </xdr:nvSpPr>
        <xdr:spPr>
          <a:xfrm>
            <a:off x="195" y="314"/>
            <a:ext cx="31" cy="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114300" rIns="45720" bIns="0">
            <a:spAutoFit/>
          </a:bodyPr>
          <a:p>
            <a:pPr algn="ctr">
              <a:defRPr/>
            </a:pPr>
            <a:r>
              <a:rPr lang="en-US" cap="none" sz="3600" b="0" i="0" u="none" baseline="0">
                <a:solidFill>
                  <a:srgbClr val="000000"/>
                </a:solidFill>
              </a:rPr>
              <a:t>+</a:t>
            </a:r>
          </a:p>
        </xdr:txBody>
      </xdr:sp>
      <xdr:sp>
        <xdr:nvSpPr>
          <xdr:cNvPr id="96" name="Text Box 9"/>
          <xdr:cNvSpPr txBox="1">
            <a:spLocks noChangeArrowheads="1"/>
          </xdr:cNvSpPr>
        </xdr:nvSpPr>
        <xdr:spPr>
          <a:xfrm>
            <a:off x="345" y="314"/>
            <a:ext cx="31" cy="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114300" rIns="45720" bIns="0">
            <a:spAutoFit/>
          </a:bodyPr>
          <a:p>
            <a:pPr algn="ctr">
              <a:defRPr/>
            </a:pPr>
            <a:r>
              <a:rPr lang="en-US" cap="none" sz="3600" b="0" i="0" u="none" baseline="0">
                <a:solidFill>
                  <a:srgbClr val="000000"/>
                </a:solidFill>
              </a:rPr>
              <a:t>+</a:t>
            </a:r>
          </a:p>
        </xdr:txBody>
      </xdr:sp>
      <xdr:sp>
        <xdr:nvSpPr>
          <xdr:cNvPr id="97" name="Rectangle 31"/>
          <xdr:cNvSpPr>
            <a:spLocks/>
          </xdr:cNvSpPr>
        </xdr:nvSpPr>
        <xdr:spPr>
          <a:xfrm>
            <a:off x="269" y="290"/>
            <a:ext cx="38" cy="3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Line 42"/>
          <xdr:cNvSpPr>
            <a:spLocks/>
          </xdr:cNvSpPr>
        </xdr:nvSpPr>
        <xdr:spPr>
          <a:xfrm>
            <a:off x="404" y="401"/>
            <a:ext cx="84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43"/>
          <xdr:cNvSpPr>
            <a:spLocks/>
          </xdr:cNvSpPr>
        </xdr:nvSpPr>
        <xdr:spPr>
          <a:xfrm>
            <a:off x="480" y="168"/>
            <a:ext cx="0" cy="24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44"/>
          <xdr:cNvSpPr>
            <a:spLocks/>
          </xdr:cNvSpPr>
        </xdr:nvSpPr>
        <xdr:spPr>
          <a:xfrm>
            <a:off x="328" y="174"/>
            <a:ext cx="15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Line 45"/>
          <xdr:cNvSpPr>
            <a:spLocks/>
          </xdr:cNvSpPr>
        </xdr:nvSpPr>
        <xdr:spPr>
          <a:xfrm>
            <a:off x="464" y="352"/>
            <a:ext cx="1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Line 46"/>
          <xdr:cNvSpPr>
            <a:spLocks/>
          </xdr:cNvSpPr>
        </xdr:nvSpPr>
        <xdr:spPr>
          <a:xfrm>
            <a:off x="464" y="222"/>
            <a:ext cx="1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47"/>
          <xdr:cNvSpPr>
            <a:spLocks/>
          </xdr:cNvSpPr>
        </xdr:nvSpPr>
        <xdr:spPr>
          <a:xfrm>
            <a:off x="464" y="309"/>
            <a:ext cx="1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Line 50"/>
          <xdr:cNvSpPr>
            <a:spLocks/>
          </xdr:cNvSpPr>
        </xdr:nvSpPr>
        <xdr:spPr>
          <a:xfrm>
            <a:off x="212" y="406"/>
            <a:ext cx="0" cy="5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Line 51"/>
          <xdr:cNvSpPr>
            <a:spLocks/>
          </xdr:cNvSpPr>
        </xdr:nvSpPr>
        <xdr:spPr>
          <a:xfrm>
            <a:off x="362" y="406"/>
            <a:ext cx="0" cy="5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Line 52"/>
          <xdr:cNvSpPr>
            <a:spLocks/>
          </xdr:cNvSpPr>
        </xdr:nvSpPr>
        <xdr:spPr>
          <a:xfrm>
            <a:off x="204" y="451"/>
            <a:ext cx="167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Line 53"/>
          <xdr:cNvSpPr>
            <a:spLocks/>
          </xdr:cNvSpPr>
        </xdr:nvSpPr>
        <xdr:spPr>
          <a:xfrm>
            <a:off x="288" y="438"/>
            <a:ext cx="0" cy="1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Line 54"/>
          <xdr:cNvSpPr>
            <a:spLocks/>
          </xdr:cNvSpPr>
        </xdr:nvSpPr>
        <xdr:spPr>
          <a:xfrm rot="18000000">
            <a:off x="195" y="162"/>
            <a:ext cx="0" cy="16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Line 57"/>
          <xdr:cNvSpPr>
            <a:spLocks/>
          </xdr:cNvSpPr>
        </xdr:nvSpPr>
        <xdr:spPr>
          <a:xfrm rot="1800000">
            <a:off x="195" y="314"/>
            <a:ext cx="3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Line 58"/>
          <xdr:cNvSpPr>
            <a:spLocks/>
          </xdr:cNvSpPr>
        </xdr:nvSpPr>
        <xdr:spPr>
          <a:xfrm rot="1800000">
            <a:off x="203" y="185"/>
            <a:ext cx="37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64"/>
          <xdr:cNvSpPr>
            <a:spLocks/>
          </xdr:cNvSpPr>
        </xdr:nvSpPr>
        <xdr:spPr>
          <a:xfrm flipV="1">
            <a:off x="256" y="145"/>
            <a:ext cx="0" cy="2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Line 65"/>
          <xdr:cNvSpPr>
            <a:spLocks/>
          </xdr:cNvSpPr>
        </xdr:nvSpPr>
        <xdr:spPr>
          <a:xfrm flipV="1">
            <a:off x="317" y="145"/>
            <a:ext cx="0" cy="2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Line 66"/>
          <xdr:cNvSpPr>
            <a:spLocks/>
          </xdr:cNvSpPr>
        </xdr:nvSpPr>
        <xdr:spPr>
          <a:xfrm>
            <a:off x="249" y="151"/>
            <a:ext cx="74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485775</xdr:colOff>
      <xdr:row>6</xdr:row>
      <xdr:rowOff>104775</xdr:rowOff>
    </xdr:from>
    <xdr:to>
      <xdr:col>5</xdr:col>
      <xdr:colOff>209550</xdr:colOff>
      <xdr:row>6</xdr:row>
      <xdr:rowOff>104775</xdr:rowOff>
    </xdr:to>
    <xdr:sp>
      <xdr:nvSpPr>
        <xdr:cNvPr id="115" name="Line 409"/>
        <xdr:cNvSpPr>
          <a:spLocks/>
        </xdr:cNvSpPr>
      </xdr:nvSpPr>
      <xdr:spPr>
        <a:xfrm>
          <a:off x="2314575" y="18383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6</xdr:row>
      <xdr:rowOff>104775</xdr:rowOff>
    </xdr:from>
    <xdr:to>
      <xdr:col>3</xdr:col>
      <xdr:colOff>428625</xdr:colOff>
      <xdr:row>6</xdr:row>
      <xdr:rowOff>104775</xdr:rowOff>
    </xdr:to>
    <xdr:sp>
      <xdr:nvSpPr>
        <xdr:cNvPr id="116" name="Line 410"/>
        <xdr:cNvSpPr>
          <a:spLocks/>
        </xdr:cNvSpPr>
      </xdr:nvSpPr>
      <xdr:spPr>
        <a:xfrm>
          <a:off x="542925" y="1838325"/>
          <a:ext cx="17145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8</xdr:row>
      <xdr:rowOff>38100</xdr:rowOff>
    </xdr:from>
    <xdr:to>
      <xdr:col>5</xdr:col>
      <xdr:colOff>466725</xdr:colOff>
      <xdr:row>12</xdr:row>
      <xdr:rowOff>333375</xdr:rowOff>
    </xdr:to>
    <xdr:sp>
      <xdr:nvSpPr>
        <xdr:cNvPr id="117" name="Rectangle 411"/>
        <xdr:cNvSpPr>
          <a:spLocks/>
        </xdr:cNvSpPr>
      </xdr:nvSpPr>
      <xdr:spPr>
        <a:xfrm>
          <a:off x="2066925" y="2295525"/>
          <a:ext cx="1323975" cy="132397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8</xdr:row>
      <xdr:rowOff>38100</xdr:rowOff>
    </xdr:from>
    <xdr:to>
      <xdr:col>3</xdr:col>
      <xdr:colOff>180975</xdr:colOff>
      <xdr:row>8</xdr:row>
      <xdr:rowOff>38100</xdr:rowOff>
    </xdr:to>
    <xdr:sp>
      <xdr:nvSpPr>
        <xdr:cNvPr id="118" name="Line 412"/>
        <xdr:cNvSpPr>
          <a:spLocks/>
        </xdr:cNvSpPr>
      </xdr:nvSpPr>
      <xdr:spPr>
        <a:xfrm>
          <a:off x="1600200" y="2295525"/>
          <a:ext cx="409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8</xdr:row>
      <xdr:rowOff>38100</xdr:rowOff>
    </xdr:from>
    <xdr:to>
      <xdr:col>2</xdr:col>
      <xdr:colOff>428625</xdr:colOff>
      <xdr:row>9</xdr:row>
      <xdr:rowOff>228600</xdr:rowOff>
    </xdr:to>
    <xdr:sp>
      <xdr:nvSpPr>
        <xdr:cNvPr id="119" name="Line 413"/>
        <xdr:cNvSpPr>
          <a:spLocks/>
        </xdr:cNvSpPr>
      </xdr:nvSpPr>
      <xdr:spPr>
        <a:xfrm flipV="1">
          <a:off x="1647825" y="2295525"/>
          <a:ext cx="0" cy="466725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3</xdr:row>
      <xdr:rowOff>161925</xdr:rowOff>
    </xdr:from>
    <xdr:to>
      <xdr:col>3</xdr:col>
      <xdr:colOff>228600</xdr:colOff>
      <xdr:row>7</xdr:row>
      <xdr:rowOff>228600</xdr:rowOff>
    </xdr:to>
    <xdr:sp>
      <xdr:nvSpPr>
        <xdr:cNvPr id="120" name="Line 414"/>
        <xdr:cNvSpPr>
          <a:spLocks/>
        </xdr:cNvSpPr>
      </xdr:nvSpPr>
      <xdr:spPr>
        <a:xfrm flipV="1">
          <a:off x="2057400" y="1085850"/>
          <a:ext cx="0" cy="1152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3</xdr:row>
      <xdr:rowOff>219075</xdr:rowOff>
    </xdr:from>
    <xdr:to>
      <xdr:col>5</xdr:col>
      <xdr:colOff>466725</xdr:colOff>
      <xdr:row>3</xdr:row>
      <xdr:rowOff>219075</xdr:rowOff>
    </xdr:to>
    <xdr:sp>
      <xdr:nvSpPr>
        <xdr:cNvPr id="121" name="Line 415"/>
        <xdr:cNvSpPr>
          <a:spLocks/>
        </xdr:cNvSpPr>
      </xdr:nvSpPr>
      <xdr:spPr>
        <a:xfrm>
          <a:off x="2066925" y="1143000"/>
          <a:ext cx="1323975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3</xdr:row>
      <xdr:rowOff>142875</xdr:rowOff>
    </xdr:from>
    <xdr:to>
      <xdr:col>5</xdr:col>
      <xdr:colOff>466725</xdr:colOff>
      <xdr:row>7</xdr:row>
      <xdr:rowOff>209550</xdr:rowOff>
    </xdr:to>
    <xdr:sp>
      <xdr:nvSpPr>
        <xdr:cNvPr id="122" name="Line 416"/>
        <xdr:cNvSpPr>
          <a:spLocks/>
        </xdr:cNvSpPr>
      </xdr:nvSpPr>
      <xdr:spPr>
        <a:xfrm flipV="1">
          <a:off x="3390900" y="1066800"/>
          <a:ext cx="0" cy="1152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571500</xdr:colOff>
      <xdr:row>82</xdr:row>
      <xdr:rowOff>28575</xdr:rowOff>
    </xdr:from>
    <xdr:ext cx="5219700" cy="3924300"/>
    <xdr:grpSp>
      <xdr:nvGrpSpPr>
        <xdr:cNvPr id="123" name="Group 433"/>
        <xdr:cNvGrpSpPr>
          <a:grpSpLocks/>
        </xdr:cNvGrpSpPr>
      </xdr:nvGrpSpPr>
      <xdr:grpSpPr>
        <a:xfrm>
          <a:off x="571500" y="22336125"/>
          <a:ext cx="5219700" cy="3924300"/>
          <a:chOff x="60" y="537"/>
          <a:chExt cx="548" cy="412"/>
        </a:xfrm>
        <a:solidFill>
          <a:srgbClr val="FFFFFF"/>
        </a:solidFill>
      </xdr:grpSpPr>
      <xdr:sp>
        <xdr:nvSpPr>
          <xdr:cNvPr id="124" name="Rectangle 434" descr="10%"/>
          <xdr:cNvSpPr>
            <a:spLocks/>
          </xdr:cNvSpPr>
        </xdr:nvSpPr>
        <xdr:spPr>
          <a:xfrm>
            <a:off x="154" y="825"/>
            <a:ext cx="268" cy="21"/>
          </a:xfrm>
          <a:prstGeom prst="rect">
            <a:avLst/>
          </a:prstGeom>
          <a:pattFill prst="pct10">
            <a:fgClr>
              <a:srgbClr val="808080"/>
            </a:fgClr>
            <a:bgClr>
              <a:srgbClr val="FFFFFF"/>
            </a:bgClr>
          </a:patt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435" descr="60%"/>
          <xdr:cNvSpPr>
            <a:spLocks/>
          </xdr:cNvSpPr>
        </xdr:nvSpPr>
        <xdr:spPr>
          <a:xfrm>
            <a:off x="154" y="803"/>
            <a:ext cx="268" cy="21"/>
          </a:xfrm>
          <a:prstGeom prst="rect">
            <a:avLst/>
          </a:prstGeom>
          <a:pattFill prst="pct60">
            <a:fgClr>
              <a:srgbClr val="808080"/>
            </a:fgClr>
            <a:bgClr>
              <a:srgbClr val="FFFFFF"/>
            </a:bgClr>
          </a:patt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Line 436"/>
          <xdr:cNvSpPr>
            <a:spLocks/>
          </xdr:cNvSpPr>
        </xdr:nvSpPr>
        <xdr:spPr>
          <a:xfrm>
            <a:off x="60" y="558"/>
            <a:ext cx="3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37"/>
          <xdr:cNvSpPr>
            <a:spLocks/>
          </xdr:cNvSpPr>
        </xdr:nvSpPr>
        <xdr:spPr>
          <a:xfrm>
            <a:off x="153" y="729"/>
            <a:ext cx="268" cy="7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38"/>
          <xdr:cNvSpPr>
            <a:spLocks/>
          </xdr:cNvSpPr>
        </xdr:nvSpPr>
        <xdr:spPr>
          <a:xfrm>
            <a:off x="269" y="541"/>
            <a:ext cx="38" cy="18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39"/>
          <xdr:cNvSpPr>
            <a:spLocks/>
          </xdr:cNvSpPr>
        </xdr:nvSpPr>
        <xdr:spPr>
          <a:xfrm>
            <a:off x="267" y="537"/>
            <a:ext cx="43" cy="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Rectangle 441"/>
          <xdr:cNvSpPr>
            <a:spLocks/>
          </xdr:cNvSpPr>
        </xdr:nvSpPr>
        <xdr:spPr>
          <a:xfrm>
            <a:off x="270" y="725"/>
            <a:ext cx="37" cy="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Rectangle 442" descr="ลายทอผ้า"/>
          <xdr:cNvSpPr>
            <a:spLocks/>
          </xdr:cNvSpPr>
        </xdr:nvSpPr>
        <xdr:spPr>
          <a:xfrm>
            <a:off x="331" y="560"/>
            <a:ext cx="98" cy="9"/>
          </a:xfrm>
          <a:prstGeom prst="rect">
            <a:avLst/>
          </a:prstGeom>
          <a:pattFill prst="weave">
            <a:fgClr>
              <a:srgbClr val="000000"/>
            </a:fgClr>
            <a:bgClr>
              <a:srgbClr val="FFFFFF"/>
            </a:bgClr>
          </a:patt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Text Box 443"/>
          <xdr:cNvSpPr txBox="1">
            <a:spLocks noChangeArrowheads="1"/>
          </xdr:cNvSpPr>
        </xdr:nvSpPr>
        <xdr:spPr>
          <a:xfrm>
            <a:off x="350" y="538"/>
            <a:ext cx="60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45720" rIns="18288" bIns="0">
            <a:spAutoFit/>
          </a:bodyPr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ระดับดินเดิม</a:t>
            </a:r>
          </a:p>
        </xdr:txBody>
      </xdr:sp>
      <xdr:sp>
        <xdr:nvSpPr>
          <xdr:cNvPr id="134" name="Line 444"/>
          <xdr:cNvSpPr>
            <a:spLocks/>
          </xdr:cNvSpPr>
        </xdr:nvSpPr>
        <xdr:spPr>
          <a:xfrm>
            <a:off x="60" y="803"/>
            <a:ext cx="8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445"/>
          <xdr:cNvSpPr>
            <a:spLocks/>
          </xdr:cNvSpPr>
        </xdr:nvSpPr>
        <xdr:spPr>
          <a:xfrm>
            <a:off x="67" y="552"/>
            <a:ext cx="0" cy="258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Line 446"/>
          <xdr:cNvSpPr>
            <a:spLocks/>
          </xdr:cNvSpPr>
        </xdr:nvSpPr>
        <xdr:spPr>
          <a:xfrm>
            <a:off x="99" y="729"/>
            <a:ext cx="49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448"/>
          <xdr:cNvSpPr>
            <a:spLocks/>
          </xdr:cNvSpPr>
        </xdr:nvSpPr>
        <xdr:spPr>
          <a:xfrm>
            <a:off x="132" y="790"/>
            <a:ext cx="1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449"/>
          <xdr:cNvSpPr>
            <a:spLocks/>
          </xdr:cNvSpPr>
        </xdr:nvSpPr>
        <xdr:spPr>
          <a:xfrm>
            <a:off x="138" y="786"/>
            <a:ext cx="0" cy="6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Text Box 450"/>
          <xdr:cNvSpPr txBox="1">
            <a:spLocks noChangeArrowheads="1"/>
          </xdr:cNvSpPr>
        </xdr:nvSpPr>
        <xdr:spPr>
          <a:xfrm>
            <a:off x="106" y="784"/>
            <a:ext cx="25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45720" rIns="18288" bIns="0">
            <a:spAutoFit/>
          </a:bodyPr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0.05</a:t>
            </a:r>
          </a:p>
        </xdr:txBody>
      </xdr:sp>
      <xdr:sp>
        <xdr:nvSpPr>
          <xdr:cNvPr id="141" name="Line 451"/>
          <xdr:cNvSpPr>
            <a:spLocks/>
          </xdr:cNvSpPr>
        </xdr:nvSpPr>
        <xdr:spPr>
          <a:xfrm>
            <a:off x="103" y="725"/>
            <a:ext cx="0" cy="8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Line 452"/>
          <xdr:cNvSpPr>
            <a:spLocks/>
          </xdr:cNvSpPr>
        </xdr:nvSpPr>
        <xdr:spPr>
          <a:xfrm>
            <a:off x="153" y="846"/>
            <a:ext cx="26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Line 453"/>
          <xdr:cNvSpPr>
            <a:spLocks/>
          </xdr:cNvSpPr>
        </xdr:nvSpPr>
        <xdr:spPr>
          <a:xfrm>
            <a:off x="153" y="824"/>
            <a:ext cx="26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Line 454"/>
          <xdr:cNvSpPr>
            <a:spLocks/>
          </xdr:cNvSpPr>
        </xdr:nvSpPr>
        <xdr:spPr>
          <a:xfrm>
            <a:off x="131" y="824"/>
            <a:ext cx="1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Line 455"/>
          <xdr:cNvSpPr>
            <a:spLocks/>
          </xdr:cNvSpPr>
        </xdr:nvSpPr>
        <xdr:spPr>
          <a:xfrm>
            <a:off x="131" y="846"/>
            <a:ext cx="1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Text Box 456"/>
          <xdr:cNvSpPr txBox="1">
            <a:spLocks noChangeArrowheads="1"/>
          </xdr:cNvSpPr>
        </xdr:nvSpPr>
        <xdr:spPr>
          <a:xfrm>
            <a:off x="106" y="801"/>
            <a:ext cx="25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45720" rIns="18288" bIns="0">
            <a:spAutoFit/>
          </a:bodyPr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0.10</a:t>
            </a:r>
          </a:p>
        </xdr:txBody>
      </xdr:sp>
      <xdr:sp>
        <xdr:nvSpPr>
          <xdr:cNvPr id="147" name="Text Box 457"/>
          <xdr:cNvSpPr txBox="1">
            <a:spLocks noChangeArrowheads="1"/>
          </xdr:cNvSpPr>
        </xdr:nvSpPr>
        <xdr:spPr>
          <a:xfrm>
            <a:off x="106" y="823"/>
            <a:ext cx="25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45720" rIns="18288" bIns="0">
            <a:spAutoFit/>
          </a:bodyPr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0.10</a:t>
            </a:r>
          </a:p>
        </xdr:txBody>
      </xdr:sp>
      <xdr:sp>
        <xdr:nvSpPr>
          <xdr:cNvPr id="148" name="Text Box 458"/>
          <xdr:cNvSpPr txBox="1">
            <a:spLocks noChangeArrowheads="1"/>
          </xdr:cNvSpPr>
        </xdr:nvSpPr>
        <xdr:spPr>
          <a:xfrm>
            <a:off x="433" y="800"/>
            <a:ext cx="68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45720" rIns="18288" bIns="0">
            <a:spAutoFit/>
          </a:bodyPr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คอนกรีตหยาบ</a:t>
            </a:r>
          </a:p>
        </xdr:txBody>
      </xdr:sp>
      <xdr:sp>
        <xdr:nvSpPr>
          <xdr:cNvPr id="149" name="Text Box 459"/>
          <xdr:cNvSpPr txBox="1">
            <a:spLocks noChangeArrowheads="1"/>
          </xdr:cNvSpPr>
        </xdr:nvSpPr>
        <xdr:spPr>
          <a:xfrm>
            <a:off x="434" y="822"/>
            <a:ext cx="87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45720" rIns="18288" bIns="0">
            <a:spAutoFit/>
          </a:bodyPr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ทรายหยาบอัดแน่น</a:t>
            </a:r>
          </a:p>
        </xdr:txBody>
      </xdr:sp>
      <xdr:sp>
        <xdr:nvSpPr>
          <xdr:cNvPr id="150" name="Rectangle 460"/>
          <xdr:cNvSpPr>
            <a:spLocks/>
          </xdr:cNvSpPr>
        </xdr:nvSpPr>
        <xdr:spPr>
          <a:xfrm>
            <a:off x="197" y="941"/>
            <a:ext cx="30" cy="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461"/>
          <xdr:cNvSpPr>
            <a:spLocks/>
          </xdr:cNvSpPr>
        </xdr:nvSpPr>
        <xdr:spPr>
          <a:xfrm>
            <a:off x="272" y="941"/>
            <a:ext cx="30" cy="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462"/>
          <xdr:cNvSpPr>
            <a:spLocks/>
          </xdr:cNvSpPr>
        </xdr:nvSpPr>
        <xdr:spPr>
          <a:xfrm>
            <a:off x="347" y="941"/>
            <a:ext cx="30" cy="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Oval 463"/>
          <xdr:cNvSpPr>
            <a:spLocks/>
          </xdr:cNvSpPr>
        </xdr:nvSpPr>
        <xdr:spPr>
          <a:xfrm>
            <a:off x="166" y="786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Oval 464"/>
          <xdr:cNvSpPr>
            <a:spLocks/>
          </xdr:cNvSpPr>
        </xdr:nvSpPr>
        <xdr:spPr>
          <a:xfrm>
            <a:off x="285" y="786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Oval 465"/>
          <xdr:cNvSpPr>
            <a:spLocks/>
          </xdr:cNvSpPr>
        </xdr:nvSpPr>
        <xdr:spPr>
          <a:xfrm>
            <a:off x="404" y="786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Oval 466"/>
          <xdr:cNvSpPr>
            <a:spLocks/>
          </xdr:cNvSpPr>
        </xdr:nvSpPr>
        <xdr:spPr>
          <a:xfrm>
            <a:off x="404" y="740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Oval 467"/>
          <xdr:cNvSpPr>
            <a:spLocks/>
          </xdr:cNvSpPr>
        </xdr:nvSpPr>
        <xdr:spPr>
          <a:xfrm>
            <a:off x="343" y="786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Oval 468"/>
          <xdr:cNvSpPr>
            <a:spLocks/>
          </xdr:cNvSpPr>
        </xdr:nvSpPr>
        <xdr:spPr>
          <a:xfrm>
            <a:off x="375" y="786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Oval 469"/>
          <xdr:cNvSpPr>
            <a:spLocks/>
          </xdr:cNvSpPr>
        </xdr:nvSpPr>
        <xdr:spPr>
          <a:xfrm>
            <a:off x="314" y="786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Oval 470"/>
          <xdr:cNvSpPr>
            <a:spLocks/>
          </xdr:cNvSpPr>
        </xdr:nvSpPr>
        <xdr:spPr>
          <a:xfrm>
            <a:off x="225" y="786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Oval 471"/>
          <xdr:cNvSpPr>
            <a:spLocks/>
          </xdr:cNvSpPr>
        </xdr:nvSpPr>
        <xdr:spPr>
          <a:xfrm>
            <a:off x="256" y="786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Oval 472"/>
          <xdr:cNvSpPr>
            <a:spLocks/>
          </xdr:cNvSpPr>
        </xdr:nvSpPr>
        <xdr:spPr>
          <a:xfrm>
            <a:off x="195" y="786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Line 475"/>
          <xdr:cNvSpPr>
            <a:spLocks/>
          </xdr:cNvSpPr>
        </xdr:nvSpPr>
        <xdr:spPr>
          <a:xfrm>
            <a:off x="275" y="775"/>
            <a:ext cx="26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Line 476"/>
          <xdr:cNvSpPr>
            <a:spLocks/>
          </xdr:cNvSpPr>
        </xdr:nvSpPr>
        <xdr:spPr>
          <a:xfrm>
            <a:off x="275" y="760"/>
            <a:ext cx="26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Line 477"/>
          <xdr:cNvSpPr>
            <a:spLocks/>
          </xdr:cNvSpPr>
        </xdr:nvSpPr>
        <xdr:spPr>
          <a:xfrm>
            <a:off x="275" y="745"/>
            <a:ext cx="26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Line 478"/>
          <xdr:cNvSpPr>
            <a:spLocks/>
          </xdr:cNvSpPr>
        </xdr:nvSpPr>
        <xdr:spPr>
          <a:xfrm>
            <a:off x="275" y="730"/>
            <a:ext cx="26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Line 479"/>
          <xdr:cNvSpPr>
            <a:spLocks/>
          </xdr:cNvSpPr>
        </xdr:nvSpPr>
        <xdr:spPr>
          <a:xfrm>
            <a:off x="275" y="715"/>
            <a:ext cx="26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480"/>
          <xdr:cNvSpPr>
            <a:spLocks/>
          </xdr:cNvSpPr>
        </xdr:nvSpPr>
        <xdr:spPr>
          <a:xfrm>
            <a:off x="275" y="700"/>
            <a:ext cx="26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Line 481"/>
          <xdr:cNvSpPr>
            <a:spLocks/>
          </xdr:cNvSpPr>
        </xdr:nvSpPr>
        <xdr:spPr>
          <a:xfrm>
            <a:off x="275" y="685"/>
            <a:ext cx="26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Line 482"/>
          <xdr:cNvSpPr>
            <a:spLocks/>
          </xdr:cNvSpPr>
        </xdr:nvSpPr>
        <xdr:spPr>
          <a:xfrm>
            <a:off x="275" y="670"/>
            <a:ext cx="26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Line 483"/>
          <xdr:cNvSpPr>
            <a:spLocks/>
          </xdr:cNvSpPr>
        </xdr:nvSpPr>
        <xdr:spPr>
          <a:xfrm>
            <a:off x="275" y="655"/>
            <a:ext cx="26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Line 484"/>
          <xdr:cNvSpPr>
            <a:spLocks/>
          </xdr:cNvSpPr>
        </xdr:nvSpPr>
        <xdr:spPr>
          <a:xfrm>
            <a:off x="275" y="640"/>
            <a:ext cx="26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Line 485"/>
          <xdr:cNvSpPr>
            <a:spLocks/>
          </xdr:cNvSpPr>
        </xdr:nvSpPr>
        <xdr:spPr>
          <a:xfrm>
            <a:off x="275" y="625"/>
            <a:ext cx="26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486"/>
          <xdr:cNvSpPr>
            <a:spLocks/>
          </xdr:cNvSpPr>
        </xdr:nvSpPr>
        <xdr:spPr>
          <a:xfrm>
            <a:off x="275" y="610"/>
            <a:ext cx="26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Line 487"/>
          <xdr:cNvSpPr>
            <a:spLocks/>
          </xdr:cNvSpPr>
        </xdr:nvSpPr>
        <xdr:spPr>
          <a:xfrm>
            <a:off x="275" y="595"/>
            <a:ext cx="26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Line 488"/>
          <xdr:cNvSpPr>
            <a:spLocks/>
          </xdr:cNvSpPr>
        </xdr:nvSpPr>
        <xdr:spPr>
          <a:xfrm>
            <a:off x="275" y="580"/>
            <a:ext cx="26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Line 489"/>
          <xdr:cNvSpPr>
            <a:spLocks/>
          </xdr:cNvSpPr>
        </xdr:nvSpPr>
        <xdr:spPr>
          <a:xfrm>
            <a:off x="275" y="565"/>
            <a:ext cx="26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Line 490"/>
          <xdr:cNvSpPr>
            <a:spLocks/>
          </xdr:cNvSpPr>
        </xdr:nvSpPr>
        <xdr:spPr>
          <a:xfrm>
            <a:off x="275" y="550"/>
            <a:ext cx="26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494"/>
          <xdr:cNvSpPr>
            <a:spLocks/>
          </xdr:cNvSpPr>
        </xdr:nvSpPr>
        <xdr:spPr>
          <a:xfrm>
            <a:off x="200" y="793"/>
            <a:ext cx="24" cy="1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495"/>
          <xdr:cNvSpPr>
            <a:spLocks/>
          </xdr:cNvSpPr>
        </xdr:nvSpPr>
        <xdr:spPr>
          <a:xfrm>
            <a:off x="275" y="793"/>
            <a:ext cx="24" cy="1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496"/>
          <xdr:cNvSpPr>
            <a:spLocks/>
          </xdr:cNvSpPr>
        </xdr:nvSpPr>
        <xdr:spPr>
          <a:xfrm>
            <a:off x="350" y="793"/>
            <a:ext cx="24" cy="1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Line 497"/>
          <xdr:cNvSpPr>
            <a:spLocks/>
          </xdr:cNvSpPr>
        </xdr:nvSpPr>
        <xdr:spPr>
          <a:xfrm>
            <a:off x="213" y="876"/>
            <a:ext cx="39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Line 498"/>
          <xdr:cNvSpPr>
            <a:spLocks/>
          </xdr:cNvSpPr>
        </xdr:nvSpPr>
        <xdr:spPr>
          <a:xfrm>
            <a:off x="285" y="876"/>
            <a:ext cx="94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Line 499"/>
          <xdr:cNvSpPr>
            <a:spLocks/>
          </xdr:cNvSpPr>
        </xdr:nvSpPr>
        <xdr:spPr>
          <a:xfrm>
            <a:off x="359" y="876"/>
            <a:ext cx="94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3</xdr:col>
      <xdr:colOff>28575</xdr:colOff>
      <xdr:row>69</xdr:row>
      <xdr:rowOff>266700</xdr:rowOff>
    </xdr:from>
    <xdr:to>
      <xdr:col>8</xdr:col>
      <xdr:colOff>114300</xdr:colOff>
      <xdr:row>79</xdr:row>
      <xdr:rowOff>47625</xdr:rowOff>
    </xdr:to>
    <xdr:grpSp>
      <xdr:nvGrpSpPr>
        <xdr:cNvPr id="190" name="Group 500"/>
        <xdr:cNvGrpSpPr>
          <a:grpSpLocks/>
        </xdr:cNvGrpSpPr>
      </xdr:nvGrpSpPr>
      <xdr:grpSpPr>
        <a:xfrm>
          <a:off x="1857375" y="19097625"/>
          <a:ext cx="2790825" cy="2543175"/>
          <a:chOff x="195" y="184"/>
          <a:chExt cx="293" cy="274"/>
        </a:xfrm>
        <a:solidFill>
          <a:srgbClr val="FFFFFF"/>
        </a:solidFill>
      </xdr:grpSpPr>
      <xdr:sp>
        <xdr:nvSpPr>
          <xdr:cNvPr id="191" name="Text Box 501"/>
          <xdr:cNvSpPr txBox="1">
            <a:spLocks noChangeArrowheads="1"/>
          </xdr:cNvSpPr>
        </xdr:nvSpPr>
        <xdr:spPr>
          <a:xfrm>
            <a:off x="270" y="184"/>
            <a:ext cx="31" cy="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114300" rIns="45720" bIns="0">
            <a:spAutoFit/>
          </a:bodyPr>
          <a:p>
            <a:pPr algn="ctr">
              <a:defRPr/>
            </a:pPr>
            <a:r>
              <a:rPr lang="en-US" cap="none" sz="3600" b="0" i="0" u="none" baseline="0">
                <a:solidFill>
                  <a:srgbClr val="000000"/>
                </a:solidFill>
              </a:rPr>
              <a:t>+</a:t>
            </a:r>
          </a:p>
        </xdr:txBody>
      </xdr:sp>
      <xdr:sp>
        <xdr:nvSpPr>
          <xdr:cNvPr id="192" name="Text Box 502"/>
          <xdr:cNvSpPr txBox="1">
            <a:spLocks noChangeArrowheads="1"/>
          </xdr:cNvSpPr>
        </xdr:nvSpPr>
        <xdr:spPr>
          <a:xfrm>
            <a:off x="195" y="314"/>
            <a:ext cx="31" cy="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114300" rIns="45720" bIns="0">
            <a:spAutoFit/>
          </a:bodyPr>
          <a:p>
            <a:pPr algn="ctr">
              <a:defRPr/>
            </a:pPr>
            <a:r>
              <a:rPr lang="en-US" cap="none" sz="3600" b="0" i="0" u="none" baseline="0">
                <a:solidFill>
                  <a:srgbClr val="000000"/>
                </a:solidFill>
              </a:rPr>
              <a:t>+</a:t>
            </a:r>
          </a:p>
        </xdr:txBody>
      </xdr:sp>
      <xdr:sp>
        <xdr:nvSpPr>
          <xdr:cNvPr id="193" name="Text Box 503"/>
          <xdr:cNvSpPr txBox="1">
            <a:spLocks noChangeArrowheads="1"/>
          </xdr:cNvSpPr>
        </xdr:nvSpPr>
        <xdr:spPr>
          <a:xfrm>
            <a:off x="345" y="314"/>
            <a:ext cx="31" cy="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114300" rIns="45720" bIns="0">
            <a:spAutoFit/>
          </a:bodyPr>
          <a:p>
            <a:pPr algn="ctr">
              <a:defRPr/>
            </a:pPr>
            <a:r>
              <a:rPr lang="en-US" cap="none" sz="3600" b="0" i="0" u="none" baseline="0">
                <a:solidFill>
                  <a:srgbClr val="000000"/>
                </a:solidFill>
              </a:rPr>
              <a:t>+</a:t>
            </a:r>
          </a:p>
        </xdr:txBody>
      </xdr:sp>
      <xdr:sp>
        <xdr:nvSpPr>
          <xdr:cNvPr id="194" name="Rectangle 504"/>
          <xdr:cNvSpPr>
            <a:spLocks/>
          </xdr:cNvSpPr>
        </xdr:nvSpPr>
        <xdr:spPr>
          <a:xfrm>
            <a:off x="269" y="290"/>
            <a:ext cx="38" cy="3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Line 505"/>
          <xdr:cNvSpPr>
            <a:spLocks/>
          </xdr:cNvSpPr>
        </xdr:nvSpPr>
        <xdr:spPr>
          <a:xfrm>
            <a:off x="404" y="401"/>
            <a:ext cx="84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Line 506"/>
          <xdr:cNvSpPr>
            <a:spLocks/>
          </xdr:cNvSpPr>
        </xdr:nvSpPr>
        <xdr:spPr>
          <a:xfrm>
            <a:off x="480" y="168"/>
            <a:ext cx="0" cy="24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Line 507"/>
          <xdr:cNvSpPr>
            <a:spLocks/>
          </xdr:cNvSpPr>
        </xdr:nvSpPr>
        <xdr:spPr>
          <a:xfrm>
            <a:off x="328" y="174"/>
            <a:ext cx="15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Line 508"/>
          <xdr:cNvSpPr>
            <a:spLocks/>
          </xdr:cNvSpPr>
        </xdr:nvSpPr>
        <xdr:spPr>
          <a:xfrm>
            <a:off x="464" y="352"/>
            <a:ext cx="1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Line 509"/>
          <xdr:cNvSpPr>
            <a:spLocks/>
          </xdr:cNvSpPr>
        </xdr:nvSpPr>
        <xdr:spPr>
          <a:xfrm>
            <a:off x="464" y="222"/>
            <a:ext cx="1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Line 510"/>
          <xdr:cNvSpPr>
            <a:spLocks/>
          </xdr:cNvSpPr>
        </xdr:nvSpPr>
        <xdr:spPr>
          <a:xfrm>
            <a:off x="464" y="309"/>
            <a:ext cx="1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Line 511"/>
          <xdr:cNvSpPr>
            <a:spLocks/>
          </xdr:cNvSpPr>
        </xdr:nvSpPr>
        <xdr:spPr>
          <a:xfrm>
            <a:off x="212" y="406"/>
            <a:ext cx="0" cy="5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Line 512"/>
          <xdr:cNvSpPr>
            <a:spLocks/>
          </xdr:cNvSpPr>
        </xdr:nvSpPr>
        <xdr:spPr>
          <a:xfrm>
            <a:off x="362" y="406"/>
            <a:ext cx="0" cy="5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Line 513"/>
          <xdr:cNvSpPr>
            <a:spLocks/>
          </xdr:cNvSpPr>
        </xdr:nvSpPr>
        <xdr:spPr>
          <a:xfrm>
            <a:off x="204" y="451"/>
            <a:ext cx="167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Line 514"/>
          <xdr:cNvSpPr>
            <a:spLocks/>
          </xdr:cNvSpPr>
        </xdr:nvSpPr>
        <xdr:spPr>
          <a:xfrm>
            <a:off x="288" y="438"/>
            <a:ext cx="0" cy="1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Line 515"/>
          <xdr:cNvSpPr>
            <a:spLocks/>
          </xdr:cNvSpPr>
        </xdr:nvSpPr>
        <xdr:spPr>
          <a:xfrm rot="18000000">
            <a:off x="195" y="162"/>
            <a:ext cx="0" cy="16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Line 516"/>
          <xdr:cNvSpPr>
            <a:spLocks/>
          </xdr:cNvSpPr>
        </xdr:nvSpPr>
        <xdr:spPr>
          <a:xfrm rot="1800000">
            <a:off x="195" y="314"/>
            <a:ext cx="3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Line 517"/>
          <xdr:cNvSpPr>
            <a:spLocks/>
          </xdr:cNvSpPr>
        </xdr:nvSpPr>
        <xdr:spPr>
          <a:xfrm rot="1800000">
            <a:off x="203" y="185"/>
            <a:ext cx="37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Line 518"/>
          <xdr:cNvSpPr>
            <a:spLocks/>
          </xdr:cNvSpPr>
        </xdr:nvSpPr>
        <xdr:spPr>
          <a:xfrm flipV="1">
            <a:off x="256" y="145"/>
            <a:ext cx="0" cy="2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Line 519"/>
          <xdr:cNvSpPr>
            <a:spLocks/>
          </xdr:cNvSpPr>
        </xdr:nvSpPr>
        <xdr:spPr>
          <a:xfrm flipV="1">
            <a:off x="317" y="145"/>
            <a:ext cx="0" cy="2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Line 520"/>
          <xdr:cNvSpPr>
            <a:spLocks/>
          </xdr:cNvSpPr>
        </xdr:nvSpPr>
        <xdr:spPr>
          <a:xfrm>
            <a:off x="249" y="151"/>
            <a:ext cx="74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59</xdr:row>
      <xdr:rowOff>0</xdr:rowOff>
    </xdr:from>
    <xdr:ext cx="1038225" cy="895350"/>
    <xdr:grpSp>
      <xdr:nvGrpSpPr>
        <xdr:cNvPr id="1" name="Group 293"/>
        <xdr:cNvGrpSpPr>
          <a:grpSpLocks/>
        </xdr:cNvGrpSpPr>
      </xdr:nvGrpSpPr>
      <xdr:grpSpPr>
        <a:xfrm>
          <a:off x="771525" y="16535400"/>
          <a:ext cx="1038225" cy="895350"/>
          <a:chOff x="80" y="1294"/>
          <a:chExt cx="121" cy="97"/>
        </a:xfrm>
        <a:solidFill>
          <a:srgbClr val="FFFFFF"/>
        </a:solidFill>
      </xdr:grpSpPr>
      <xdr:sp>
        <xdr:nvSpPr>
          <xdr:cNvPr id="2" name="Oval 294"/>
          <xdr:cNvSpPr>
            <a:spLocks/>
          </xdr:cNvSpPr>
        </xdr:nvSpPr>
        <xdr:spPr>
          <a:xfrm>
            <a:off x="80" y="1331"/>
            <a:ext cx="22" cy="2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val 295"/>
          <xdr:cNvSpPr>
            <a:spLocks/>
          </xdr:cNvSpPr>
        </xdr:nvSpPr>
        <xdr:spPr>
          <a:xfrm>
            <a:off x="179" y="1331"/>
            <a:ext cx="22" cy="2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296"/>
          <xdr:cNvSpPr>
            <a:spLocks/>
          </xdr:cNvSpPr>
        </xdr:nvSpPr>
        <xdr:spPr>
          <a:xfrm>
            <a:off x="91" y="1357"/>
            <a:ext cx="0" cy="2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297"/>
          <xdr:cNvSpPr>
            <a:spLocks/>
          </xdr:cNvSpPr>
        </xdr:nvSpPr>
        <xdr:spPr>
          <a:xfrm>
            <a:off x="190" y="1357"/>
            <a:ext cx="0" cy="2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298"/>
          <xdr:cNvSpPr>
            <a:spLocks/>
          </xdr:cNvSpPr>
        </xdr:nvSpPr>
        <xdr:spPr>
          <a:xfrm>
            <a:off x="91" y="1379"/>
            <a:ext cx="99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oval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299"/>
          <xdr:cNvSpPr>
            <a:spLocks/>
          </xdr:cNvSpPr>
        </xdr:nvSpPr>
        <xdr:spPr>
          <a:xfrm>
            <a:off x="102" y="1313"/>
            <a:ext cx="0" cy="2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300"/>
          <xdr:cNvSpPr>
            <a:spLocks/>
          </xdr:cNvSpPr>
        </xdr:nvSpPr>
        <xdr:spPr>
          <a:xfrm>
            <a:off x="178" y="1313"/>
            <a:ext cx="0" cy="2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301"/>
          <xdr:cNvSpPr>
            <a:spLocks/>
          </xdr:cNvSpPr>
        </xdr:nvSpPr>
        <xdr:spPr>
          <a:xfrm>
            <a:off x="102" y="1318"/>
            <a:ext cx="7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Text Box 302"/>
          <xdr:cNvSpPr txBox="1">
            <a:spLocks noChangeArrowheads="1"/>
          </xdr:cNvSpPr>
        </xdr:nvSpPr>
        <xdr:spPr>
          <a:xfrm>
            <a:off x="109" y="1356"/>
            <a:ext cx="65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50292" rIns="18288" bIns="0">
            <a:spAutoFit/>
          </a:bodyPr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s &lt; 30 cm</a:t>
            </a:r>
          </a:p>
        </xdr:txBody>
      </xdr:sp>
      <xdr:sp>
        <xdr:nvSpPr>
          <xdr:cNvPr id="11" name="Text Box 303"/>
          <xdr:cNvSpPr txBox="1">
            <a:spLocks noChangeArrowheads="1"/>
          </xdr:cNvSpPr>
        </xdr:nvSpPr>
        <xdr:spPr>
          <a:xfrm>
            <a:off x="123" y="1294"/>
            <a:ext cx="36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50292" rIns="18288" bIns="0">
            <a:spAutoFit/>
          </a:bodyPr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3 cm</a:t>
            </a:r>
          </a:p>
        </xdr:txBody>
      </xdr:sp>
    </xdr:grpSp>
    <xdr:clientData/>
  </xdr:oneCellAnchor>
  <xdr:oneCellAnchor>
    <xdr:from>
      <xdr:col>1</xdr:col>
      <xdr:colOff>95250</xdr:colOff>
      <xdr:row>22</xdr:row>
      <xdr:rowOff>219075</xdr:rowOff>
    </xdr:from>
    <xdr:ext cx="2000250" cy="1790700"/>
    <xdr:grpSp>
      <xdr:nvGrpSpPr>
        <xdr:cNvPr id="12" name="Group 322"/>
        <xdr:cNvGrpSpPr>
          <a:grpSpLocks/>
        </xdr:cNvGrpSpPr>
      </xdr:nvGrpSpPr>
      <xdr:grpSpPr>
        <a:xfrm>
          <a:off x="704850" y="6324600"/>
          <a:ext cx="2000250" cy="1790700"/>
          <a:chOff x="74" y="676"/>
          <a:chExt cx="210" cy="188"/>
        </a:xfrm>
        <a:solidFill>
          <a:srgbClr val="FFFFFF"/>
        </a:solidFill>
      </xdr:grpSpPr>
      <xdr:sp>
        <xdr:nvSpPr>
          <xdr:cNvPr id="13" name="Rectangle 304"/>
          <xdr:cNvSpPr>
            <a:spLocks/>
          </xdr:cNvSpPr>
        </xdr:nvSpPr>
        <xdr:spPr>
          <a:xfrm>
            <a:off x="74" y="757"/>
            <a:ext cx="210" cy="2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305"/>
          <xdr:cNvSpPr>
            <a:spLocks/>
          </xdr:cNvSpPr>
        </xdr:nvSpPr>
        <xdr:spPr>
          <a:xfrm>
            <a:off x="161" y="722"/>
            <a:ext cx="36" cy="3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306"/>
          <xdr:cNvSpPr>
            <a:spLocks/>
          </xdr:cNvSpPr>
        </xdr:nvSpPr>
        <xdr:spPr>
          <a:xfrm>
            <a:off x="179" y="676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309"/>
          <xdr:cNvSpPr>
            <a:spLocks/>
          </xdr:cNvSpPr>
        </xdr:nvSpPr>
        <xdr:spPr>
          <a:xfrm>
            <a:off x="162" y="753"/>
            <a:ext cx="35" cy="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312"/>
          <xdr:cNvSpPr>
            <a:spLocks/>
          </xdr:cNvSpPr>
        </xdr:nvSpPr>
        <xdr:spPr>
          <a:xfrm flipV="1">
            <a:off x="95" y="786"/>
            <a:ext cx="0" cy="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313"/>
          <xdr:cNvSpPr>
            <a:spLocks/>
          </xdr:cNvSpPr>
        </xdr:nvSpPr>
        <xdr:spPr>
          <a:xfrm flipV="1">
            <a:off x="263" y="786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314"/>
          <xdr:cNvSpPr>
            <a:spLocks/>
          </xdr:cNvSpPr>
        </xdr:nvSpPr>
        <xdr:spPr>
          <a:xfrm>
            <a:off x="197" y="791"/>
            <a:ext cx="0" cy="3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315"/>
          <xdr:cNvSpPr>
            <a:spLocks/>
          </xdr:cNvSpPr>
        </xdr:nvSpPr>
        <xdr:spPr>
          <a:xfrm>
            <a:off x="197" y="821"/>
            <a:ext cx="6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318"/>
          <xdr:cNvSpPr>
            <a:spLocks/>
          </xdr:cNvSpPr>
        </xdr:nvSpPr>
        <xdr:spPr>
          <a:xfrm>
            <a:off x="95" y="837"/>
            <a:ext cx="0" cy="2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319"/>
          <xdr:cNvSpPr>
            <a:spLocks/>
          </xdr:cNvSpPr>
        </xdr:nvSpPr>
        <xdr:spPr>
          <a:xfrm>
            <a:off x="95" y="857"/>
            <a:ext cx="16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320"/>
          <xdr:cNvSpPr>
            <a:spLocks/>
          </xdr:cNvSpPr>
        </xdr:nvSpPr>
        <xdr:spPr>
          <a:xfrm>
            <a:off x="263" y="838"/>
            <a:ext cx="0" cy="2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321"/>
          <xdr:cNvSpPr>
            <a:spLocks/>
          </xdr:cNvSpPr>
        </xdr:nvSpPr>
        <xdr:spPr>
          <a:xfrm>
            <a:off x="179" y="843"/>
            <a:ext cx="0" cy="1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533400</xdr:colOff>
      <xdr:row>68</xdr:row>
      <xdr:rowOff>219075</xdr:rowOff>
    </xdr:from>
    <xdr:ext cx="2905125" cy="2857500"/>
    <xdr:grpSp>
      <xdr:nvGrpSpPr>
        <xdr:cNvPr id="26" name="Group 427"/>
        <xdr:cNvGrpSpPr>
          <a:grpSpLocks/>
        </xdr:cNvGrpSpPr>
      </xdr:nvGrpSpPr>
      <xdr:grpSpPr>
        <a:xfrm>
          <a:off x="1143000" y="18973800"/>
          <a:ext cx="2905125" cy="2857500"/>
          <a:chOff x="120" y="1994"/>
          <a:chExt cx="305" cy="300"/>
        </a:xfrm>
        <a:solidFill>
          <a:srgbClr val="FFFFFF"/>
        </a:solidFill>
      </xdr:grpSpPr>
      <xdr:sp>
        <xdr:nvSpPr>
          <xdr:cNvPr id="27" name="Line 324"/>
          <xdr:cNvSpPr>
            <a:spLocks/>
          </xdr:cNvSpPr>
        </xdr:nvSpPr>
        <xdr:spPr>
          <a:xfrm flipV="1">
            <a:off x="417" y="1995"/>
            <a:ext cx="0" cy="3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325"/>
          <xdr:cNvSpPr>
            <a:spLocks/>
          </xdr:cNvSpPr>
        </xdr:nvSpPr>
        <xdr:spPr>
          <a:xfrm>
            <a:off x="152" y="2000"/>
            <a:ext cx="27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326"/>
          <xdr:cNvSpPr>
            <a:spLocks/>
          </xdr:cNvSpPr>
        </xdr:nvSpPr>
        <xdr:spPr>
          <a:xfrm flipV="1">
            <a:off x="160" y="1994"/>
            <a:ext cx="0" cy="3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27"/>
          <xdr:cNvSpPr>
            <a:spLocks/>
          </xdr:cNvSpPr>
        </xdr:nvSpPr>
        <xdr:spPr>
          <a:xfrm rot="18900000">
            <a:off x="154" y="2000"/>
            <a:ext cx="1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28"/>
          <xdr:cNvSpPr>
            <a:spLocks/>
          </xdr:cNvSpPr>
        </xdr:nvSpPr>
        <xdr:spPr>
          <a:xfrm rot="18900000">
            <a:off x="411" y="2000"/>
            <a:ext cx="1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9"/>
          <xdr:cNvSpPr>
            <a:spLocks/>
          </xdr:cNvSpPr>
        </xdr:nvSpPr>
        <xdr:spPr>
          <a:xfrm>
            <a:off x="120" y="2031"/>
            <a:ext cx="3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0"/>
          <xdr:cNvSpPr>
            <a:spLocks/>
          </xdr:cNvSpPr>
        </xdr:nvSpPr>
        <xdr:spPr>
          <a:xfrm>
            <a:off x="128" y="2025"/>
            <a:ext cx="0" cy="26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31"/>
          <xdr:cNvSpPr>
            <a:spLocks/>
          </xdr:cNvSpPr>
        </xdr:nvSpPr>
        <xdr:spPr>
          <a:xfrm>
            <a:off x="120" y="2288"/>
            <a:ext cx="3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32"/>
          <xdr:cNvSpPr>
            <a:spLocks/>
          </xdr:cNvSpPr>
        </xdr:nvSpPr>
        <xdr:spPr>
          <a:xfrm rot="18900000">
            <a:off x="122" y="2031"/>
            <a:ext cx="1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33"/>
          <xdr:cNvSpPr>
            <a:spLocks/>
          </xdr:cNvSpPr>
        </xdr:nvSpPr>
        <xdr:spPr>
          <a:xfrm rot="18900000">
            <a:off x="122" y="2289"/>
            <a:ext cx="1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334"/>
          <xdr:cNvSpPr>
            <a:spLocks/>
          </xdr:cNvSpPr>
        </xdr:nvSpPr>
        <xdr:spPr>
          <a:xfrm>
            <a:off x="160" y="2031"/>
            <a:ext cx="257" cy="257"/>
          </a:xfrm>
          <a:prstGeom prst="rect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335" descr="ลายเส้นบางทแยงมุมขึ้น"/>
          <xdr:cNvSpPr>
            <a:spLocks/>
          </xdr:cNvSpPr>
        </xdr:nvSpPr>
        <xdr:spPr>
          <a:xfrm>
            <a:off x="270" y="2141"/>
            <a:ext cx="38" cy="38"/>
          </a:xfrm>
          <a:prstGeom prst="rect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36"/>
          <xdr:cNvSpPr>
            <a:spLocks/>
          </xdr:cNvSpPr>
        </xdr:nvSpPr>
        <xdr:spPr>
          <a:xfrm flipV="1">
            <a:off x="225" y="2000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337"/>
          <xdr:cNvSpPr>
            <a:spLocks/>
          </xdr:cNvSpPr>
        </xdr:nvSpPr>
        <xdr:spPr>
          <a:xfrm flipV="1">
            <a:off x="354" y="2000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338"/>
          <xdr:cNvSpPr>
            <a:spLocks/>
          </xdr:cNvSpPr>
        </xdr:nvSpPr>
        <xdr:spPr>
          <a:xfrm>
            <a:off x="128" y="2096"/>
            <a:ext cx="1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Text Box 339"/>
          <xdr:cNvSpPr txBox="1">
            <a:spLocks noChangeArrowheads="1"/>
          </xdr:cNvSpPr>
        </xdr:nvSpPr>
        <xdr:spPr>
          <a:xfrm>
            <a:off x="208" y="2058"/>
            <a:ext cx="31" cy="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114300" rIns="45720" bIns="0">
            <a:spAutoFit/>
          </a:bodyPr>
          <a:p>
            <a:pPr algn="ctr">
              <a:defRPr/>
            </a:pPr>
            <a:r>
              <a:rPr lang="en-US" cap="none" sz="3600" b="0" i="0" u="none" baseline="0">
                <a:solidFill>
                  <a:srgbClr val="000000"/>
                </a:solidFill>
              </a:rPr>
              <a:t>+</a:t>
            </a:r>
          </a:p>
        </xdr:txBody>
      </xdr:sp>
      <xdr:sp>
        <xdr:nvSpPr>
          <xdr:cNvPr id="43" name="Text Box 340"/>
          <xdr:cNvSpPr txBox="1">
            <a:spLocks noChangeArrowheads="1"/>
          </xdr:cNvSpPr>
        </xdr:nvSpPr>
        <xdr:spPr>
          <a:xfrm>
            <a:off x="337" y="2058"/>
            <a:ext cx="31" cy="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114300" rIns="45720" bIns="0">
            <a:spAutoFit/>
          </a:bodyPr>
          <a:p>
            <a:pPr algn="ctr">
              <a:defRPr/>
            </a:pPr>
            <a:r>
              <a:rPr lang="en-US" cap="none" sz="3600" b="0" i="0" u="none" baseline="0">
                <a:solidFill>
                  <a:srgbClr val="000000"/>
                </a:solidFill>
              </a:rPr>
              <a:t>+</a:t>
            </a:r>
          </a:p>
        </xdr:txBody>
      </xdr:sp>
      <xdr:sp>
        <xdr:nvSpPr>
          <xdr:cNvPr id="44" name="Text Box 341"/>
          <xdr:cNvSpPr txBox="1">
            <a:spLocks noChangeArrowheads="1"/>
          </xdr:cNvSpPr>
        </xdr:nvSpPr>
        <xdr:spPr>
          <a:xfrm>
            <a:off x="208" y="2187"/>
            <a:ext cx="31" cy="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114300" rIns="45720" bIns="0">
            <a:spAutoFit/>
          </a:bodyPr>
          <a:p>
            <a:pPr algn="ctr">
              <a:defRPr/>
            </a:pPr>
            <a:r>
              <a:rPr lang="en-US" cap="none" sz="3600" b="0" i="0" u="none" baseline="0">
                <a:solidFill>
                  <a:srgbClr val="000000"/>
                </a:solidFill>
              </a:rPr>
              <a:t>+</a:t>
            </a:r>
          </a:p>
        </xdr:txBody>
      </xdr:sp>
      <xdr:sp>
        <xdr:nvSpPr>
          <xdr:cNvPr id="45" name="Text Box 342"/>
          <xdr:cNvSpPr txBox="1">
            <a:spLocks noChangeArrowheads="1"/>
          </xdr:cNvSpPr>
        </xdr:nvSpPr>
        <xdr:spPr>
          <a:xfrm>
            <a:off x="337" y="2187"/>
            <a:ext cx="31" cy="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114300" rIns="45720" bIns="0">
            <a:spAutoFit/>
          </a:bodyPr>
          <a:p>
            <a:pPr algn="ctr">
              <a:defRPr/>
            </a:pPr>
            <a:r>
              <a:rPr lang="en-US" cap="none" sz="3600" b="0" i="0" u="none" baseline="0">
                <a:solidFill>
                  <a:srgbClr val="000000"/>
                </a:solidFill>
              </a:rPr>
              <a:t>+</a:t>
            </a:r>
          </a:p>
        </xdr:txBody>
      </xdr:sp>
      <xdr:sp>
        <xdr:nvSpPr>
          <xdr:cNvPr id="46" name="Line 343"/>
          <xdr:cNvSpPr>
            <a:spLocks/>
          </xdr:cNvSpPr>
        </xdr:nvSpPr>
        <xdr:spPr>
          <a:xfrm>
            <a:off x="128" y="2225"/>
            <a:ext cx="1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342900</xdr:colOff>
      <xdr:row>82</xdr:row>
      <xdr:rowOff>180975</xdr:rowOff>
    </xdr:from>
    <xdr:ext cx="4762500" cy="3362325"/>
    <xdr:grpSp>
      <xdr:nvGrpSpPr>
        <xdr:cNvPr id="47" name="Group 429"/>
        <xdr:cNvGrpSpPr>
          <a:grpSpLocks/>
        </xdr:cNvGrpSpPr>
      </xdr:nvGrpSpPr>
      <xdr:grpSpPr>
        <a:xfrm>
          <a:off x="342900" y="22688550"/>
          <a:ext cx="4762500" cy="3362325"/>
          <a:chOff x="36" y="2396"/>
          <a:chExt cx="500" cy="317"/>
        </a:xfrm>
        <a:solidFill>
          <a:srgbClr val="FFFFFF"/>
        </a:solidFill>
      </xdr:grpSpPr>
      <xdr:sp>
        <xdr:nvSpPr>
          <xdr:cNvPr id="48" name="Rectangle 345" descr="40%"/>
          <xdr:cNvSpPr>
            <a:spLocks/>
          </xdr:cNvSpPr>
        </xdr:nvSpPr>
        <xdr:spPr>
          <a:xfrm>
            <a:off x="160" y="2592"/>
            <a:ext cx="257" cy="17"/>
          </a:xfrm>
          <a:prstGeom prst="rect">
            <a:avLst/>
          </a:prstGeom>
          <a:pattFill prst="pct40">
            <a:fgClr>
              <a:srgbClr val="808080"/>
            </a:fgClr>
            <a:bgClr>
              <a:srgbClr val="FFFFFF"/>
            </a:bgClr>
          </a:pattFill>
          <a:ln w="63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346" descr="5%"/>
          <xdr:cNvSpPr>
            <a:spLocks/>
          </xdr:cNvSpPr>
        </xdr:nvSpPr>
        <xdr:spPr>
          <a:xfrm>
            <a:off x="160" y="2608"/>
            <a:ext cx="257" cy="17"/>
          </a:xfrm>
          <a:prstGeom prst="rect">
            <a:avLst/>
          </a:prstGeom>
          <a:pattFill prst="pct5">
            <a:fgClr>
              <a:srgbClr val="808080"/>
            </a:fgClr>
            <a:bgClr>
              <a:srgbClr val="FFFFFF"/>
            </a:bgClr>
          </a:pattFill>
          <a:ln w="63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347"/>
          <xdr:cNvSpPr>
            <a:spLocks/>
          </xdr:cNvSpPr>
        </xdr:nvSpPr>
        <xdr:spPr>
          <a:xfrm>
            <a:off x="59" y="2431"/>
            <a:ext cx="35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348"/>
          <xdr:cNvSpPr>
            <a:spLocks/>
          </xdr:cNvSpPr>
        </xdr:nvSpPr>
        <xdr:spPr>
          <a:xfrm>
            <a:off x="160" y="2538"/>
            <a:ext cx="257" cy="54"/>
          </a:xfrm>
          <a:prstGeom prst="rect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349"/>
          <xdr:cNvSpPr>
            <a:spLocks/>
          </xdr:cNvSpPr>
        </xdr:nvSpPr>
        <xdr:spPr>
          <a:xfrm>
            <a:off x="270" y="2425"/>
            <a:ext cx="38" cy="113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350"/>
          <xdr:cNvSpPr>
            <a:spLocks/>
          </xdr:cNvSpPr>
        </xdr:nvSpPr>
        <xdr:spPr>
          <a:xfrm>
            <a:off x="271" y="2535"/>
            <a:ext cx="37" cy="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351"/>
          <xdr:cNvSpPr>
            <a:spLocks/>
          </xdr:cNvSpPr>
        </xdr:nvSpPr>
        <xdr:spPr>
          <a:xfrm>
            <a:off x="271" y="2419"/>
            <a:ext cx="37" cy="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352"/>
          <xdr:cNvSpPr>
            <a:spLocks/>
          </xdr:cNvSpPr>
        </xdr:nvSpPr>
        <xdr:spPr>
          <a:xfrm flipV="1">
            <a:off x="270" y="2396"/>
            <a:ext cx="0" cy="2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353"/>
          <xdr:cNvSpPr>
            <a:spLocks/>
          </xdr:cNvSpPr>
        </xdr:nvSpPr>
        <xdr:spPr>
          <a:xfrm flipV="1">
            <a:off x="308" y="2396"/>
            <a:ext cx="0" cy="2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354"/>
          <xdr:cNvSpPr>
            <a:spLocks/>
          </xdr:cNvSpPr>
        </xdr:nvSpPr>
        <xdr:spPr>
          <a:xfrm>
            <a:off x="263" y="2403"/>
            <a:ext cx="54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355" descr="ลายทอผ้า"/>
          <xdr:cNvSpPr>
            <a:spLocks/>
          </xdr:cNvSpPr>
        </xdr:nvSpPr>
        <xdr:spPr>
          <a:xfrm>
            <a:off x="327" y="2433"/>
            <a:ext cx="77" cy="11"/>
          </a:xfrm>
          <a:prstGeom prst="rect">
            <a:avLst/>
          </a:prstGeom>
          <a:pattFill prst="weave">
            <a:fgClr>
              <a:srgbClr val="000000"/>
            </a:fgClr>
            <a:bgClr>
              <a:srgbClr val="FFFFFF"/>
            </a:bgClr>
          </a:patt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356"/>
          <xdr:cNvSpPr>
            <a:spLocks/>
          </xdr:cNvSpPr>
        </xdr:nvSpPr>
        <xdr:spPr>
          <a:xfrm flipH="1">
            <a:off x="135" y="2579"/>
            <a:ext cx="2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357"/>
          <xdr:cNvSpPr>
            <a:spLocks/>
          </xdr:cNvSpPr>
        </xdr:nvSpPr>
        <xdr:spPr>
          <a:xfrm flipH="1">
            <a:off x="60" y="2592"/>
            <a:ext cx="9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358"/>
          <xdr:cNvSpPr>
            <a:spLocks/>
          </xdr:cNvSpPr>
        </xdr:nvSpPr>
        <xdr:spPr>
          <a:xfrm>
            <a:off x="141" y="2573"/>
            <a:ext cx="0" cy="2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Text Box 359"/>
          <xdr:cNvSpPr txBox="1">
            <a:spLocks noChangeArrowheads="1"/>
          </xdr:cNvSpPr>
        </xdr:nvSpPr>
        <xdr:spPr>
          <a:xfrm>
            <a:off x="110" y="2573"/>
            <a:ext cx="25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45720" rIns="18288" bIns="0">
            <a:spAutoFit/>
          </a:bodyPr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0.05</a:t>
            </a:r>
          </a:p>
        </xdr:txBody>
      </xdr:sp>
      <xdr:sp>
        <xdr:nvSpPr>
          <xdr:cNvPr id="63" name="Line 360"/>
          <xdr:cNvSpPr>
            <a:spLocks/>
          </xdr:cNvSpPr>
        </xdr:nvSpPr>
        <xdr:spPr>
          <a:xfrm flipH="1">
            <a:off x="101" y="2538"/>
            <a:ext cx="5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361"/>
          <xdr:cNvSpPr>
            <a:spLocks/>
          </xdr:cNvSpPr>
        </xdr:nvSpPr>
        <xdr:spPr>
          <a:xfrm>
            <a:off x="106" y="2531"/>
            <a:ext cx="0" cy="67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362"/>
          <xdr:cNvSpPr>
            <a:spLocks/>
          </xdr:cNvSpPr>
        </xdr:nvSpPr>
        <xdr:spPr>
          <a:xfrm>
            <a:off x="66" y="2425"/>
            <a:ext cx="0" cy="20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Text Box 363"/>
          <xdr:cNvSpPr txBox="1">
            <a:spLocks noChangeArrowheads="1"/>
          </xdr:cNvSpPr>
        </xdr:nvSpPr>
        <xdr:spPr>
          <a:xfrm>
            <a:off x="334" y="2411"/>
            <a:ext cx="60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45720" rIns="18288" bIns="0">
            <a:spAutoFit/>
          </a:bodyPr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ระดับดินเดิม</a:t>
            </a:r>
          </a:p>
        </xdr:txBody>
      </xdr:sp>
      <xdr:sp>
        <xdr:nvSpPr>
          <xdr:cNvPr id="67" name="Oval 364"/>
          <xdr:cNvSpPr>
            <a:spLocks/>
          </xdr:cNvSpPr>
        </xdr:nvSpPr>
        <xdr:spPr>
          <a:xfrm>
            <a:off x="172" y="2576"/>
            <a:ext cx="4" cy="4"/>
          </a:xfrm>
          <a:prstGeom prst="ellipse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Oval 365"/>
          <xdr:cNvSpPr>
            <a:spLocks/>
          </xdr:cNvSpPr>
        </xdr:nvSpPr>
        <xdr:spPr>
          <a:xfrm>
            <a:off x="401" y="2576"/>
            <a:ext cx="4" cy="4"/>
          </a:xfrm>
          <a:prstGeom prst="ellipse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Oval 366"/>
          <xdr:cNvSpPr>
            <a:spLocks/>
          </xdr:cNvSpPr>
        </xdr:nvSpPr>
        <xdr:spPr>
          <a:xfrm>
            <a:off x="287" y="2576"/>
            <a:ext cx="4" cy="4"/>
          </a:xfrm>
          <a:prstGeom prst="ellipse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Oval 367"/>
          <xdr:cNvSpPr>
            <a:spLocks/>
          </xdr:cNvSpPr>
        </xdr:nvSpPr>
        <xdr:spPr>
          <a:xfrm>
            <a:off x="228" y="2576"/>
            <a:ext cx="4" cy="4"/>
          </a:xfrm>
          <a:prstGeom prst="ellipse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Oval 368"/>
          <xdr:cNvSpPr>
            <a:spLocks/>
          </xdr:cNvSpPr>
        </xdr:nvSpPr>
        <xdr:spPr>
          <a:xfrm>
            <a:off x="258" y="2576"/>
            <a:ext cx="4" cy="4"/>
          </a:xfrm>
          <a:prstGeom prst="ellipse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Oval 369"/>
          <xdr:cNvSpPr>
            <a:spLocks/>
          </xdr:cNvSpPr>
        </xdr:nvSpPr>
        <xdr:spPr>
          <a:xfrm>
            <a:off x="198" y="2576"/>
            <a:ext cx="4" cy="4"/>
          </a:xfrm>
          <a:prstGeom prst="ellipse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Oval 370"/>
          <xdr:cNvSpPr>
            <a:spLocks/>
          </xdr:cNvSpPr>
        </xdr:nvSpPr>
        <xdr:spPr>
          <a:xfrm>
            <a:off x="346" y="2576"/>
            <a:ext cx="4" cy="4"/>
          </a:xfrm>
          <a:prstGeom prst="ellipse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Oval 371"/>
          <xdr:cNvSpPr>
            <a:spLocks/>
          </xdr:cNvSpPr>
        </xdr:nvSpPr>
        <xdr:spPr>
          <a:xfrm>
            <a:off x="376" y="2576"/>
            <a:ext cx="4" cy="4"/>
          </a:xfrm>
          <a:prstGeom prst="ellipse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Oval 372"/>
          <xdr:cNvSpPr>
            <a:spLocks/>
          </xdr:cNvSpPr>
        </xdr:nvSpPr>
        <xdr:spPr>
          <a:xfrm>
            <a:off x="316" y="2576"/>
            <a:ext cx="4" cy="4"/>
          </a:xfrm>
          <a:prstGeom prst="ellipse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373"/>
          <xdr:cNvSpPr>
            <a:spLocks/>
          </xdr:cNvSpPr>
        </xdr:nvSpPr>
        <xdr:spPr>
          <a:xfrm>
            <a:off x="276" y="2570"/>
            <a:ext cx="2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374"/>
          <xdr:cNvSpPr>
            <a:spLocks/>
          </xdr:cNvSpPr>
        </xdr:nvSpPr>
        <xdr:spPr>
          <a:xfrm>
            <a:off x="276" y="2555"/>
            <a:ext cx="2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375"/>
          <xdr:cNvSpPr>
            <a:spLocks/>
          </xdr:cNvSpPr>
        </xdr:nvSpPr>
        <xdr:spPr>
          <a:xfrm>
            <a:off x="276" y="2525"/>
            <a:ext cx="2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376"/>
          <xdr:cNvSpPr>
            <a:spLocks/>
          </xdr:cNvSpPr>
        </xdr:nvSpPr>
        <xdr:spPr>
          <a:xfrm>
            <a:off x="276" y="2540"/>
            <a:ext cx="2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377"/>
          <xdr:cNvSpPr>
            <a:spLocks/>
          </xdr:cNvSpPr>
        </xdr:nvSpPr>
        <xdr:spPr>
          <a:xfrm>
            <a:off x="276" y="2510"/>
            <a:ext cx="2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378"/>
          <xdr:cNvSpPr>
            <a:spLocks/>
          </xdr:cNvSpPr>
        </xdr:nvSpPr>
        <xdr:spPr>
          <a:xfrm>
            <a:off x="276" y="2480"/>
            <a:ext cx="2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379"/>
          <xdr:cNvSpPr>
            <a:spLocks/>
          </xdr:cNvSpPr>
        </xdr:nvSpPr>
        <xdr:spPr>
          <a:xfrm>
            <a:off x="276" y="2495"/>
            <a:ext cx="2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380"/>
          <xdr:cNvSpPr>
            <a:spLocks/>
          </xdr:cNvSpPr>
        </xdr:nvSpPr>
        <xdr:spPr>
          <a:xfrm>
            <a:off x="276" y="2465"/>
            <a:ext cx="2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381"/>
          <xdr:cNvSpPr>
            <a:spLocks/>
          </xdr:cNvSpPr>
        </xdr:nvSpPr>
        <xdr:spPr>
          <a:xfrm>
            <a:off x="276" y="2435"/>
            <a:ext cx="2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382"/>
          <xdr:cNvSpPr>
            <a:spLocks/>
          </xdr:cNvSpPr>
        </xdr:nvSpPr>
        <xdr:spPr>
          <a:xfrm>
            <a:off x="276" y="2450"/>
            <a:ext cx="2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383"/>
          <xdr:cNvSpPr>
            <a:spLocks/>
          </xdr:cNvSpPr>
        </xdr:nvSpPr>
        <xdr:spPr>
          <a:xfrm rot="18900000">
            <a:off x="136" y="2592"/>
            <a:ext cx="1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384"/>
          <xdr:cNvSpPr>
            <a:spLocks/>
          </xdr:cNvSpPr>
        </xdr:nvSpPr>
        <xdr:spPr>
          <a:xfrm rot="18900000">
            <a:off x="136" y="2579"/>
            <a:ext cx="1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385"/>
          <xdr:cNvSpPr>
            <a:spLocks/>
          </xdr:cNvSpPr>
        </xdr:nvSpPr>
        <xdr:spPr>
          <a:xfrm rot="18900000">
            <a:off x="61" y="2431"/>
            <a:ext cx="1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386"/>
          <xdr:cNvSpPr>
            <a:spLocks/>
          </xdr:cNvSpPr>
        </xdr:nvSpPr>
        <xdr:spPr>
          <a:xfrm rot="18900000">
            <a:off x="61" y="2593"/>
            <a:ext cx="1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387"/>
          <xdr:cNvSpPr>
            <a:spLocks/>
          </xdr:cNvSpPr>
        </xdr:nvSpPr>
        <xdr:spPr>
          <a:xfrm rot="18900000">
            <a:off x="101" y="2538"/>
            <a:ext cx="1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388"/>
          <xdr:cNvSpPr>
            <a:spLocks/>
          </xdr:cNvSpPr>
        </xdr:nvSpPr>
        <xdr:spPr>
          <a:xfrm rot="18900000">
            <a:off x="101" y="2592"/>
            <a:ext cx="1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389"/>
          <xdr:cNvSpPr>
            <a:spLocks/>
          </xdr:cNvSpPr>
        </xdr:nvSpPr>
        <xdr:spPr>
          <a:xfrm>
            <a:off x="160" y="2609"/>
            <a:ext cx="257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390"/>
          <xdr:cNvSpPr>
            <a:spLocks/>
          </xdr:cNvSpPr>
        </xdr:nvSpPr>
        <xdr:spPr>
          <a:xfrm>
            <a:off x="160" y="2625"/>
            <a:ext cx="257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Line 391"/>
          <xdr:cNvSpPr>
            <a:spLocks/>
          </xdr:cNvSpPr>
        </xdr:nvSpPr>
        <xdr:spPr>
          <a:xfrm>
            <a:off x="59" y="2609"/>
            <a:ext cx="1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Line 392"/>
          <xdr:cNvSpPr>
            <a:spLocks/>
          </xdr:cNvSpPr>
        </xdr:nvSpPr>
        <xdr:spPr>
          <a:xfrm>
            <a:off x="58" y="2625"/>
            <a:ext cx="1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Line 393"/>
          <xdr:cNvSpPr>
            <a:spLocks/>
          </xdr:cNvSpPr>
        </xdr:nvSpPr>
        <xdr:spPr>
          <a:xfrm rot="18900000">
            <a:off x="61" y="2609"/>
            <a:ext cx="1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Line 394"/>
          <xdr:cNvSpPr>
            <a:spLocks/>
          </xdr:cNvSpPr>
        </xdr:nvSpPr>
        <xdr:spPr>
          <a:xfrm rot="18900000">
            <a:off x="61" y="2626"/>
            <a:ext cx="1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Text Box 395"/>
          <xdr:cNvSpPr txBox="1">
            <a:spLocks noChangeArrowheads="1"/>
          </xdr:cNvSpPr>
        </xdr:nvSpPr>
        <xdr:spPr>
          <a:xfrm>
            <a:off x="36" y="2604"/>
            <a:ext cx="25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45720" rIns="18288" bIns="0">
            <a:spAutoFit/>
          </a:bodyPr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0.10</a:t>
            </a:r>
          </a:p>
        </xdr:txBody>
      </xdr:sp>
      <xdr:sp>
        <xdr:nvSpPr>
          <xdr:cNvPr id="99" name="Text Box 396"/>
          <xdr:cNvSpPr txBox="1">
            <a:spLocks noChangeArrowheads="1"/>
          </xdr:cNvSpPr>
        </xdr:nvSpPr>
        <xdr:spPr>
          <a:xfrm>
            <a:off x="36" y="2588"/>
            <a:ext cx="25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45720" rIns="18288" bIns="0">
            <a:spAutoFit/>
          </a:bodyPr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0.10</a:t>
            </a:r>
          </a:p>
        </xdr:txBody>
      </xdr:sp>
      <xdr:sp>
        <xdr:nvSpPr>
          <xdr:cNvPr id="100" name="Text Box 397"/>
          <xdr:cNvSpPr txBox="1">
            <a:spLocks noChangeArrowheads="1"/>
          </xdr:cNvSpPr>
        </xdr:nvSpPr>
        <xdr:spPr>
          <a:xfrm>
            <a:off x="420" y="2604"/>
            <a:ext cx="85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4572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ทรายหยาบอัดแน่น</a:t>
            </a:r>
          </a:p>
        </xdr:txBody>
      </xdr:sp>
      <xdr:sp>
        <xdr:nvSpPr>
          <xdr:cNvPr id="101" name="Text Box 398"/>
          <xdr:cNvSpPr txBox="1">
            <a:spLocks noChangeArrowheads="1"/>
          </xdr:cNvSpPr>
        </xdr:nvSpPr>
        <xdr:spPr>
          <a:xfrm>
            <a:off x="421" y="2587"/>
            <a:ext cx="66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4572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คอนกรีตหยาบ</a:t>
            </a:r>
          </a:p>
        </xdr:txBody>
      </xdr:sp>
      <xdr:sp>
        <xdr:nvSpPr>
          <xdr:cNvPr id="102" name="Line 399"/>
          <xdr:cNvSpPr>
            <a:spLocks/>
          </xdr:cNvSpPr>
        </xdr:nvSpPr>
        <xdr:spPr>
          <a:xfrm rot="18900000">
            <a:off x="265" y="2403"/>
            <a:ext cx="1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400"/>
          <xdr:cNvSpPr>
            <a:spLocks/>
          </xdr:cNvSpPr>
        </xdr:nvSpPr>
        <xdr:spPr>
          <a:xfrm rot="18900000">
            <a:off x="303" y="2403"/>
            <a:ext cx="1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401"/>
          <xdr:cNvSpPr>
            <a:spLocks/>
          </xdr:cNvSpPr>
        </xdr:nvSpPr>
        <xdr:spPr>
          <a:xfrm>
            <a:off x="208" y="2583"/>
            <a:ext cx="34" cy="1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402"/>
          <xdr:cNvSpPr>
            <a:spLocks/>
          </xdr:cNvSpPr>
        </xdr:nvSpPr>
        <xdr:spPr>
          <a:xfrm>
            <a:off x="337" y="2583"/>
            <a:ext cx="34" cy="1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403"/>
          <xdr:cNvSpPr>
            <a:spLocks/>
          </xdr:cNvSpPr>
        </xdr:nvSpPr>
        <xdr:spPr>
          <a:xfrm>
            <a:off x="203" y="2705"/>
            <a:ext cx="43" cy="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404"/>
          <xdr:cNvSpPr>
            <a:spLocks/>
          </xdr:cNvSpPr>
        </xdr:nvSpPr>
        <xdr:spPr>
          <a:xfrm>
            <a:off x="333" y="2705"/>
            <a:ext cx="43" cy="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Oval 409"/>
          <xdr:cNvSpPr>
            <a:spLocks/>
          </xdr:cNvSpPr>
        </xdr:nvSpPr>
        <xdr:spPr>
          <a:xfrm>
            <a:off x="172" y="2548"/>
            <a:ext cx="4" cy="4"/>
          </a:xfrm>
          <a:prstGeom prst="ellipse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Oval 411"/>
          <xdr:cNvSpPr>
            <a:spLocks/>
          </xdr:cNvSpPr>
        </xdr:nvSpPr>
        <xdr:spPr>
          <a:xfrm>
            <a:off x="401" y="2548"/>
            <a:ext cx="4" cy="4"/>
          </a:xfrm>
          <a:prstGeom prst="ellipse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533400</xdr:colOff>
      <xdr:row>3</xdr:row>
      <xdr:rowOff>209550</xdr:rowOff>
    </xdr:from>
    <xdr:ext cx="4343400" cy="3171825"/>
    <xdr:grpSp>
      <xdr:nvGrpSpPr>
        <xdr:cNvPr id="117" name="Group 430"/>
        <xdr:cNvGrpSpPr>
          <a:grpSpLocks/>
        </xdr:cNvGrpSpPr>
      </xdr:nvGrpSpPr>
      <xdr:grpSpPr>
        <a:xfrm>
          <a:off x="1143000" y="1019175"/>
          <a:ext cx="4343400" cy="3171825"/>
          <a:chOff x="120" y="119"/>
          <a:chExt cx="456" cy="333"/>
        </a:xfrm>
        <a:solidFill>
          <a:srgbClr val="FFFFFF"/>
        </a:solidFill>
      </xdr:grpSpPr>
      <xdr:sp>
        <xdr:nvSpPr>
          <xdr:cNvPr id="118" name="Line 189"/>
          <xdr:cNvSpPr>
            <a:spLocks/>
          </xdr:cNvSpPr>
        </xdr:nvSpPr>
        <xdr:spPr>
          <a:xfrm flipV="1">
            <a:off x="417" y="120"/>
            <a:ext cx="0" cy="4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Line 190"/>
          <xdr:cNvSpPr>
            <a:spLocks/>
          </xdr:cNvSpPr>
        </xdr:nvSpPr>
        <xdr:spPr>
          <a:xfrm>
            <a:off x="152" y="127"/>
            <a:ext cx="27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191"/>
          <xdr:cNvSpPr>
            <a:spLocks/>
          </xdr:cNvSpPr>
        </xdr:nvSpPr>
        <xdr:spPr>
          <a:xfrm flipV="1">
            <a:off x="160" y="119"/>
            <a:ext cx="0" cy="4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192"/>
          <xdr:cNvSpPr>
            <a:spLocks/>
          </xdr:cNvSpPr>
        </xdr:nvSpPr>
        <xdr:spPr>
          <a:xfrm rot="18900000">
            <a:off x="154" y="127"/>
            <a:ext cx="1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Line 193"/>
          <xdr:cNvSpPr>
            <a:spLocks/>
          </xdr:cNvSpPr>
        </xdr:nvSpPr>
        <xdr:spPr>
          <a:xfrm rot="18900000">
            <a:off x="411" y="127"/>
            <a:ext cx="1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Line 194"/>
          <xdr:cNvSpPr>
            <a:spLocks/>
          </xdr:cNvSpPr>
        </xdr:nvSpPr>
        <xdr:spPr>
          <a:xfrm>
            <a:off x="120" y="168"/>
            <a:ext cx="3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Line 195"/>
          <xdr:cNvSpPr>
            <a:spLocks/>
          </xdr:cNvSpPr>
        </xdr:nvSpPr>
        <xdr:spPr>
          <a:xfrm>
            <a:off x="128" y="162"/>
            <a:ext cx="0" cy="26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Line 196"/>
          <xdr:cNvSpPr>
            <a:spLocks/>
          </xdr:cNvSpPr>
        </xdr:nvSpPr>
        <xdr:spPr>
          <a:xfrm>
            <a:off x="120" y="425"/>
            <a:ext cx="3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Line 197"/>
          <xdr:cNvSpPr>
            <a:spLocks/>
          </xdr:cNvSpPr>
        </xdr:nvSpPr>
        <xdr:spPr>
          <a:xfrm rot="18900000">
            <a:off x="122" y="168"/>
            <a:ext cx="1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Line 198"/>
          <xdr:cNvSpPr>
            <a:spLocks/>
          </xdr:cNvSpPr>
        </xdr:nvSpPr>
        <xdr:spPr>
          <a:xfrm rot="18900000">
            <a:off x="122" y="426"/>
            <a:ext cx="1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199"/>
          <xdr:cNvSpPr>
            <a:spLocks/>
          </xdr:cNvSpPr>
        </xdr:nvSpPr>
        <xdr:spPr>
          <a:xfrm>
            <a:off x="160" y="168"/>
            <a:ext cx="257" cy="257"/>
          </a:xfrm>
          <a:prstGeom prst="rect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200" descr="ลายเส้นบางทแยงมุมขึ้น"/>
          <xdr:cNvSpPr>
            <a:spLocks/>
          </xdr:cNvSpPr>
        </xdr:nvSpPr>
        <xdr:spPr>
          <a:xfrm>
            <a:off x="270" y="278"/>
            <a:ext cx="38" cy="38"/>
          </a:xfrm>
          <a:prstGeom prst="rect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Line 201"/>
          <xdr:cNvSpPr>
            <a:spLocks/>
          </xdr:cNvSpPr>
        </xdr:nvSpPr>
        <xdr:spPr>
          <a:xfrm flipV="1">
            <a:off x="225" y="127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Line 202"/>
          <xdr:cNvSpPr>
            <a:spLocks/>
          </xdr:cNvSpPr>
        </xdr:nvSpPr>
        <xdr:spPr>
          <a:xfrm flipV="1">
            <a:off x="354" y="127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Line 203"/>
          <xdr:cNvSpPr>
            <a:spLocks/>
          </xdr:cNvSpPr>
        </xdr:nvSpPr>
        <xdr:spPr>
          <a:xfrm>
            <a:off x="128" y="233"/>
            <a:ext cx="1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Text Box 204"/>
          <xdr:cNvSpPr txBox="1">
            <a:spLocks noChangeArrowheads="1"/>
          </xdr:cNvSpPr>
        </xdr:nvSpPr>
        <xdr:spPr>
          <a:xfrm>
            <a:off x="208" y="195"/>
            <a:ext cx="31" cy="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114300" rIns="45720" bIns="0">
            <a:spAutoFit/>
          </a:bodyPr>
          <a:p>
            <a:pPr algn="ctr">
              <a:defRPr/>
            </a:pPr>
            <a:r>
              <a:rPr lang="en-US" cap="none" sz="3600" b="0" i="0" u="none" baseline="0">
                <a:solidFill>
                  <a:srgbClr val="000000"/>
                </a:solidFill>
              </a:rPr>
              <a:t>+</a:t>
            </a:r>
          </a:p>
        </xdr:txBody>
      </xdr:sp>
      <xdr:sp>
        <xdr:nvSpPr>
          <xdr:cNvPr id="134" name="Text Box 205"/>
          <xdr:cNvSpPr txBox="1">
            <a:spLocks noChangeArrowheads="1"/>
          </xdr:cNvSpPr>
        </xdr:nvSpPr>
        <xdr:spPr>
          <a:xfrm>
            <a:off x="337" y="195"/>
            <a:ext cx="31" cy="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114300" rIns="45720" bIns="0">
            <a:spAutoFit/>
          </a:bodyPr>
          <a:p>
            <a:pPr algn="ctr">
              <a:defRPr/>
            </a:pPr>
            <a:r>
              <a:rPr lang="en-US" cap="none" sz="3600" b="0" i="0" u="none" baseline="0">
                <a:solidFill>
                  <a:srgbClr val="000000"/>
                </a:solidFill>
              </a:rPr>
              <a:t>+</a:t>
            </a:r>
          </a:p>
        </xdr:txBody>
      </xdr:sp>
      <xdr:sp>
        <xdr:nvSpPr>
          <xdr:cNvPr id="135" name="Text Box 206"/>
          <xdr:cNvSpPr txBox="1">
            <a:spLocks noChangeArrowheads="1"/>
          </xdr:cNvSpPr>
        </xdr:nvSpPr>
        <xdr:spPr>
          <a:xfrm>
            <a:off x="208" y="324"/>
            <a:ext cx="31" cy="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114300" rIns="45720" bIns="0">
            <a:spAutoFit/>
          </a:bodyPr>
          <a:p>
            <a:pPr algn="ctr">
              <a:defRPr/>
            </a:pPr>
            <a:r>
              <a:rPr lang="en-US" cap="none" sz="3600" b="0" i="0" u="none" baseline="0">
                <a:solidFill>
                  <a:srgbClr val="000000"/>
                </a:solidFill>
              </a:rPr>
              <a:t>+</a:t>
            </a:r>
          </a:p>
        </xdr:txBody>
      </xdr:sp>
      <xdr:sp>
        <xdr:nvSpPr>
          <xdr:cNvPr id="136" name="Text Box 207"/>
          <xdr:cNvSpPr txBox="1">
            <a:spLocks noChangeArrowheads="1"/>
          </xdr:cNvSpPr>
        </xdr:nvSpPr>
        <xdr:spPr>
          <a:xfrm>
            <a:off x="337" y="324"/>
            <a:ext cx="31" cy="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114300" rIns="45720" bIns="0">
            <a:spAutoFit/>
          </a:bodyPr>
          <a:p>
            <a:pPr algn="ctr">
              <a:defRPr/>
            </a:pPr>
            <a:r>
              <a:rPr lang="en-US" cap="none" sz="3600" b="0" i="0" u="none" baseline="0">
                <a:solidFill>
                  <a:srgbClr val="000000"/>
                </a:solidFill>
              </a:rPr>
              <a:t>+</a:t>
            </a:r>
          </a:p>
        </xdr:txBody>
      </xdr:sp>
      <xdr:sp>
        <xdr:nvSpPr>
          <xdr:cNvPr id="137" name="Line 208"/>
          <xdr:cNvSpPr>
            <a:spLocks/>
          </xdr:cNvSpPr>
        </xdr:nvSpPr>
        <xdr:spPr>
          <a:xfrm>
            <a:off x="128" y="362"/>
            <a:ext cx="1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414"/>
          <xdr:cNvSpPr>
            <a:spLocks/>
          </xdr:cNvSpPr>
        </xdr:nvSpPr>
        <xdr:spPr>
          <a:xfrm>
            <a:off x="233" y="241"/>
            <a:ext cx="111" cy="111"/>
          </a:xfrm>
          <a:prstGeom prst="rect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417"/>
          <xdr:cNvSpPr>
            <a:spLocks/>
          </xdr:cNvSpPr>
        </xdr:nvSpPr>
        <xdr:spPr>
          <a:xfrm>
            <a:off x="382" y="168"/>
            <a:ext cx="0" cy="25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Line 418"/>
          <xdr:cNvSpPr>
            <a:spLocks/>
          </xdr:cNvSpPr>
        </xdr:nvSpPr>
        <xdr:spPr>
          <a:xfrm>
            <a:off x="308" y="428"/>
            <a:ext cx="0" cy="2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Line 419"/>
          <xdr:cNvSpPr>
            <a:spLocks/>
          </xdr:cNvSpPr>
        </xdr:nvSpPr>
        <xdr:spPr>
          <a:xfrm>
            <a:off x="382" y="429"/>
            <a:ext cx="0" cy="2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Line 420"/>
          <xdr:cNvSpPr>
            <a:spLocks/>
          </xdr:cNvSpPr>
        </xdr:nvSpPr>
        <xdr:spPr>
          <a:xfrm>
            <a:off x="308" y="446"/>
            <a:ext cx="7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Line 421"/>
          <xdr:cNvSpPr>
            <a:spLocks/>
          </xdr:cNvSpPr>
        </xdr:nvSpPr>
        <xdr:spPr>
          <a:xfrm>
            <a:off x="308" y="169"/>
            <a:ext cx="0" cy="25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Text Box 423"/>
          <xdr:cNvSpPr txBox="1">
            <a:spLocks noChangeArrowheads="1"/>
          </xdr:cNvSpPr>
        </xdr:nvSpPr>
        <xdr:spPr>
          <a:xfrm>
            <a:off x="434" y="188"/>
            <a:ext cx="122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4572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หน้าตัดวิกฤติกรณีแบบคาน</a:t>
            </a:r>
          </a:p>
        </xdr:txBody>
      </xdr:sp>
      <xdr:sp>
        <xdr:nvSpPr>
          <xdr:cNvPr id="145" name="Line 424"/>
          <xdr:cNvSpPr>
            <a:spLocks/>
          </xdr:cNvSpPr>
        </xdr:nvSpPr>
        <xdr:spPr>
          <a:xfrm>
            <a:off x="382" y="211"/>
            <a:ext cx="17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Text Box 425"/>
          <xdr:cNvSpPr txBox="1">
            <a:spLocks noChangeArrowheads="1"/>
          </xdr:cNvSpPr>
        </xdr:nvSpPr>
        <xdr:spPr>
          <a:xfrm>
            <a:off x="434" y="243"/>
            <a:ext cx="142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4572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หน้าตัดวิกฤติกรณีแบบเจาะทะลุ</a:t>
            </a:r>
          </a:p>
        </xdr:txBody>
      </xdr:sp>
      <xdr:sp>
        <xdr:nvSpPr>
          <xdr:cNvPr id="147" name="Line 426"/>
          <xdr:cNvSpPr>
            <a:spLocks/>
          </xdr:cNvSpPr>
        </xdr:nvSpPr>
        <xdr:spPr>
          <a:xfrm>
            <a:off x="344" y="266"/>
            <a:ext cx="232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200025</xdr:colOff>
      <xdr:row>58</xdr:row>
      <xdr:rowOff>200025</xdr:rowOff>
    </xdr:from>
    <xdr:ext cx="1038225" cy="895350"/>
    <xdr:grpSp>
      <xdr:nvGrpSpPr>
        <xdr:cNvPr id="1" name="Group 163"/>
        <xdr:cNvGrpSpPr>
          <a:grpSpLocks/>
        </xdr:cNvGrpSpPr>
      </xdr:nvGrpSpPr>
      <xdr:grpSpPr>
        <a:xfrm>
          <a:off x="200025" y="16297275"/>
          <a:ext cx="1038225" cy="895350"/>
          <a:chOff x="80" y="1294"/>
          <a:chExt cx="121" cy="97"/>
        </a:xfrm>
        <a:solidFill>
          <a:srgbClr val="FFFFFF"/>
        </a:solidFill>
      </xdr:grpSpPr>
      <xdr:sp>
        <xdr:nvSpPr>
          <xdr:cNvPr id="2" name="Oval 164"/>
          <xdr:cNvSpPr>
            <a:spLocks/>
          </xdr:cNvSpPr>
        </xdr:nvSpPr>
        <xdr:spPr>
          <a:xfrm>
            <a:off x="80" y="1331"/>
            <a:ext cx="22" cy="2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val 165"/>
          <xdr:cNvSpPr>
            <a:spLocks/>
          </xdr:cNvSpPr>
        </xdr:nvSpPr>
        <xdr:spPr>
          <a:xfrm>
            <a:off x="179" y="1331"/>
            <a:ext cx="22" cy="2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166"/>
          <xdr:cNvSpPr>
            <a:spLocks/>
          </xdr:cNvSpPr>
        </xdr:nvSpPr>
        <xdr:spPr>
          <a:xfrm>
            <a:off x="91" y="1357"/>
            <a:ext cx="0" cy="2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167"/>
          <xdr:cNvSpPr>
            <a:spLocks/>
          </xdr:cNvSpPr>
        </xdr:nvSpPr>
        <xdr:spPr>
          <a:xfrm>
            <a:off x="190" y="1357"/>
            <a:ext cx="0" cy="2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168"/>
          <xdr:cNvSpPr>
            <a:spLocks/>
          </xdr:cNvSpPr>
        </xdr:nvSpPr>
        <xdr:spPr>
          <a:xfrm>
            <a:off x="91" y="1379"/>
            <a:ext cx="99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oval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169"/>
          <xdr:cNvSpPr>
            <a:spLocks/>
          </xdr:cNvSpPr>
        </xdr:nvSpPr>
        <xdr:spPr>
          <a:xfrm>
            <a:off x="102" y="1313"/>
            <a:ext cx="0" cy="2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170"/>
          <xdr:cNvSpPr>
            <a:spLocks/>
          </xdr:cNvSpPr>
        </xdr:nvSpPr>
        <xdr:spPr>
          <a:xfrm>
            <a:off x="178" y="1313"/>
            <a:ext cx="0" cy="2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171"/>
          <xdr:cNvSpPr>
            <a:spLocks/>
          </xdr:cNvSpPr>
        </xdr:nvSpPr>
        <xdr:spPr>
          <a:xfrm>
            <a:off x="102" y="1318"/>
            <a:ext cx="7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Text Box 172"/>
          <xdr:cNvSpPr txBox="1">
            <a:spLocks noChangeArrowheads="1"/>
          </xdr:cNvSpPr>
        </xdr:nvSpPr>
        <xdr:spPr>
          <a:xfrm>
            <a:off x="109" y="1356"/>
            <a:ext cx="65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50292" rIns="18288" bIns="0">
            <a:spAutoFit/>
          </a:bodyPr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s &lt; 30 cm</a:t>
            </a:r>
          </a:p>
        </xdr:txBody>
      </xdr:sp>
      <xdr:sp>
        <xdr:nvSpPr>
          <xdr:cNvPr id="11" name="Text Box 173"/>
          <xdr:cNvSpPr txBox="1">
            <a:spLocks noChangeArrowheads="1"/>
          </xdr:cNvSpPr>
        </xdr:nvSpPr>
        <xdr:spPr>
          <a:xfrm>
            <a:off x="123" y="1294"/>
            <a:ext cx="36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50292" rIns="18288" bIns="0">
            <a:spAutoFit/>
          </a:bodyPr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3 cm</a:t>
            </a:r>
          </a:p>
        </xdr:txBody>
      </xdr:sp>
    </xdr:grpSp>
    <xdr:clientData/>
  </xdr:oneCellAnchor>
  <xdr:oneCellAnchor>
    <xdr:from>
      <xdr:col>1</xdr:col>
      <xdr:colOff>523875</xdr:colOff>
      <xdr:row>2</xdr:row>
      <xdr:rowOff>200025</xdr:rowOff>
    </xdr:from>
    <xdr:ext cx="4324350" cy="3324225"/>
    <xdr:grpSp>
      <xdr:nvGrpSpPr>
        <xdr:cNvPr id="12" name="Group 481"/>
        <xdr:cNvGrpSpPr>
          <a:grpSpLocks/>
        </xdr:cNvGrpSpPr>
      </xdr:nvGrpSpPr>
      <xdr:grpSpPr>
        <a:xfrm>
          <a:off x="1133475" y="847725"/>
          <a:ext cx="4324350" cy="3324225"/>
          <a:chOff x="119" y="89"/>
          <a:chExt cx="454" cy="349"/>
        </a:xfrm>
        <a:solidFill>
          <a:srgbClr val="FFFFFF"/>
        </a:solidFill>
      </xdr:grpSpPr>
      <xdr:sp>
        <xdr:nvSpPr>
          <xdr:cNvPr id="13" name="Text Box 271"/>
          <xdr:cNvSpPr txBox="1">
            <a:spLocks noChangeArrowheads="1"/>
          </xdr:cNvSpPr>
        </xdr:nvSpPr>
        <xdr:spPr>
          <a:xfrm>
            <a:off x="434" y="143"/>
            <a:ext cx="122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4572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หน้าตัดวิกฤติกรณีแบบคาน</a:t>
            </a:r>
          </a:p>
        </xdr:txBody>
      </xdr:sp>
      <xdr:sp>
        <xdr:nvSpPr>
          <xdr:cNvPr id="14" name="Line 272"/>
          <xdr:cNvSpPr>
            <a:spLocks/>
          </xdr:cNvSpPr>
        </xdr:nvSpPr>
        <xdr:spPr>
          <a:xfrm>
            <a:off x="382" y="165"/>
            <a:ext cx="17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273"/>
          <xdr:cNvSpPr txBox="1">
            <a:spLocks noChangeArrowheads="1"/>
          </xdr:cNvSpPr>
        </xdr:nvSpPr>
        <xdr:spPr>
          <a:xfrm>
            <a:off x="431" y="165"/>
            <a:ext cx="142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4572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หน้าตัดวิกฤติกรณีแบบเจาะทะลุ</a:t>
            </a:r>
          </a:p>
        </xdr:txBody>
      </xdr:sp>
      <xdr:sp>
        <xdr:nvSpPr>
          <xdr:cNvPr id="16" name="Line 331"/>
          <xdr:cNvSpPr>
            <a:spLocks/>
          </xdr:cNvSpPr>
        </xdr:nvSpPr>
        <xdr:spPr>
          <a:xfrm flipV="1">
            <a:off x="417" y="90"/>
            <a:ext cx="0" cy="4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332"/>
          <xdr:cNvSpPr>
            <a:spLocks/>
          </xdr:cNvSpPr>
        </xdr:nvSpPr>
        <xdr:spPr>
          <a:xfrm>
            <a:off x="152" y="97"/>
            <a:ext cx="27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333"/>
          <xdr:cNvSpPr>
            <a:spLocks/>
          </xdr:cNvSpPr>
        </xdr:nvSpPr>
        <xdr:spPr>
          <a:xfrm flipV="1">
            <a:off x="160" y="89"/>
            <a:ext cx="0" cy="4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334"/>
          <xdr:cNvSpPr>
            <a:spLocks/>
          </xdr:cNvSpPr>
        </xdr:nvSpPr>
        <xdr:spPr>
          <a:xfrm rot="18900000">
            <a:off x="154" y="97"/>
            <a:ext cx="1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335"/>
          <xdr:cNvSpPr>
            <a:spLocks/>
          </xdr:cNvSpPr>
        </xdr:nvSpPr>
        <xdr:spPr>
          <a:xfrm rot="18900000">
            <a:off x="411" y="97"/>
            <a:ext cx="1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336"/>
          <xdr:cNvSpPr>
            <a:spLocks/>
          </xdr:cNvSpPr>
        </xdr:nvSpPr>
        <xdr:spPr>
          <a:xfrm>
            <a:off x="120" y="138"/>
            <a:ext cx="3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337"/>
          <xdr:cNvSpPr>
            <a:spLocks/>
          </xdr:cNvSpPr>
        </xdr:nvSpPr>
        <xdr:spPr>
          <a:xfrm>
            <a:off x="125" y="132"/>
            <a:ext cx="0" cy="26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338"/>
          <xdr:cNvSpPr>
            <a:spLocks/>
          </xdr:cNvSpPr>
        </xdr:nvSpPr>
        <xdr:spPr>
          <a:xfrm>
            <a:off x="120" y="395"/>
            <a:ext cx="3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339"/>
          <xdr:cNvSpPr>
            <a:spLocks/>
          </xdr:cNvSpPr>
        </xdr:nvSpPr>
        <xdr:spPr>
          <a:xfrm rot="18900000">
            <a:off x="119" y="138"/>
            <a:ext cx="1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340"/>
          <xdr:cNvSpPr>
            <a:spLocks/>
          </xdr:cNvSpPr>
        </xdr:nvSpPr>
        <xdr:spPr>
          <a:xfrm rot="18900000">
            <a:off x="119" y="396"/>
            <a:ext cx="1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341"/>
          <xdr:cNvSpPr>
            <a:spLocks/>
          </xdr:cNvSpPr>
        </xdr:nvSpPr>
        <xdr:spPr>
          <a:xfrm>
            <a:off x="160" y="138"/>
            <a:ext cx="257" cy="257"/>
          </a:xfrm>
          <a:prstGeom prst="rect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342" descr="ลายเส้นบางทแยงมุมขึ้น"/>
          <xdr:cNvSpPr>
            <a:spLocks/>
          </xdr:cNvSpPr>
        </xdr:nvSpPr>
        <xdr:spPr>
          <a:xfrm>
            <a:off x="270" y="248"/>
            <a:ext cx="38" cy="38"/>
          </a:xfrm>
          <a:prstGeom prst="rect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343"/>
          <xdr:cNvSpPr>
            <a:spLocks/>
          </xdr:cNvSpPr>
        </xdr:nvSpPr>
        <xdr:spPr>
          <a:xfrm flipV="1">
            <a:off x="225" y="97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344"/>
          <xdr:cNvSpPr>
            <a:spLocks/>
          </xdr:cNvSpPr>
        </xdr:nvSpPr>
        <xdr:spPr>
          <a:xfrm flipV="1">
            <a:off x="354" y="97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45"/>
          <xdr:cNvSpPr>
            <a:spLocks/>
          </xdr:cNvSpPr>
        </xdr:nvSpPr>
        <xdr:spPr>
          <a:xfrm>
            <a:off x="125" y="203"/>
            <a:ext cx="1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Text Box 346"/>
          <xdr:cNvSpPr txBox="1">
            <a:spLocks noChangeArrowheads="1"/>
          </xdr:cNvSpPr>
        </xdr:nvSpPr>
        <xdr:spPr>
          <a:xfrm>
            <a:off x="208" y="165"/>
            <a:ext cx="31" cy="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114300" rIns="45720" bIns="0">
            <a:spAutoFit/>
          </a:bodyPr>
          <a:p>
            <a:pPr algn="ctr">
              <a:defRPr/>
            </a:pPr>
            <a:r>
              <a:rPr lang="en-US" cap="none" sz="3600" b="0" i="0" u="none" baseline="0">
                <a:solidFill>
                  <a:srgbClr val="000000"/>
                </a:solidFill>
              </a:rPr>
              <a:t>+</a:t>
            </a:r>
          </a:p>
        </xdr:txBody>
      </xdr:sp>
      <xdr:sp>
        <xdr:nvSpPr>
          <xdr:cNvPr id="32" name="Text Box 347"/>
          <xdr:cNvSpPr txBox="1">
            <a:spLocks noChangeArrowheads="1"/>
          </xdr:cNvSpPr>
        </xdr:nvSpPr>
        <xdr:spPr>
          <a:xfrm>
            <a:off x="337" y="165"/>
            <a:ext cx="31" cy="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114300" rIns="45720" bIns="0">
            <a:spAutoFit/>
          </a:bodyPr>
          <a:p>
            <a:pPr algn="ctr">
              <a:defRPr/>
            </a:pPr>
            <a:r>
              <a:rPr lang="en-US" cap="none" sz="3600" b="0" i="0" u="none" baseline="0">
                <a:solidFill>
                  <a:srgbClr val="000000"/>
                </a:solidFill>
              </a:rPr>
              <a:t>+</a:t>
            </a:r>
          </a:p>
        </xdr:txBody>
      </xdr:sp>
      <xdr:sp>
        <xdr:nvSpPr>
          <xdr:cNvPr id="33" name="Text Box 348"/>
          <xdr:cNvSpPr txBox="1">
            <a:spLocks noChangeArrowheads="1"/>
          </xdr:cNvSpPr>
        </xdr:nvSpPr>
        <xdr:spPr>
          <a:xfrm>
            <a:off x="208" y="294"/>
            <a:ext cx="31" cy="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114300" rIns="45720" bIns="0">
            <a:spAutoFit/>
          </a:bodyPr>
          <a:p>
            <a:pPr algn="ctr">
              <a:defRPr/>
            </a:pPr>
            <a:r>
              <a:rPr lang="en-US" cap="none" sz="3600" b="0" i="0" u="none" baseline="0">
                <a:solidFill>
                  <a:srgbClr val="000000"/>
                </a:solidFill>
              </a:rPr>
              <a:t>+</a:t>
            </a:r>
          </a:p>
        </xdr:txBody>
      </xdr:sp>
      <xdr:sp>
        <xdr:nvSpPr>
          <xdr:cNvPr id="34" name="Text Box 349"/>
          <xdr:cNvSpPr txBox="1">
            <a:spLocks noChangeArrowheads="1"/>
          </xdr:cNvSpPr>
        </xdr:nvSpPr>
        <xdr:spPr>
          <a:xfrm>
            <a:off x="337" y="294"/>
            <a:ext cx="31" cy="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114300" rIns="45720" bIns="0">
            <a:spAutoFit/>
          </a:bodyPr>
          <a:p>
            <a:pPr algn="ctr">
              <a:defRPr/>
            </a:pPr>
            <a:r>
              <a:rPr lang="en-US" cap="none" sz="3600" b="0" i="0" u="none" baseline="0">
                <a:solidFill>
                  <a:srgbClr val="000000"/>
                </a:solidFill>
              </a:rPr>
              <a:t>+</a:t>
            </a:r>
          </a:p>
        </xdr:txBody>
      </xdr:sp>
      <xdr:sp>
        <xdr:nvSpPr>
          <xdr:cNvPr id="35" name="Line 350"/>
          <xdr:cNvSpPr>
            <a:spLocks/>
          </xdr:cNvSpPr>
        </xdr:nvSpPr>
        <xdr:spPr>
          <a:xfrm>
            <a:off x="125" y="332"/>
            <a:ext cx="1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Text Box 351"/>
          <xdr:cNvSpPr txBox="1">
            <a:spLocks noChangeArrowheads="1"/>
          </xdr:cNvSpPr>
        </xdr:nvSpPr>
        <xdr:spPr>
          <a:xfrm>
            <a:off x="272" y="229"/>
            <a:ext cx="31" cy="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114300" rIns="45720" bIns="0">
            <a:spAutoFit/>
          </a:bodyPr>
          <a:p>
            <a:pPr algn="ctr">
              <a:defRPr/>
            </a:pPr>
            <a:r>
              <a:rPr lang="en-US" cap="none" sz="3600" b="0" i="0" u="none" baseline="0">
                <a:solidFill>
                  <a:srgbClr val="000000"/>
                </a:solidFill>
              </a:rPr>
              <a:t>+</a:t>
            </a:r>
          </a:p>
        </xdr:txBody>
      </xdr:sp>
      <xdr:sp>
        <xdr:nvSpPr>
          <xdr:cNvPr id="37" name="Line 352"/>
          <xdr:cNvSpPr>
            <a:spLocks/>
          </xdr:cNvSpPr>
        </xdr:nvSpPr>
        <xdr:spPr>
          <a:xfrm>
            <a:off x="225" y="400"/>
            <a:ext cx="0" cy="38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53"/>
          <xdr:cNvSpPr>
            <a:spLocks/>
          </xdr:cNvSpPr>
        </xdr:nvSpPr>
        <xdr:spPr>
          <a:xfrm>
            <a:off x="219" y="433"/>
            <a:ext cx="142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54"/>
          <xdr:cNvSpPr>
            <a:spLocks/>
          </xdr:cNvSpPr>
        </xdr:nvSpPr>
        <xdr:spPr>
          <a:xfrm>
            <a:off x="289" y="400"/>
            <a:ext cx="0" cy="38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355"/>
          <xdr:cNvSpPr>
            <a:spLocks/>
          </xdr:cNvSpPr>
        </xdr:nvSpPr>
        <xdr:spPr>
          <a:xfrm>
            <a:off x="354" y="401"/>
            <a:ext cx="0" cy="38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356"/>
          <xdr:cNvSpPr>
            <a:spLocks/>
          </xdr:cNvSpPr>
        </xdr:nvSpPr>
        <xdr:spPr>
          <a:xfrm rot="18900000">
            <a:off x="219" y="434"/>
            <a:ext cx="1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357"/>
          <xdr:cNvSpPr>
            <a:spLocks/>
          </xdr:cNvSpPr>
        </xdr:nvSpPr>
        <xdr:spPr>
          <a:xfrm rot="18900000">
            <a:off x="348" y="434"/>
            <a:ext cx="1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358"/>
          <xdr:cNvSpPr>
            <a:spLocks/>
          </xdr:cNvSpPr>
        </xdr:nvSpPr>
        <xdr:spPr>
          <a:xfrm rot="18900000">
            <a:off x="283" y="434"/>
            <a:ext cx="1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359"/>
          <xdr:cNvSpPr>
            <a:spLocks/>
          </xdr:cNvSpPr>
        </xdr:nvSpPr>
        <xdr:spPr>
          <a:xfrm>
            <a:off x="422" y="203"/>
            <a:ext cx="4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360"/>
          <xdr:cNvSpPr>
            <a:spLocks/>
          </xdr:cNvSpPr>
        </xdr:nvSpPr>
        <xdr:spPr>
          <a:xfrm>
            <a:off x="422" y="332"/>
            <a:ext cx="4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361"/>
          <xdr:cNvSpPr>
            <a:spLocks/>
          </xdr:cNvSpPr>
        </xdr:nvSpPr>
        <xdr:spPr>
          <a:xfrm>
            <a:off x="457" y="198"/>
            <a:ext cx="0" cy="13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362"/>
          <xdr:cNvSpPr>
            <a:spLocks/>
          </xdr:cNvSpPr>
        </xdr:nvSpPr>
        <xdr:spPr>
          <a:xfrm rot="18900000">
            <a:off x="451" y="204"/>
            <a:ext cx="1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363"/>
          <xdr:cNvSpPr>
            <a:spLocks/>
          </xdr:cNvSpPr>
        </xdr:nvSpPr>
        <xdr:spPr>
          <a:xfrm rot="18900000">
            <a:off x="451" y="332"/>
            <a:ext cx="1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364"/>
          <xdr:cNvSpPr>
            <a:spLocks/>
          </xdr:cNvSpPr>
        </xdr:nvSpPr>
        <xdr:spPr>
          <a:xfrm>
            <a:off x="422" y="267"/>
            <a:ext cx="4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365"/>
          <xdr:cNvSpPr>
            <a:spLocks/>
          </xdr:cNvSpPr>
        </xdr:nvSpPr>
        <xdr:spPr>
          <a:xfrm rot="18900000">
            <a:off x="451" y="267"/>
            <a:ext cx="1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366"/>
          <xdr:cNvSpPr>
            <a:spLocks/>
          </xdr:cNvSpPr>
        </xdr:nvSpPr>
        <xdr:spPr>
          <a:xfrm>
            <a:off x="232" y="210"/>
            <a:ext cx="113" cy="113"/>
          </a:xfrm>
          <a:prstGeom prst="rect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369"/>
          <xdr:cNvSpPr>
            <a:spLocks/>
          </xdr:cNvSpPr>
        </xdr:nvSpPr>
        <xdr:spPr>
          <a:xfrm>
            <a:off x="382" y="138"/>
            <a:ext cx="0" cy="25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342900</xdr:colOff>
      <xdr:row>86</xdr:row>
      <xdr:rowOff>180975</xdr:rowOff>
    </xdr:from>
    <xdr:ext cx="4762500" cy="3371850"/>
    <xdr:grpSp>
      <xdr:nvGrpSpPr>
        <xdr:cNvPr id="54" name="Group 372"/>
        <xdr:cNvGrpSpPr>
          <a:grpSpLocks/>
        </xdr:cNvGrpSpPr>
      </xdr:nvGrpSpPr>
      <xdr:grpSpPr>
        <a:xfrm>
          <a:off x="342900" y="22983825"/>
          <a:ext cx="4762500" cy="3371850"/>
          <a:chOff x="36" y="614"/>
          <a:chExt cx="500" cy="318"/>
        </a:xfrm>
        <a:solidFill>
          <a:srgbClr val="FFFFFF"/>
        </a:solidFill>
      </xdr:grpSpPr>
      <xdr:sp>
        <xdr:nvSpPr>
          <xdr:cNvPr id="55" name="Rectangle 373" descr="40%"/>
          <xdr:cNvSpPr>
            <a:spLocks/>
          </xdr:cNvSpPr>
        </xdr:nvSpPr>
        <xdr:spPr>
          <a:xfrm>
            <a:off x="160" y="810"/>
            <a:ext cx="257" cy="17"/>
          </a:xfrm>
          <a:prstGeom prst="rect">
            <a:avLst/>
          </a:prstGeom>
          <a:pattFill prst="pct40">
            <a:fgClr>
              <a:srgbClr val="808080"/>
            </a:fgClr>
            <a:bgClr>
              <a:srgbClr val="FFFFFF"/>
            </a:bgClr>
          </a:pattFill>
          <a:ln w="63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374" descr="5%"/>
          <xdr:cNvSpPr>
            <a:spLocks/>
          </xdr:cNvSpPr>
        </xdr:nvSpPr>
        <xdr:spPr>
          <a:xfrm>
            <a:off x="160" y="826"/>
            <a:ext cx="257" cy="17"/>
          </a:xfrm>
          <a:prstGeom prst="rect">
            <a:avLst/>
          </a:prstGeom>
          <a:pattFill prst="pct5">
            <a:fgClr>
              <a:srgbClr val="808080"/>
            </a:fgClr>
            <a:bgClr>
              <a:srgbClr val="FFFFFF"/>
            </a:bgClr>
          </a:pattFill>
          <a:ln w="63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375"/>
          <xdr:cNvSpPr>
            <a:spLocks/>
          </xdr:cNvSpPr>
        </xdr:nvSpPr>
        <xdr:spPr>
          <a:xfrm>
            <a:off x="59" y="649"/>
            <a:ext cx="35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376"/>
          <xdr:cNvSpPr>
            <a:spLocks/>
          </xdr:cNvSpPr>
        </xdr:nvSpPr>
        <xdr:spPr>
          <a:xfrm>
            <a:off x="160" y="756"/>
            <a:ext cx="257" cy="54"/>
          </a:xfrm>
          <a:prstGeom prst="rect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377"/>
          <xdr:cNvSpPr>
            <a:spLocks/>
          </xdr:cNvSpPr>
        </xdr:nvSpPr>
        <xdr:spPr>
          <a:xfrm>
            <a:off x="270" y="643"/>
            <a:ext cx="38" cy="113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378"/>
          <xdr:cNvSpPr>
            <a:spLocks/>
          </xdr:cNvSpPr>
        </xdr:nvSpPr>
        <xdr:spPr>
          <a:xfrm>
            <a:off x="271" y="753"/>
            <a:ext cx="37" cy="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379"/>
          <xdr:cNvSpPr>
            <a:spLocks/>
          </xdr:cNvSpPr>
        </xdr:nvSpPr>
        <xdr:spPr>
          <a:xfrm>
            <a:off x="271" y="637"/>
            <a:ext cx="37" cy="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380"/>
          <xdr:cNvSpPr>
            <a:spLocks/>
          </xdr:cNvSpPr>
        </xdr:nvSpPr>
        <xdr:spPr>
          <a:xfrm flipV="1">
            <a:off x="270" y="614"/>
            <a:ext cx="0" cy="2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381"/>
          <xdr:cNvSpPr>
            <a:spLocks/>
          </xdr:cNvSpPr>
        </xdr:nvSpPr>
        <xdr:spPr>
          <a:xfrm flipV="1">
            <a:off x="308" y="614"/>
            <a:ext cx="0" cy="2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382"/>
          <xdr:cNvSpPr>
            <a:spLocks/>
          </xdr:cNvSpPr>
        </xdr:nvSpPr>
        <xdr:spPr>
          <a:xfrm>
            <a:off x="263" y="621"/>
            <a:ext cx="54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383" descr="ลายทอผ้า"/>
          <xdr:cNvSpPr>
            <a:spLocks/>
          </xdr:cNvSpPr>
        </xdr:nvSpPr>
        <xdr:spPr>
          <a:xfrm>
            <a:off x="327" y="651"/>
            <a:ext cx="77" cy="11"/>
          </a:xfrm>
          <a:prstGeom prst="rect">
            <a:avLst/>
          </a:prstGeom>
          <a:pattFill prst="weave">
            <a:fgClr>
              <a:srgbClr val="000000"/>
            </a:fgClr>
            <a:bgClr>
              <a:srgbClr val="FFFFFF"/>
            </a:bgClr>
          </a:patt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384"/>
          <xdr:cNvSpPr>
            <a:spLocks/>
          </xdr:cNvSpPr>
        </xdr:nvSpPr>
        <xdr:spPr>
          <a:xfrm flipH="1">
            <a:off x="135" y="797"/>
            <a:ext cx="2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385"/>
          <xdr:cNvSpPr>
            <a:spLocks/>
          </xdr:cNvSpPr>
        </xdr:nvSpPr>
        <xdr:spPr>
          <a:xfrm flipH="1">
            <a:off x="60" y="810"/>
            <a:ext cx="9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386"/>
          <xdr:cNvSpPr>
            <a:spLocks/>
          </xdr:cNvSpPr>
        </xdr:nvSpPr>
        <xdr:spPr>
          <a:xfrm>
            <a:off x="141" y="791"/>
            <a:ext cx="0" cy="2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Text Box 387"/>
          <xdr:cNvSpPr txBox="1">
            <a:spLocks noChangeArrowheads="1"/>
          </xdr:cNvSpPr>
        </xdr:nvSpPr>
        <xdr:spPr>
          <a:xfrm>
            <a:off x="110" y="791"/>
            <a:ext cx="25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45720" rIns="18288" bIns="0">
            <a:spAutoFit/>
          </a:bodyPr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0.05</a:t>
            </a:r>
          </a:p>
        </xdr:txBody>
      </xdr:sp>
      <xdr:sp>
        <xdr:nvSpPr>
          <xdr:cNvPr id="70" name="Line 388"/>
          <xdr:cNvSpPr>
            <a:spLocks/>
          </xdr:cNvSpPr>
        </xdr:nvSpPr>
        <xdr:spPr>
          <a:xfrm flipH="1">
            <a:off x="101" y="756"/>
            <a:ext cx="5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389"/>
          <xdr:cNvSpPr>
            <a:spLocks/>
          </xdr:cNvSpPr>
        </xdr:nvSpPr>
        <xdr:spPr>
          <a:xfrm>
            <a:off x="106" y="749"/>
            <a:ext cx="0" cy="67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390"/>
          <xdr:cNvSpPr>
            <a:spLocks/>
          </xdr:cNvSpPr>
        </xdr:nvSpPr>
        <xdr:spPr>
          <a:xfrm>
            <a:off x="66" y="643"/>
            <a:ext cx="0" cy="20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Text Box 391"/>
          <xdr:cNvSpPr txBox="1">
            <a:spLocks noChangeArrowheads="1"/>
          </xdr:cNvSpPr>
        </xdr:nvSpPr>
        <xdr:spPr>
          <a:xfrm>
            <a:off x="334" y="629"/>
            <a:ext cx="60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45720" rIns="18288" bIns="0">
            <a:spAutoFit/>
          </a:bodyPr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ระดับดินเดิม</a:t>
            </a:r>
          </a:p>
        </xdr:txBody>
      </xdr:sp>
      <xdr:sp>
        <xdr:nvSpPr>
          <xdr:cNvPr id="74" name="Oval 392"/>
          <xdr:cNvSpPr>
            <a:spLocks/>
          </xdr:cNvSpPr>
        </xdr:nvSpPr>
        <xdr:spPr>
          <a:xfrm>
            <a:off x="172" y="794"/>
            <a:ext cx="4" cy="4"/>
          </a:xfrm>
          <a:prstGeom prst="ellipse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Oval 393"/>
          <xdr:cNvSpPr>
            <a:spLocks/>
          </xdr:cNvSpPr>
        </xdr:nvSpPr>
        <xdr:spPr>
          <a:xfrm>
            <a:off x="401" y="794"/>
            <a:ext cx="4" cy="4"/>
          </a:xfrm>
          <a:prstGeom prst="ellipse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Oval 394"/>
          <xdr:cNvSpPr>
            <a:spLocks/>
          </xdr:cNvSpPr>
        </xdr:nvSpPr>
        <xdr:spPr>
          <a:xfrm>
            <a:off x="287" y="794"/>
            <a:ext cx="4" cy="4"/>
          </a:xfrm>
          <a:prstGeom prst="ellipse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Oval 395"/>
          <xdr:cNvSpPr>
            <a:spLocks/>
          </xdr:cNvSpPr>
        </xdr:nvSpPr>
        <xdr:spPr>
          <a:xfrm>
            <a:off x="228" y="794"/>
            <a:ext cx="4" cy="4"/>
          </a:xfrm>
          <a:prstGeom prst="ellipse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Oval 396"/>
          <xdr:cNvSpPr>
            <a:spLocks/>
          </xdr:cNvSpPr>
        </xdr:nvSpPr>
        <xdr:spPr>
          <a:xfrm>
            <a:off x="258" y="794"/>
            <a:ext cx="4" cy="4"/>
          </a:xfrm>
          <a:prstGeom prst="ellipse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Oval 397"/>
          <xdr:cNvSpPr>
            <a:spLocks/>
          </xdr:cNvSpPr>
        </xdr:nvSpPr>
        <xdr:spPr>
          <a:xfrm>
            <a:off x="198" y="794"/>
            <a:ext cx="4" cy="4"/>
          </a:xfrm>
          <a:prstGeom prst="ellipse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Oval 398"/>
          <xdr:cNvSpPr>
            <a:spLocks/>
          </xdr:cNvSpPr>
        </xdr:nvSpPr>
        <xdr:spPr>
          <a:xfrm>
            <a:off x="346" y="794"/>
            <a:ext cx="4" cy="4"/>
          </a:xfrm>
          <a:prstGeom prst="ellipse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Oval 399"/>
          <xdr:cNvSpPr>
            <a:spLocks/>
          </xdr:cNvSpPr>
        </xdr:nvSpPr>
        <xdr:spPr>
          <a:xfrm>
            <a:off x="376" y="794"/>
            <a:ext cx="4" cy="4"/>
          </a:xfrm>
          <a:prstGeom prst="ellipse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Oval 400"/>
          <xdr:cNvSpPr>
            <a:spLocks/>
          </xdr:cNvSpPr>
        </xdr:nvSpPr>
        <xdr:spPr>
          <a:xfrm>
            <a:off x="316" y="794"/>
            <a:ext cx="4" cy="4"/>
          </a:xfrm>
          <a:prstGeom prst="ellipse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401"/>
          <xdr:cNvSpPr>
            <a:spLocks/>
          </xdr:cNvSpPr>
        </xdr:nvSpPr>
        <xdr:spPr>
          <a:xfrm>
            <a:off x="276" y="788"/>
            <a:ext cx="2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402"/>
          <xdr:cNvSpPr>
            <a:spLocks/>
          </xdr:cNvSpPr>
        </xdr:nvSpPr>
        <xdr:spPr>
          <a:xfrm>
            <a:off x="276" y="773"/>
            <a:ext cx="2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403"/>
          <xdr:cNvSpPr>
            <a:spLocks/>
          </xdr:cNvSpPr>
        </xdr:nvSpPr>
        <xdr:spPr>
          <a:xfrm>
            <a:off x="276" y="743"/>
            <a:ext cx="2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404"/>
          <xdr:cNvSpPr>
            <a:spLocks/>
          </xdr:cNvSpPr>
        </xdr:nvSpPr>
        <xdr:spPr>
          <a:xfrm>
            <a:off x="276" y="758"/>
            <a:ext cx="2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405"/>
          <xdr:cNvSpPr>
            <a:spLocks/>
          </xdr:cNvSpPr>
        </xdr:nvSpPr>
        <xdr:spPr>
          <a:xfrm>
            <a:off x="276" y="728"/>
            <a:ext cx="2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406"/>
          <xdr:cNvSpPr>
            <a:spLocks/>
          </xdr:cNvSpPr>
        </xdr:nvSpPr>
        <xdr:spPr>
          <a:xfrm>
            <a:off x="276" y="698"/>
            <a:ext cx="2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407"/>
          <xdr:cNvSpPr>
            <a:spLocks/>
          </xdr:cNvSpPr>
        </xdr:nvSpPr>
        <xdr:spPr>
          <a:xfrm>
            <a:off x="276" y="713"/>
            <a:ext cx="2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408"/>
          <xdr:cNvSpPr>
            <a:spLocks/>
          </xdr:cNvSpPr>
        </xdr:nvSpPr>
        <xdr:spPr>
          <a:xfrm>
            <a:off x="276" y="683"/>
            <a:ext cx="2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409"/>
          <xdr:cNvSpPr>
            <a:spLocks/>
          </xdr:cNvSpPr>
        </xdr:nvSpPr>
        <xdr:spPr>
          <a:xfrm>
            <a:off x="276" y="653"/>
            <a:ext cx="2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410"/>
          <xdr:cNvSpPr>
            <a:spLocks/>
          </xdr:cNvSpPr>
        </xdr:nvSpPr>
        <xdr:spPr>
          <a:xfrm>
            <a:off x="276" y="668"/>
            <a:ext cx="2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411"/>
          <xdr:cNvSpPr>
            <a:spLocks/>
          </xdr:cNvSpPr>
        </xdr:nvSpPr>
        <xdr:spPr>
          <a:xfrm rot="18900000">
            <a:off x="136" y="810"/>
            <a:ext cx="1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Line 412"/>
          <xdr:cNvSpPr>
            <a:spLocks/>
          </xdr:cNvSpPr>
        </xdr:nvSpPr>
        <xdr:spPr>
          <a:xfrm rot="18900000">
            <a:off x="136" y="797"/>
            <a:ext cx="1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Line 413"/>
          <xdr:cNvSpPr>
            <a:spLocks/>
          </xdr:cNvSpPr>
        </xdr:nvSpPr>
        <xdr:spPr>
          <a:xfrm rot="18900000">
            <a:off x="61" y="649"/>
            <a:ext cx="1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Line 414"/>
          <xdr:cNvSpPr>
            <a:spLocks/>
          </xdr:cNvSpPr>
        </xdr:nvSpPr>
        <xdr:spPr>
          <a:xfrm rot="18900000">
            <a:off x="61" y="811"/>
            <a:ext cx="1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Line 415"/>
          <xdr:cNvSpPr>
            <a:spLocks/>
          </xdr:cNvSpPr>
        </xdr:nvSpPr>
        <xdr:spPr>
          <a:xfrm rot="18900000">
            <a:off x="101" y="756"/>
            <a:ext cx="1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Line 416"/>
          <xdr:cNvSpPr>
            <a:spLocks/>
          </xdr:cNvSpPr>
        </xdr:nvSpPr>
        <xdr:spPr>
          <a:xfrm rot="18900000">
            <a:off x="101" y="810"/>
            <a:ext cx="1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417"/>
          <xdr:cNvSpPr>
            <a:spLocks/>
          </xdr:cNvSpPr>
        </xdr:nvSpPr>
        <xdr:spPr>
          <a:xfrm>
            <a:off x="160" y="827"/>
            <a:ext cx="257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418"/>
          <xdr:cNvSpPr>
            <a:spLocks/>
          </xdr:cNvSpPr>
        </xdr:nvSpPr>
        <xdr:spPr>
          <a:xfrm>
            <a:off x="160" y="843"/>
            <a:ext cx="257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Line 419"/>
          <xdr:cNvSpPr>
            <a:spLocks/>
          </xdr:cNvSpPr>
        </xdr:nvSpPr>
        <xdr:spPr>
          <a:xfrm>
            <a:off x="59" y="827"/>
            <a:ext cx="1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Line 420"/>
          <xdr:cNvSpPr>
            <a:spLocks/>
          </xdr:cNvSpPr>
        </xdr:nvSpPr>
        <xdr:spPr>
          <a:xfrm>
            <a:off x="58" y="843"/>
            <a:ext cx="1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421"/>
          <xdr:cNvSpPr>
            <a:spLocks/>
          </xdr:cNvSpPr>
        </xdr:nvSpPr>
        <xdr:spPr>
          <a:xfrm rot="18900000">
            <a:off x="61" y="827"/>
            <a:ext cx="1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Line 422"/>
          <xdr:cNvSpPr>
            <a:spLocks/>
          </xdr:cNvSpPr>
        </xdr:nvSpPr>
        <xdr:spPr>
          <a:xfrm rot="18900000">
            <a:off x="61" y="844"/>
            <a:ext cx="1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Text Box 423"/>
          <xdr:cNvSpPr txBox="1">
            <a:spLocks noChangeArrowheads="1"/>
          </xdr:cNvSpPr>
        </xdr:nvSpPr>
        <xdr:spPr>
          <a:xfrm>
            <a:off x="36" y="822"/>
            <a:ext cx="25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45720" rIns="18288" bIns="0">
            <a:spAutoFit/>
          </a:bodyPr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0.10</a:t>
            </a:r>
          </a:p>
        </xdr:txBody>
      </xdr:sp>
      <xdr:sp>
        <xdr:nvSpPr>
          <xdr:cNvPr id="106" name="Text Box 424"/>
          <xdr:cNvSpPr txBox="1">
            <a:spLocks noChangeArrowheads="1"/>
          </xdr:cNvSpPr>
        </xdr:nvSpPr>
        <xdr:spPr>
          <a:xfrm>
            <a:off x="36" y="806"/>
            <a:ext cx="25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45720" rIns="18288" bIns="0">
            <a:spAutoFit/>
          </a:bodyPr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0.10</a:t>
            </a:r>
          </a:p>
        </xdr:txBody>
      </xdr:sp>
      <xdr:sp>
        <xdr:nvSpPr>
          <xdr:cNvPr id="107" name="Text Box 425"/>
          <xdr:cNvSpPr txBox="1">
            <a:spLocks noChangeArrowheads="1"/>
          </xdr:cNvSpPr>
        </xdr:nvSpPr>
        <xdr:spPr>
          <a:xfrm>
            <a:off x="420" y="822"/>
            <a:ext cx="85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4572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ทรายหยาบอัดแน่น</a:t>
            </a:r>
          </a:p>
        </xdr:txBody>
      </xdr:sp>
      <xdr:sp>
        <xdr:nvSpPr>
          <xdr:cNvPr id="108" name="Text Box 426"/>
          <xdr:cNvSpPr txBox="1">
            <a:spLocks noChangeArrowheads="1"/>
          </xdr:cNvSpPr>
        </xdr:nvSpPr>
        <xdr:spPr>
          <a:xfrm>
            <a:off x="421" y="805"/>
            <a:ext cx="66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4572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คอนกรีตหยาบ</a:t>
            </a:r>
          </a:p>
        </xdr:txBody>
      </xdr:sp>
      <xdr:sp>
        <xdr:nvSpPr>
          <xdr:cNvPr id="109" name="Line 427"/>
          <xdr:cNvSpPr>
            <a:spLocks/>
          </xdr:cNvSpPr>
        </xdr:nvSpPr>
        <xdr:spPr>
          <a:xfrm rot="18900000">
            <a:off x="265" y="621"/>
            <a:ext cx="1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Line 428"/>
          <xdr:cNvSpPr>
            <a:spLocks/>
          </xdr:cNvSpPr>
        </xdr:nvSpPr>
        <xdr:spPr>
          <a:xfrm rot="18900000">
            <a:off x="303" y="621"/>
            <a:ext cx="1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429"/>
          <xdr:cNvSpPr>
            <a:spLocks/>
          </xdr:cNvSpPr>
        </xdr:nvSpPr>
        <xdr:spPr>
          <a:xfrm>
            <a:off x="208" y="801"/>
            <a:ext cx="34" cy="1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430"/>
          <xdr:cNvSpPr>
            <a:spLocks/>
          </xdr:cNvSpPr>
        </xdr:nvSpPr>
        <xdr:spPr>
          <a:xfrm>
            <a:off x="337" y="801"/>
            <a:ext cx="34" cy="1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431"/>
          <xdr:cNvSpPr>
            <a:spLocks/>
          </xdr:cNvSpPr>
        </xdr:nvSpPr>
        <xdr:spPr>
          <a:xfrm>
            <a:off x="203" y="923"/>
            <a:ext cx="43" cy="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432"/>
          <xdr:cNvSpPr>
            <a:spLocks/>
          </xdr:cNvSpPr>
        </xdr:nvSpPr>
        <xdr:spPr>
          <a:xfrm>
            <a:off x="333" y="923"/>
            <a:ext cx="43" cy="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Oval 437"/>
          <xdr:cNvSpPr>
            <a:spLocks/>
          </xdr:cNvSpPr>
        </xdr:nvSpPr>
        <xdr:spPr>
          <a:xfrm>
            <a:off x="172" y="766"/>
            <a:ext cx="4" cy="4"/>
          </a:xfrm>
          <a:prstGeom prst="ellipse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Oval 439"/>
          <xdr:cNvSpPr>
            <a:spLocks/>
          </xdr:cNvSpPr>
        </xdr:nvSpPr>
        <xdr:spPr>
          <a:xfrm>
            <a:off x="401" y="766"/>
            <a:ext cx="4" cy="4"/>
          </a:xfrm>
          <a:prstGeom prst="ellipse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442"/>
          <xdr:cNvSpPr>
            <a:spLocks/>
          </xdr:cNvSpPr>
        </xdr:nvSpPr>
        <xdr:spPr>
          <a:xfrm>
            <a:off x="272" y="801"/>
            <a:ext cx="34" cy="1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443"/>
          <xdr:cNvSpPr>
            <a:spLocks/>
          </xdr:cNvSpPr>
        </xdr:nvSpPr>
        <xdr:spPr>
          <a:xfrm>
            <a:off x="267" y="924"/>
            <a:ext cx="43" cy="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523875</xdr:colOff>
      <xdr:row>71</xdr:row>
      <xdr:rowOff>209550</xdr:rowOff>
    </xdr:from>
    <xdr:ext cx="3286125" cy="3333750"/>
    <xdr:grpSp>
      <xdr:nvGrpSpPr>
        <xdr:cNvPr id="126" name="Group 444"/>
        <xdr:cNvGrpSpPr>
          <a:grpSpLocks/>
        </xdr:cNvGrpSpPr>
      </xdr:nvGrpSpPr>
      <xdr:grpSpPr>
        <a:xfrm>
          <a:off x="1133475" y="18983325"/>
          <a:ext cx="3286125" cy="3333750"/>
          <a:chOff x="119" y="148"/>
          <a:chExt cx="345" cy="350"/>
        </a:xfrm>
        <a:solidFill>
          <a:srgbClr val="FFFFFF"/>
        </a:solidFill>
      </xdr:grpSpPr>
      <xdr:sp>
        <xdr:nvSpPr>
          <xdr:cNvPr id="127" name="Line 445"/>
          <xdr:cNvSpPr>
            <a:spLocks/>
          </xdr:cNvSpPr>
        </xdr:nvSpPr>
        <xdr:spPr>
          <a:xfrm flipV="1">
            <a:off x="417" y="149"/>
            <a:ext cx="0" cy="4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446"/>
          <xdr:cNvSpPr>
            <a:spLocks/>
          </xdr:cNvSpPr>
        </xdr:nvSpPr>
        <xdr:spPr>
          <a:xfrm>
            <a:off x="152" y="156"/>
            <a:ext cx="27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447"/>
          <xdr:cNvSpPr>
            <a:spLocks/>
          </xdr:cNvSpPr>
        </xdr:nvSpPr>
        <xdr:spPr>
          <a:xfrm flipV="1">
            <a:off x="160" y="148"/>
            <a:ext cx="0" cy="4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Line 448"/>
          <xdr:cNvSpPr>
            <a:spLocks/>
          </xdr:cNvSpPr>
        </xdr:nvSpPr>
        <xdr:spPr>
          <a:xfrm rot="18900000">
            <a:off x="154" y="156"/>
            <a:ext cx="1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Line 449"/>
          <xdr:cNvSpPr>
            <a:spLocks/>
          </xdr:cNvSpPr>
        </xdr:nvSpPr>
        <xdr:spPr>
          <a:xfrm rot="18900000">
            <a:off x="411" y="156"/>
            <a:ext cx="1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Line 450"/>
          <xdr:cNvSpPr>
            <a:spLocks/>
          </xdr:cNvSpPr>
        </xdr:nvSpPr>
        <xdr:spPr>
          <a:xfrm>
            <a:off x="120" y="197"/>
            <a:ext cx="3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Line 451"/>
          <xdr:cNvSpPr>
            <a:spLocks/>
          </xdr:cNvSpPr>
        </xdr:nvSpPr>
        <xdr:spPr>
          <a:xfrm>
            <a:off x="125" y="191"/>
            <a:ext cx="0" cy="26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Line 452"/>
          <xdr:cNvSpPr>
            <a:spLocks/>
          </xdr:cNvSpPr>
        </xdr:nvSpPr>
        <xdr:spPr>
          <a:xfrm>
            <a:off x="120" y="454"/>
            <a:ext cx="3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453"/>
          <xdr:cNvSpPr>
            <a:spLocks/>
          </xdr:cNvSpPr>
        </xdr:nvSpPr>
        <xdr:spPr>
          <a:xfrm rot="18900000">
            <a:off x="119" y="197"/>
            <a:ext cx="1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Line 454"/>
          <xdr:cNvSpPr>
            <a:spLocks/>
          </xdr:cNvSpPr>
        </xdr:nvSpPr>
        <xdr:spPr>
          <a:xfrm rot="18900000">
            <a:off x="119" y="455"/>
            <a:ext cx="1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55"/>
          <xdr:cNvSpPr>
            <a:spLocks/>
          </xdr:cNvSpPr>
        </xdr:nvSpPr>
        <xdr:spPr>
          <a:xfrm>
            <a:off x="160" y="197"/>
            <a:ext cx="257" cy="257"/>
          </a:xfrm>
          <a:prstGeom prst="rect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456" descr="ลายเส้นบางทแยงมุมขึ้น"/>
          <xdr:cNvSpPr>
            <a:spLocks/>
          </xdr:cNvSpPr>
        </xdr:nvSpPr>
        <xdr:spPr>
          <a:xfrm>
            <a:off x="270" y="307"/>
            <a:ext cx="38" cy="38"/>
          </a:xfrm>
          <a:prstGeom prst="rect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457"/>
          <xdr:cNvSpPr>
            <a:spLocks/>
          </xdr:cNvSpPr>
        </xdr:nvSpPr>
        <xdr:spPr>
          <a:xfrm flipV="1">
            <a:off x="225" y="156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Line 458"/>
          <xdr:cNvSpPr>
            <a:spLocks/>
          </xdr:cNvSpPr>
        </xdr:nvSpPr>
        <xdr:spPr>
          <a:xfrm flipV="1">
            <a:off x="354" y="156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Line 459"/>
          <xdr:cNvSpPr>
            <a:spLocks/>
          </xdr:cNvSpPr>
        </xdr:nvSpPr>
        <xdr:spPr>
          <a:xfrm>
            <a:off x="125" y="262"/>
            <a:ext cx="1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Text Box 460"/>
          <xdr:cNvSpPr txBox="1">
            <a:spLocks noChangeArrowheads="1"/>
          </xdr:cNvSpPr>
        </xdr:nvSpPr>
        <xdr:spPr>
          <a:xfrm>
            <a:off x="208" y="224"/>
            <a:ext cx="31" cy="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114300" rIns="45720" bIns="0">
            <a:spAutoFit/>
          </a:bodyPr>
          <a:p>
            <a:pPr algn="ctr">
              <a:defRPr/>
            </a:pPr>
            <a:r>
              <a:rPr lang="en-US" cap="none" sz="3600" b="0" i="0" u="none" baseline="0">
                <a:solidFill>
                  <a:srgbClr val="000000"/>
                </a:solidFill>
              </a:rPr>
              <a:t>+</a:t>
            </a:r>
          </a:p>
        </xdr:txBody>
      </xdr:sp>
      <xdr:sp>
        <xdr:nvSpPr>
          <xdr:cNvPr id="143" name="Text Box 461"/>
          <xdr:cNvSpPr txBox="1">
            <a:spLocks noChangeArrowheads="1"/>
          </xdr:cNvSpPr>
        </xdr:nvSpPr>
        <xdr:spPr>
          <a:xfrm>
            <a:off x="337" y="224"/>
            <a:ext cx="31" cy="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114300" rIns="45720" bIns="0">
            <a:spAutoFit/>
          </a:bodyPr>
          <a:p>
            <a:pPr algn="ctr">
              <a:defRPr/>
            </a:pPr>
            <a:r>
              <a:rPr lang="en-US" cap="none" sz="3600" b="0" i="0" u="none" baseline="0">
                <a:solidFill>
                  <a:srgbClr val="000000"/>
                </a:solidFill>
              </a:rPr>
              <a:t>+</a:t>
            </a:r>
          </a:p>
        </xdr:txBody>
      </xdr:sp>
      <xdr:sp>
        <xdr:nvSpPr>
          <xdr:cNvPr id="144" name="Text Box 462"/>
          <xdr:cNvSpPr txBox="1">
            <a:spLocks noChangeArrowheads="1"/>
          </xdr:cNvSpPr>
        </xdr:nvSpPr>
        <xdr:spPr>
          <a:xfrm>
            <a:off x="208" y="353"/>
            <a:ext cx="31" cy="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114300" rIns="45720" bIns="0">
            <a:spAutoFit/>
          </a:bodyPr>
          <a:p>
            <a:pPr algn="ctr">
              <a:defRPr/>
            </a:pPr>
            <a:r>
              <a:rPr lang="en-US" cap="none" sz="3600" b="0" i="0" u="none" baseline="0">
                <a:solidFill>
                  <a:srgbClr val="000000"/>
                </a:solidFill>
              </a:rPr>
              <a:t>+</a:t>
            </a:r>
          </a:p>
        </xdr:txBody>
      </xdr:sp>
      <xdr:sp>
        <xdr:nvSpPr>
          <xdr:cNvPr id="145" name="Text Box 463"/>
          <xdr:cNvSpPr txBox="1">
            <a:spLocks noChangeArrowheads="1"/>
          </xdr:cNvSpPr>
        </xdr:nvSpPr>
        <xdr:spPr>
          <a:xfrm>
            <a:off x="337" y="353"/>
            <a:ext cx="31" cy="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114300" rIns="45720" bIns="0">
            <a:spAutoFit/>
          </a:bodyPr>
          <a:p>
            <a:pPr algn="ctr">
              <a:defRPr/>
            </a:pPr>
            <a:r>
              <a:rPr lang="en-US" cap="none" sz="3600" b="0" i="0" u="none" baseline="0">
                <a:solidFill>
                  <a:srgbClr val="000000"/>
                </a:solidFill>
              </a:rPr>
              <a:t>+</a:t>
            </a:r>
          </a:p>
        </xdr:txBody>
      </xdr:sp>
      <xdr:sp>
        <xdr:nvSpPr>
          <xdr:cNvPr id="146" name="Line 464"/>
          <xdr:cNvSpPr>
            <a:spLocks/>
          </xdr:cNvSpPr>
        </xdr:nvSpPr>
        <xdr:spPr>
          <a:xfrm>
            <a:off x="125" y="391"/>
            <a:ext cx="1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Text Box 465"/>
          <xdr:cNvSpPr txBox="1">
            <a:spLocks noChangeArrowheads="1"/>
          </xdr:cNvSpPr>
        </xdr:nvSpPr>
        <xdr:spPr>
          <a:xfrm>
            <a:off x="272" y="288"/>
            <a:ext cx="31" cy="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114300" rIns="45720" bIns="0">
            <a:spAutoFit/>
          </a:bodyPr>
          <a:p>
            <a:pPr algn="ctr">
              <a:defRPr/>
            </a:pPr>
            <a:r>
              <a:rPr lang="en-US" cap="none" sz="3600" b="0" i="0" u="none" baseline="0">
                <a:solidFill>
                  <a:srgbClr val="000000"/>
                </a:solidFill>
              </a:rPr>
              <a:t>+</a:t>
            </a:r>
          </a:p>
        </xdr:txBody>
      </xdr:sp>
      <xdr:sp>
        <xdr:nvSpPr>
          <xdr:cNvPr id="148" name="Line 466"/>
          <xdr:cNvSpPr>
            <a:spLocks/>
          </xdr:cNvSpPr>
        </xdr:nvSpPr>
        <xdr:spPr>
          <a:xfrm>
            <a:off x="225" y="459"/>
            <a:ext cx="0" cy="38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Line 467"/>
          <xdr:cNvSpPr>
            <a:spLocks/>
          </xdr:cNvSpPr>
        </xdr:nvSpPr>
        <xdr:spPr>
          <a:xfrm>
            <a:off x="219" y="492"/>
            <a:ext cx="142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Line 468"/>
          <xdr:cNvSpPr>
            <a:spLocks/>
          </xdr:cNvSpPr>
        </xdr:nvSpPr>
        <xdr:spPr>
          <a:xfrm>
            <a:off x="289" y="459"/>
            <a:ext cx="0" cy="38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Line 469"/>
          <xdr:cNvSpPr>
            <a:spLocks/>
          </xdr:cNvSpPr>
        </xdr:nvSpPr>
        <xdr:spPr>
          <a:xfrm>
            <a:off x="354" y="460"/>
            <a:ext cx="0" cy="38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Line 470"/>
          <xdr:cNvSpPr>
            <a:spLocks/>
          </xdr:cNvSpPr>
        </xdr:nvSpPr>
        <xdr:spPr>
          <a:xfrm rot="18900000">
            <a:off x="219" y="493"/>
            <a:ext cx="1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Line 471"/>
          <xdr:cNvSpPr>
            <a:spLocks/>
          </xdr:cNvSpPr>
        </xdr:nvSpPr>
        <xdr:spPr>
          <a:xfrm rot="18900000">
            <a:off x="348" y="493"/>
            <a:ext cx="1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Line 472"/>
          <xdr:cNvSpPr>
            <a:spLocks/>
          </xdr:cNvSpPr>
        </xdr:nvSpPr>
        <xdr:spPr>
          <a:xfrm rot="18900000">
            <a:off x="283" y="493"/>
            <a:ext cx="1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Line 473"/>
          <xdr:cNvSpPr>
            <a:spLocks/>
          </xdr:cNvSpPr>
        </xdr:nvSpPr>
        <xdr:spPr>
          <a:xfrm>
            <a:off x="422" y="262"/>
            <a:ext cx="4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Line 474"/>
          <xdr:cNvSpPr>
            <a:spLocks/>
          </xdr:cNvSpPr>
        </xdr:nvSpPr>
        <xdr:spPr>
          <a:xfrm>
            <a:off x="422" y="391"/>
            <a:ext cx="4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Line 475"/>
          <xdr:cNvSpPr>
            <a:spLocks/>
          </xdr:cNvSpPr>
        </xdr:nvSpPr>
        <xdr:spPr>
          <a:xfrm>
            <a:off x="457" y="257"/>
            <a:ext cx="0" cy="13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Line 476"/>
          <xdr:cNvSpPr>
            <a:spLocks/>
          </xdr:cNvSpPr>
        </xdr:nvSpPr>
        <xdr:spPr>
          <a:xfrm rot="18900000">
            <a:off x="451" y="263"/>
            <a:ext cx="1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Line 477"/>
          <xdr:cNvSpPr>
            <a:spLocks/>
          </xdr:cNvSpPr>
        </xdr:nvSpPr>
        <xdr:spPr>
          <a:xfrm rot="18900000">
            <a:off x="451" y="391"/>
            <a:ext cx="1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Line 478"/>
          <xdr:cNvSpPr>
            <a:spLocks/>
          </xdr:cNvSpPr>
        </xdr:nvSpPr>
        <xdr:spPr>
          <a:xfrm>
            <a:off x="422" y="326"/>
            <a:ext cx="4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Line 479"/>
          <xdr:cNvSpPr>
            <a:spLocks/>
          </xdr:cNvSpPr>
        </xdr:nvSpPr>
        <xdr:spPr>
          <a:xfrm rot="18900000">
            <a:off x="451" y="326"/>
            <a:ext cx="1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1</xdr:col>
      <xdr:colOff>104775</xdr:colOff>
      <xdr:row>20</xdr:row>
      <xdr:rowOff>209550</xdr:rowOff>
    </xdr:from>
    <xdr:to>
      <xdr:col>4</xdr:col>
      <xdr:colOff>152400</xdr:colOff>
      <xdr:row>27</xdr:row>
      <xdr:rowOff>66675</xdr:rowOff>
    </xdr:to>
    <xdr:grpSp>
      <xdr:nvGrpSpPr>
        <xdr:cNvPr id="162" name="Group 482"/>
        <xdr:cNvGrpSpPr>
          <a:grpSpLocks/>
        </xdr:cNvGrpSpPr>
      </xdr:nvGrpSpPr>
      <xdr:grpSpPr>
        <a:xfrm>
          <a:off x="714375" y="5924550"/>
          <a:ext cx="2000250" cy="1790700"/>
          <a:chOff x="75" y="680"/>
          <a:chExt cx="210" cy="188"/>
        </a:xfrm>
        <a:solidFill>
          <a:srgbClr val="FFFFFF"/>
        </a:solidFill>
      </xdr:grpSpPr>
      <xdr:sp>
        <xdr:nvSpPr>
          <xdr:cNvPr id="163" name="Rectangle 276"/>
          <xdr:cNvSpPr>
            <a:spLocks/>
          </xdr:cNvSpPr>
        </xdr:nvSpPr>
        <xdr:spPr>
          <a:xfrm>
            <a:off x="75" y="761"/>
            <a:ext cx="210" cy="2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277"/>
          <xdr:cNvSpPr>
            <a:spLocks/>
          </xdr:cNvSpPr>
        </xdr:nvSpPr>
        <xdr:spPr>
          <a:xfrm>
            <a:off x="162" y="726"/>
            <a:ext cx="36" cy="3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Line 278"/>
          <xdr:cNvSpPr>
            <a:spLocks/>
          </xdr:cNvSpPr>
        </xdr:nvSpPr>
        <xdr:spPr>
          <a:xfrm>
            <a:off x="180" y="68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280"/>
          <xdr:cNvSpPr>
            <a:spLocks/>
          </xdr:cNvSpPr>
        </xdr:nvSpPr>
        <xdr:spPr>
          <a:xfrm>
            <a:off x="163" y="757"/>
            <a:ext cx="35" cy="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Line 281"/>
          <xdr:cNvSpPr>
            <a:spLocks/>
          </xdr:cNvSpPr>
        </xdr:nvSpPr>
        <xdr:spPr>
          <a:xfrm flipV="1">
            <a:off x="96" y="790"/>
            <a:ext cx="0" cy="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Line 282"/>
          <xdr:cNvSpPr>
            <a:spLocks/>
          </xdr:cNvSpPr>
        </xdr:nvSpPr>
        <xdr:spPr>
          <a:xfrm flipV="1">
            <a:off x="264" y="79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283"/>
          <xdr:cNvSpPr>
            <a:spLocks/>
          </xdr:cNvSpPr>
        </xdr:nvSpPr>
        <xdr:spPr>
          <a:xfrm>
            <a:off x="198" y="795"/>
            <a:ext cx="0" cy="3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Line 284"/>
          <xdr:cNvSpPr>
            <a:spLocks/>
          </xdr:cNvSpPr>
        </xdr:nvSpPr>
        <xdr:spPr>
          <a:xfrm>
            <a:off x="198" y="825"/>
            <a:ext cx="6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Line 285"/>
          <xdr:cNvSpPr>
            <a:spLocks/>
          </xdr:cNvSpPr>
        </xdr:nvSpPr>
        <xdr:spPr>
          <a:xfrm>
            <a:off x="96" y="841"/>
            <a:ext cx="0" cy="2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Line 286"/>
          <xdr:cNvSpPr>
            <a:spLocks/>
          </xdr:cNvSpPr>
        </xdr:nvSpPr>
        <xdr:spPr>
          <a:xfrm>
            <a:off x="96" y="861"/>
            <a:ext cx="16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Line 287"/>
          <xdr:cNvSpPr>
            <a:spLocks/>
          </xdr:cNvSpPr>
        </xdr:nvSpPr>
        <xdr:spPr>
          <a:xfrm>
            <a:off x="264" y="842"/>
            <a:ext cx="0" cy="2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Line 288"/>
          <xdr:cNvSpPr>
            <a:spLocks/>
          </xdr:cNvSpPr>
        </xdr:nvSpPr>
        <xdr:spPr>
          <a:xfrm>
            <a:off x="180" y="847"/>
            <a:ext cx="0" cy="1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480"/>
          <xdr:cNvSpPr>
            <a:spLocks/>
          </xdr:cNvSpPr>
        </xdr:nvSpPr>
        <xdr:spPr>
          <a:xfrm flipV="1">
            <a:off x="180" y="790"/>
            <a:ext cx="0" cy="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vmlDrawing" Target="../drawings/vmlDrawing2.vml" /><Relationship Id="rId9" Type="http://schemas.openxmlformats.org/officeDocument/2006/relationships/drawing" Target="../drawings/drawing3.xml" /><Relationship Id="rId10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vmlDrawing" Target="../drawings/vmlDrawing3.vml" /><Relationship Id="rId5" Type="http://schemas.openxmlformats.org/officeDocument/2006/relationships/drawing" Target="../drawings/drawing4.xm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vmlDrawing" Target="../drawings/vmlDrawing4.vml" /><Relationship Id="rId5" Type="http://schemas.openxmlformats.org/officeDocument/2006/relationships/drawing" Target="../drawings/drawing5.xml" /><Relationship Id="rId6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2"/>
  <sheetViews>
    <sheetView tabSelected="1" zoomScale="69" zoomScaleNormal="69" zoomScalePageLayoutView="0" workbookViewId="0" topLeftCell="A1">
      <selection activeCell="N10" sqref="N10"/>
    </sheetView>
  </sheetViews>
  <sheetFormatPr defaultColWidth="9.140625" defaultRowHeight="12.75"/>
  <cols>
    <col min="1" max="1" width="3.421875" style="1" customWidth="1"/>
    <col min="2" max="2" width="6.57421875" style="1" customWidth="1"/>
    <col min="3" max="6" width="9.140625" style="1" customWidth="1"/>
    <col min="7" max="7" width="11.00390625" style="1" customWidth="1"/>
    <col min="8" max="16384" width="9.140625" style="1" customWidth="1"/>
  </cols>
  <sheetData>
    <row r="1" ht="4.5" customHeight="1" thickBot="1"/>
    <row r="2" spans="1:13" ht="34.5" customHeight="1" thickBot="1" thickTop="1">
      <c r="A2" s="116"/>
      <c r="B2" s="117"/>
      <c r="C2" s="118" t="s">
        <v>35</v>
      </c>
      <c r="D2" s="119"/>
      <c r="E2" s="120"/>
      <c r="F2" s="120"/>
      <c r="G2" s="121" t="s">
        <v>33</v>
      </c>
      <c r="H2" s="120"/>
      <c r="I2" s="120"/>
      <c r="J2" s="122"/>
      <c r="K2" s="116"/>
      <c r="L2" s="116"/>
      <c r="M2" s="116"/>
    </row>
    <row r="3" spans="1:13" s="2" customFormat="1" ht="13.5" thickTop="1">
      <c r="A3" s="123"/>
      <c r="B3" s="124"/>
      <c r="C3" s="125"/>
      <c r="D3" s="125"/>
      <c r="E3" s="125"/>
      <c r="F3" s="125"/>
      <c r="G3" s="126" t="s">
        <v>5</v>
      </c>
      <c r="H3" s="125"/>
      <c r="I3" s="125"/>
      <c r="J3" s="127"/>
      <c r="K3" s="123"/>
      <c r="L3" s="128"/>
      <c r="M3" s="123"/>
    </row>
    <row r="4" spans="1:13" s="2" customFormat="1" ht="12.75">
      <c r="A4" s="123"/>
      <c r="B4" s="124"/>
      <c r="C4" s="125"/>
      <c r="D4" s="125"/>
      <c r="E4" s="125"/>
      <c r="F4" s="125"/>
      <c r="G4" s="126" t="s">
        <v>12</v>
      </c>
      <c r="H4" s="125"/>
      <c r="I4" s="125"/>
      <c r="J4" s="127"/>
      <c r="K4" s="123"/>
      <c r="L4" s="123"/>
      <c r="M4" s="123"/>
    </row>
    <row r="5" spans="1:13" ht="21.75">
      <c r="A5" s="116"/>
      <c r="B5" s="129" t="s">
        <v>90</v>
      </c>
      <c r="C5" s="130"/>
      <c r="D5" s="158" t="s">
        <v>146</v>
      </c>
      <c r="E5" s="159"/>
      <c r="F5" s="159"/>
      <c r="G5" s="159"/>
      <c r="H5" s="159"/>
      <c r="I5" s="130"/>
      <c r="J5" s="132"/>
      <c r="K5" s="116"/>
      <c r="L5" s="116"/>
      <c r="M5" s="116"/>
    </row>
    <row r="6" spans="1:13" ht="21.75">
      <c r="A6" s="116"/>
      <c r="B6" s="129" t="s">
        <v>38</v>
      </c>
      <c r="C6" s="131"/>
      <c r="D6" s="131"/>
      <c r="E6" s="131"/>
      <c r="F6" s="133" t="s">
        <v>7</v>
      </c>
      <c r="G6" s="149">
        <v>100</v>
      </c>
      <c r="H6" s="135" t="s">
        <v>40</v>
      </c>
      <c r="I6" s="131"/>
      <c r="J6" s="136"/>
      <c r="K6" s="116"/>
      <c r="L6" s="116"/>
      <c r="M6" s="116"/>
    </row>
    <row r="7" spans="1:13" ht="21.75">
      <c r="A7" s="110"/>
      <c r="B7" s="111" t="s">
        <v>17</v>
      </c>
      <c r="C7" s="112"/>
      <c r="D7" s="112"/>
      <c r="E7" s="112"/>
      <c r="F7" s="113" t="s">
        <v>95</v>
      </c>
      <c r="G7" s="134">
        <v>0</v>
      </c>
      <c r="H7" s="135" t="s">
        <v>45</v>
      </c>
      <c r="I7" s="131"/>
      <c r="J7" s="136"/>
      <c r="K7" s="116"/>
      <c r="L7" s="116"/>
      <c r="M7" s="116"/>
    </row>
    <row r="8" spans="1:13" ht="21.75">
      <c r="A8" s="110"/>
      <c r="B8" s="111" t="s">
        <v>36</v>
      </c>
      <c r="C8" s="112"/>
      <c r="D8" s="112"/>
      <c r="E8" s="112"/>
      <c r="F8" s="113" t="s">
        <v>10</v>
      </c>
      <c r="G8" s="152" t="s">
        <v>91</v>
      </c>
      <c r="H8" s="135"/>
      <c r="I8" s="131"/>
      <c r="J8" s="136"/>
      <c r="K8" s="116"/>
      <c r="L8" s="116"/>
      <c r="M8" s="116"/>
    </row>
    <row r="9" spans="1:13" ht="21.75">
      <c r="A9" s="110"/>
      <c r="B9" s="114"/>
      <c r="C9" s="112"/>
      <c r="D9" s="112"/>
      <c r="E9" s="112"/>
      <c r="F9" s="113" t="s">
        <v>11</v>
      </c>
      <c r="G9" s="137">
        <v>35</v>
      </c>
      <c r="H9" s="135" t="s">
        <v>18</v>
      </c>
      <c r="I9" s="131"/>
      <c r="J9" s="136"/>
      <c r="K9" s="116"/>
      <c r="L9" s="116"/>
      <c r="M9" s="116"/>
    </row>
    <row r="10" spans="1:13" ht="21.75">
      <c r="A10" s="110"/>
      <c r="B10" s="114"/>
      <c r="C10" s="112"/>
      <c r="D10" s="112"/>
      <c r="E10" s="112"/>
      <c r="F10" s="113" t="s">
        <v>37</v>
      </c>
      <c r="G10" s="137">
        <v>35</v>
      </c>
      <c r="H10" s="135" t="s">
        <v>1</v>
      </c>
      <c r="I10" s="131" t="s">
        <v>84</v>
      </c>
      <c r="J10" s="136"/>
      <c r="K10" s="116"/>
      <c r="L10" s="116"/>
      <c r="M10" s="116"/>
    </row>
    <row r="11" spans="1:13" ht="21.75">
      <c r="A11" s="110"/>
      <c r="B11" s="115"/>
      <c r="C11" s="112"/>
      <c r="D11" s="112"/>
      <c r="E11" s="112"/>
      <c r="F11" s="113" t="s">
        <v>61</v>
      </c>
      <c r="G11" s="149">
        <v>60</v>
      </c>
      <c r="H11" s="135" t="s">
        <v>40</v>
      </c>
      <c r="I11" s="138">
        <f>ROUNDUP(G6/G11,0)</f>
        <v>2</v>
      </c>
      <c r="J11" s="136"/>
      <c r="K11" s="155"/>
      <c r="L11" s="155"/>
      <c r="M11" s="116"/>
    </row>
    <row r="12" spans="1:13" ht="21.75">
      <c r="A12" s="110"/>
      <c r="B12" s="111" t="s">
        <v>0</v>
      </c>
      <c r="C12" s="112"/>
      <c r="D12" s="112"/>
      <c r="E12" s="112"/>
      <c r="F12" s="113" t="s">
        <v>14</v>
      </c>
      <c r="G12" s="139">
        <v>0.4</v>
      </c>
      <c r="H12" s="135" t="s">
        <v>1</v>
      </c>
      <c r="I12" s="131"/>
      <c r="J12" s="136"/>
      <c r="K12" s="155"/>
      <c r="L12" s="155"/>
      <c r="M12" s="116"/>
    </row>
    <row r="13" spans="1:13" ht="21.75">
      <c r="A13" s="110"/>
      <c r="B13" s="111"/>
      <c r="C13" s="112"/>
      <c r="D13" s="112"/>
      <c r="E13" s="112"/>
      <c r="F13" s="133" t="s">
        <v>8</v>
      </c>
      <c r="G13" s="139">
        <v>0.4</v>
      </c>
      <c r="H13" s="135" t="s">
        <v>13</v>
      </c>
      <c r="I13" s="131"/>
      <c r="J13" s="136"/>
      <c r="K13" s="116"/>
      <c r="L13" s="116"/>
      <c r="M13" s="116"/>
    </row>
    <row r="14" spans="1:13" ht="21.75">
      <c r="A14" s="116"/>
      <c r="B14" s="129" t="s">
        <v>2</v>
      </c>
      <c r="C14" s="131"/>
      <c r="D14" s="131"/>
      <c r="E14" s="131" t="s">
        <v>41</v>
      </c>
      <c r="F14" s="133" t="s">
        <v>9</v>
      </c>
      <c r="G14" s="150">
        <v>145</v>
      </c>
      <c r="H14" s="135" t="s">
        <v>3</v>
      </c>
      <c r="I14" s="131"/>
      <c r="J14" s="136"/>
      <c r="K14" s="116"/>
      <c r="L14" s="116"/>
      <c r="M14" s="116"/>
    </row>
    <row r="15" spans="1:13" ht="21.75">
      <c r="A15" s="116"/>
      <c r="B15" s="141"/>
      <c r="C15" s="131"/>
      <c r="D15" s="131"/>
      <c r="E15" s="131" t="s">
        <v>39</v>
      </c>
      <c r="F15" s="133" t="s">
        <v>9</v>
      </c>
      <c r="G15" s="150">
        <v>350</v>
      </c>
      <c r="H15" s="135" t="s">
        <v>3</v>
      </c>
      <c r="I15" s="131"/>
      <c r="J15" s="136"/>
      <c r="K15" s="116"/>
      <c r="L15" s="116"/>
      <c r="M15" s="116"/>
    </row>
    <row r="16" spans="1:13" ht="21.75">
      <c r="A16" s="116"/>
      <c r="B16" s="142"/>
      <c r="C16" s="131"/>
      <c r="D16" s="131"/>
      <c r="E16" s="131" t="s">
        <v>4</v>
      </c>
      <c r="F16" s="133" t="s">
        <v>10</v>
      </c>
      <c r="G16" s="150" t="s">
        <v>12</v>
      </c>
      <c r="H16" s="135"/>
      <c r="I16" s="156"/>
      <c r="J16" s="157"/>
      <c r="K16" s="116"/>
      <c r="L16" s="116"/>
      <c r="M16" s="116"/>
    </row>
    <row r="17" spans="1:13" ht="21.75">
      <c r="A17" s="116"/>
      <c r="B17" s="142"/>
      <c r="C17" s="131"/>
      <c r="D17" s="131"/>
      <c r="E17" s="131"/>
      <c r="F17" s="133" t="s">
        <v>11</v>
      </c>
      <c r="G17" s="140">
        <v>25</v>
      </c>
      <c r="H17" s="135" t="s">
        <v>6</v>
      </c>
      <c r="I17" s="130"/>
      <c r="J17" s="132"/>
      <c r="K17" s="116"/>
      <c r="L17" s="116"/>
      <c r="M17" s="116"/>
    </row>
    <row r="18" spans="1:13" ht="21.75">
      <c r="A18" s="116"/>
      <c r="B18" s="129" t="s">
        <v>135</v>
      </c>
      <c r="C18" s="131"/>
      <c r="D18" s="131"/>
      <c r="E18" s="143">
        <f>CEILING(G9/100,0.05)</f>
        <v>0.35000000000000003</v>
      </c>
      <c r="F18" s="153">
        <f>G18+G18+G19</f>
        <v>1.75</v>
      </c>
      <c r="G18" s="139">
        <v>0.35</v>
      </c>
      <c r="H18" s="135" t="s">
        <v>1</v>
      </c>
      <c r="I18" s="130" t="s">
        <v>144</v>
      </c>
      <c r="J18" s="132"/>
      <c r="K18" s="116"/>
      <c r="L18" s="116"/>
      <c r="M18" s="116"/>
    </row>
    <row r="19" spans="1:13" ht="21.75">
      <c r="A19" s="116"/>
      <c r="B19" s="129" t="s">
        <v>134</v>
      </c>
      <c r="C19" s="131"/>
      <c r="D19" s="131"/>
      <c r="E19" s="143">
        <f>CEILING(G9/100*3,0.05)</f>
        <v>1.05</v>
      </c>
      <c r="F19" s="154"/>
      <c r="G19" s="151">
        <v>1.05</v>
      </c>
      <c r="H19" s="135" t="s">
        <v>1</v>
      </c>
      <c r="I19" s="138" t="str">
        <f>IF(I11=2,2P!F53,IF(I11=3,3P!H43,4P!F53))</f>
        <v>O.K.</v>
      </c>
      <c r="J19" s="132" t="s">
        <v>145</v>
      </c>
      <c r="K19" s="116"/>
      <c r="L19" s="116"/>
      <c r="M19" s="116"/>
    </row>
    <row r="20" spans="1:13" ht="21.75">
      <c r="A20" s="116"/>
      <c r="B20" s="129" t="s">
        <v>85</v>
      </c>
      <c r="C20" s="131"/>
      <c r="D20" s="131"/>
      <c r="E20" s="143">
        <f>IF(I11=2,2P!I41,IF(I11=3,3P!H34,4P!I41))</f>
        <v>0.6000000000000001</v>
      </c>
      <c r="F20" s="133" t="s">
        <v>133</v>
      </c>
      <c r="G20" s="151">
        <v>0.7</v>
      </c>
      <c r="H20" s="135" t="s">
        <v>1</v>
      </c>
      <c r="I20" s="144" t="str">
        <f>IF(I11=2,2P!G53,IF(I11=3,3P!H43,4P!G53))</f>
        <v>O.K.</v>
      </c>
      <c r="J20" s="145" t="str">
        <f>IF(I11=2,2P!H53,IF(I11=3,3P!H50,4P!H53))</f>
        <v>O.K.</v>
      </c>
      <c r="K20" s="116"/>
      <c r="L20" s="116"/>
      <c r="M20" s="116"/>
    </row>
    <row r="21" spans="1:13" ht="9" customHeight="1" thickBot="1">
      <c r="A21" s="116"/>
      <c r="B21" s="146"/>
      <c r="C21" s="147"/>
      <c r="D21" s="147"/>
      <c r="E21" s="147"/>
      <c r="F21" s="147"/>
      <c r="G21" s="147"/>
      <c r="H21" s="147"/>
      <c r="I21" s="147"/>
      <c r="J21" s="148"/>
      <c r="K21" s="116"/>
      <c r="L21" s="116"/>
      <c r="M21" s="116"/>
    </row>
    <row r="22" spans="1:13" ht="22.5" thickTop="1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</row>
  </sheetData>
  <sheetProtection/>
  <mergeCells count="5">
    <mergeCell ref="F18:F19"/>
    <mergeCell ref="K11:L11"/>
    <mergeCell ref="K12:L12"/>
    <mergeCell ref="I16:J16"/>
    <mergeCell ref="D5:H5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2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3" width="9.140625" style="1" customWidth="1"/>
    <col min="4" max="4" width="10.57421875" style="1" customWidth="1"/>
    <col min="5" max="5" width="6.57421875" style="1" customWidth="1"/>
    <col min="6" max="7" width="9.140625" style="1" customWidth="1"/>
    <col min="8" max="8" width="12.140625" style="1" customWidth="1"/>
    <col min="9" max="9" width="12.00390625" style="1" customWidth="1"/>
    <col min="10" max="16384" width="9.140625" style="1" customWidth="1"/>
  </cols>
  <sheetData>
    <row r="1" spans="1:9" ht="25.5" customHeight="1">
      <c r="A1" s="31" t="str">
        <f>"โครงการ  :  "&amp;'Footing Data'!D5</f>
        <v>โครงการ  :  ปรับปรุงอปรับปรุงอาคารฟอก-นึ่งกลาง ร.พ.หางดงเชียงใหม่</v>
      </c>
      <c r="B1" s="31"/>
      <c r="C1" s="31"/>
      <c r="D1" s="31"/>
      <c r="E1" s="31"/>
      <c r="F1" s="31"/>
      <c r="G1" s="160">
        <f ca="1">NOW()</f>
        <v>41138.58802141203</v>
      </c>
      <c r="H1" s="160"/>
      <c r="I1" s="160"/>
    </row>
    <row r="2" spans="1:9" ht="25.5" customHeight="1">
      <c r="A2" s="32" t="s">
        <v>29</v>
      </c>
      <c r="B2" s="32"/>
      <c r="C2" s="35" t="str">
        <f>'Footing Data'!G2</f>
        <v>F1</v>
      </c>
      <c r="D2" s="32"/>
      <c r="E2" s="32"/>
      <c r="F2" s="32"/>
      <c r="G2" s="32"/>
      <c r="H2" s="32"/>
      <c r="I2" s="34" t="s">
        <v>149</v>
      </c>
    </row>
    <row r="4" ht="21.75">
      <c r="E4" s="30">
        <f>C5+E5+F5</f>
        <v>1.75</v>
      </c>
    </row>
    <row r="5" spans="3:7" ht="21.75">
      <c r="C5" s="161">
        <f>'Footing Data'!G18</f>
        <v>0.35</v>
      </c>
      <c r="D5" s="161"/>
      <c r="E5" s="30">
        <f>'Footing Data'!G19</f>
        <v>1.05</v>
      </c>
      <c r="F5" s="162">
        <f>C5</f>
        <v>0.35</v>
      </c>
      <c r="G5" s="162"/>
    </row>
    <row r="6" ht="21.75">
      <c r="E6" s="40"/>
    </row>
    <row r="7" spans="2:9" ht="21.75">
      <c r="B7" s="163">
        <f>C5</f>
        <v>0.35</v>
      </c>
      <c r="C7" s="163"/>
      <c r="E7" s="30">
        <f>'Footing Data'!G12</f>
        <v>0.4</v>
      </c>
      <c r="H7" s="107" t="s">
        <v>140</v>
      </c>
      <c r="I7" s="108">
        <f>E7+G42</f>
        <v>1.038</v>
      </c>
    </row>
    <row r="8" spans="2:4" ht="29.25" customHeight="1">
      <c r="B8" s="30">
        <f>B7+B9</f>
        <v>0.7</v>
      </c>
      <c r="C8" s="42"/>
      <c r="D8" s="26">
        <f>'Footing Data'!G13</f>
        <v>0.4</v>
      </c>
    </row>
    <row r="9" spans="2:3" ht="21.75">
      <c r="B9" s="163">
        <f>B7</f>
        <v>0.35</v>
      </c>
      <c r="C9" s="163"/>
    </row>
    <row r="10" spans="2:3" ht="21.75">
      <c r="B10" s="26"/>
      <c r="C10" s="26"/>
    </row>
    <row r="11" ht="21.75">
      <c r="D11" s="50">
        <f>(E5-E7)/2</f>
        <v>0.325</v>
      </c>
    </row>
    <row r="13" spans="1:9" ht="21.75">
      <c r="A13" s="17" t="s">
        <v>16</v>
      </c>
      <c r="B13" s="18"/>
      <c r="C13" s="18"/>
      <c r="D13" s="18"/>
      <c r="E13" s="19"/>
      <c r="F13" s="19"/>
      <c r="G13" s="20"/>
      <c r="H13" s="19"/>
      <c r="I13" s="19"/>
    </row>
    <row r="14" spans="1:9" ht="21.75">
      <c r="A14" s="6" t="s">
        <v>62</v>
      </c>
      <c r="B14" s="3"/>
      <c r="C14" s="4" t="s">
        <v>52</v>
      </c>
      <c r="D14" s="5">
        <f>'Footing Data'!G14</f>
        <v>145</v>
      </c>
      <c r="E14" s="3" t="s">
        <v>3</v>
      </c>
      <c r="F14" s="4" t="s">
        <v>63</v>
      </c>
      <c r="G14" s="5">
        <f>ROUNDDOWN(0.45*D14,0)</f>
        <v>65</v>
      </c>
      <c r="H14" s="3" t="s">
        <v>3</v>
      </c>
      <c r="I14" s="3"/>
    </row>
    <row r="15" spans="1:9" ht="21.75">
      <c r="A15" s="6" t="s">
        <v>64</v>
      </c>
      <c r="B15" s="3"/>
      <c r="C15" s="4" t="s">
        <v>52</v>
      </c>
      <c r="D15" s="5">
        <f>'Footing Data'!G15</f>
        <v>350</v>
      </c>
      <c r="E15" s="3" t="s">
        <v>3</v>
      </c>
      <c r="F15" s="4" t="s">
        <v>63</v>
      </c>
      <c r="G15" s="5">
        <f>ROUNDDOWN(0.45*D15,0)</f>
        <v>157</v>
      </c>
      <c r="H15" s="3" t="s">
        <v>3</v>
      </c>
      <c r="I15" s="3"/>
    </row>
    <row r="16" spans="1:9" ht="21.75">
      <c r="A16" s="6" t="str">
        <f>"เหล็กเสริม :   "&amp;'Footing Data'!G16&amp;" - "&amp;'Footing Data'!G17</f>
        <v>เหล็กเสริม :   DB - 25</v>
      </c>
      <c r="B16" s="3"/>
      <c r="C16" s="4" t="s">
        <v>53</v>
      </c>
      <c r="D16" s="12">
        <f>IF('Footing Data'!G16="RB",1200,1400)</f>
        <v>1400</v>
      </c>
      <c r="E16" s="3" t="s">
        <v>3</v>
      </c>
      <c r="F16" s="3"/>
      <c r="G16" s="3"/>
      <c r="H16" s="3"/>
      <c r="I16" s="3"/>
    </row>
    <row r="17" spans="1:9" ht="21.75">
      <c r="A17" s="17" t="s">
        <v>65</v>
      </c>
      <c r="B17" s="3"/>
      <c r="C17" s="4"/>
      <c r="D17" s="4"/>
      <c r="E17" s="5"/>
      <c r="F17" s="6"/>
      <c r="G17" s="3"/>
      <c r="H17" s="3"/>
      <c r="I17" s="3"/>
    </row>
    <row r="18" spans="1:9" ht="21.75">
      <c r="A18" s="11" t="s">
        <v>46</v>
      </c>
      <c r="B18" s="7">
        <f>ROUND(2040000/15210/SQRT(D14),0)</f>
        <v>11</v>
      </c>
      <c r="C18" s="11" t="s">
        <v>47</v>
      </c>
      <c r="D18" s="7">
        <f>ROUND(1/(1+(D16/(B18*G14))),3)</f>
        <v>0.338</v>
      </c>
      <c r="E18" s="11" t="s">
        <v>48</v>
      </c>
      <c r="F18" s="7">
        <f>ROUND(1-(D18/3),3)</f>
        <v>0.887</v>
      </c>
      <c r="G18" s="11" t="s">
        <v>49</v>
      </c>
      <c r="H18" s="7">
        <f>ROUND(0.5*G14*D18*F18,2)</f>
        <v>9.74</v>
      </c>
      <c r="I18" s="7" t="s">
        <v>3</v>
      </c>
    </row>
    <row r="19" spans="1:8" ht="21.75">
      <c r="A19" s="17" t="s">
        <v>67</v>
      </c>
      <c r="B19" s="3"/>
      <c r="C19" s="3"/>
      <c r="D19" s="3"/>
      <c r="E19" s="5"/>
      <c r="F19" s="5"/>
      <c r="G19" s="4"/>
      <c r="H19" s="4"/>
    </row>
    <row r="20" spans="3:9" ht="21.75">
      <c r="C20" s="72" t="str">
        <f>'Footing Data'!G6&amp;" T"</f>
        <v>100 T</v>
      </c>
      <c r="G20" s="99" t="s">
        <v>137</v>
      </c>
      <c r="H20" s="12">
        <f>'Footing Data'!G6</f>
        <v>100</v>
      </c>
      <c r="I20" s="1" t="s">
        <v>96</v>
      </c>
    </row>
    <row r="21" spans="3:9" ht="21.75">
      <c r="C21" s="3"/>
      <c r="D21" s="73" t="str">
        <f>'Footing Data'!G7&amp;" T.m"</f>
        <v>0 T.m</v>
      </c>
      <c r="G21" s="99" t="s">
        <v>138</v>
      </c>
      <c r="H21" s="12">
        <f>'Footing Data'!G7</f>
        <v>0</v>
      </c>
      <c r="I21" s="1" t="s">
        <v>139</v>
      </c>
    </row>
    <row r="22" spans="3:9" ht="21.75">
      <c r="C22" s="3"/>
      <c r="G22" s="49" t="s">
        <v>97</v>
      </c>
      <c r="H22" s="12">
        <f>'Footing Data'!G11</f>
        <v>60</v>
      </c>
      <c r="I22" s="1" t="s">
        <v>96</v>
      </c>
    </row>
    <row r="23" spans="3:9" ht="21.75">
      <c r="C23" s="164" t="s">
        <v>102</v>
      </c>
      <c r="E23" s="7"/>
      <c r="G23" s="49" t="s">
        <v>98</v>
      </c>
      <c r="H23" s="12">
        <f>ROUNDUP(H20/H22,0)</f>
        <v>2</v>
      </c>
      <c r="I23" s="1" t="s">
        <v>69</v>
      </c>
    </row>
    <row r="24" spans="3:9" ht="21.75">
      <c r="C24" s="164"/>
      <c r="E24" s="3"/>
      <c r="G24" s="49" t="s">
        <v>99</v>
      </c>
      <c r="H24" s="10">
        <f>ROUNDUP('Footing Data'!G6/H23,2)</f>
        <v>50</v>
      </c>
      <c r="I24" s="1" t="s">
        <v>96</v>
      </c>
    </row>
    <row r="25" spans="2:5" ht="21.75">
      <c r="B25" s="70" t="s">
        <v>109</v>
      </c>
      <c r="D25" s="62">
        <f>D11</f>
        <v>0.325</v>
      </c>
      <c r="E25" s="1" t="s">
        <v>110</v>
      </c>
    </row>
    <row r="26" spans="2:4" ht="21.75">
      <c r="B26" s="165">
        <f>C27/2</f>
        <v>0.525</v>
      </c>
      <c r="C26" s="165"/>
      <c r="D26" s="70">
        <f>B26</f>
        <v>0.525</v>
      </c>
    </row>
    <row r="27" spans="2:3" ht="21.75">
      <c r="B27" s="40"/>
      <c r="C27" s="40">
        <f>E5</f>
        <v>1.05</v>
      </c>
    </row>
    <row r="28" spans="2:9" ht="21.75">
      <c r="B28" s="74" t="s">
        <v>100</v>
      </c>
      <c r="C28" s="36" t="str">
        <f>"P1 + P2  =  "&amp;'Footing Data'!G6</f>
        <v>P1 + P2  =  100</v>
      </c>
      <c r="E28" s="25"/>
      <c r="F28" s="12"/>
      <c r="G28" s="63" t="s">
        <v>105</v>
      </c>
      <c r="H28" s="75">
        <f>'Footing Data'!G6</f>
        <v>100</v>
      </c>
      <c r="I28" s="76">
        <v>1</v>
      </c>
    </row>
    <row r="29" spans="2:9" ht="21.75">
      <c r="B29" s="74" t="s">
        <v>101</v>
      </c>
      <c r="C29" s="9" t="str">
        <f>"(P1)("&amp;B26&amp;") + "&amp;'Footing Data'!G7&amp;" - (P2)("&amp;D26&amp;")  =  0"</f>
        <v>(P1)(0.525) + 0 - (P2)(0.525)  =  0</v>
      </c>
      <c r="D29" s="49"/>
      <c r="E29" s="25"/>
      <c r="G29" s="63" t="s">
        <v>106</v>
      </c>
      <c r="H29" s="75">
        <f>'Footing Data'!G7/B26</f>
        <v>0</v>
      </c>
      <c r="I29" s="76">
        <v>2</v>
      </c>
    </row>
    <row r="30" spans="3:7" ht="21.75">
      <c r="C30" s="1" t="s">
        <v>108</v>
      </c>
      <c r="D30" s="49" t="s">
        <v>109</v>
      </c>
      <c r="E30" s="25" t="s">
        <v>15</v>
      </c>
      <c r="F30" s="44">
        <f>ROUNDUP((H28-H29)/2,2)</f>
        <v>50</v>
      </c>
      <c r="G30" s="1" t="s">
        <v>96</v>
      </c>
    </row>
    <row r="31" spans="3:7" ht="21.75">
      <c r="C31" s="1" t="s">
        <v>107</v>
      </c>
      <c r="D31" s="49" t="s">
        <v>110</v>
      </c>
      <c r="E31" s="25" t="s">
        <v>15</v>
      </c>
      <c r="F31" s="44">
        <f>ROUNDUP((H28+H29)/2,2)</f>
        <v>50</v>
      </c>
      <c r="G31" s="1" t="s">
        <v>96</v>
      </c>
    </row>
    <row r="32" spans="4:6" ht="21.75">
      <c r="D32" s="49"/>
      <c r="E32" s="25"/>
      <c r="F32" s="44"/>
    </row>
    <row r="33" spans="4:6" ht="21.75">
      <c r="D33" s="49"/>
      <c r="E33" s="25"/>
      <c r="F33" s="44"/>
    </row>
    <row r="34" spans="4:6" ht="21.75">
      <c r="D34" s="49"/>
      <c r="E34" s="25"/>
      <c r="F34" s="44"/>
    </row>
    <row r="35" spans="1:8" ht="21.75">
      <c r="A35" s="17" t="s">
        <v>73</v>
      </c>
      <c r="B35" s="3"/>
      <c r="C35" s="3"/>
      <c r="D35" s="3"/>
      <c r="E35" s="3"/>
      <c r="F35" s="3"/>
      <c r="G35" s="3"/>
      <c r="H35" s="3"/>
    </row>
    <row r="36" spans="1:8" ht="21.75">
      <c r="A36" s="6" t="s">
        <v>54</v>
      </c>
      <c r="B36" s="7" t="s">
        <v>59</v>
      </c>
      <c r="C36" s="3"/>
      <c r="D36" s="3"/>
      <c r="F36" s="4" t="s">
        <v>15</v>
      </c>
      <c r="G36" s="57">
        <f>D25</f>
        <v>0.325</v>
      </c>
      <c r="H36" s="6" t="s">
        <v>1</v>
      </c>
    </row>
    <row r="37" spans="1:8" ht="21.75">
      <c r="A37" s="3"/>
      <c r="B37" s="7" t="s">
        <v>60</v>
      </c>
      <c r="C37" s="3"/>
      <c r="D37" s="3"/>
      <c r="F37" s="4" t="s">
        <v>76</v>
      </c>
      <c r="G37" s="57">
        <f>B8</f>
        <v>0.7</v>
      </c>
      <c r="H37" s="6" t="s">
        <v>1</v>
      </c>
    </row>
    <row r="38" spans="1:8" ht="21.75">
      <c r="A38" s="7"/>
      <c r="B38" s="7" t="s">
        <v>74</v>
      </c>
      <c r="C38" s="3"/>
      <c r="D38" s="3"/>
      <c r="F38" s="4" t="s">
        <v>75</v>
      </c>
      <c r="G38" s="48">
        <f>MAX(F30,F31)</f>
        <v>50</v>
      </c>
      <c r="H38" s="6" t="s">
        <v>40</v>
      </c>
    </row>
    <row r="39" spans="1:8" ht="21.75">
      <c r="A39" s="3"/>
      <c r="B39" s="7" t="s">
        <v>17</v>
      </c>
      <c r="C39" s="3"/>
      <c r="D39" s="3"/>
      <c r="F39" s="4" t="str">
        <f>"M  =  "&amp;G38&amp;" x "&amp;G36&amp;"    ="</f>
        <v>M  =  50 x 0.325    =</v>
      </c>
      <c r="G39" s="48">
        <f>G38*G36</f>
        <v>16.25</v>
      </c>
      <c r="H39" s="6" t="s">
        <v>45</v>
      </c>
    </row>
    <row r="40" spans="1:8" ht="21.75">
      <c r="A40" s="3"/>
      <c r="B40" s="3" t="s">
        <v>51</v>
      </c>
      <c r="C40" s="3"/>
      <c r="D40" s="3"/>
      <c r="F40" s="4" t="s">
        <v>15</v>
      </c>
      <c r="G40" s="51">
        <f>ROUND(SQRT(G39*1000/(H18*G37)),2)/100</f>
        <v>0.4882</v>
      </c>
      <c r="H40" s="6" t="s">
        <v>1</v>
      </c>
    </row>
    <row r="41" spans="1:9" ht="21.75">
      <c r="A41" s="3"/>
      <c r="B41" s="3" t="s">
        <v>56</v>
      </c>
      <c r="C41" s="3"/>
      <c r="D41" s="4"/>
      <c r="F41" s="4" t="s">
        <v>86</v>
      </c>
      <c r="G41" s="51">
        <f>'Footing Data'!G20</f>
        <v>0.7</v>
      </c>
      <c r="H41" s="6" t="s">
        <v>1</v>
      </c>
      <c r="I41" s="109">
        <f>CEILING(G40+0.05+('Footing Data'!G17/10/100/2),0.05)</f>
        <v>0.6000000000000001</v>
      </c>
    </row>
    <row r="42" spans="1:8" ht="21.75">
      <c r="A42" s="3"/>
      <c r="B42" s="3"/>
      <c r="C42" s="3"/>
      <c r="F42" s="4" t="s">
        <v>136</v>
      </c>
      <c r="G42" s="53">
        <f>ROUND(G41-(0.05+('Footing Data'!G17/10/100/2)),3)</f>
        <v>0.638</v>
      </c>
      <c r="H42" s="6" t="s">
        <v>1</v>
      </c>
    </row>
    <row r="43" spans="1:9" ht="21.75">
      <c r="A43" s="17" t="s">
        <v>77</v>
      </c>
      <c r="B43" s="3"/>
      <c r="C43" s="3"/>
      <c r="D43" s="3"/>
      <c r="E43" s="3"/>
      <c r="F43" s="3"/>
      <c r="G43" s="3"/>
      <c r="H43" s="3"/>
      <c r="I43" s="3"/>
    </row>
    <row r="44" spans="2:8" ht="21.75">
      <c r="B44" s="166" t="s">
        <v>111</v>
      </c>
      <c r="C44" s="167"/>
      <c r="D44" s="167"/>
      <c r="E44" s="168"/>
      <c r="F44" s="88" t="s">
        <v>112</v>
      </c>
      <c r="G44" s="88" t="s">
        <v>112</v>
      </c>
      <c r="H44" s="80" t="s">
        <v>113</v>
      </c>
    </row>
    <row r="45" spans="2:8" ht="21.75">
      <c r="B45" s="66" t="s">
        <v>115</v>
      </c>
      <c r="C45" s="31"/>
      <c r="D45" s="31"/>
      <c r="E45" s="31"/>
      <c r="F45" s="81">
        <f>G42</f>
        <v>0.638</v>
      </c>
      <c r="G45" s="81">
        <f>G42</f>
        <v>0.638</v>
      </c>
      <c r="H45" s="81">
        <f>G42/2</f>
        <v>0.319</v>
      </c>
    </row>
    <row r="46" spans="2:8" ht="21.75">
      <c r="B46" s="77" t="s">
        <v>117</v>
      </c>
      <c r="C46" s="78"/>
      <c r="D46" s="78"/>
      <c r="E46" s="78"/>
      <c r="F46" s="97">
        <f>(G36-F45)*100</f>
        <v>-31.3</v>
      </c>
      <c r="G46" s="97">
        <f>(G36-G45)*100</f>
        <v>-31.3</v>
      </c>
      <c r="H46" s="86">
        <f>(G36-H45)*100</f>
        <v>0.6000000000000005</v>
      </c>
    </row>
    <row r="47" spans="2:9" ht="21.75">
      <c r="B47" s="77" t="s">
        <v>121</v>
      </c>
      <c r="C47" s="78"/>
      <c r="D47" s="78"/>
      <c r="E47" s="78"/>
      <c r="F47" s="82">
        <f>B8</f>
        <v>0.7</v>
      </c>
      <c r="G47" s="82">
        <f>B8</f>
        <v>0.7</v>
      </c>
      <c r="H47" s="82">
        <f>IF(I7&gt;B8,B8*2,I7*4)</f>
        <v>1.4</v>
      </c>
      <c r="I47" s="40"/>
    </row>
    <row r="48" spans="2:8" ht="21.75">
      <c r="B48" s="77" t="s">
        <v>118</v>
      </c>
      <c r="C48" s="78"/>
      <c r="D48" s="78"/>
      <c r="E48" s="78"/>
      <c r="F48" s="82">
        <f>IF(F46&lt;-15,0,IF(F46&gt;15,F30,ROUNDUP(F30/30*(F46+15),3)))</f>
        <v>0</v>
      </c>
      <c r="G48" s="82">
        <v>0</v>
      </c>
      <c r="H48" s="82">
        <f>IF(H46&lt;-15,0,IF(H46&gt;15,F30,ROUNDUP(F30/30*(H46+15),3)))</f>
        <v>26</v>
      </c>
    </row>
    <row r="49" spans="2:8" ht="21.75">
      <c r="B49" s="77" t="s">
        <v>119</v>
      </c>
      <c r="C49" s="78"/>
      <c r="D49" s="78"/>
      <c r="E49" s="78"/>
      <c r="F49" s="82">
        <v>0</v>
      </c>
      <c r="G49" s="82">
        <f>IF(G46&lt;-15,0,IF(G46&gt;15,F31,ROUNDUP(F31/30*(G46+15),3)))</f>
        <v>0</v>
      </c>
      <c r="H49" s="82">
        <f>IF(H46&lt;-15,0,IF(H46&gt;15,F31,ROUNDUP(F31/30*(H46+15),3)))</f>
        <v>26</v>
      </c>
    </row>
    <row r="50" spans="2:9" ht="21.75">
      <c r="B50" s="77" t="s">
        <v>120</v>
      </c>
      <c r="C50" s="78"/>
      <c r="D50" s="78"/>
      <c r="E50" s="78"/>
      <c r="F50" s="82">
        <f>F48</f>
        <v>0</v>
      </c>
      <c r="G50" s="82">
        <f>G49</f>
        <v>0</v>
      </c>
      <c r="H50" s="82">
        <f>H48+H49</f>
        <v>52</v>
      </c>
      <c r="I50" s="53"/>
    </row>
    <row r="51" spans="2:8" ht="21.75">
      <c r="B51" s="77" t="s">
        <v>114</v>
      </c>
      <c r="C51" s="78"/>
      <c r="D51" s="78"/>
      <c r="E51" s="78"/>
      <c r="F51" s="82">
        <f>ROUNDDOWN(0.29*SQRT(D14),3)</f>
        <v>3.492</v>
      </c>
      <c r="G51" s="82">
        <f>ROUNDDOWN(0.29*SQRT(D14),3)</f>
        <v>3.492</v>
      </c>
      <c r="H51" s="83">
        <f>ROUNDDOWN(0.53*SQRT(D14),3)</f>
        <v>6.382</v>
      </c>
    </row>
    <row r="52" spans="2:8" ht="21.75">
      <c r="B52" s="67" t="s">
        <v>116</v>
      </c>
      <c r="C52" s="32"/>
      <c r="D52" s="32"/>
      <c r="E52" s="32"/>
      <c r="F52" s="85">
        <f>ROUNDUP(F48*1000/(F47*100*G42*100),3)</f>
        <v>0</v>
      </c>
      <c r="G52" s="85">
        <f>ROUNDUP(G49*1000/(G47*100*G42*100),3)</f>
        <v>0</v>
      </c>
      <c r="H52" s="85">
        <f>ROUNDUP(H50*1000/(H47*100*G42*100),3)</f>
        <v>5.822</v>
      </c>
    </row>
    <row r="53" spans="6:8" ht="21.75">
      <c r="F53" s="98" t="str">
        <f>IF(F52&lt;F51,"O.K.","เพิ่ม  t")</f>
        <v>O.K.</v>
      </c>
      <c r="G53" s="98" t="str">
        <f>IF(G52&lt;G51,"O.K.","เพิ่ม  t")</f>
        <v>O.K.</v>
      </c>
      <c r="H53" s="98" t="str">
        <f>IF(H52&lt;H51,"O.K.","เพิ่ม  t")</f>
        <v>O.K.</v>
      </c>
    </row>
    <row r="54" ht="21.75">
      <c r="A54" s="17" t="s">
        <v>19</v>
      </c>
    </row>
    <row r="55" spans="1:8" ht="21.75">
      <c r="A55" s="54" t="str">
        <f>"เหล็ก  "&amp;'Footing Data'!G16&amp;" - "&amp;'Footing Data'!G17</f>
        <v>เหล็ก  DB - 25</v>
      </c>
      <c r="C55" s="3"/>
      <c r="E55" s="4" t="s">
        <v>94</v>
      </c>
      <c r="F55" s="22">
        <f>ROUNDUP(IF('Footing Data'!G16="RB",1.615*SQRT('Footing Data'!G14)/('Footing Data'!G17/10),3.23*SQRT('Footing Data'!G14)/('Footing Data'!G17/10)),1)</f>
        <v>15.6</v>
      </c>
      <c r="G55" s="7" t="s">
        <v>3</v>
      </c>
      <c r="H55" s="38" t="str">
        <f>IF('Footing Data'!G16="RB",IF(F55&lt;11,"&lt;   11.0    ksc    O.K.","&gt;   11.0   ksc   เพิ่มขนาดเหล็ก"),IF(F55&lt;25,"&lt;   25.0    ksc    O.K.","&gt;   25.0   ksc   เพิ่มขนาดเหล็ก"))</f>
        <v>&lt;   25.0    ksc    O.K.</v>
      </c>
    </row>
    <row r="56" spans="1:9" ht="30" customHeight="1">
      <c r="A56" s="3"/>
      <c r="B56" s="3"/>
      <c r="C56" s="4" t="s">
        <v>15</v>
      </c>
      <c r="D56" s="5">
        <f>ROUNDUP(G39*1000/(D16*F18*G42),1)</f>
        <v>20.6</v>
      </c>
      <c r="E56" s="7" t="s">
        <v>22</v>
      </c>
      <c r="F56" s="9" t="str">
        <f>"ใช้เหล็ก   "&amp;'Footing Data'!G16&amp;" - "&amp;'Footing Data'!G17</f>
        <v>ใช้เหล็ก   DB - 25</v>
      </c>
      <c r="G56" s="3"/>
      <c r="H56" s="5">
        <f>ROUNDUP(D56/(PI()*('Footing Data'!G17/10)^2/4),0)</f>
        <v>5</v>
      </c>
      <c r="I56" s="3" t="s">
        <v>24</v>
      </c>
    </row>
    <row r="57" spans="1:9" ht="30" customHeight="1">
      <c r="A57" s="3"/>
      <c r="B57" s="3"/>
      <c r="C57" s="4" t="s">
        <v>15</v>
      </c>
      <c r="D57" s="5">
        <f>ROUNDUP(G38*1000/(F55*F18*(G42*100)),1)</f>
        <v>56.7</v>
      </c>
      <c r="E57" s="7" t="s">
        <v>18</v>
      </c>
      <c r="F57" s="9" t="str">
        <f>F56</f>
        <v>ใช้เหล็ก   DB - 25</v>
      </c>
      <c r="G57" s="3"/>
      <c r="H57" s="5">
        <f>ROUNDUP(D57/(PI()*('Footing Data'!G17/10)),0)</f>
        <v>8</v>
      </c>
      <c r="I57" s="3" t="s">
        <v>24</v>
      </c>
    </row>
    <row r="58" spans="1:9" ht="21.75">
      <c r="A58" s="84" t="s">
        <v>26</v>
      </c>
      <c r="C58" s="3"/>
      <c r="D58" s="3"/>
      <c r="E58" s="3"/>
      <c r="F58" s="3"/>
      <c r="G58" s="3"/>
      <c r="H58" s="3"/>
      <c r="I58" s="3"/>
    </row>
    <row r="59" spans="1:9" ht="21.75">
      <c r="A59" s="3"/>
      <c r="B59" s="3"/>
      <c r="D59" s="6" t="s">
        <v>28</v>
      </c>
      <c r="F59" s="3"/>
      <c r="G59" s="5">
        <f>ROUND((((B8-0.1)*100)-('Footing Data'!G17/10))/(MAX(H56,H57)-1),2)</f>
        <v>8.21</v>
      </c>
      <c r="H59" s="3" t="s">
        <v>18</v>
      </c>
      <c r="I59" s="38" t="str">
        <f>IF(G59&lt;30,"O.K.","ลดขนาดเหล็ก")</f>
        <v>O.K.</v>
      </c>
    </row>
    <row r="60" spans="1:9" ht="21.75">
      <c r="A60" s="3"/>
      <c r="B60" s="3"/>
      <c r="D60" s="6" t="s">
        <v>27</v>
      </c>
      <c r="F60" s="3"/>
      <c r="G60" s="10">
        <f>ROUND(G59-('Footing Data'!G17/10),2)</f>
        <v>5.71</v>
      </c>
      <c r="H60" s="3" t="s">
        <v>18</v>
      </c>
      <c r="I60" s="38" t="str">
        <f>IF(G60&gt;3,"O.K.","เพิ่มขนาดเหล็ก")</f>
        <v>O.K.</v>
      </c>
    </row>
    <row r="61" spans="1:2" ht="21.75">
      <c r="A61" s="3"/>
      <c r="B61" s="3"/>
    </row>
    <row r="62" spans="1:8" ht="21.75">
      <c r="A62" s="84" t="s">
        <v>141</v>
      </c>
      <c r="B62" s="3"/>
      <c r="D62" s="1" t="s">
        <v>143</v>
      </c>
      <c r="G62" s="44">
        <f>ROUNDUP(0.25/100*E4*100*G41*100,2)</f>
        <v>30.630000000000003</v>
      </c>
      <c r="H62" s="8" t="s">
        <v>22</v>
      </c>
    </row>
    <row r="63" spans="1:9" ht="21.75">
      <c r="A63" s="95" t="str">
        <f>F57</f>
        <v>ใช้เหล็ก   DB - 25</v>
      </c>
      <c r="D63" s="63">
        <f>ROUNDUP(G62/(PI()*('Footing Data'!G17/10)^2/4),0)</f>
        <v>7</v>
      </c>
      <c r="E63" s="1" t="s">
        <v>24</v>
      </c>
      <c r="F63" s="1" t="s">
        <v>142</v>
      </c>
      <c r="G63" s="25">
        <f>ROUND((((E4-0.1)*100)-('Footing Data'!G17/10))/(D63-1),2)</f>
        <v>27.08</v>
      </c>
      <c r="H63" s="1" t="s">
        <v>18</v>
      </c>
      <c r="I63" s="71" t="str">
        <f>IF(G63&lt;30,"O.K.","ลดขนาดเหล็ก")</f>
        <v>O.K.</v>
      </c>
    </row>
    <row r="64" spans="1:9" s="103" customFormat="1" ht="8.25">
      <c r="A64" s="102"/>
      <c r="D64" s="104"/>
      <c r="G64" s="105"/>
      <c r="I64" s="106"/>
    </row>
    <row r="65" spans="3:8" ht="21.75">
      <c r="C65" s="68" t="s">
        <v>92</v>
      </c>
      <c r="D65" s="31"/>
      <c r="E65" s="31"/>
      <c r="F65" s="100" t="str">
        <f>MAX(H56,H57)&amp;" - "&amp;'Footing Data'!G16&amp;" "&amp;'Footing Data'!G17&amp;" mm"</f>
        <v>8 - DB 25 mm</v>
      </c>
      <c r="G65" s="64"/>
      <c r="H65" s="78"/>
    </row>
    <row r="66" spans="3:8" ht="21.75">
      <c r="C66" s="69" t="s">
        <v>93</v>
      </c>
      <c r="D66" s="32"/>
      <c r="E66" s="32"/>
      <c r="F66" s="101" t="str">
        <f>D63&amp;" - "&amp;'Footing Data'!G16&amp;" "&amp;'Footing Data'!G17&amp;" mm"</f>
        <v>7 - DB 25 mm</v>
      </c>
      <c r="G66" s="65"/>
      <c r="H66" s="78"/>
    </row>
    <row r="70" ht="21.75">
      <c r="E70" s="30">
        <f>C71+E71+F71</f>
        <v>1.75</v>
      </c>
    </row>
    <row r="71" spans="3:7" ht="21.75">
      <c r="C71" s="161">
        <f>C5</f>
        <v>0.35</v>
      </c>
      <c r="D71" s="161"/>
      <c r="E71" s="30">
        <f>E5</f>
        <v>1.05</v>
      </c>
      <c r="F71" s="162">
        <f>C71</f>
        <v>0.35</v>
      </c>
      <c r="G71" s="162"/>
    </row>
    <row r="72" ht="21.75">
      <c r="E72" s="40"/>
    </row>
    <row r="73" spans="2:5" ht="21.75">
      <c r="B73" s="163">
        <f>C71</f>
        <v>0.35</v>
      </c>
      <c r="C73" s="163"/>
      <c r="E73" s="30">
        <f>E7</f>
        <v>0.4</v>
      </c>
    </row>
    <row r="74" spans="2:4" ht="21.75">
      <c r="B74" s="30">
        <f>B73+B75</f>
        <v>0.7</v>
      </c>
      <c r="C74" s="42"/>
      <c r="D74" s="26">
        <f>D8</f>
        <v>0.4</v>
      </c>
    </row>
    <row r="75" spans="2:3" ht="21.75">
      <c r="B75" s="163">
        <f>B73</f>
        <v>0.35</v>
      </c>
      <c r="C75" s="163"/>
    </row>
    <row r="76" spans="2:3" ht="21.75">
      <c r="B76" s="26"/>
      <c r="C76" s="26"/>
    </row>
    <row r="77" ht="21.75">
      <c r="E77" s="25" t="s">
        <v>31</v>
      </c>
    </row>
    <row r="78" ht="21.75">
      <c r="E78" s="25"/>
    </row>
    <row r="80" ht="21.75">
      <c r="E80" s="30">
        <f>E73</f>
        <v>0.4</v>
      </c>
    </row>
    <row r="81" ht="21.75"/>
    <row r="82" ht="21.75"/>
    <row r="83" ht="21.75">
      <c r="G83" s="70" t="str">
        <f>F66</f>
        <v>7 - DB 25 mm</v>
      </c>
    </row>
    <row r="84" spans="1:7" ht="21.75">
      <c r="A84" s="26">
        <v>1.2</v>
      </c>
      <c r="B84" s="27"/>
      <c r="G84" s="36" t="str">
        <f>F65</f>
        <v>8 - DB 25 mm</v>
      </c>
    </row>
    <row r="85" ht="21.75">
      <c r="G85" s="37" t="s">
        <v>34</v>
      </c>
    </row>
    <row r="86" spans="2:3" ht="21.75">
      <c r="B86" s="29">
        <f>G41</f>
        <v>0.7</v>
      </c>
      <c r="C86" s="28"/>
    </row>
    <row r="87" ht="21.75"/>
    <row r="88" ht="21.75"/>
    <row r="89" ht="21.75"/>
    <row r="90" ht="21.75"/>
    <row r="91" ht="21.75"/>
    <row r="92" ht="21.75">
      <c r="E92" s="25" t="s">
        <v>32</v>
      </c>
    </row>
  </sheetData>
  <sheetProtection/>
  <mergeCells count="12">
    <mergeCell ref="B75:C75"/>
    <mergeCell ref="C23:C24"/>
    <mergeCell ref="B26:C26"/>
    <mergeCell ref="B44:E44"/>
    <mergeCell ref="G1:I1"/>
    <mergeCell ref="C71:D71"/>
    <mergeCell ref="F71:G71"/>
    <mergeCell ref="B73:C73"/>
    <mergeCell ref="B9:C9"/>
    <mergeCell ref="C5:D5"/>
    <mergeCell ref="F5:G5"/>
    <mergeCell ref="B7:C7"/>
  </mergeCells>
  <printOptions/>
  <pageMargins left="0.9448818897637796" right="0.5511811023622047" top="0.7874015748031497" bottom="0.5905511811023623" header="0.5118110236220472" footer="0.31496062992125984"/>
  <pageSetup orientation="portrait" paperSize="9" r:id="rId6"/>
  <drawing r:id="rId5"/>
  <legacyDrawing r:id="rId4"/>
  <oleObjects>
    <oleObject progId="Equation.3" shapeId="830609" r:id="rId1"/>
    <oleObject progId="Equation.3" shapeId="877351" r:id="rId2"/>
    <oleObject progId="Equation.3" shapeId="877352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U97"/>
  <sheetViews>
    <sheetView zoomScalePageLayoutView="0" workbookViewId="0" topLeftCell="A7">
      <selection activeCell="K2" sqref="K2"/>
    </sheetView>
  </sheetViews>
  <sheetFormatPr defaultColWidth="9.140625" defaultRowHeight="12.75"/>
  <cols>
    <col min="1" max="3" width="9.140625" style="3" customWidth="1"/>
    <col min="4" max="4" width="11.00390625" style="3" customWidth="1"/>
    <col min="5" max="5" width="5.421875" style="3" customWidth="1"/>
    <col min="6" max="7" width="9.140625" style="3" customWidth="1"/>
    <col min="8" max="8" width="5.8515625" style="3" customWidth="1"/>
    <col min="9" max="9" width="5.57421875" style="3" customWidth="1"/>
    <col min="10" max="10" width="7.421875" style="3" customWidth="1"/>
    <col min="11" max="11" width="6.57421875" style="3" customWidth="1"/>
    <col min="12" max="14" width="9.140625" style="3" customWidth="1"/>
    <col min="15" max="15" width="11.00390625" style="3" customWidth="1"/>
    <col min="16" max="16" width="5.421875" style="3" customWidth="1"/>
    <col min="17" max="18" width="9.140625" style="3" customWidth="1"/>
    <col min="19" max="19" width="5.8515625" style="3" customWidth="1"/>
    <col min="20" max="20" width="5.57421875" style="3" customWidth="1"/>
    <col min="21" max="21" width="13.8515625" style="3" customWidth="1"/>
    <col min="22" max="32" width="9.140625" style="56" customWidth="1"/>
    <col min="33" max="16384" width="9.140625" style="3" customWidth="1"/>
  </cols>
  <sheetData>
    <row r="1" spans="1:21" ht="25.5" customHeight="1">
      <c r="A1" s="24" t="e">
        <f>L1</f>
        <v>#REF!</v>
      </c>
      <c r="B1" s="24"/>
      <c r="C1" s="24"/>
      <c r="D1" s="24"/>
      <c r="E1" s="24"/>
      <c r="F1" s="24"/>
      <c r="G1" s="24"/>
      <c r="H1" s="13" t="s">
        <v>30</v>
      </c>
      <c r="I1" s="169">
        <f ca="1">NOW()</f>
        <v>41138.58802141203</v>
      </c>
      <c r="J1" s="169"/>
      <c r="K1" s="169"/>
      <c r="L1" s="24" t="e">
        <f>#REF!</f>
        <v>#REF!</v>
      </c>
      <c r="M1" s="24"/>
      <c r="N1" s="24"/>
      <c r="O1" s="24"/>
      <c r="P1" s="24"/>
      <c r="Q1" s="24"/>
      <c r="R1" s="13" t="s">
        <v>30</v>
      </c>
      <c r="S1" s="24"/>
      <c r="T1" s="169">
        <f ca="1">NOW()</f>
        <v>41138.58802141203</v>
      </c>
      <c r="U1" s="169"/>
    </row>
    <row r="2" spans="1:21" ht="25.5" customHeight="1">
      <c r="A2" s="23" t="e">
        <f>L2</f>
        <v>#REF!</v>
      </c>
      <c r="B2" s="23"/>
      <c r="C2" s="43" t="e">
        <f>N2</f>
        <v>#REF!</v>
      </c>
      <c r="D2" s="23"/>
      <c r="E2" s="23"/>
      <c r="F2" s="23"/>
      <c r="G2" s="23"/>
      <c r="H2" s="23"/>
      <c r="I2" s="23"/>
      <c r="J2" s="23"/>
      <c r="K2" s="15" t="e">
        <f>U2</f>
        <v>#REF!</v>
      </c>
      <c r="L2" s="23" t="e">
        <f>#REF!</f>
        <v>#REF!</v>
      </c>
      <c r="M2" s="23"/>
      <c r="N2" s="43" t="e">
        <f>#REF!</f>
        <v>#REF!</v>
      </c>
      <c r="O2" s="23"/>
      <c r="P2" s="23"/>
      <c r="Q2" s="23"/>
      <c r="R2" s="23"/>
      <c r="S2" s="23"/>
      <c r="T2" s="23"/>
      <c r="U2" s="15" t="e">
        <f>#REF!</f>
        <v>#REF!</v>
      </c>
    </row>
    <row r="3" ht="21.75">
      <c r="E3" s="52">
        <f>2/SQRT(3)*J4</f>
        <v>1.3048116083685544</v>
      </c>
    </row>
    <row r="4" spans="5:10" ht="21.75">
      <c r="E4" s="52">
        <f>2/SQRT(3)*(J4-C9)</f>
        <v>0.9364621366255731</v>
      </c>
      <c r="I4" s="60" t="s">
        <v>50</v>
      </c>
      <c r="J4" s="61">
        <f>H9-(D11/2)+(H7*2)</f>
        <v>1.13</v>
      </c>
    </row>
    <row r="5" spans="5:16" ht="21.75">
      <c r="E5" s="52">
        <f>2/SQRT(3)*(J4-A8)</f>
        <v>0.5681126648825917</v>
      </c>
      <c r="P5" s="30">
        <f>ROUND(2/SQRT(3)*S7,2)</f>
        <v>0.4</v>
      </c>
    </row>
    <row r="6" ht="20.25" customHeight="1"/>
    <row r="7" spans="8:19" ht="21.75">
      <c r="H7" s="45">
        <f>CEILING('Footing Data'!G9/100,0.05)</f>
        <v>0.35000000000000003</v>
      </c>
      <c r="S7" s="45">
        <f>H7</f>
        <v>0.35000000000000003</v>
      </c>
    </row>
    <row r="8" spans="1:19" ht="19.5" customHeight="1">
      <c r="A8" s="176">
        <f>F35</f>
        <v>0.638</v>
      </c>
      <c r="C8" s="58"/>
      <c r="H8" s="45"/>
      <c r="N8" s="172">
        <f>P16</f>
        <v>1.1</v>
      </c>
      <c r="S8" s="45"/>
    </row>
    <row r="9" spans="1:19" ht="21.75">
      <c r="A9" s="176"/>
      <c r="B9" s="59">
        <f>H9-(D11/2)</f>
        <v>0.4299999999999999</v>
      </c>
      <c r="C9" s="177">
        <f>A8/2</f>
        <v>0.319</v>
      </c>
      <c r="H9" s="171">
        <f>ROUND(SQRT(3)*D15,2)-S12</f>
        <v>0.6299999999999999</v>
      </c>
      <c r="N9" s="172"/>
      <c r="S9" s="171">
        <f>H9</f>
        <v>0.6299999999999999</v>
      </c>
    </row>
    <row r="10" spans="3:20" ht="21.75">
      <c r="C10" s="177"/>
      <c r="E10" s="30">
        <f>'Footing Data'!G12</f>
        <v>0.4</v>
      </c>
      <c r="H10" s="171"/>
      <c r="I10" s="30">
        <f>H7+H9+H12+H13</f>
        <v>1.6500000000000001</v>
      </c>
      <c r="P10" s="30">
        <f>E10</f>
        <v>0.4</v>
      </c>
      <c r="S10" s="171"/>
      <c r="T10" s="30">
        <f>S7+S9+S12+S13</f>
        <v>1.6500000000000001</v>
      </c>
    </row>
    <row r="11" spans="4:19" ht="15.75" customHeight="1">
      <c r="D11" s="26">
        <f>'Footing Data'!G13</f>
        <v>0.4</v>
      </c>
      <c r="H11" s="45"/>
      <c r="O11" s="26">
        <f>D11</f>
        <v>0.4</v>
      </c>
      <c r="S11" s="45"/>
    </row>
    <row r="12" spans="8:19" ht="21.75">
      <c r="H12" s="45">
        <f>ROUND(D15/SQRT(3),2)</f>
        <v>0.32</v>
      </c>
      <c r="S12" s="45">
        <f>H12</f>
        <v>0.32</v>
      </c>
    </row>
    <row r="13" spans="8:19" ht="48.75" customHeight="1">
      <c r="H13" s="45">
        <f>H7</f>
        <v>0.35000000000000003</v>
      </c>
      <c r="S13" s="45">
        <f>H13</f>
        <v>0.35000000000000003</v>
      </c>
    </row>
    <row r="14" ht="12.75" customHeight="1"/>
    <row r="15" spans="4:17" ht="18.75" customHeight="1">
      <c r="D15" s="39">
        <f>E16/2</f>
        <v>0.55</v>
      </c>
      <c r="F15" s="42">
        <f>D15</f>
        <v>0.55</v>
      </c>
      <c r="O15" s="39">
        <f>P16/2</f>
        <v>0.55</v>
      </c>
      <c r="Q15" s="42">
        <f>O15</f>
        <v>0.55</v>
      </c>
    </row>
    <row r="16" spans="5:16" ht="18" customHeight="1">
      <c r="E16" s="30">
        <f>CEILING(3*'Footing Data'!G9/100,0.1)</f>
        <v>1.1</v>
      </c>
      <c r="P16" s="30">
        <f>CEILING(3*'Footing Data'!G9/100,0.1)</f>
        <v>1.1</v>
      </c>
    </row>
    <row r="17" spans="1:16" ht="21.75">
      <c r="A17" s="17" t="s">
        <v>16</v>
      </c>
      <c r="B17" s="18"/>
      <c r="C17" s="18"/>
      <c r="D17" s="18"/>
      <c r="E17" s="19"/>
      <c r="F17" s="19"/>
      <c r="G17" s="20"/>
      <c r="H17" s="19"/>
      <c r="I17" s="18"/>
      <c r="J17" s="18"/>
      <c r="P17" s="5" t="s">
        <v>31</v>
      </c>
    </row>
    <row r="18" spans="1:8" ht="21.75">
      <c r="A18" s="6" t="s">
        <v>62</v>
      </c>
      <c r="C18" s="4" t="s">
        <v>52</v>
      </c>
      <c r="D18" s="5">
        <f>'Footing Data'!G14</f>
        <v>145</v>
      </c>
      <c r="E18" s="3" t="s">
        <v>3</v>
      </c>
      <c r="F18" s="4" t="s">
        <v>63</v>
      </c>
      <c r="G18" s="5">
        <f>ROUNDDOWN(0.45*D18,0)</f>
        <v>65</v>
      </c>
      <c r="H18" s="3" t="s">
        <v>3</v>
      </c>
    </row>
    <row r="19" spans="1:8" ht="21.75">
      <c r="A19" s="6" t="s">
        <v>64</v>
      </c>
      <c r="C19" s="4" t="s">
        <v>52</v>
      </c>
      <c r="D19" s="5">
        <f>'Footing Data'!G15</f>
        <v>350</v>
      </c>
      <c r="E19" s="3" t="s">
        <v>3</v>
      </c>
      <c r="F19" s="4" t="s">
        <v>63</v>
      </c>
      <c r="G19" s="5">
        <f>ROUNDDOWN(0.45*D19,0)</f>
        <v>157</v>
      </c>
      <c r="H19" s="3" t="s">
        <v>3</v>
      </c>
    </row>
    <row r="20" spans="1:5" ht="21.75">
      <c r="A20" s="6" t="str">
        <f>"เหล็กเสริม :   "&amp;'Footing Data'!G16&amp;" - "&amp;'Footing Data'!G17</f>
        <v>เหล็กเสริม :   DB - 25</v>
      </c>
      <c r="C20" s="4" t="s">
        <v>53</v>
      </c>
      <c r="D20" s="12">
        <f>IF('Footing Data'!G16="RB",1200,1400)</f>
        <v>1400</v>
      </c>
      <c r="E20" s="3" t="s">
        <v>3</v>
      </c>
    </row>
    <row r="21" spans="1:6" ht="21.75">
      <c r="A21" s="17" t="s">
        <v>65</v>
      </c>
      <c r="C21" s="4"/>
      <c r="D21" s="4"/>
      <c r="E21" s="5"/>
      <c r="F21" s="6"/>
    </row>
    <row r="22" spans="1:18" ht="21.75">
      <c r="A22" s="11" t="s">
        <v>46</v>
      </c>
      <c r="B22" s="7">
        <f>ROUND(2040000/15210/SQRT(D18),0)</f>
        <v>11</v>
      </c>
      <c r="C22" s="11" t="s">
        <v>47</v>
      </c>
      <c r="D22" s="7">
        <f>ROUND(1/(1+(D20/(B22*G18))),3)</f>
        <v>0.338</v>
      </c>
      <c r="E22" s="11" t="s">
        <v>48</v>
      </c>
      <c r="F22" s="7">
        <f>ROUND(1-(D22/3),3)</f>
        <v>0.887</v>
      </c>
      <c r="G22" s="11" t="s">
        <v>49</v>
      </c>
      <c r="H22" s="7">
        <f>ROUND(0.5*G18*D22*F22,2)</f>
        <v>9.74</v>
      </c>
      <c r="I22" s="7" t="s">
        <v>3</v>
      </c>
      <c r="R22" s="3" t="s">
        <v>43</v>
      </c>
    </row>
    <row r="23" spans="1:12" ht="21.75">
      <c r="A23" s="17" t="s">
        <v>67</v>
      </c>
      <c r="E23" s="5"/>
      <c r="F23" s="5"/>
      <c r="G23" s="4"/>
      <c r="H23" s="5"/>
      <c r="L23" s="171">
        <v>1.4</v>
      </c>
    </row>
    <row r="24" spans="2:19" ht="21.75">
      <c r="B24" s="7" t="s">
        <v>38</v>
      </c>
      <c r="E24" s="4" t="s">
        <v>66</v>
      </c>
      <c r="F24" s="41">
        <f>'Footing Data'!G6</f>
        <v>100</v>
      </c>
      <c r="G24" s="7" t="s">
        <v>40</v>
      </c>
      <c r="L24" s="171"/>
      <c r="S24" s="3" t="s">
        <v>34</v>
      </c>
    </row>
    <row r="25" spans="2:7" ht="21.75">
      <c r="B25" s="3" t="s">
        <v>72</v>
      </c>
      <c r="D25" s="5"/>
      <c r="E25" s="4" t="s">
        <v>71</v>
      </c>
      <c r="F25" s="12">
        <f>'Footing Data'!G11</f>
        <v>60</v>
      </c>
      <c r="G25" s="7" t="s">
        <v>40</v>
      </c>
    </row>
    <row r="26" spans="2:13" ht="21.75">
      <c r="B26" s="3" t="s">
        <v>42</v>
      </c>
      <c r="E26" s="4" t="s">
        <v>15</v>
      </c>
      <c r="F26" s="5">
        <f>ROUNDUP(F24/F25,0)</f>
        <v>2</v>
      </c>
      <c r="G26" s="3" t="s">
        <v>69</v>
      </c>
      <c r="M26" s="170">
        <f>'Footing Data'!G20</f>
        <v>0.7</v>
      </c>
    </row>
    <row r="27" spans="2:13" ht="21.75">
      <c r="B27" s="3" t="s">
        <v>70</v>
      </c>
      <c r="E27" s="4" t="s">
        <v>68</v>
      </c>
      <c r="F27" s="10">
        <f>ROUNDUP(F24/F26,2)</f>
        <v>50</v>
      </c>
      <c r="G27" s="7" t="s">
        <v>40</v>
      </c>
      <c r="M27" s="170"/>
    </row>
    <row r="28" ht="21.75">
      <c r="A28" s="17" t="s">
        <v>73</v>
      </c>
    </row>
    <row r="29" spans="1:7" ht="21.75">
      <c r="A29" s="6" t="s">
        <v>54</v>
      </c>
      <c r="B29" s="7" t="s">
        <v>59</v>
      </c>
      <c r="E29" s="4" t="s">
        <v>15</v>
      </c>
      <c r="F29" s="57">
        <f>B9</f>
        <v>0.4299999999999999</v>
      </c>
      <c r="G29" s="6" t="s">
        <v>1</v>
      </c>
    </row>
    <row r="30" spans="2:18" ht="21.75">
      <c r="B30" s="7" t="s">
        <v>60</v>
      </c>
      <c r="E30" s="4" t="s">
        <v>76</v>
      </c>
      <c r="F30" s="57">
        <f>E3</f>
        <v>1.3048116083685544</v>
      </c>
      <c r="G30" s="6" t="s">
        <v>1</v>
      </c>
      <c r="R30" s="47" t="s">
        <v>44</v>
      </c>
    </row>
    <row r="31" spans="1:7" ht="21.75">
      <c r="A31" s="7"/>
      <c r="B31" s="7" t="s">
        <v>74</v>
      </c>
      <c r="E31" s="4" t="s">
        <v>75</v>
      </c>
      <c r="F31" s="48">
        <f>F27</f>
        <v>50</v>
      </c>
      <c r="G31" s="6" t="s">
        <v>40</v>
      </c>
    </row>
    <row r="32" spans="2:18" ht="21.75">
      <c r="B32" s="7" t="s">
        <v>17</v>
      </c>
      <c r="E32" s="4" t="str">
        <f>"M  =  "&amp;F31&amp;" x "&amp;F29&amp;"    ="</f>
        <v>M  =  50 x 0.43    =</v>
      </c>
      <c r="F32" s="48">
        <f>F31*F29</f>
        <v>21.499999999999993</v>
      </c>
      <c r="G32" s="6" t="s">
        <v>45</v>
      </c>
      <c r="R32" s="6"/>
    </row>
    <row r="33" spans="2:16" ht="21.75">
      <c r="B33" s="3" t="s">
        <v>51</v>
      </c>
      <c r="E33" s="4" t="s">
        <v>15</v>
      </c>
      <c r="F33" s="51">
        <f>ROUND(SQRT(F32*1000/(H22*F30)),2)/100</f>
        <v>0.4113</v>
      </c>
      <c r="G33" s="6" t="s">
        <v>1</v>
      </c>
      <c r="P33" s="5" t="s">
        <v>32</v>
      </c>
    </row>
    <row r="34" spans="2:8" ht="21.75">
      <c r="B34" s="3" t="s">
        <v>56</v>
      </c>
      <c r="D34" s="4"/>
      <c r="E34" s="4" t="s">
        <v>86</v>
      </c>
      <c r="F34" s="51">
        <f>'Footing Data'!G20</f>
        <v>0.7</v>
      </c>
      <c r="G34" s="6" t="s">
        <v>1</v>
      </c>
      <c r="H34" s="3">
        <f>CEILING(F33+0.05+('Footing Data'!G17/10/100/2),0.05)</f>
        <v>0.5</v>
      </c>
    </row>
    <row r="35" spans="4:7" ht="21.75">
      <c r="D35" s="4" t="s">
        <v>57</v>
      </c>
      <c r="E35" s="4" t="s">
        <v>15</v>
      </c>
      <c r="F35" s="53">
        <f>ROUND(F34-(0.05+('Footing Data'!G17/10/100/2)),3)</f>
        <v>0.638</v>
      </c>
      <c r="G35" s="6" t="s">
        <v>1</v>
      </c>
    </row>
    <row r="36" ht="21.75">
      <c r="A36" s="17" t="s">
        <v>77</v>
      </c>
    </row>
    <row r="37" ht="21.75">
      <c r="A37" s="3" t="s">
        <v>87</v>
      </c>
    </row>
    <row r="38" spans="1:7" ht="21.75">
      <c r="A38" s="6" t="s">
        <v>54</v>
      </c>
      <c r="B38" s="3" t="s">
        <v>88</v>
      </c>
      <c r="E38" s="4" t="s">
        <v>15</v>
      </c>
      <c r="F38" s="53">
        <f>F35</f>
        <v>0.638</v>
      </c>
      <c r="G38" s="6" t="s">
        <v>1</v>
      </c>
    </row>
    <row r="39" spans="2:7" ht="21.75">
      <c r="B39" s="3" t="s">
        <v>80</v>
      </c>
      <c r="E39" s="4" t="s">
        <v>81</v>
      </c>
      <c r="F39" s="55">
        <f>(F29-F35)*100</f>
        <v>-20.80000000000001</v>
      </c>
      <c r="G39" s="6" t="s">
        <v>18</v>
      </c>
    </row>
    <row r="40" spans="1:7" ht="21.75">
      <c r="A40" s="6"/>
      <c r="B40" s="3" t="s">
        <v>78</v>
      </c>
      <c r="E40" s="4" t="s">
        <v>79</v>
      </c>
      <c r="F40" s="51">
        <f>ROUNDUP(F27/30*(F39+15),2)</f>
        <v>-9.67</v>
      </c>
      <c r="G40" s="6" t="s">
        <v>40</v>
      </c>
    </row>
    <row r="41" spans="1:7" ht="21.75">
      <c r="A41" s="45"/>
      <c r="B41" s="3" t="s">
        <v>82</v>
      </c>
      <c r="E41" s="4" t="s">
        <v>76</v>
      </c>
      <c r="F41" s="53">
        <f>E5</f>
        <v>0.5681126648825917</v>
      </c>
      <c r="G41" s="6" t="s">
        <v>1</v>
      </c>
    </row>
    <row r="42" spans="2:7" ht="21.75">
      <c r="B42" s="3" t="s">
        <v>55</v>
      </c>
      <c r="E42" s="4" t="s">
        <v>15</v>
      </c>
      <c r="F42" s="48">
        <f>ROUNDDOWN(0.29*SQRT(D18),2)</f>
        <v>3.49</v>
      </c>
      <c r="G42" s="6" t="s">
        <v>3</v>
      </c>
    </row>
    <row r="43" spans="2:8" ht="21.75">
      <c r="B43" s="3" t="s">
        <v>58</v>
      </c>
      <c r="D43" s="4"/>
      <c r="E43" s="4" t="s">
        <v>83</v>
      </c>
      <c r="F43" s="51">
        <f>ROUNDUP(F40*1000/(F41*100*F35*100),2)</f>
        <v>-2.67</v>
      </c>
      <c r="G43" s="6" t="s">
        <v>3</v>
      </c>
      <c r="H43" s="3" t="str">
        <f>IF(F43&lt;F42,"O.K.","เพิ่ม  t")</f>
        <v>O.K.</v>
      </c>
    </row>
    <row r="44" ht="21.75">
      <c r="A44" s="3" t="s">
        <v>89</v>
      </c>
    </row>
    <row r="45" spans="1:7" ht="21.75">
      <c r="A45" s="6" t="s">
        <v>54</v>
      </c>
      <c r="B45" s="3" t="s">
        <v>88</v>
      </c>
      <c r="E45" s="4" t="s">
        <v>15</v>
      </c>
      <c r="F45" s="53">
        <f>F35/2</f>
        <v>0.319</v>
      </c>
      <c r="G45" s="6" t="s">
        <v>1</v>
      </c>
    </row>
    <row r="46" spans="2:7" ht="21.75">
      <c r="B46" s="3" t="s">
        <v>80</v>
      </c>
      <c r="E46" s="4" t="s">
        <v>81</v>
      </c>
      <c r="F46" s="55">
        <f>(F29-F45)*100</f>
        <v>11.099999999999987</v>
      </c>
      <c r="G46" s="6" t="s">
        <v>18</v>
      </c>
    </row>
    <row r="47" spans="1:7" ht="21.75">
      <c r="A47" s="6"/>
      <c r="B47" s="3" t="s">
        <v>78</v>
      </c>
      <c r="E47" s="4" t="s">
        <v>79</v>
      </c>
      <c r="F47" s="51">
        <f>ROUNDUP(F27/30*(F46+15),2)</f>
        <v>43.5</v>
      </c>
      <c r="G47" s="6" t="s">
        <v>40</v>
      </c>
    </row>
    <row r="48" spans="1:7" ht="21.75">
      <c r="A48" s="45"/>
      <c r="B48" s="3" t="s">
        <v>82</v>
      </c>
      <c r="E48" s="4" t="s">
        <v>76</v>
      </c>
      <c r="F48" s="53">
        <f>E4</f>
        <v>0.9364621366255731</v>
      </c>
      <c r="G48" s="6" t="s">
        <v>1</v>
      </c>
    </row>
    <row r="49" spans="2:7" ht="21.75">
      <c r="B49" s="3" t="s">
        <v>55</v>
      </c>
      <c r="E49" s="4" t="s">
        <v>15</v>
      </c>
      <c r="F49" s="48">
        <f>ROUNDDOWN(0.53*SQRT(D18),2)</f>
        <v>6.38</v>
      </c>
      <c r="G49" s="6" t="s">
        <v>3</v>
      </c>
    </row>
    <row r="50" spans="2:8" ht="21.75">
      <c r="B50" s="3" t="s">
        <v>58</v>
      </c>
      <c r="D50" s="4"/>
      <c r="E50" s="4" t="s">
        <v>83</v>
      </c>
      <c r="F50" s="51">
        <f>ROUNDUP(F47*1000/(F48*100*F35*100),2)</f>
        <v>7.29</v>
      </c>
      <c r="G50" s="6" t="s">
        <v>3</v>
      </c>
      <c r="H50" s="3" t="str">
        <f>IF(F50&lt;F49,"O.K.","เพิ่ม  t")</f>
        <v>เพิ่ม  t</v>
      </c>
    </row>
    <row r="51" spans="1:12" ht="21.75">
      <c r="A51" s="17" t="s">
        <v>19</v>
      </c>
      <c r="B51" s="17"/>
      <c r="C51" s="17"/>
      <c r="D51" s="17"/>
      <c r="E51" s="21"/>
      <c r="F51" s="21"/>
      <c r="G51" s="17"/>
      <c r="H51" s="21"/>
      <c r="I51" s="17"/>
      <c r="J51" s="17"/>
      <c r="K51" s="17"/>
      <c r="L51" s="17"/>
    </row>
    <row r="52" spans="2:8" ht="21.75">
      <c r="B52" s="3" t="s">
        <v>20</v>
      </c>
      <c r="D52" s="178" t="str">
        <f>'Footing Data'!G16&amp;" - "&amp;'Footing Data'!G17&amp;" mm"</f>
        <v>DB - 25 mm</v>
      </c>
      <c r="E52" s="178"/>
      <c r="F52" s="5"/>
      <c r="H52" s="5"/>
    </row>
    <row r="53" spans="5:9" ht="21.75">
      <c r="E53" s="5"/>
      <c r="F53" s="4" t="s">
        <v>21</v>
      </c>
      <c r="G53" s="22">
        <f>ROUNDUP(IF('Footing Data'!G16="RB",1.615*SQRT('Footing Data'!G14)/('Footing Data'!G17/10),3.23*SQRT('Footing Data'!G14)/('Footing Data'!G17/10)),1)</f>
        <v>15.6</v>
      </c>
      <c r="H53" s="7" t="s">
        <v>3</v>
      </c>
      <c r="I53" s="38" t="str">
        <f>IF('Footing Data'!G16="RB",IF(G53&lt;11,"&lt;   11.0    ksc    O.K.","&gt;   11.0   ksc   เพิ่มขนาดเหล็ก"),IF(G53&lt;35,"&lt;   35.0    ksc    O.K.","&gt;   35.0   ksc   เพิ่มขนาดเหล็ก"))</f>
        <v>&lt;   35.0    ksc    O.K.</v>
      </c>
    </row>
    <row r="54" spans="2:8" ht="35.25" customHeight="1">
      <c r="B54" s="3" t="s">
        <v>23</v>
      </c>
      <c r="E54" s="5"/>
      <c r="F54" s="4"/>
      <c r="G54" s="22"/>
      <c r="H54" s="7"/>
    </row>
    <row r="55" spans="3:11" ht="35.25" customHeight="1">
      <c r="C55" s="4" t="s">
        <v>15</v>
      </c>
      <c r="D55" s="5">
        <f>ROUNDUP(F32*1000/(D20*F22*F35),1)</f>
        <v>27.200000000000003</v>
      </c>
      <c r="E55" s="7" t="s">
        <v>22</v>
      </c>
      <c r="F55" s="9" t="str">
        <f>"ใช้เหล็ก   "&amp;D52</f>
        <v>ใช้เหล็ก   DB - 25 mm</v>
      </c>
      <c r="I55" s="3" t="s">
        <v>15</v>
      </c>
      <c r="J55" s="6">
        <f>ROUNDUP(D55/(PI()*('Footing Data'!G17/10)^2/4),0)</f>
        <v>6</v>
      </c>
      <c r="K55" s="3" t="s">
        <v>24</v>
      </c>
    </row>
    <row r="56" spans="3:11" ht="35.25" customHeight="1">
      <c r="C56" s="4" t="s">
        <v>15</v>
      </c>
      <c r="D56" s="5">
        <f>ROUNDUP(F31*1000/(G53*F22*(F35*100)),1)</f>
        <v>56.7</v>
      </c>
      <c r="E56" s="7" t="s">
        <v>18</v>
      </c>
      <c r="F56" s="9" t="str">
        <f>F55</f>
        <v>ใช้เหล็ก   DB - 25 mm</v>
      </c>
      <c r="I56" s="3" t="s">
        <v>15</v>
      </c>
      <c r="J56" s="6">
        <f>ROUNDUP(D56/(PI()*('Footing Data'!G17/10)),0)</f>
        <v>8</v>
      </c>
      <c r="K56" s="3" t="s">
        <v>24</v>
      </c>
    </row>
    <row r="57" spans="4:11" ht="21.75">
      <c r="D57" s="4"/>
      <c r="E57" s="5"/>
      <c r="F57" s="7"/>
      <c r="G57" s="9"/>
      <c r="K57" s="6"/>
    </row>
    <row r="58" spans="2:8" ht="35.25" customHeight="1">
      <c r="B58" s="3" t="s">
        <v>25</v>
      </c>
      <c r="E58" s="173" t="str">
        <f>"# "&amp;MAX(J55,J56)&amp;" - "&amp;'Footing Data'!G16&amp;" "&amp;'Footing Data'!G17&amp;" mm"</f>
        <v># 8 - DB 25 mm</v>
      </c>
      <c r="F58" s="174"/>
      <c r="G58" s="174"/>
      <c r="H58" s="175"/>
    </row>
    <row r="59" spans="5:6" ht="21.75">
      <c r="E59" s="5"/>
      <c r="F59" s="5"/>
    </row>
    <row r="69" ht="21.75">
      <c r="E69" s="30" t="e">
        <f>ROUND(2/SQRT(3)*H71,2)</f>
        <v>#REF!</v>
      </c>
    </row>
    <row r="70" ht="21.75"/>
    <row r="71" ht="21.75">
      <c r="H71" s="45" t="e">
        <f>#REF!</f>
        <v>#REF!</v>
      </c>
    </row>
    <row r="72" spans="3:8" ht="21.75">
      <c r="C72" s="172" t="e">
        <f>E80</f>
        <v>#REF!</v>
      </c>
      <c r="H72" s="45"/>
    </row>
    <row r="73" spans="3:8" ht="21.75">
      <c r="C73" s="172"/>
      <c r="H73" s="171" t="e">
        <f>#REF!</f>
        <v>#REF!</v>
      </c>
    </row>
    <row r="74" spans="5:9" ht="21.75">
      <c r="E74" s="30" t="e">
        <f>#REF!</f>
        <v>#REF!</v>
      </c>
      <c r="H74" s="171"/>
      <c r="I74" s="30" t="e">
        <f>H71+H73+H76+H77</f>
        <v>#REF!</v>
      </c>
    </row>
    <row r="75" spans="4:8" ht="21.75">
      <c r="D75" s="26" t="e">
        <f>#REF!</f>
        <v>#REF!</v>
      </c>
      <c r="H75" s="45"/>
    </row>
    <row r="76" ht="21.75">
      <c r="H76" s="45" t="e">
        <f>#REF!</f>
        <v>#REF!</v>
      </c>
    </row>
    <row r="77" ht="21.75">
      <c r="H77" s="45" t="e">
        <f>#REF!</f>
        <v>#REF!</v>
      </c>
    </row>
    <row r="78" ht="21.75"/>
    <row r="79" spans="4:6" ht="21.75">
      <c r="D79" s="39" t="e">
        <f>E80/2</f>
        <v>#REF!</v>
      </c>
      <c r="F79" s="42" t="e">
        <f>D79</f>
        <v>#REF!</v>
      </c>
    </row>
    <row r="80" ht="21.75">
      <c r="E80" s="30" t="e">
        <f>CEILING(3*'Footing Data'!#REF!/100,0.1)</f>
        <v>#REF!</v>
      </c>
    </row>
    <row r="81" ht="21.75">
      <c r="E81" s="5" t="s">
        <v>31</v>
      </c>
    </row>
    <row r="83" ht="21.75"/>
    <row r="84" ht="21.75"/>
    <row r="85" ht="21.75"/>
    <row r="86" ht="21.75">
      <c r="G86" s="3" t="s">
        <v>43</v>
      </c>
    </row>
    <row r="87" ht="21.75">
      <c r="A87" s="171">
        <v>1.4</v>
      </c>
    </row>
    <row r="88" spans="1:8" ht="21.75">
      <c r="A88" s="171"/>
      <c r="H88" s="3" t="s">
        <v>34</v>
      </c>
    </row>
    <row r="89" ht="21.75"/>
    <row r="90" ht="21.75">
      <c r="B90" s="170" t="e">
        <f>'Footing Data'!#REF!</f>
        <v>#REF!</v>
      </c>
    </row>
    <row r="91" ht="21.75">
      <c r="B91" s="170"/>
    </row>
    <row r="92" ht="21.75"/>
    <row r="93" ht="21.75"/>
    <row r="94" ht="21.75">
      <c r="G94" s="47" t="s">
        <v>44</v>
      </c>
    </row>
    <row r="95" ht="21.75"/>
    <row r="96" ht="21.75">
      <c r="G96" s="6"/>
    </row>
    <row r="97" ht="21.75">
      <c r="E97" s="5" t="s">
        <v>32</v>
      </c>
    </row>
  </sheetData>
  <sheetProtection/>
  <mergeCells count="15">
    <mergeCell ref="C72:C73"/>
    <mergeCell ref="H73:H74"/>
    <mergeCell ref="A87:A88"/>
    <mergeCell ref="B90:B91"/>
    <mergeCell ref="E58:H58"/>
    <mergeCell ref="A8:A9"/>
    <mergeCell ref="C9:C10"/>
    <mergeCell ref="D52:E52"/>
    <mergeCell ref="H9:H10"/>
    <mergeCell ref="I1:K1"/>
    <mergeCell ref="T1:U1"/>
    <mergeCell ref="M26:M27"/>
    <mergeCell ref="L23:L24"/>
    <mergeCell ref="N8:N9"/>
    <mergeCell ref="S9:S10"/>
  </mergeCells>
  <printOptions/>
  <pageMargins left="0.9448818897637796" right="0.5511811023622047" top="0.7874015748031497" bottom="0.3937007874015748" header="0.5118110236220472" footer="0.31496062992125984"/>
  <pageSetup orientation="portrait" paperSize="9" r:id="rId10"/>
  <drawing r:id="rId9"/>
  <legacyDrawing r:id="rId8"/>
  <oleObjects>
    <oleObject progId="Equation.3" shapeId="105984" r:id="rId1"/>
    <oleObject progId="Equation.3" shapeId="802103" r:id="rId2"/>
    <oleObject progId="Equation.3" shapeId="779361" r:id="rId3"/>
    <oleObject progId="Equation.3" shapeId="836512" r:id="rId4"/>
    <oleObject progId="Equation.3" shapeId="836513" r:id="rId5"/>
    <oleObject progId="Equation.3" shapeId="836514" r:id="rId6"/>
    <oleObject progId="Equation.3" shapeId="836515" r:id="rId7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I95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9.140625" style="1" customWidth="1"/>
    <col min="2" max="2" width="9.57421875" style="1" bestFit="1" customWidth="1"/>
    <col min="3" max="3" width="9.140625" style="1" customWidth="1"/>
    <col min="4" max="4" width="10.57421875" style="1" customWidth="1"/>
    <col min="5" max="5" width="6.00390625" style="1" customWidth="1"/>
    <col min="6" max="6" width="9.57421875" style="1" customWidth="1"/>
    <col min="7" max="7" width="9.421875" style="1" customWidth="1"/>
    <col min="8" max="8" width="12.28125" style="1" customWidth="1"/>
    <col min="9" max="9" width="11.8515625" style="1" customWidth="1"/>
    <col min="10" max="16384" width="9.140625" style="1" customWidth="1"/>
  </cols>
  <sheetData>
    <row r="1" spans="1:9" ht="25.5" customHeight="1">
      <c r="A1" s="31" t="str">
        <f>"โครงการ  :  "&amp;'Footing Data'!D5</f>
        <v>โครงการ  :  ปรับปรุงอปรับปรุงอาคารฟอก-นึ่งกลาง ร.พ.หางดงเชียงใหม่</v>
      </c>
      <c r="B1" s="31"/>
      <c r="C1" s="31"/>
      <c r="D1" s="31"/>
      <c r="E1" s="31"/>
      <c r="F1" s="31"/>
      <c r="G1" s="33"/>
      <c r="H1" s="160">
        <f ca="1">NOW()</f>
        <v>41138.58802141203</v>
      </c>
      <c r="I1" s="160"/>
    </row>
    <row r="2" spans="1:9" ht="25.5" customHeight="1">
      <c r="A2" s="32" t="s">
        <v>122</v>
      </c>
      <c r="B2" s="32"/>
      <c r="C2" s="35" t="str">
        <f>'Footing Data'!G2</f>
        <v>F1</v>
      </c>
      <c r="D2" s="32"/>
      <c r="E2" s="32"/>
      <c r="F2" s="32"/>
      <c r="G2" s="32"/>
      <c r="H2" s="32"/>
      <c r="I2" s="34" t="s">
        <v>147</v>
      </c>
    </row>
    <row r="4" ht="21.75">
      <c r="E4" s="30">
        <f>C5+E5+F5</f>
        <v>1.75</v>
      </c>
    </row>
    <row r="5" spans="3:8" ht="21.75">
      <c r="C5" s="161">
        <f>'Footing Data'!G18</f>
        <v>0.35</v>
      </c>
      <c r="D5" s="161"/>
      <c r="E5" s="30">
        <f>'Footing Data'!G19</f>
        <v>1.05</v>
      </c>
      <c r="F5" s="162">
        <f>C5</f>
        <v>0.35</v>
      </c>
      <c r="G5" s="162"/>
      <c r="H5" s="87"/>
    </row>
    <row r="6" ht="21.75">
      <c r="E6" s="40"/>
    </row>
    <row r="7" ht="21.75">
      <c r="C7" s="42">
        <f>C5</f>
        <v>0.35</v>
      </c>
    </row>
    <row r="8" spans="2:5" ht="29.25" customHeight="1">
      <c r="B8" s="30"/>
      <c r="C8" s="42"/>
      <c r="D8" s="26"/>
      <c r="E8" s="52">
        <f>E9+G42</f>
        <v>1.038</v>
      </c>
    </row>
    <row r="9" spans="2:5" ht="21.75">
      <c r="B9" s="163"/>
      <c r="C9" s="163"/>
      <c r="E9" s="30">
        <f>'Footing Data'!G12</f>
        <v>0.4</v>
      </c>
    </row>
    <row r="10" spans="2:8" ht="21.75">
      <c r="B10" s="94">
        <f>C7+C10+C13</f>
        <v>1.75</v>
      </c>
      <c r="C10" s="42">
        <f>E5</f>
        <v>1.05</v>
      </c>
      <c r="D10" s="26">
        <f>'Footing Data'!G13</f>
        <v>0.4</v>
      </c>
      <c r="G10" s="29"/>
      <c r="H10" s="29"/>
    </row>
    <row r="11" ht="21.75"/>
    <row r="12" ht="21.75"/>
    <row r="13" ht="21.75">
      <c r="C13" s="179">
        <f>C7</f>
        <v>0.35</v>
      </c>
    </row>
    <row r="14" ht="18" customHeight="1">
      <c r="C14" s="179"/>
    </row>
    <row r="15" spans="5:6" ht="21.75">
      <c r="E15" s="25"/>
      <c r="F15" s="62">
        <f>G42</f>
        <v>0.638</v>
      </c>
    </row>
    <row r="16" spans="1:9" ht="21.75">
      <c r="A16" s="17" t="s">
        <v>16</v>
      </c>
      <c r="B16" s="18"/>
      <c r="C16" s="18"/>
      <c r="D16" s="18"/>
      <c r="E16" s="19"/>
      <c r="F16" s="19"/>
      <c r="G16" s="20"/>
      <c r="H16" s="20"/>
      <c r="I16" s="19"/>
    </row>
    <row r="17" spans="2:9" ht="21.75">
      <c r="B17" s="7" t="s">
        <v>62</v>
      </c>
      <c r="D17" s="4" t="s">
        <v>52</v>
      </c>
      <c r="E17" s="5">
        <f>'Footing Data'!G14</f>
        <v>145</v>
      </c>
      <c r="F17" s="3" t="s">
        <v>3</v>
      </c>
      <c r="G17" s="4" t="s">
        <v>63</v>
      </c>
      <c r="H17" s="5">
        <f>ROUNDDOWN(0.45*E17,0)</f>
        <v>65</v>
      </c>
      <c r="I17" s="3" t="s">
        <v>3</v>
      </c>
    </row>
    <row r="18" spans="2:9" ht="21.75">
      <c r="B18" s="7" t="s">
        <v>64</v>
      </c>
      <c r="D18" s="4" t="s">
        <v>52</v>
      </c>
      <c r="E18" s="5">
        <f>'Footing Data'!G15</f>
        <v>350</v>
      </c>
      <c r="F18" s="3" t="s">
        <v>3</v>
      </c>
      <c r="G18" s="4" t="s">
        <v>63</v>
      </c>
      <c r="H18" s="5">
        <f>ROUNDDOWN(0.45*E18,0)</f>
        <v>157</v>
      </c>
      <c r="I18" s="3" t="s">
        <v>3</v>
      </c>
    </row>
    <row r="19" spans="2:9" ht="21.75">
      <c r="B19" s="7" t="str">
        <f>"เหล็กเสริม :   "&amp;'Footing Data'!G16&amp;" - "&amp;'Footing Data'!G17</f>
        <v>เหล็กเสริม :   DB - 25</v>
      </c>
      <c r="D19" s="4" t="s">
        <v>53</v>
      </c>
      <c r="E19" s="12">
        <f>IF('Footing Data'!G16="RB",1200,1400)</f>
        <v>1400</v>
      </c>
      <c r="F19" s="3" t="s">
        <v>3</v>
      </c>
      <c r="G19" s="3"/>
      <c r="H19" s="3"/>
      <c r="I19" s="3"/>
    </row>
    <row r="20" spans="1:9" ht="21.75">
      <c r="A20" s="17" t="s">
        <v>65</v>
      </c>
      <c r="B20" s="3"/>
      <c r="C20" s="4"/>
      <c r="D20" s="4"/>
      <c r="E20" s="5"/>
      <c r="F20" s="6"/>
      <c r="G20" s="3"/>
      <c r="H20" s="3"/>
      <c r="I20" s="3"/>
    </row>
    <row r="21" spans="1:9" ht="21.75">
      <c r="A21" s="11" t="s">
        <v>46</v>
      </c>
      <c r="B21" s="7">
        <f>ROUND(2040000/15210/SQRT(E17),0)</f>
        <v>11</v>
      </c>
      <c r="C21" s="11" t="s">
        <v>47</v>
      </c>
      <c r="D21" s="7">
        <f>ROUND(1/(1+(E19/(B21*H17))),3)</f>
        <v>0.338</v>
      </c>
      <c r="E21" s="11" t="s">
        <v>48</v>
      </c>
      <c r="F21" s="7">
        <f>ROUND(1-(D21/3),3)</f>
        <v>0.887</v>
      </c>
      <c r="G21" s="11" t="s">
        <v>49</v>
      </c>
      <c r="H21" s="7">
        <f>ROUND(0.5*H17*D21*F21,2)</f>
        <v>9.74</v>
      </c>
      <c r="I21" s="7" t="s">
        <v>3</v>
      </c>
    </row>
    <row r="22" spans="1:8" ht="21.75">
      <c r="A22" s="17" t="s">
        <v>67</v>
      </c>
      <c r="B22" s="3"/>
      <c r="C22" s="3"/>
      <c r="D22" s="3"/>
      <c r="E22" s="5"/>
      <c r="F22" s="5"/>
      <c r="G22" s="4"/>
      <c r="H22" s="4"/>
    </row>
    <row r="23" spans="3:9" ht="21.75">
      <c r="C23" s="72" t="str">
        <f>'Footing Data'!G6&amp;" T"</f>
        <v>100 T</v>
      </c>
      <c r="G23" s="49" t="s">
        <v>97</v>
      </c>
      <c r="H23" s="12">
        <f>'Footing Data'!G11</f>
        <v>60</v>
      </c>
      <c r="I23" s="1" t="s">
        <v>96</v>
      </c>
    </row>
    <row r="24" spans="3:9" ht="21.75">
      <c r="C24" s="3"/>
      <c r="D24" s="73" t="str">
        <f>'Footing Data'!G7&amp;" T.m"</f>
        <v>0 T.m</v>
      </c>
      <c r="E24" s="7"/>
      <c r="G24" s="49" t="s">
        <v>98</v>
      </c>
      <c r="H24" s="5">
        <f>ROUNDUP('Footing Data'!G6/H23,0)</f>
        <v>2</v>
      </c>
      <c r="I24" s="1" t="s">
        <v>69</v>
      </c>
    </row>
    <row r="25" spans="3:9" ht="21.75">
      <c r="C25" s="3"/>
      <c r="E25" s="3"/>
      <c r="G25" s="49" t="s">
        <v>99</v>
      </c>
      <c r="H25" s="10">
        <f>'Footing Data'!G6/H24</f>
        <v>50</v>
      </c>
      <c r="I25" s="1" t="s">
        <v>96</v>
      </c>
    </row>
    <row r="26" spans="3:5" ht="21.75">
      <c r="C26" s="164" t="s">
        <v>102</v>
      </c>
      <c r="E26" s="7"/>
    </row>
    <row r="27" ht="21.75">
      <c r="C27" s="164"/>
    </row>
    <row r="28" spans="2:5" ht="21.75">
      <c r="B28" s="63" t="s">
        <v>103</v>
      </c>
      <c r="D28" s="5">
        <f>(E5-E9)/2</f>
        <v>0.325</v>
      </c>
      <c r="E28" s="1" t="s">
        <v>104</v>
      </c>
    </row>
    <row r="29" spans="2:4" ht="21.75">
      <c r="B29" s="165">
        <f>C30/2</f>
        <v>0.525</v>
      </c>
      <c r="C29" s="165"/>
      <c r="D29" s="70">
        <f>B29</f>
        <v>0.525</v>
      </c>
    </row>
    <row r="30" spans="2:3" ht="21.75">
      <c r="B30" s="40"/>
      <c r="C30" s="40">
        <f>E5</f>
        <v>1.05</v>
      </c>
    </row>
    <row r="31" spans="2:9" ht="21.75">
      <c r="B31" s="74" t="s">
        <v>100</v>
      </c>
      <c r="C31" s="36" t="str">
        <f>"2(P1) + 2(P2)  =  "&amp;'Footing Data'!G6</f>
        <v>2(P1) + 2(P2)  =  100</v>
      </c>
      <c r="E31" s="25"/>
      <c r="F31" s="12"/>
      <c r="G31" s="63" t="s">
        <v>105</v>
      </c>
      <c r="H31" s="75">
        <f>'Footing Data'!G6/2</f>
        <v>50</v>
      </c>
      <c r="I31" s="76">
        <v>1</v>
      </c>
    </row>
    <row r="32" spans="2:9" ht="21.75">
      <c r="B32" s="74" t="s">
        <v>101</v>
      </c>
      <c r="C32" s="9" t="str">
        <f>"2(P1)("&amp;B29&amp;") + "&amp;'Footing Data'!G7&amp;" - 2(P2)("&amp;4P!D29&amp;")  =  0"</f>
        <v>2(P1)(0.525) + 0 - 2(P2)(0.525)  =  0</v>
      </c>
      <c r="D32" s="49"/>
      <c r="E32" s="25"/>
      <c r="G32" s="63" t="s">
        <v>106</v>
      </c>
      <c r="H32" s="75">
        <f>'Footing Data'!G7/B29/2</f>
        <v>0</v>
      </c>
      <c r="I32" s="76">
        <v>2</v>
      </c>
    </row>
    <row r="33" spans="3:7" ht="21.75">
      <c r="C33" s="1" t="s">
        <v>108</v>
      </c>
      <c r="D33" s="49" t="s">
        <v>109</v>
      </c>
      <c r="E33" s="25" t="s">
        <v>15</v>
      </c>
      <c r="F33" s="44">
        <f>ROUNDUP((H31-H32)/2,2)</f>
        <v>25</v>
      </c>
      <c r="G33" s="1" t="s">
        <v>96</v>
      </c>
    </row>
    <row r="34" spans="3:7" ht="21.75">
      <c r="C34" s="1" t="s">
        <v>107</v>
      </c>
      <c r="D34" s="49" t="s">
        <v>110</v>
      </c>
      <c r="E34" s="25" t="s">
        <v>15</v>
      </c>
      <c r="F34" s="44">
        <f>ROUNDUP((H31+H32)/2,2)</f>
        <v>25</v>
      </c>
      <c r="G34" s="1" t="s">
        <v>96</v>
      </c>
    </row>
    <row r="35" spans="1:8" ht="21.75">
      <c r="A35" s="17" t="s">
        <v>73</v>
      </c>
      <c r="B35" s="3"/>
      <c r="C35" s="3"/>
      <c r="D35" s="3"/>
      <c r="E35" s="3"/>
      <c r="F35" s="3"/>
      <c r="G35" s="3"/>
      <c r="H35" s="3"/>
    </row>
    <row r="36" spans="1:8" ht="21.75">
      <c r="A36" s="6" t="s">
        <v>54</v>
      </c>
      <c r="B36" s="7" t="s">
        <v>59</v>
      </c>
      <c r="C36" s="3"/>
      <c r="D36" s="3"/>
      <c r="F36" s="4" t="s">
        <v>15</v>
      </c>
      <c r="G36" s="57">
        <f>D28</f>
        <v>0.325</v>
      </c>
      <c r="H36" s="6" t="s">
        <v>1</v>
      </c>
    </row>
    <row r="37" spans="1:8" ht="21.75">
      <c r="A37" s="3"/>
      <c r="B37" s="7" t="s">
        <v>60</v>
      </c>
      <c r="C37" s="3"/>
      <c r="D37" s="3"/>
      <c r="F37" s="4" t="s">
        <v>76</v>
      </c>
      <c r="G37" s="57">
        <f>B10</f>
        <v>1.75</v>
      </c>
      <c r="H37" s="6" t="s">
        <v>1</v>
      </c>
    </row>
    <row r="38" spans="1:8" ht="21.75">
      <c r="A38" s="7"/>
      <c r="B38" s="7" t="s">
        <v>74</v>
      </c>
      <c r="C38" s="3"/>
      <c r="D38" s="3"/>
      <c r="F38" s="4" t="s">
        <v>75</v>
      </c>
      <c r="G38" s="48">
        <f>2*MAX(F33,F34)</f>
        <v>50</v>
      </c>
      <c r="H38" s="6" t="s">
        <v>40</v>
      </c>
    </row>
    <row r="39" spans="1:8" ht="21.75">
      <c r="A39" s="3"/>
      <c r="B39" s="7" t="s">
        <v>17</v>
      </c>
      <c r="C39" s="3"/>
      <c r="D39" s="3"/>
      <c r="F39" s="4" t="str">
        <f>"M  =  "&amp;G38&amp;" x "&amp;G36&amp;"    ="</f>
        <v>M  =  50 x 0.325    =</v>
      </c>
      <c r="G39" s="48">
        <f>G38*G36</f>
        <v>16.25</v>
      </c>
      <c r="H39" s="6" t="s">
        <v>45</v>
      </c>
    </row>
    <row r="40" spans="1:8" ht="21.75">
      <c r="A40" s="3"/>
      <c r="B40" s="3" t="s">
        <v>51</v>
      </c>
      <c r="C40" s="3"/>
      <c r="D40" s="3"/>
      <c r="F40" s="4" t="s">
        <v>15</v>
      </c>
      <c r="G40" s="51">
        <f>ROUND(SQRT(G39*1000/(H21*G37)),2)/100</f>
        <v>0.30879999999999996</v>
      </c>
      <c r="H40" s="6" t="s">
        <v>1</v>
      </c>
    </row>
    <row r="41" spans="1:9" ht="21.75">
      <c r="A41" s="3"/>
      <c r="B41" s="3" t="s">
        <v>56</v>
      </c>
      <c r="C41" s="3"/>
      <c r="D41" s="4"/>
      <c r="F41" s="4" t="s">
        <v>86</v>
      </c>
      <c r="G41" s="51">
        <f>'Footing Data'!G20</f>
        <v>0.7</v>
      </c>
      <c r="H41" s="6" t="s">
        <v>1</v>
      </c>
      <c r="I41" s="63">
        <f>CEILING(G40+0.05+('Footing Data'!G17/10/100/2),0.05)</f>
        <v>0.4</v>
      </c>
    </row>
    <row r="42" spans="1:8" ht="21.75">
      <c r="A42" s="3"/>
      <c r="B42" s="3"/>
      <c r="C42" s="3"/>
      <c r="F42" s="4" t="s">
        <v>136</v>
      </c>
      <c r="G42" s="53">
        <f>ROUND(G41-(0.05+('Footing Data'!G17/10/100/2)),3)</f>
        <v>0.638</v>
      </c>
      <c r="H42" s="6" t="s">
        <v>1</v>
      </c>
    </row>
    <row r="43" spans="1:9" ht="21.75">
      <c r="A43" s="17" t="s">
        <v>77</v>
      </c>
      <c r="B43" s="3"/>
      <c r="C43" s="3"/>
      <c r="D43" s="3"/>
      <c r="E43" s="3"/>
      <c r="F43" s="3"/>
      <c r="G43" s="3"/>
      <c r="H43" s="3"/>
      <c r="I43" s="3"/>
    </row>
    <row r="44" spans="2:8" ht="21.75">
      <c r="B44" s="166" t="s">
        <v>111</v>
      </c>
      <c r="C44" s="167"/>
      <c r="D44" s="167"/>
      <c r="E44" s="168"/>
      <c r="F44" s="88" t="s">
        <v>112</v>
      </c>
      <c r="G44" s="88" t="s">
        <v>112</v>
      </c>
      <c r="H44" s="80" t="s">
        <v>113</v>
      </c>
    </row>
    <row r="45" spans="2:8" ht="21.75">
      <c r="B45" s="66" t="s">
        <v>115</v>
      </c>
      <c r="C45" s="31"/>
      <c r="D45" s="31"/>
      <c r="E45" s="31"/>
      <c r="F45" s="81">
        <f>G42</f>
        <v>0.638</v>
      </c>
      <c r="G45" s="81">
        <f>G42</f>
        <v>0.638</v>
      </c>
      <c r="H45" s="81">
        <f>G42/2</f>
        <v>0.319</v>
      </c>
    </row>
    <row r="46" spans="2:8" ht="21.75">
      <c r="B46" s="77" t="s">
        <v>117</v>
      </c>
      <c r="C46" s="78"/>
      <c r="D46" s="78"/>
      <c r="E46" s="78"/>
      <c r="F46" s="97">
        <f>(G36-F45)*100</f>
        <v>-31.3</v>
      </c>
      <c r="G46" s="97">
        <f>(G36-F45)*100</f>
        <v>-31.3</v>
      </c>
      <c r="H46" s="86">
        <f>(G36-H45)*100</f>
        <v>0.6000000000000005</v>
      </c>
    </row>
    <row r="47" spans="2:8" ht="21.75">
      <c r="B47" s="77" t="s">
        <v>121</v>
      </c>
      <c r="C47" s="78"/>
      <c r="D47" s="78"/>
      <c r="E47" s="78"/>
      <c r="F47" s="82">
        <f>B10</f>
        <v>1.75</v>
      </c>
      <c r="G47" s="82">
        <f>B10</f>
        <v>1.75</v>
      </c>
      <c r="H47" s="82">
        <f>('Footing Data'!G12+G42)*4</f>
        <v>4.152</v>
      </c>
    </row>
    <row r="48" spans="2:8" ht="21.75">
      <c r="B48" s="77" t="s">
        <v>118</v>
      </c>
      <c r="C48" s="78"/>
      <c r="D48" s="78"/>
      <c r="E48" s="78"/>
      <c r="F48" s="82">
        <f>IF(F46&lt;-15,0,IF(F46&gt;15,F33,ROUNDUP(F33/30*(F46+15),3)))</f>
        <v>0</v>
      </c>
      <c r="G48" s="82">
        <v>0</v>
      </c>
      <c r="H48" s="82">
        <f>IF(H46&lt;-15,0,IF(H46&gt;15,F33,ROUNDUP(F33/30*(H46+15),3)))</f>
        <v>13</v>
      </c>
    </row>
    <row r="49" spans="2:8" ht="21.75">
      <c r="B49" s="77" t="s">
        <v>119</v>
      </c>
      <c r="C49" s="78"/>
      <c r="D49" s="78"/>
      <c r="E49" s="78"/>
      <c r="F49" s="82">
        <v>0</v>
      </c>
      <c r="G49" s="82">
        <f>IF(G46&lt;-15,0,IF(G46&gt;15,F34,ROUNDUP(F34/30*(G46+15),3)))</f>
        <v>0</v>
      </c>
      <c r="H49" s="82">
        <f>IF(H46&lt;-15,0,IF(H46&gt;15,F34,ROUNDUP(F34/30*(H46+15),3)))</f>
        <v>13</v>
      </c>
    </row>
    <row r="50" spans="2:8" ht="21.75">
      <c r="B50" s="77" t="s">
        <v>120</v>
      </c>
      <c r="C50" s="78"/>
      <c r="D50" s="78"/>
      <c r="E50" s="78"/>
      <c r="F50" s="82">
        <f>2*F48</f>
        <v>0</v>
      </c>
      <c r="G50" s="82">
        <f>2*G49</f>
        <v>0</v>
      </c>
      <c r="H50" s="82">
        <f>2*(H48+H49)</f>
        <v>52</v>
      </c>
    </row>
    <row r="51" spans="2:8" ht="21.75">
      <c r="B51" s="77" t="s">
        <v>114</v>
      </c>
      <c r="C51" s="78"/>
      <c r="D51" s="78"/>
      <c r="E51" s="78"/>
      <c r="F51" s="82">
        <f>ROUNDDOWN(0.29*SQRT(E17),3)</f>
        <v>3.492</v>
      </c>
      <c r="G51" s="82">
        <f>ROUNDDOWN(0.29*SQRT(E17),3)</f>
        <v>3.492</v>
      </c>
      <c r="H51" s="83">
        <f>ROUNDDOWN(0.53*SQRT(E17),3)</f>
        <v>6.382</v>
      </c>
    </row>
    <row r="52" spans="2:8" ht="21.75">
      <c r="B52" s="67" t="s">
        <v>116</v>
      </c>
      <c r="C52" s="32"/>
      <c r="D52" s="32"/>
      <c r="E52" s="32"/>
      <c r="F52" s="85">
        <f>ROUNDUP(F48*1000/(F47*100*G42*100),3)</f>
        <v>0</v>
      </c>
      <c r="G52" s="85">
        <f>ROUNDUP(G49*1000/(G47*100*G42*100),3)</f>
        <v>0</v>
      </c>
      <c r="H52" s="85">
        <f>ROUNDUP(H50*1000/(H47*100*G42*100),3)</f>
        <v>1.964</v>
      </c>
    </row>
    <row r="53" spans="6:8" ht="21.75">
      <c r="F53" s="98" t="str">
        <f>IF(F52&lt;F51,"O.K.","เพิ่ม  t")</f>
        <v>O.K.</v>
      </c>
      <c r="G53" s="98" t="str">
        <f>IF(G52&lt;G51,"O.K.","เพิ่ม  t")</f>
        <v>O.K.</v>
      </c>
      <c r="H53" s="98" t="str">
        <f>IF(H52&lt;H51,"O.K.","เพิ่ม  t")</f>
        <v>O.K.</v>
      </c>
    </row>
    <row r="54" ht="21.75">
      <c r="A54" s="17" t="s">
        <v>19</v>
      </c>
    </row>
    <row r="55" spans="1:8" ht="21.75">
      <c r="A55" s="54" t="str">
        <f>"เหล็ก  "&amp;'Footing Data'!G16&amp;" - "&amp;'Footing Data'!G17</f>
        <v>เหล็ก  DB - 25</v>
      </c>
      <c r="C55" s="3"/>
      <c r="E55" s="4" t="s">
        <v>94</v>
      </c>
      <c r="F55" s="22">
        <f>ROUNDUP(IF('Footing Data'!G16="RB",1.615*SQRT('Footing Data'!G14)/('Footing Data'!G17/10),3.23*SQRT('Footing Data'!G14)/('Footing Data'!G17/10)),1)</f>
        <v>15.6</v>
      </c>
      <c r="G55" s="7" t="s">
        <v>3</v>
      </c>
      <c r="H55" s="38" t="str">
        <f>IF('Footing Data'!G16="RB",IF(F55&lt;11,"&lt;   11.0    ksc    O.K.","&gt;   11.0   ksc   เพิ่มขนาดเหล็ก"),IF(F55&lt;25,"&lt;   25.0    ksc    O.K.","&gt;   25.0   ksc   เพิ่มขนาดเหล็ก"))</f>
        <v>&lt;   25.0    ksc    O.K.</v>
      </c>
    </row>
    <row r="56" spans="1:9" ht="30" customHeight="1">
      <c r="A56" s="3"/>
      <c r="B56" s="3"/>
      <c r="C56" s="4" t="s">
        <v>15</v>
      </c>
      <c r="D56" s="5">
        <f>ROUNDUP(G39*1000/(E19*F21*G42),1)</f>
        <v>20.6</v>
      </c>
      <c r="E56" s="7" t="s">
        <v>22</v>
      </c>
      <c r="F56" s="9" t="str">
        <f>"ใช้เหล็ก   "&amp;'Footing Data'!G16&amp;" - "&amp;'Footing Data'!G17</f>
        <v>ใช้เหล็ก   DB - 25</v>
      </c>
      <c r="G56" s="3"/>
      <c r="H56" s="5">
        <f>ROUNDUP(D56/(PI()*('Footing Data'!G17/10)^2/4),0)</f>
        <v>5</v>
      </c>
      <c r="I56" s="3" t="s">
        <v>24</v>
      </c>
    </row>
    <row r="57" spans="1:9" ht="30" customHeight="1">
      <c r="A57" s="3"/>
      <c r="B57" s="3"/>
      <c r="C57" s="4" t="s">
        <v>15</v>
      </c>
      <c r="D57" s="5">
        <f>ROUNDUP(G38*1000/(F55*F21*(G42*100)),1)</f>
        <v>56.7</v>
      </c>
      <c r="E57" s="7" t="s">
        <v>18</v>
      </c>
      <c r="F57" s="9" t="str">
        <f>F56</f>
        <v>ใช้เหล็ก   DB - 25</v>
      </c>
      <c r="G57" s="3"/>
      <c r="H57" s="5">
        <f>ROUNDUP(D57/(PI()*('Footing Data'!G17/10)),0)</f>
        <v>8</v>
      </c>
      <c r="I57" s="3" t="s">
        <v>24</v>
      </c>
    </row>
    <row r="58" spans="1:9" ht="21.75">
      <c r="A58" s="3"/>
      <c r="B58" s="3"/>
      <c r="C58" s="4"/>
      <c r="D58" s="5"/>
      <c r="E58" s="7"/>
      <c r="F58" s="9"/>
      <c r="G58" s="3"/>
      <c r="H58" s="3"/>
      <c r="I58" s="5"/>
    </row>
    <row r="59" spans="1:9" ht="21.75">
      <c r="A59" s="84" t="s">
        <v>26</v>
      </c>
      <c r="C59" s="3"/>
      <c r="D59" s="3"/>
      <c r="E59" s="3"/>
      <c r="F59" s="3"/>
      <c r="G59" s="3"/>
      <c r="H59" s="3"/>
      <c r="I59" s="3"/>
    </row>
    <row r="60" spans="1:9" ht="21.75">
      <c r="A60" s="3"/>
      <c r="B60" s="3"/>
      <c r="D60" s="6" t="s">
        <v>28</v>
      </c>
      <c r="F60" s="3"/>
      <c r="G60" s="5">
        <f>ROUND((((B10-0.1)*100)-('Footing Data'!G17/10))/(MAX(H56,H57)-1),2)</f>
        <v>23.21</v>
      </c>
      <c r="H60" s="3" t="s">
        <v>18</v>
      </c>
      <c r="I60" s="38" t="str">
        <f>IF(G60&lt;30,"O.K.","ลดขนาดเหล็ก")</f>
        <v>O.K.</v>
      </c>
    </row>
    <row r="61" spans="1:9" ht="21.75">
      <c r="A61" s="3"/>
      <c r="B61" s="3"/>
      <c r="D61" s="6" t="s">
        <v>27</v>
      </c>
      <c r="F61" s="3"/>
      <c r="G61" s="10">
        <f>ROUND(G60-('Footing Data'!G17/10),2)</f>
        <v>20.71</v>
      </c>
      <c r="H61" s="3" t="s">
        <v>18</v>
      </c>
      <c r="I61" s="38" t="str">
        <f>IF(G61&gt;3,"O.K.","เพิ่มขนาดเหล็ก")</f>
        <v>O.K.</v>
      </c>
    </row>
    <row r="62" spans="1:2" ht="21.75">
      <c r="A62" s="3"/>
      <c r="B62" s="3"/>
    </row>
    <row r="63" spans="1:2" ht="21.75">
      <c r="A63" s="3"/>
      <c r="B63" s="3"/>
    </row>
    <row r="64" spans="3:9" ht="36.75" customHeight="1">
      <c r="C64" s="90" t="s">
        <v>25</v>
      </c>
      <c r="D64" s="91"/>
      <c r="E64" s="91"/>
      <c r="F64" s="92" t="str">
        <f>"# "&amp;MAX(H56,H57)&amp;" - "&amp;'Footing Data'!G16&amp;" "&amp;'Footing Data'!G17&amp;" mm"</f>
        <v># 8 - DB 25 mm</v>
      </c>
      <c r="G64" s="93"/>
      <c r="H64" s="78"/>
      <c r="I64" s="78"/>
    </row>
    <row r="69" ht="21.75">
      <c r="E69" s="30">
        <f>C70+E70+F70</f>
        <v>1.75</v>
      </c>
    </row>
    <row r="70" spans="3:8" ht="21.75">
      <c r="C70" s="161">
        <f>C5</f>
        <v>0.35</v>
      </c>
      <c r="D70" s="161"/>
      <c r="E70" s="30">
        <f>E5</f>
        <v>1.05</v>
      </c>
      <c r="F70" s="162">
        <f>C70</f>
        <v>0.35</v>
      </c>
      <c r="G70" s="162"/>
      <c r="H70" s="87"/>
    </row>
    <row r="71" ht="21.75">
      <c r="E71" s="40"/>
    </row>
    <row r="72" ht="21.75">
      <c r="C72" s="42">
        <f>C70</f>
        <v>0.35</v>
      </c>
    </row>
    <row r="73" spans="2:4" ht="21.75">
      <c r="B73" s="30"/>
      <c r="C73" s="42"/>
      <c r="D73" s="26"/>
    </row>
    <row r="74" spans="2:5" ht="21.75">
      <c r="B74" s="163"/>
      <c r="C74" s="163"/>
      <c r="E74" s="30">
        <f>E9</f>
        <v>0.4</v>
      </c>
    </row>
    <row r="75" spans="2:4" ht="21.75">
      <c r="B75" s="94">
        <f>C72+C75+C78</f>
        <v>1.75</v>
      </c>
      <c r="C75" s="42">
        <f>E70</f>
        <v>1.05</v>
      </c>
      <c r="D75" s="26">
        <f>D10</f>
        <v>0.4</v>
      </c>
    </row>
    <row r="76" ht="21.75"/>
    <row r="77" ht="21.75"/>
    <row r="78" ht="21.75">
      <c r="C78" s="179">
        <f>C72</f>
        <v>0.35</v>
      </c>
    </row>
    <row r="79" ht="21.75">
      <c r="C79" s="179"/>
    </row>
    <row r="80" ht="21.75">
      <c r="E80" s="25"/>
    </row>
    <row r="81" ht="21.75">
      <c r="E81" s="25" t="s">
        <v>31</v>
      </c>
    </row>
    <row r="83" ht="21.75">
      <c r="E83" s="30">
        <f>E74</f>
        <v>0.4</v>
      </c>
    </row>
    <row r="84" ht="21.75"/>
    <row r="85" ht="21.75"/>
    <row r="86" spans="7:8" ht="21.75">
      <c r="G86" s="70" t="str">
        <f>F64</f>
        <v># 8 - DB 25 mm</v>
      </c>
      <c r="H86" s="70"/>
    </row>
    <row r="87" spans="1:8" ht="21.75">
      <c r="A87" s="26">
        <v>1.2</v>
      </c>
      <c r="B87" s="27"/>
      <c r="G87" s="36"/>
      <c r="H87" s="36"/>
    </row>
    <row r="88" spans="7:8" ht="21.75">
      <c r="G88" s="37" t="s">
        <v>34</v>
      </c>
      <c r="H88" s="37"/>
    </row>
    <row r="89" spans="2:3" ht="21.75">
      <c r="B89" s="29">
        <f>G41</f>
        <v>0.7</v>
      </c>
      <c r="C89" s="28"/>
    </row>
    <row r="90" ht="21.75"/>
    <row r="91" ht="21.75"/>
    <row r="92" ht="21.75"/>
    <row r="93" ht="21.75"/>
    <row r="94" ht="21.75"/>
    <row r="95" ht="21.75">
      <c r="E95" s="25" t="s">
        <v>32</v>
      </c>
    </row>
  </sheetData>
  <sheetProtection/>
  <mergeCells count="12">
    <mergeCell ref="H1:I1"/>
    <mergeCell ref="C5:D5"/>
    <mergeCell ref="F5:G5"/>
    <mergeCell ref="B9:C9"/>
    <mergeCell ref="B44:E44"/>
    <mergeCell ref="C13:C14"/>
    <mergeCell ref="C26:C27"/>
    <mergeCell ref="B29:C29"/>
    <mergeCell ref="C78:C79"/>
    <mergeCell ref="C70:D70"/>
    <mergeCell ref="F70:G70"/>
    <mergeCell ref="B74:C74"/>
  </mergeCells>
  <printOptions/>
  <pageMargins left="0.9448818897637796" right="0.5511811023622047" top="0.7874015748031497" bottom="0.5905511811023623" header="0.5118110236220472" footer="0.31496062992125984"/>
  <pageSetup orientation="portrait" paperSize="9" r:id="rId6"/>
  <headerFooter alignWithMargins="0">
    <oddFooter>&amp;R&amp;"CordiaUPC,ตัวเอียง"&amp;14Footing Design  &amp;P</oddFooter>
  </headerFooter>
  <drawing r:id="rId5"/>
  <legacyDrawing r:id="rId4"/>
  <oleObjects>
    <oleObject progId="Equation.3" shapeId="1577355" r:id="rId1"/>
    <oleObject progId="Equation.3" shapeId="1577358" r:id="rId2"/>
    <oleObject progId="Equation.3" shapeId="1577359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J99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1" width="9.140625" style="1" customWidth="1"/>
    <col min="2" max="2" width="9.57421875" style="1" bestFit="1" customWidth="1"/>
    <col min="3" max="3" width="9.140625" style="1" customWidth="1"/>
    <col min="4" max="4" width="10.57421875" style="1" customWidth="1"/>
    <col min="5" max="5" width="6.00390625" style="1" customWidth="1"/>
    <col min="6" max="7" width="9.140625" style="1" customWidth="1"/>
    <col min="8" max="8" width="12.00390625" style="1" customWidth="1"/>
    <col min="9" max="9" width="8.00390625" style="1" customWidth="1"/>
    <col min="10" max="10" width="5.421875" style="1" customWidth="1"/>
    <col min="11" max="16384" width="9.140625" style="1" customWidth="1"/>
  </cols>
  <sheetData>
    <row r="1" spans="1:10" ht="25.5" customHeight="1">
      <c r="A1" s="31" t="str">
        <f>"โครงการ  :  "&amp;'Footing Data'!D5</f>
        <v>โครงการ  :  ปรับปรุงอปรับปรุงอาคารฟอก-นึ่งกลาง ร.พ.หางดงเชียงใหม่</v>
      </c>
      <c r="B1" s="31"/>
      <c r="C1" s="31"/>
      <c r="D1" s="31"/>
      <c r="E1" s="31"/>
      <c r="F1" s="31"/>
      <c r="G1" s="33"/>
      <c r="H1" s="160">
        <f ca="1">NOW()</f>
        <v>41138.58802141203</v>
      </c>
      <c r="I1" s="160"/>
      <c r="J1" s="160"/>
    </row>
    <row r="2" spans="1:10" ht="25.5" customHeight="1">
      <c r="A2" s="32" t="s">
        <v>122</v>
      </c>
      <c r="B2" s="32"/>
      <c r="C2" s="35" t="str">
        <f>'Footing Data'!G2</f>
        <v>F1</v>
      </c>
      <c r="D2" s="32"/>
      <c r="E2" s="32"/>
      <c r="F2" s="32"/>
      <c r="G2" s="32"/>
      <c r="H2" s="32"/>
      <c r="I2" s="32"/>
      <c r="J2" s="34" t="s">
        <v>148</v>
      </c>
    </row>
    <row r="3" ht="21.75">
      <c r="E3" s="30">
        <f>C4+E4+F4</f>
        <v>1.7500000000000002</v>
      </c>
    </row>
    <row r="4" spans="3:7" ht="21.75">
      <c r="C4" s="161">
        <f>CEILING('Footing Data'!G9/100,0.05)</f>
        <v>0.35000000000000003</v>
      </c>
      <c r="D4" s="161"/>
      <c r="E4" s="30">
        <f>CEILING('Footing Data'!G9/100*3,0.05)</f>
        <v>1.05</v>
      </c>
      <c r="F4" s="162">
        <f>C4</f>
        <v>0.35000000000000003</v>
      </c>
      <c r="G4" s="162"/>
    </row>
    <row r="5" ht="21.75">
      <c r="E5" s="40"/>
    </row>
    <row r="6" ht="21.75">
      <c r="C6" s="42">
        <f>C4</f>
        <v>0.35000000000000003</v>
      </c>
    </row>
    <row r="7" spans="2:5" ht="30" customHeight="1">
      <c r="B7" s="30"/>
      <c r="C7" s="42"/>
      <c r="D7" s="26"/>
      <c r="E7" s="52">
        <f>E8+F42</f>
        <v>1.038</v>
      </c>
    </row>
    <row r="8" spans="2:8" ht="21.75">
      <c r="B8" s="163"/>
      <c r="C8" s="163"/>
      <c r="E8" s="30">
        <f>'Footing Data'!G12</f>
        <v>0.4</v>
      </c>
      <c r="H8" s="89">
        <f>C9/2</f>
        <v>0.525</v>
      </c>
    </row>
    <row r="9" spans="2:8" ht="21.75">
      <c r="B9" s="94">
        <f>C6+C9+C12</f>
        <v>1.7500000000000002</v>
      </c>
      <c r="C9" s="42">
        <f>E4</f>
        <v>1.05</v>
      </c>
      <c r="D9" s="26">
        <f>'Footing Data'!G13</f>
        <v>0.4</v>
      </c>
      <c r="G9" s="29"/>
      <c r="H9" s="96"/>
    </row>
    <row r="10" ht="21.75">
      <c r="H10" s="89">
        <f>H8</f>
        <v>0.525</v>
      </c>
    </row>
    <row r="11" ht="28.5" customHeight="1"/>
    <row r="12" ht="21.75">
      <c r="C12" s="42">
        <f>C6</f>
        <v>0.35000000000000003</v>
      </c>
    </row>
    <row r="13" ht="21.75">
      <c r="C13" s="26"/>
    </row>
    <row r="14" spans="4:6" ht="21.75">
      <c r="D14" s="96">
        <f>E4/2</f>
        <v>0.525</v>
      </c>
      <c r="E14" s="27"/>
      <c r="F14" s="42">
        <f>D14</f>
        <v>0.525</v>
      </c>
    </row>
    <row r="15" spans="1:10" ht="21.75">
      <c r="A15" s="17" t="s">
        <v>16</v>
      </c>
      <c r="B15" s="18"/>
      <c r="C15" s="18"/>
      <c r="D15" s="18"/>
      <c r="E15" s="19"/>
      <c r="F15" s="19"/>
      <c r="G15" s="20"/>
      <c r="H15" s="19"/>
      <c r="I15" s="19"/>
      <c r="J15" s="18"/>
    </row>
    <row r="16" spans="1:10" ht="22.5" customHeight="1">
      <c r="A16" s="6" t="s">
        <v>62</v>
      </c>
      <c r="B16" s="3"/>
      <c r="C16" s="4" t="s">
        <v>52</v>
      </c>
      <c r="D16" s="5">
        <f>'Footing Data'!G14</f>
        <v>145</v>
      </c>
      <c r="E16" s="3" t="s">
        <v>3</v>
      </c>
      <c r="F16" s="4" t="s">
        <v>63</v>
      </c>
      <c r="G16" s="5">
        <f>ROUNDDOWN(0.45*D16,0)</f>
        <v>65</v>
      </c>
      <c r="H16" s="3" t="s">
        <v>3</v>
      </c>
      <c r="I16" s="3"/>
      <c r="J16" s="3"/>
    </row>
    <row r="17" spans="1:10" ht="21.75">
      <c r="A17" s="6" t="s">
        <v>64</v>
      </c>
      <c r="B17" s="3"/>
      <c r="C17" s="4" t="s">
        <v>52</v>
      </c>
      <c r="D17" s="5">
        <f>'Footing Data'!G15</f>
        <v>350</v>
      </c>
      <c r="E17" s="3" t="s">
        <v>3</v>
      </c>
      <c r="F17" s="4" t="s">
        <v>63</v>
      </c>
      <c r="G17" s="5">
        <f>ROUNDDOWN(0.45*D17,0)</f>
        <v>157</v>
      </c>
      <c r="H17" s="3" t="s">
        <v>3</v>
      </c>
      <c r="I17" s="3"/>
      <c r="J17" s="3"/>
    </row>
    <row r="18" spans="1:10" ht="13.5" customHeight="1">
      <c r="A18" s="6" t="str">
        <f>"เหล็กเสริม :   "&amp;'Footing Data'!G16&amp;" - "&amp;'Footing Data'!G17</f>
        <v>เหล็กเสริม :   DB - 25</v>
      </c>
      <c r="B18" s="3"/>
      <c r="C18" s="4" t="s">
        <v>53</v>
      </c>
      <c r="D18" s="12">
        <f>IF('Footing Data'!G16="RB",1200,1400)</f>
        <v>1400</v>
      </c>
      <c r="E18" s="3" t="s">
        <v>3</v>
      </c>
      <c r="F18" s="3"/>
      <c r="G18" s="3"/>
      <c r="H18" s="3"/>
      <c r="I18" s="3"/>
      <c r="J18" s="3"/>
    </row>
    <row r="19" spans="1:10" ht="21.75">
      <c r="A19" s="17" t="s">
        <v>65</v>
      </c>
      <c r="B19" s="3"/>
      <c r="C19" s="4"/>
      <c r="D19" s="4"/>
      <c r="E19" s="5"/>
      <c r="F19" s="6"/>
      <c r="G19" s="3"/>
      <c r="H19" s="3"/>
      <c r="I19" s="3"/>
      <c r="J19" s="3"/>
    </row>
    <row r="20" spans="1:9" ht="21.75">
      <c r="A20" s="11" t="s">
        <v>46</v>
      </c>
      <c r="B20" s="7">
        <f>ROUND(2040000/15210/SQRT(D16),0)</f>
        <v>11</v>
      </c>
      <c r="C20" s="11" t="s">
        <v>47</v>
      </c>
      <c r="D20" s="7">
        <f>ROUND(1/(1+(D18/(B20*G16))),3)</f>
        <v>0.338</v>
      </c>
      <c r="E20" s="11" t="s">
        <v>48</v>
      </c>
      <c r="F20" s="7">
        <f>ROUND(1-(D20/3),3)</f>
        <v>0.887</v>
      </c>
      <c r="G20" s="11" t="s">
        <v>49</v>
      </c>
      <c r="H20" s="7">
        <f>ROUND(0.5*G16*D20*F20,2)</f>
        <v>9.74</v>
      </c>
      <c r="I20" s="7" t="s">
        <v>3</v>
      </c>
    </row>
    <row r="21" spans="1:7" ht="21.75">
      <c r="A21" s="17" t="s">
        <v>67</v>
      </c>
      <c r="C21" s="72" t="str">
        <f>'Footing Data'!G6&amp;" T"</f>
        <v>100 T</v>
      </c>
      <c r="F21" s="5"/>
      <c r="G21" s="4"/>
    </row>
    <row r="22" spans="3:4" ht="21.75">
      <c r="C22" s="3"/>
      <c r="D22" s="73" t="str">
        <f>'Footing Data'!G7&amp;" T.m"</f>
        <v>0 T.m</v>
      </c>
    </row>
    <row r="23" spans="3:9" ht="21.75">
      <c r="C23" s="3"/>
      <c r="E23" s="7"/>
      <c r="G23" s="49" t="s">
        <v>130</v>
      </c>
      <c r="H23" s="12">
        <f>'Footing Data'!G11</f>
        <v>60</v>
      </c>
      <c r="I23" s="1" t="s">
        <v>96</v>
      </c>
    </row>
    <row r="24" spans="2:9" ht="21.75">
      <c r="B24" s="180" t="s">
        <v>126</v>
      </c>
      <c r="C24" s="164" t="s">
        <v>125</v>
      </c>
      <c r="D24" s="181" t="s">
        <v>127</v>
      </c>
      <c r="E24" s="3"/>
      <c r="G24" s="49" t="s">
        <v>98</v>
      </c>
      <c r="H24" s="5">
        <f>ROUNDUP('Footing Data'!G6/H23,0)</f>
        <v>2</v>
      </c>
      <c r="I24" s="1" t="s">
        <v>69</v>
      </c>
    </row>
    <row r="25" spans="2:9" ht="21.75">
      <c r="B25" s="180"/>
      <c r="C25" s="164"/>
      <c r="D25" s="181"/>
      <c r="G25" s="49" t="s">
        <v>99</v>
      </c>
      <c r="H25" s="10">
        <f>'Footing Data'!G6/H24</f>
        <v>50</v>
      </c>
      <c r="I25" s="1" t="s">
        <v>96</v>
      </c>
    </row>
    <row r="26" spans="2:5" ht="21.75">
      <c r="B26" s="63" t="s">
        <v>103</v>
      </c>
      <c r="C26" s="25" t="s">
        <v>110</v>
      </c>
      <c r="D26" s="5">
        <f>(E4-E8)/2</f>
        <v>0.325</v>
      </c>
      <c r="E26" s="1" t="s">
        <v>123</v>
      </c>
    </row>
    <row r="27" spans="2:4" ht="21.75">
      <c r="B27" s="165">
        <f>C28/2</f>
        <v>0.525</v>
      </c>
      <c r="C27" s="165"/>
      <c r="D27" s="70">
        <f>B27</f>
        <v>0.525</v>
      </c>
    </row>
    <row r="28" spans="2:3" ht="21.75">
      <c r="B28" s="40"/>
      <c r="C28" s="40">
        <f>E4</f>
        <v>1.05</v>
      </c>
    </row>
    <row r="29" spans="2:9" ht="21.75">
      <c r="B29" s="74" t="s">
        <v>128</v>
      </c>
      <c r="C29" s="36" t="str">
        <f>"2(P1) + P2 + 2(P3)  =  "&amp;'Footing Data'!G6</f>
        <v>2(P1) + P2 + 2(P3)  =  100</v>
      </c>
      <c r="E29" s="25"/>
      <c r="F29" s="12"/>
      <c r="G29" s="49" t="s">
        <v>132</v>
      </c>
      <c r="H29" s="75">
        <f>'Footing Data'!G6</f>
        <v>100</v>
      </c>
      <c r="I29" s="76">
        <v>1</v>
      </c>
    </row>
    <row r="30" spans="2:9" ht="21.75">
      <c r="B30" s="74" t="s">
        <v>129</v>
      </c>
      <c r="C30" s="9" t="str">
        <f>"2(P1)("&amp;B27&amp;") + "&amp;'Footing Data'!G7&amp;" - 2(P3)("&amp;4P!D29&amp;")  =  0"</f>
        <v>2(P1)(0.525) + 0 - 2(P3)(0.525)  =  0</v>
      </c>
      <c r="D30" s="49"/>
      <c r="E30" s="25"/>
      <c r="G30" s="63" t="s">
        <v>131</v>
      </c>
      <c r="H30" s="75">
        <f>'Footing Data'!G7/B27/2</f>
        <v>0</v>
      </c>
      <c r="I30" s="76">
        <v>2</v>
      </c>
    </row>
    <row r="32" spans="4:7" ht="21.75">
      <c r="D32" s="49" t="s">
        <v>109</v>
      </c>
      <c r="E32" s="25" t="s">
        <v>15</v>
      </c>
      <c r="F32" s="44">
        <f>ROUNDUP((H29-H30)/2,2)</f>
        <v>50</v>
      </c>
      <c r="G32" s="1" t="s">
        <v>96</v>
      </c>
    </row>
    <row r="33" spans="4:7" ht="21.75">
      <c r="D33" s="49" t="s">
        <v>110</v>
      </c>
      <c r="E33" s="25" t="s">
        <v>15</v>
      </c>
      <c r="F33" s="44">
        <f>ROUNDUP((H29+H30)/2,2)</f>
        <v>50</v>
      </c>
      <c r="G33" s="1" t="s">
        <v>96</v>
      </c>
    </row>
    <row r="34" spans="4:7" ht="21.75">
      <c r="D34" s="49" t="s">
        <v>124</v>
      </c>
      <c r="E34" s="25" t="s">
        <v>15</v>
      </c>
      <c r="F34" s="44"/>
      <c r="G34" s="1" t="s">
        <v>96</v>
      </c>
    </row>
    <row r="35" spans="1:7" ht="21.75">
      <c r="A35" s="17" t="s">
        <v>73</v>
      </c>
      <c r="B35" s="3"/>
      <c r="C35" s="3"/>
      <c r="D35" s="3"/>
      <c r="E35" s="3"/>
      <c r="F35" s="3"/>
      <c r="G35" s="3"/>
    </row>
    <row r="36" spans="1:7" ht="21.75">
      <c r="A36" s="6" t="s">
        <v>54</v>
      </c>
      <c r="B36" s="7" t="s">
        <v>59</v>
      </c>
      <c r="C36" s="3"/>
      <c r="D36" s="3"/>
      <c r="E36" s="4" t="s">
        <v>15</v>
      </c>
      <c r="F36" s="57">
        <f>D26</f>
        <v>0.325</v>
      </c>
      <c r="G36" s="6" t="s">
        <v>1</v>
      </c>
    </row>
    <row r="37" spans="1:10" ht="21.75">
      <c r="A37" s="3"/>
      <c r="B37" s="7" t="s">
        <v>60</v>
      </c>
      <c r="C37" s="3"/>
      <c r="D37" s="3"/>
      <c r="E37" s="4" t="s">
        <v>76</v>
      </c>
      <c r="F37" s="57">
        <f>B9</f>
        <v>1.7500000000000002</v>
      </c>
      <c r="G37" s="6" t="s">
        <v>1</v>
      </c>
      <c r="J37" s="3"/>
    </row>
    <row r="38" spans="1:10" ht="21.75">
      <c r="A38" s="7"/>
      <c r="B38" s="7" t="s">
        <v>74</v>
      </c>
      <c r="C38" s="3"/>
      <c r="D38" s="3"/>
      <c r="E38" s="4" t="s">
        <v>75</v>
      </c>
      <c r="F38" s="48">
        <f>2*MAX(F32,F33)</f>
        <v>100</v>
      </c>
      <c r="G38" s="6" t="s">
        <v>40</v>
      </c>
      <c r="J38" s="3"/>
    </row>
    <row r="39" spans="1:10" ht="21.75">
      <c r="A39" s="3"/>
      <c r="B39" s="7" t="s">
        <v>17</v>
      </c>
      <c r="C39" s="3"/>
      <c r="D39" s="3"/>
      <c r="E39" s="4" t="str">
        <f>"M  =  "&amp;F38&amp;" x "&amp;F36&amp;"    ="</f>
        <v>M  =  100 x 0.325    =</v>
      </c>
      <c r="F39" s="48">
        <f>F38*F36</f>
        <v>32.5</v>
      </c>
      <c r="G39" s="6" t="s">
        <v>45</v>
      </c>
      <c r="J39" s="3"/>
    </row>
    <row r="40" spans="1:10" ht="21.75">
      <c r="A40" s="3"/>
      <c r="B40" s="3" t="s">
        <v>51</v>
      </c>
      <c r="C40" s="3"/>
      <c r="D40" s="3"/>
      <c r="E40" s="4" t="s">
        <v>15</v>
      </c>
      <c r="F40" s="51">
        <f>ROUND(SQRT(F39*1000/(H20*F37)),2)/100</f>
        <v>0.43670000000000003</v>
      </c>
      <c r="G40" s="6" t="s">
        <v>1</v>
      </c>
      <c r="J40" s="3"/>
    </row>
    <row r="41" spans="1:10" ht="21.75">
      <c r="A41" s="3"/>
      <c r="B41" s="3" t="s">
        <v>56</v>
      </c>
      <c r="C41" s="3"/>
      <c r="D41" s="4"/>
      <c r="E41" s="4" t="s">
        <v>86</v>
      </c>
      <c r="F41" s="51">
        <f>'Footing Data'!G20</f>
        <v>0.7</v>
      </c>
      <c r="G41" s="6" t="s">
        <v>1</v>
      </c>
      <c r="H41" s="63">
        <f>CEILING(F40+0.05+('Footing Data'!G17/10/100/2),0.05)</f>
        <v>0.5</v>
      </c>
      <c r="J41" s="3"/>
    </row>
    <row r="42" spans="1:10" ht="21.75">
      <c r="A42" s="3"/>
      <c r="B42" s="3"/>
      <c r="C42" s="3"/>
      <c r="D42" s="4" t="s">
        <v>57</v>
      </c>
      <c r="E42" s="4" t="s">
        <v>15</v>
      </c>
      <c r="F42" s="53">
        <f>ROUND(F41-(0.05+('Footing Data'!G17/10/100/2)),3)</f>
        <v>0.638</v>
      </c>
      <c r="G42" s="6" t="s">
        <v>1</v>
      </c>
      <c r="J42" s="3"/>
    </row>
    <row r="43" spans="1:10" ht="21.75">
      <c r="A43" s="17" t="s">
        <v>77</v>
      </c>
      <c r="B43" s="3"/>
      <c r="C43" s="3"/>
      <c r="D43" s="3"/>
      <c r="E43" s="3"/>
      <c r="F43" s="3"/>
      <c r="G43" s="3"/>
      <c r="H43" s="3"/>
      <c r="I43" s="3"/>
      <c r="J43" s="3"/>
    </row>
    <row r="44" spans="2:10" ht="21.75">
      <c r="B44" s="166" t="s">
        <v>111</v>
      </c>
      <c r="C44" s="167"/>
      <c r="D44" s="167"/>
      <c r="E44" s="167"/>
      <c r="F44" s="168"/>
      <c r="G44" s="80" t="s">
        <v>112</v>
      </c>
      <c r="H44" s="80" t="s">
        <v>113</v>
      </c>
      <c r="J44" s="3"/>
    </row>
    <row r="45" spans="2:10" ht="21.75">
      <c r="B45" s="66" t="s">
        <v>115</v>
      </c>
      <c r="C45" s="31"/>
      <c r="D45" s="31"/>
      <c r="E45" s="31"/>
      <c r="F45" s="64"/>
      <c r="G45" s="81">
        <f>F42</f>
        <v>0.638</v>
      </c>
      <c r="H45" s="81">
        <f>F42/2</f>
        <v>0.319</v>
      </c>
      <c r="J45" s="3"/>
    </row>
    <row r="46" spans="2:10" ht="21.75">
      <c r="B46" s="77" t="s">
        <v>117</v>
      </c>
      <c r="C46" s="78"/>
      <c r="D46" s="78"/>
      <c r="E46" s="78"/>
      <c r="F46" s="79"/>
      <c r="G46" s="86">
        <f>(F36-G45)*100</f>
        <v>-31.3</v>
      </c>
      <c r="H46" s="86">
        <f>(F36-H45)*100</f>
        <v>0.6000000000000005</v>
      </c>
      <c r="J46" s="3"/>
    </row>
    <row r="47" spans="2:10" ht="21.75">
      <c r="B47" s="77" t="s">
        <v>121</v>
      </c>
      <c r="C47" s="78"/>
      <c r="D47" s="78"/>
      <c r="E47" s="78"/>
      <c r="F47" s="79"/>
      <c r="G47" s="82">
        <f>B9</f>
        <v>1.7500000000000002</v>
      </c>
      <c r="H47" s="82">
        <f>('Footing Data'!G12+F42)*4</f>
        <v>4.152</v>
      </c>
      <c r="J47" s="3"/>
    </row>
    <row r="48" spans="2:10" ht="21.75">
      <c r="B48" s="77" t="s">
        <v>118</v>
      </c>
      <c r="C48" s="78"/>
      <c r="D48" s="78"/>
      <c r="E48" s="78"/>
      <c r="F48" s="79"/>
      <c r="G48" s="82">
        <f>IF(G46&lt;-15,0,IF(G46&gt;15,F32,ROUNDUP(F32/30*(G46+15),3)))</f>
        <v>0</v>
      </c>
      <c r="H48" s="82">
        <f>IF(H46&lt;-15,0,IF(H46&gt;15,F32,ROUNDUP(F32/30*(H46+15),3)))</f>
        <v>26</v>
      </c>
      <c r="J48" s="3"/>
    </row>
    <row r="49" spans="2:10" ht="21.75">
      <c r="B49" s="77" t="s">
        <v>119</v>
      </c>
      <c r="C49" s="78"/>
      <c r="D49" s="78"/>
      <c r="E49" s="78"/>
      <c r="F49" s="79"/>
      <c r="G49" s="82">
        <f>IF(G46&lt;-15,0,IF(G46&gt;15,F33,ROUNDUP(F33/30*(G46+15),3)))</f>
        <v>0</v>
      </c>
      <c r="H49" s="82">
        <f>IF(H46&lt;-15,0,IF(H46&gt;15,F33,ROUNDUP(F33/30*(H46+15),3)))</f>
        <v>26</v>
      </c>
      <c r="J49" s="3"/>
    </row>
    <row r="50" spans="2:10" ht="21.75">
      <c r="B50" s="77" t="s">
        <v>120</v>
      </c>
      <c r="C50" s="78"/>
      <c r="D50" s="78"/>
      <c r="E50" s="78"/>
      <c r="F50" s="79"/>
      <c r="G50" s="82">
        <f>2*(G48+G49)</f>
        <v>0</v>
      </c>
      <c r="H50" s="82">
        <f>2*(H48+H49)</f>
        <v>104</v>
      </c>
      <c r="J50" s="3"/>
    </row>
    <row r="51" spans="2:10" ht="21.75">
      <c r="B51" s="77" t="s">
        <v>114</v>
      </c>
      <c r="C51" s="78"/>
      <c r="D51" s="78"/>
      <c r="E51" s="78"/>
      <c r="G51" s="83">
        <f>ROUNDDOWN(0.29*SQRT(D16),3)</f>
        <v>3.492</v>
      </c>
      <c r="H51" s="83">
        <f>ROUNDDOWN(0.53*SQRT(D16),3)</f>
        <v>6.382</v>
      </c>
      <c r="J51" s="3"/>
    </row>
    <row r="52" spans="2:10" ht="21.75">
      <c r="B52" s="67" t="s">
        <v>116</v>
      </c>
      <c r="C52" s="32"/>
      <c r="D52" s="32"/>
      <c r="E52" s="32"/>
      <c r="F52" s="16"/>
      <c r="G52" s="85">
        <f>ROUNDUP(G48*1000/(G47*100*F42*100),3)</f>
        <v>0</v>
      </c>
      <c r="H52" s="85">
        <f>ROUNDUP(H50*1000/(H47*100*F42*100),3)</f>
        <v>3.927</v>
      </c>
      <c r="J52" s="3"/>
    </row>
    <row r="53" spans="7:10" ht="21.75">
      <c r="G53" s="14" t="str">
        <f>IF(G52&lt;G51,"O.K.","เพิ่ม  t")</f>
        <v>O.K.</v>
      </c>
      <c r="H53" s="14" t="str">
        <f>IF(H52&lt;H51,"O.K.","เพิ่ม  t")</f>
        <v>O.K.</v>
      </c>
      <c r="J53" s="3"/>
    </row>
    <row r="54" spans="1:10" ht="21.75">
      <c r="A54" s="17" t="s">
        <v>19</v>
      </c>
      <c r="J54" s="3"/>
    </row>
    <row r="55" spans="1:8" ht="21.75">
      <c r="A55" s="54" t="str">
        <f>"เหล็ก  "&amp;'Footing Data'!G16&amp;" - "&amp;'Footing Data'!G17</f>
        <v>เหล็ก  DB - 25</v>
      </c>
      <c r="C55" s="3"/>
      <c r="E55" s="4" t="s">
        <v>94</v>
      </c>
      <c r="F55" s="22">
        <f>ROUNDUP(IF('Footing Data'!G16="RB",1.615*SQRT('Footing Data'!G14)/('Footing Data'!G17/10),3.23*SQRT('Footing Data'!G14)/('Footing Data'!G17/10)),1)</f>
        <v>15.6</v>
      </c>
      <c r="G55" s="7" t="s">
        <v>3</v>
      </c>
      <c r="H55" s="38" t="str">
        <f>IF('Footing Data'!G16="RB",IF(F55&lt;11,"&lt;   11.0    ksc    O.K.","&gt;   11.0   ksc   เพิ่มขนาดเหล็ก"),IF(F55&lt;25,"&lt;   25.0    ksc    O.K.","&gt;   25.0   ksc   เพิ่มขนาดเหล็ก"))</f>
        <v>&lt;   25.0    ksc    O.K.</v>
      </c>
    </row>
    <row r="56" spans="1:9" ht="21.75">
      <c r="A56" s="3"/>
      <c r="B56" s="3"/>
      <c r="C56" s="4" t="s">
        <v>15</v>
      </c>
      <c r="D56" s="5">
        <f>ROUNDUP(F39*1000/(D18*F20*F42),1)</f>
        <v>41.1</v>
      </c>
      <c r="E56" s="7" t="s">
        <v>22</v>
      </c>
      <c r="F56" s="9" t="str">
        <f>"ใช้เหล็ก   "&amp;'Footing Data'!G16&amp;" - "&amp;'Footing Data'!G17</f>
        <v>ใช้เหล็ก   DB - 25</v>
      </c>
      <c r="G56" s="3"/>
      <c r="H56" s="5">
        <f>ROUNDUP(D56/(PI()*('Footing Data'!G17/10)^2/4),0)</f>
        <v>9</v>
      </c>
      <c r="I56" s="3" t="s">
        <v>24</v>
      </c>
    </row>
    <row r="57" spans="1:9" ht="21.75">
      <c r="A57" s="3"/>
      <c r="B57" s="3"/>
      <c r="C57" s="4" t="s">
        <v>15</v>
      </c>
      <c r="D57" s="5">
        <f>ROUNDUP(F38*1000/(F55*F20*(F42*100)),1)</f>
        <v>113.3</v>
      </c>
      <c r="E57" s="7" t="s">
        <v>18</v>
      </c>
      <c r="F57" s="9" t="str">
        <f>F56</f>
        <v>ใช้เหล็ก   DB - 25</v>
      </c>
      <c r="G57" s="3"/>
      <c r="H57" s="5">
        <f>ROUNDUP(D57/(PI()*('Footing Data'!G17/10)),0)</f>
        <v>15</v>
      </c>
      <c r="I57" s="3" t="s">
        <v>24</v>
      </c>
    </row>
    <row r="58" spans="1:9" ht="21.75">
      <c r="A58" s="3"/>
      <c r="B58" s="3"/>
      <c r="C58" s="4"/>
      <c r="D58" s="5"/>
      <c r="E58" s="7"/>
      <c r="F58" s="9"/>
      <c r="G58" s="3"/>
      <c r="H58" s="5"/>
      <c r="I58" s="3"/>
    </row>
    <row r="59" spans="1:9" ht="21.75">
      <c r="A59" s="84" t="s">
        <v>26</v>
      </c>
      <c r="C59" s="3"/>
      <c r="D59" s="3"/>
      <c r="E59" s="3"/>
      <c r="F59" s="3"/>
      <c r="G59" s="3"/>
      <c r="H59" s="3"/>
      <c r="I59" s="3"/>
    </row>
    <row r="60" spans="1:8" ht="21.75">
      <c r="A60" s="3"/>
      <c r="B60" s="3"/>
      <c r="C60" s="6" t="s">
        <v>28</v>
      </c>
      <c r="E60" s="3"/>
      <c r="F60" s="5">
        <f>ROUND((((B9-0.1)*100)-('Footing Data'!G17/10))/(MAX(H56,H57)-1),2)</f>
        <v>11.61</v>
      </c>
      <c r="G60" s="3" t="s">
        <v>18</v>
      </c>
      <c r="H60" s="38" t="str">
        <f>IF(F60&lt;30,"O.K.","ลดขนาดเหล็ก")</f>
        <v>O.K.</v>
      </c>
    </row>
    <row r="61" spans="1:8" ht="21.75">
      <c r="A61" s="3"/>
      <c r="B61" s="3"/>
      <c r="C61" s="6" t="s">
        <v>27</v>
      </c>
      <c r="E61" s="3"/>
      <c r="F61" s="10">
        <f>ROUND(F60-('Footing Data'!G17/10),2)</f>
        <v>9.11</v>
      </c>
      <c r="G61" s="3" t="s">
        <v>18</v>
      </c>
      <c r="H61" s="38" t="str">
        <f>IF(F61&gt;3,"O.K.","เพิ่มขนาดเหล็ก")</f>
        <v>O.K.</v>
      </c>
    </row>
    <row r="62" spans="1:9" ht="21.75">
      <c r="A62" s="3"/>
      <c r="B62" s="3"/>
      <c r="I62" s="3"/>
    </row>
    <row r="63" spans="3:8" ht="21.75">
      <c r="C63" s="90" t="s">
        <v>25</v>
      </c>
      <c r="D63" s="91"/>
      <c r="E63" s="91"/>
      <c r="F63" s="92" t="str">
        <f>"# "&amp;MAX(H56,H57)&amp;" - "&amp;'Footing Data'!G16&amp;" "&amp;'Footing Data'!G17&amp;" mm"</f>
        <v># 15 - DB 25 mm</v>
      </c>
      <c r="G63" s="93"/>
      <c r="H63" s="78"/>
    </row>
    <row r="72" ht="21.75">
      <c r="E72" s="30" t="e">
        <f>C73+E73+F73</f>
        <v>#REF!</v>
      </c>
    </row>
    <row r="73" spans="3:7" ht="21.75">
      <c r="C73" s="161" t="e">
        <f>CEILING('Footing Data'!#REF!/100,0.05)</f>
        <v>#REF!</v>
      </c>
      <c r="D73" s="161"/>
      <c r="E73" s="30" t="e">
        <f>D84+F84</f>
        <v>#REF!</v>
      </c>
      <c r="F73" s="162" t="e">
        <f>C73</f>
        <v>#REF!</v>
      </c>
      <c r="G73" s="162"/>
    </row>
    <row r="74" ht="21.75">
      <c r="E74" s="40"/>
    </row>
    <row r="75" ht="21.75">
      <c r="C75" s="42" t="e">
        <f>C73</f>
        <v>#REF!</v>
      </c>
    </row>
    <row r="76" spans="2:4" ht="21.75">
      <c r="B76" s="30"/>
      <c r="C76" s="42"/>
      <c r="D76" s="26"/>
    </row>
    <row r="77" spans="2:8" ht="21.75">
      <c r="B77" s="163"/>
      <c r="C77" s="163"/>
      <c r="E77" s="30" t="e">
        <f>'Footing Data'!#REF!</f>
        <v>#REF!</v>
      </c>
      <c r="H77" s="30" t="e">
        <f>D84</f>
        <v>#REF!</v>
      </c>
    </row>
    <row r="78" spans="2:8" ht="21.75">
      <c r="B78" s="46" t="e">
        <f>C75+C78+C81</f>
        <v>#REF!</v>
      </c>
      <c r="C78" s="42" t="e">
        <f>H77+H79</f>
        <v>#REF!</v>
      </c>
      <c r="D78" s="26" t="e">
        <f>'Footing Data'!#REF!</f>
        <v>#REF!</v>
      </c>
      <c r="H78" s="26"/>
    </row>
    <row r="79" ht="21.75">
      <c r="H79" s="30" t="e">
        <f>H77</f>
        <v>#REF!</v>
      </c>
    </row>
    <row r="80" ht="21.75"/>
    <row r="81" ht="21.75">
      <c r="C81" s="42" t="e">
        <f>C75</f>
        <v>#REF!</v>
      </c>
    </row>
    <row r="82" ht="21.75">
      <c r="C82" s="44"/>
    </row>
    <row r="83" ht="21.75">
      <c r="E83" s="25"/>
    </row>
    <row r="84" spans="4:6" ht="21.75">
      <c r="D84" s="26" t="e">
        <f>CEILING(3/SQRT(2)*C73,0.05)</f>
        <v>#REF!</v>
      </c>
      <c r="E84" s="25"/>
      <c r="F84" s="42" t="e">
        <f>D84</f>
        <v>#REF!</v>
      </c>
    </row>
    <row r="85" ht="21.75">
      <c r="E85" s="25" t="s">
        <v>31</v>
      </c>
    </row>
    <row r="87" ht="21.75">
      <c r="E87" s="30" t="e">
        <f>E77</f>
        <v>#REF!</v>
      </c>
    </row>
    <row r="88" ht="21.75"/>
    <row r="89" ht="21.75"/>
    <row r="90" ht="21.75">
      <c r="G90" s="1" t="e">
        <f>#REF!</f>
        <v>#REF!</v>
      </c>
    </row>
    <row r="91" spans="1:7" ht="21.75">
      <c r="A91" s="26">
        <v>1.2</v>
      </c>
      <c r="B91" s="27"/>
      <c r="G91" s="36" t="e">
        <f>#REF!</f>
        <v>#REF!</v>
      </c>
    </row>
    <row r="92" ht="21.75">
      <c r="G92" s="37" t="s">
        <v>34</v>
      </c>
    </row>
    <row r="93" spans="2:3" ht="21.75">
      <c r="B93" s="29" t="e">
        <f>#REF!</f>
        <v>#REF!</v>
      </c>
      <c r="C93" s="28"/>
    </row>
    <row r="94" ht="21.75"/>
    <row r="95" ht="21.75"/>
    <row r="96" ht="21.75"/>
    <row r="97" ht="21.75"/>
    <row r="98" ht="21.75"/>
    <row r="99" ht="21.75">
      <c r="E99" s="25" t="s">
        <v>32</v>
      </c>
    </row>
  </sheetData>
  <sheetProtection/>
  <mergeCells count="12">
    <mergeCell ref="B77:C77"/>
    <mergeCell ref="B44:F44"/>
    <mergeCell ref="B27:C27"/>
    <mergeCell ref="B24:B25"/>
    <mergeCell ref="C24:C25"/>
    <mergeCell ref="D24:D25"/>
    <mergeCell ref="H1:J1"/>
    <mergeCell ref="C4:D4"/>
    <mergeCell ref="F4:G4"/>
    <mergeCell ref="B8:C8"/>
    <mergeCell ref="C73:D73"/>
    <mergeCell ref="F73:G73"/>
  </mergeCells>
  <printOptions/>
  <pageMargins left="0.9448818897637796" right="0.5511811023622047" top="0.7874015748031497" bottom="0.5905511811023623" header="0.5118110236220472" footer="0.31496062992125984"/>
  <pageSetup orientation="portrait" paperSize="9" r:id="rId6"/>
  <drawing r:id="rId5"/>
  <legacyDrawing r:id="rId4"/>
  <oleObjects>
    <oleObject progId="Equation.3" shapeId="246066" r:id="rId1"/>
    <oleObject progId="Equation.3" shapeId="246068" r:id="rId2"/>
    <oleObject progId="Equation.3" shapeId="24606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ENGR_DIV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ฝ่ายกรรมวิธีข้อมูล</dc:creator>
  <cp:keywords/>
  <dc:description/>
  <cp:lastModifiedBy>ASUS</cp:lastModifiedBy>
  <cp:lastPrinted>2012-04-29T23:44:46Z</cp:lastPrinted>
  <dcterms:created xsi:type="dcterms:W3CDTF">2006-04-27T05:05:43Z</dcterms:created>
  <dcterms:modified xsi:type="dcterms:W3CDTF">2012-08-17T07:07:16Z</dcterms:modified>
  <cp:category/>
  <cp:version/>
  <cp:contentType/>
  <cp:contentStatus/>
</cp:coreProperties>
</file>