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trlProps/ctrlProp15.xml" ContentType="application/vnd.ms-excel.controlproperties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am\Google Drive\My Courses (UDEMY and others)\Dashboards and Data Analysis\02 Video Edeting\07-10 Dashboard OverView\"/>
    </mc:Choice>
  </mc:AlternateContent>
  <xr:revisionPtr revIDLastSave="0" documentId="13_ncr:1_{3AC0757D-17C6-4B05-A0AE-8C07224B6C90}" xr6:coauthVersionLast="45" xr6:coauthVersionMax="45" xr10:uidLastSave="{00000000-0000-0000-0000-000000000000}"/>
  <bookViews>
    <workbookView xWindow="-108" yWindow="-108" windowWidth="23256" windowHeight="12576" xr2:uid="{03F8EDA5-D66D-4D97-9586-100DD2D71474}"/>
  </bookViews>
  <sheets>
    <sheet name="Dashboard" sheetId="5" r:id="rId1"/>
    <sheet name="Tasks" sheetId="1" r:id="rId2"/>
    <sheet name="Budget Plan" sheetId="3" r:id="rId3"/>
    <sheet name="Issues" sheetId="2" r:id="rId4"/>
    <sheet name="Lists" sheetId="7" r:id="rId5"/>
    <sheet name="SpeedoMeters" sheetId="10" r:id="rId6"/>
  </sheets>
  <definedNames>
    <definedName name="_xlnm._FilterDatabase" localSheetId="3" hidden="1">Issues!$A$3:$K$19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3" i="1"/>
  <c r="M1" i="1" l="1"/>
  <c r="B3" i="10" l="1"/>
  <c r="B8" i="10" s="1"/>
  <c r="B10" i="10" s="1"/>
  <c r="B4" i="10" l="1"/>
  <c r="B5" i="10" s="1"/>
  <c r="L24" i="1" l="1"/>
  <c r="C9" i="3" l="1"/>
  <c r="C8" i="3"/>
  <c r="K19" i="3"/>
  <c r="K17" i="3"/>
  <c r="K15" i="3"/>
  <c r="K13" i="3"/>
  <c r="O4" i="7"/>
  <c r="J31" i="5"/>
  <c r="J32" i="5" s="1"/>
  <c r="J33" i="5" s="1"/>
  <c r="J34" i="5" s="1"/>
  <c r="B31" i="5"/>
  <c r="M1" i="2"/>
  <c r="AE2" i="7" l="1"/>
  <c r="AF2" i="7" s="1"/>
  <c r="B32" i="5"/>
  <c r="B33" i="5" s="1"/>
  <c r="B34" i="5" s="1"/>
  <c r="B2" i="7" l="1"/>
  <c r="C2" i="7" s="1"/>
  <c r="E19" i="2"/>
  <c r="F19" i="2" s="1"/>
  <c r="E18" i="2"/>
  <c r="E17" i="2"/>
  <c r="F17" i="2" s="1"/>
  <c r="E16" i="2"/>
  <c r="F16" i="2" s="1"/>
  <c r="F15" i="2"/>
  <c r="E15" i="2"/>
  <c r="E14" i="2"/>
  <c r="E13" i="2"/>
  <c r="F13" i="2" s="1"/>
  <c r="E12" i="2"/>
  <c r="F12" i="2" s="1"/>
  <c r="E11" i="2"/>
  <c r="F11" i="2" s="1"/>
  <c r="E10" i="2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N1" i="2"/>
  <c r="J11" i="3"/>
  <c r="I11" i="3"/>
  <c r="H11" i="3"/>
  <c r="G11" i="3"/>
  <c r="F11" i="3"/>
  <c r="E11" i="3"/>
  <c r="D11" i="3"/>
  <c r="D9" i="3" s="1"/>
  <c r="C11" i="3"/>
  <c r="J10" i="3"/>
  <c r="I10" i="3"/>
  <c r="H10" i="3"/>
  <c r="G10" i="3"/>
  <c r="F10" i="3"/>
  <c r="E10" i="3"/>
  <c r="D10" i="3"/>
  <c r="D8" i="3" s="1"/>
  <c r="C10" i="3"/>
  <c r="A5" i="3"/>
  <c r="S23" i="1"/>
  <c r="J23" i="1"/>
  <c r="K23" i="1" s="1"/>
  <c r="M23" i="1" s="1"/>
  <c r="U22" i="1"/>
  <c r="U21" i="1" s="1"/>
  <c r="S22" i="1"/>
  <c r="J22" i="1"/>
  <c r="K22" i="1" s="1"/>
  <c r="M22" i="1" s="1"/>
  <c r="S21" i="1"/>
  <c r="K21" i="1"/>
  <c r="M21" i="1" s="1"/>
  <c r="J21" i="1"/>
  <c r="U20" i="1"/>
  <c r="U19" i="1" s="1"/>
  <c r="U18" i="1" s="1"/>
  <c r="U17" i="1" s="1"/>
  <c r="S20" i="1"/>
  <c r="J20" i="1"/>
  <c r="K20" i="1" s="1"/>
  <c r="M20" i="1" s="1"/>
  <c r="S19" i="1"/>
  <c r="J19" i="1"/>
  <c r="K19" i="1" s="1"/>
  <c r="M19" i="1" s="1"/>
  <c r="S18" i="1"/>
  <c r="J18" i="1"/>
  <c r="K18" i="1" s="1"/>
  <c r="M18" i="1" s="1"/>
  <c r="S17" i="1"/>
  <c r="J17" i="1"/>
  <c r="K17" i="1" s="1"/>
  <c r="M17" i="1" s="1"/>
  <c r="U16" i="1"/>
  <c r="U15" i="1" s="1"/>
  <c r="U14" i="1" s="1"/>
  <c r="U13" i="1" s="1"/>
  <c r="S16" i="1"/>
  <c r="J16" i="1"/>
  <c r="K16" i="1" s="1"/>
  <c r="M16" i="1" s="1"/>
  <c r="S15" i="1"/>
  <c r="K15" i="1"/>
  <c r="M15" i="1" s="1"/>
  <c r="J15" i="1"/>
  <c r="S14" i="1"/>
  <c r="J14" i="1"/>
  <c r="K14" i="1" s="1"/>
  <c r="M14" i="1" s="1"/>
  <c r="S13" i="1"/>
  <c r="J13" i="1"/>
  <c r="K13" i="1" s="1"/>
  <c r="M13" i="1" s="1"/>
  <c r="U12" i="1"/>
  <c r="U11" i="1" s="1"/>
  <c r="U10" i="1" s="1"/>
  <c r="U9" i="1" s="1"/>
  <c r="S12" i="1"/>
  <c r="J12" i="1"/>
  <c r="K12" i="1" s="1"/>
  <c r="M12" i="1" s="1"/>
  <c r="S11" i="1"/>
  <c r="K11" i="1"/>
  <c r="M11" i="1" s="1"/>
  <c r="J11" i="1"/>
  <c r="S10" i="1"/>
  <c r="J10" i="1"/>
  <c r="K10" i="1" s="1"/>
  <c r="M10" i="1" s="1"/>
  <c r="S9" i="1"/>
  <c r="J9" i="1"/>
  <c r="K9" i="1" s="1"/>
  <c r="M9" i="1" s="1"/>
  <c r="U8" i="1"/>
  <c r="U7" i="1" s="1"/>
  <c r="U6" i="1" s="1"/>
  <c r="U5" i="1" s="1"/>
  <c r="S8" i="1"/>
  <c r="J8" i="1"/>
  <c r="K8" i="1" s="1"/>
  <c r="M8" i="1" s="1"/>
  <c r="S7" i="1"/>
  <c r="J7" i="1"/>
  <c r="K7" i="1" s="1"/>
  <c r="M7" i="1" s="1"/>
  <c r="S6" i="1"/>
  <c r="O6" i="1"/>
  <c r="J6" i="1"/>
  <c r="K6" i="1" s="1"/>
  <c r="M6" i="1" s="1"/>
  <c r="S5" i="1"/>
  <c r="J5" i="1"/>
  <c r="K5" i="1" s="1"/>
  <c r="M5" i="1" s="1"/>
  <c r="U4" i="1"/>
  <c r="U3" i="1" s="1"/>
  <c r="S4" i="1"/>
  <c r="J4" i="1"/>
  <c r="K4" i="1" s="1"/>
  <c r="M4" i="1" s="1"/>
  <c r="S3" i="1"/>
  <c r="O3" i="1"/>
  <c r="K3" i="1"/>
  <c r="M3" i="1" s="1"/>
  <c r="J3" i="1"/>
  <c r="D3" i="1"/>
  <c r="P1" i="1"/>
  <c r="V22" i="1" l="1"/>
  <c r="E1" i="3"/>
  <c r="H1" i="3" s="1"/>
  <c r="E8" i="3"/>
  <c r="F8" i="3" s="1"/>
  <c r="G8" i="3" s="1"/>
  <c r="H8" i="3" s="1"/>
  <c r="I8" i="3" s="1"/>
  <c r="J8" i="3" s="1"/>
  <c r="E9" i="3"/>
  <c r="F9" i="3" s="1"/>
  <c r="G9" i="3" s="1"/>
  <c r="H9" i="3" s="1"/>
  <c r="I9" i="3" s="1"/>
  <c r="J9" i="3" s="1"/>
  <c r="D5" i="3"/>
  <c r="E5" i="3" s="1"/>
  <c r="F5" i="3" s="1"/>
  <c r="G5" i="3" s="1"/>
  <c r="H5" i="3" s="1"/>
  <c r="I5" i="3" s="1"/>
  <c r="J5" i="3" s="1"/>
  <c r="C5" i="3"/>
  <c r="E2" i="2"/>
  <c r="L8" i="2"/>
  <c r="L12" i="2"/>
  <c r="L16" i="2"/>
  <c r="L4" i="2"/>
  <c r="L11" i="2"/>
  <c r="L5" i="2"/>
  <c r="L9" i="2"/>
  <c r="L13" i="2"/>
  <c r="L17" i="2"/>
  <c r="L15" i="2"/>
  <c r="L6" i="2"/>
  <c r="L7" i="2"/>
  <c r="L19" i="2"/>
  <c r="W3" i="1"/>
  <c r="W6" i="1"/>
  <c r="V7" i="1"/>
  <c r="N17" i="1"/>
  <c r="O17" i="1" s="1"/>
  <c r="W17" i="1" s="1"/>
  <c r="N23" i="1"/>
  <c r="O23" i="1" s="1"/>
  <c r="W23" i="1" s="1"/>
  <c r="V5" i="1"/>
  <c r="V11" i="1"/>
  <c r="N15" i="1"/>
  <c r="O15" i="1" s="1"/>
  <c r="W15" i="1" s="1"/>
  <c r="N21" i="1"/>
  <c r="O21" i="1" s="1"/>
  <c r="W21" i="1" s="1"/>
  <c r="V3" i="1"/>
  <c r="N19" i="1"/>
  <c r="O19" i="1" s="1"/>
  <c r="W19" i="1" s="1"/>
  <c r="V13" i="1"/>
  <c r="V9" i="1"/>
  <c r="N3" i="1"/>
  <c r="N11" i="1"/>
  <c r="O11" i="1" s="1"/>
  <c r="W11" i="1" s="1"/>
  <c r="N13" i="1"/>
  <c r="O13" i="1" s="1"/>
  <c r="W13" i="1" s="1"/>
  <c r="V19" i="1"/>
  <c r="V21" i="1"/>
  <c r="N5" i="1"/>
  <c r="O5" i="1" s="1"/>
  <c r="W5" i="1" s="1"/>
  <c r="N7" i="1"/>
  <c r="O7" i="1" s="1"/>
  <c r="W7" i="1" s="1"/>
  <c r="N9" i="1"/>
  <c r="O9" i="1" s="1"/>
  <c r="W9" i="1" s="1"/>
  <c r="V15" i="1"/>
  <c r="V17" i="1"/>
  <c r="D4" i="1"/>
  <c r="F3" i="1"/>
  <c r="N4" i="1"/>
  <c r="O4" i="1" s="1"/>
  <c r="W4" i="1" s="1"/>
  <c r="V4" i="1"/>
  <c r="N8" i="1"/>
  <c r="O8" i="1" s="1"/>
  <c r="W8" i="1" s="1"/>
  <c r="V8" i="1"/>
  <c r="N12" i="1"/>
  <c r="O12" i="1" s="1"/>
  <c r="W12" i="1" s="1"/>
  <c r="V12" i="1"/>
  <c r="N16" i="1"/>
  <c r="O16" i="1" s="1"/>
  <c r="W16" i="1" s="1"/>
  <c r="V16" i="1"/>
  <c r="N20" i="1"/>
  <c r="O20" i="1" s="1"/>
  <c r="W20" i="1" s="1"/>
  <c r="V20" i="1"/>
  <c r="V23" i="1"/>
  <c r="A6" i="3"/>
  <c r="D6" i="3" s="1"/>
  <c r="F10" i="2"/>
  <c r="F14" i="2"/>
  <c r="F18" i="2"/>
  <c r="L18" i="2" s="1"/>
  <c r="N6" i="1"/>
  <c r="V6" i="1"/>
  <c r="N10" i="1"/>
  <c r="O10" i="1" s="1"/>
  <c r="W10" i="1" s="1"/>
  <c r="V10" i="1"/>
  <c r="N14" i="1"/>
  <c r="O14" i="1" s="1"/>
  <c r="W14" i="1" s="1"/>
  <c r="V14" i="1"/>
  <c r="N18" i="1"/>
  <c r="O18" i="1" s="1"/>
  <c r="W18" i="1" s="1"/>
  <c r="V18" i="1"/>
  <c r="N22" i="1"/>
  <c r="O22" i="1" s="1"/>
  <c r="W22" i="1" s="1"/>
  <c r="G3" i="1" l="1"/>
  <c r="H2" i="3"/>
  <c r="J3" i="10" s="1"/>
  <c r="C6" i="3"/>
  <c r="E6" i="3"/>
  <c r="F6" i="3" s="1"/>
  <c r="G6" i="3" s="1"/>
  <c r="H6" i="3" s="1"/>
  <c r="I6" i="3" s="1"/>
  <c r="J6" i="3" s="1"/>
  <c r="AF6" i="7"/>
  <c r="AF5" i="7"/>
  <c r="L14" i="2"/>
  <c r="O4" i="2"/>
  <c r="L10" i="2"/>
  <c r="AF7" i="7"/>
  <c r="AE16" i="7" s="1"/>
  <c r="C6" i="7"/>
  <c r="C7" i="7"/>
  <c r="C5" i="7"/>
  <c r="C8" i="7"/>
  <c r="O6" i="2"/>
  <c r="O5" i="2"/>
  <c r="D5" i="1"/>
  <c r="F4" i="1"/>
  <c r="G4" i="1" s="1"/>
  <c r="A16" i="7" l="1"/>
  <c r="A22" i="7" s="1"/>
  <c r="J8" i="10"/>
  <c r="J10" i="10" s="1"/>
  <c r="J4" i="10"/>
  <c r="J5" i="10" s="1"/>
  <c r="AE43" i="7"/>
  <c r="AE47" i="7"/>
  <c r="AE45" i="7"/>
  <c r="AE44" i="7"/>
  <c r="AE4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26" i="7"/>
  <c r="AE24" i="7"/>
  <c r="AE17" i="7"/>
  <c r="AE22" i="7"/>
  <c r="AE20" i="7"/>
  <c r="AE19" i="7"/>
  <c r="AE25" i="7"/>
  <c r="AE23" i="7"/>
  <c r="AE21" i="7"/>
  <c r="AE18" i="7"/>
  <c r="A42" i="7"/>
  <c r="A30" i="7"/>
  <c r="A38" i="7"/>
  <c r="A43" i="7"/>
  <c r="A47" i="7"/>
  <c r="A23" i="7"/>
  <c r="A27" i="7"/>
  <c r="A31" i="7"/>
  <c r="A35" i="7"/>
  <c r="A39" i="7"/>
  <c r="A21" i="7"/>
  <c r="A29" i="7"/>
  <c r="A37" i="7"/>
  <c r="A45" i="7"/>
  <c r="A41" i="7"/>
  <c r="A28" i="7"/>
  <c r="A44" i="7"/>
  <c r="A24" i="7"/>
  <c r="A32" i="7"/>
  <c r="A40" i="7"/>
  <c r="A25" i="7"/>
  <c r="A20" i="7"/>
  <c r="A33" i="7"/>
  <c r="A36" i="7"/>
  <c r="A19" i="7"/>
  <c r="A18" i="7"/>
  <c r="G18" i="7" s="1"/>
  <c r="A17" i="7"/>
  <c r="G17" i="7" s="1"/>
  <c r="F5" i="1"/>
  <c r="G5" i="1" s="1"/>
  <c r="D6" i="1"/>
  <c r="A46" i="7" l="1"/>
  <c r="A34" i="7"/>
  <c r="A26" i="7"/>
  <c r="AG25" i="7"/>
  <c r="AN25" i="7"/>
  <c r="AO25" i="7"/>
  <c r="AJ25" i="7"/>
  <c r="AF25" i="7"/>
  <c r="AH25" i="7"/>
  <c r="AK25" i="7"/>
  <c r="AP25" i="7"/>
  <c r="AI25" i="7"/>
  <c r="AL25" i="7"/>
  <c r="AM25" i="7"/>
  <c r="AH37" i="7"/>
  <c r="AL37" i="7"/>
  <c r="AP37" i="7"/>
  <c r="AF37" i="7"/>
  <c r="AN37" i="7"/>
  <c r="AI37" i="7"/>
  <c r="AM37" i="7"/>
  <c r="AJ37" i="7"/>
  <c r="AK37" i="7"/>
  <c r="AO37" i="7"/>
  <c r="AG37" i="7"/>
  <c r="AF44" i="7"/>
  <c r="AH44" i="7"/>
  <c r="AK44" i="7"/>
  <c r="AP44" i="7"/>
  <c r="AM44" i="7"/>
  <c r="AO44" i="7"/>
  <c r="AN44" i="7"/>
  <c r="AL44" i="7"/>
  <c r="AI44" i="7"/>
  <c r="AG44" i="7"/>
  <c r="AJ44" i="7"/>
  <c r="AL18" i="7"/>
  <c r="M32" i="5" s="1"/>
  <c r="AP18" i="7"/>
  <c r="AJ18" i="7"/>
  <c r="L32" i="5" s="1"/>
  <c r="AG18" i="7"/>
  <c r="K32" i="5" s="1"/>
  <c r="AH18" i="7"/>
  <c r="AI18" i="7"/>
  <c r="AF18" i="7"/>
  <c r="AO18" i="7"/>
  <c r="N32" i="5" s="1"/>
  <c r="AN18" i="7"/>
  <c r="AM18" i="7"/>
  <c r="AK18" i="7"/>
  <c r="AM19" i="7"/>
  <c r="AG19" i="7"/>
  <c r="K33" i="5" s="1"/>
  <c r="AH19" i="7"/>
  <c r="AJ19" i="7"/>
  <c r="L33" i="5" s="1"/>
  <c r="AF19" i="7"/>
  <c r="AI19" i="7"/>
  <c r="AN19" i="7"/>
  <c r="AP19" i="7"/>
  <c r="AK19" i="7"/>
  <c r="AL19" i="7"/>
  <c r="M33" i="5" s="1"/>
  <c r="AO19" i="7"/>
  <c r="N33" i="5" s="1"/>
  <c r="AF24" i="7"/>
  <c r="AM24" i="7"/>
  <c r="AO24" i="7"/>
  <c r="AI24" i="7"/>
  <c r="AL24" i="7"/>
  <c r="AP24" i="7"/>
  <c r="AH24" i="7"/>
  <c r="AN24" i="7"/>
  <c r="AJ24" i="7"/>
  <c r="AK24" i="7"/>
  <c r="AG24" i="7"/>
  <c r="AH40" i="7"/>
  <c r="AL40" i="7"/>
  <c r="AP40" i="7"/>
  <c r="AJ40" i="7"/>
  <c r="AI40" i="7"/>
  <c r="AM40" i="7"/>
  <c r="AF40" i="7"/>
  <c r="AN40" i="7"/>
  <c r="AG40" i="7"/>
  <c r="AK40" i="7"/>
  <c r="AO40" i="7"/>
  <c r="AH36" i="7"/>
  <c r="AL36" i="7"/>
  <c r="AP36" i="7"/>
  <c r="AF36" i="7"/>
  <c r="AI36" i="7"/>
  <c r="AM36" i="7"/>
  <c r="AJ36" i="7"/>
  <c r="AN36" i="7"/>
  <c r="AG36" i="7"/>
  <c r="AK36" i="7"/>
  <c r="AO36" i="7"/>
  <c r="AH32" i="7"/>
  <c r="AL32" i="7"/>
  <c r="AP32" i="7"/>
  <c r="AF32" i="7"/>
  <c r="AJ32" i="7"/>
  <c r="AI32" i="7"/>
  <c r="AM32" i="7"/>
  <c r="AN32" i="7"/>
  <c r="AG32" i="7"/>
  <c r="AK32" i="7"/>
  <c r="AO32" i="7"/>
  <c r="AH28" i="7"/>
  <c r="AL28" i="7"/>
  <c r="AP28" i="7"/>
  <c r="AF28" i="7"/>
  <c r="AI28" i="7"/>
  <c r="AM28" i="7"/>
  <c r="AJ28" i="7"/>
  <c r="AN28" i="7"/>
  <c r="AG28" i="7"/>
  <c r="AK28" i="7"/>
  <c r="AO28" i="7"/>
  <c r="AF45" i="7"/>
  <c r="AM45" i="7"/>
  <c r="AI45" i="7"/>
  <c r="AK45" i="7"/>
  <c r="AH45" i="7"/>
  <c r="AO45" i="7"/>
  <c r="AN45" i="7"/>
  <c r="AP45" i="7"/>
  <c r="AG45" i="7"/>
  <c r="AJ45" i="7"/>
  <c r="AL45" i="7"/>
  <c r="AH41" i="7"/>
  <c r="AL41" i="7"/>
  <c r="AP41" i="7"/>
  <c r="AF41" i="7"/>
  <c r="AN41" i="7"/>
  <c r="AI41" i="7"/>
  <c r="AM41" i="7"/>
  <c r="AJ41" i="7"/>
  <c r="AK41" i="7"/>
  <c r="AO41" i="7"/>
  <c r="AG41" i="7"/>
  <c r="AH33" i="7"/>
  <c r="AL33" i="7"/>
  <c r="AP33" i="7"/>
  <c r="AF33" i="7"/>
  <c r="AI33" i="7"/>
  <c r="AM33" i="7"/>
  <c r="AJ33" i="7"/>
  <c r="AN33" i="7"/>
  <c r="AK33" i="7"/>
  <c r="AO33" i="7"/>
  <c r="AG33" i="7"/>
  <c r="AH29" i="7"/>
  <c r="AL29" i="7"/>
  <c r="AP29" i="7"/>
  <c r="AF29" i="7"/>
  <c r="AI29" i="7"/>
  <c r="AM29" i="7"/>
  <c r="AJ29" i="7"/>
  <c r="AN29" i="7"/>
  <c r="AK29" i="7"/>
  <c r="AO29" i="7"/>
  <c r="AG29" i="7"/>
  <c r="AP21" i="7"/>
  <c r="AO21" i="7"/>
  <c r="AH21" i="7"/>
  <c r="AM21" i="7"/>
  <c r="AG21" i="7"/>
  <c r="AK21" i="7"/>
  <c r="AJ21" i="7"/>
  <c r="AN21" i="7"/>
  <c r="AF21" i="7"/>
  <c r="AL21" i="7"/>
  <c r="AI21" i="7"/>
  <c r="AN20" i="7"/>
  <c r="AF20" i="7"/>
  <c r="AH20" i="7"/>
  <c r="AK20" i="7"/>
  <c r="AG20" i="7"/>
  <c r="K34" i="5" s="1"/>
  <c r="AO20" i="7"/>
  <c r="N34" i="5" s="1"/>
  <c r="AI20" i="7"/>
  <c r="AM20" i="7"/>
  <c r="AJ20" i="7"/>
  <c r="L34" i="5" s="1"/>
  <c r="AP20" i="7"/>
  <c r="AL20" i="7"/>
  <c r="M34" i="5" s="1"/>
  <c r="AK26" i="7"/>
  <c r="AI26" i="7"/>
  <c r="AH26" i="7"/>
  <c r="AO26" i="7"/>
  <c r="AN26" i="7"/>
  <c r="AF26" i="7"/>
  <c r="AM26" i="7"/>
  <c r="AP26" i="7"/>
  <c r="AJ26" i="7"/>
  <c r="AL26" i="7"/>
  <c r="AG26" i="7"/>
  <c r="AH39" i="7"/>
  <c r="AL39" i="7"/>
  <c r="AP39" i="7"/>
  <c r="AF39" i="7"/>
  <c r="AN39" i="7"/>
  <c r="AI39" i="7"/>
  <c r="AM39" i="7"/>
  <c r="AJ39" i="7"/>
  <c r="AG39" i="7"/>
  <c r="AK39" i="7"/>
  <c r="AO39" i="7"/>
  <c r="AH35" i="7"/>
  <c r="AL35" i="7"/>
  <c r="AP35" i="7"/>
  <c r="AF35" i="7"/>
  <c r="AN35" i="7"/>
  <c r="AI35" i="7"/>
  <c r="AM35" i="7"/>
  <c r="AJ35" i="7"/>
  <c r="AG35" i="7"/>
  <c r="AK35" i="7"/>
  <c r="AO35" i="7"/>
  <c r="AH31" i="7"/>
  <c r="AL31" i="7"/>
  <c r="AP31" i="7"/>
  <c r="AJ31" i="7"/>
  <c r="AI31" i="7"/>
  <c r="AM31" i="7"/>
  <c r="AF31" i="7"/>
  <c r="AN31" i="7"/>
  <c r="AG31" i="7"/>
  <c r="AK31" i="7"/>
  <c r="AO31" i="7"/>
  <c r="AH27" i="7"/>
  <c r="AL27" i="7"/>
  <c r="AP27" i="7"/>
  <c r="AF27" i="7"/>
  <c r="AN27" i="7"/>
  <c r="AG27" i="7"/>
  <c r="AK27" i="7"/>
  <c r="AI27" i="7"/>
  <c r="AM27" i="7"/>
  <c r="AJ27" i="7"/>
  <c r="AO27" i="7"/>
  <c r="AF47" i="7"/>
  <c r="AM47" i="7"/>
  <c r="AL47" i="7"/>
  <c r="AN47" i="7"/>
  <c r="AI47" i="7"/>
  <c r="AK47" i="7"/>
  <c r="AO47" i="7"/>
  <c r="AJ47" i="7"/>
  <c r="AP47" i="7"/>
  <c r="AG47" i="7"/>
  <c r="AH47" i="7"/>
  <c r="AP17" i="7"/>
  <c r="AJ17" i="7"/>
  <c r="L31" i="5" s="1"/>
  <c r="AK17" i="7"/>
  <c r="AH17" i="7"/>
  <c r="AI17" i="7"/>
  <c r="AM17" i="7"/>
  <c r="AF17" i="7"/>
  <c r="AN17" i="7"/>
  <c r="AL17" i="7"/>
  <c r="M31" i="5" s="1"/>
  <c r="AG17" i="7"/>
  <c r="K31" i="5" s="1"/>
  <c r="AO17" i="7"/>
  <c r="N31" i="5" s="1"/>
  <c r="AO23" i="7"/>
  <c r="AF23" i="7"/>
  <c r="AI23" i="7"/>
  <c r="AG23" i="7"/>
  <c r="AP23" i="7"/>
  <c r="AK23" i="7"/>
  <c r="AJ23" i="7"/>
  <c r="AH23" i="7"/>
  <c r="AL23" i="7"/>
  <c r="AN23" i="7"/>
  <c r="AM23" i="7"/>
  <c r="AP22" i="7"/>
  <c r="AG22" i="7"/>
  <c r="AF22" i="7"/>
  <c r="AL22" i="7"/>
  <c r="AM22" i="7"/>
  <c r="AO22" i="7"/>
  <c r="AN22" i="7"/>
  <c r="AI22" i="7"/>
  <c r="AK22" i="7"/>
  <c r="AH22" i="7"/>
  <c r="AJ22" i="7"/>
  <c r="AH42" i="7"/>
  <c r="AL42" i="7"/>
  <c r="AP42" i="7"/>
  <c r="AF42" i="7"/>
  <c r="AN42" i="7"/>
  <c r="AI42" i="7"/>
  <c r="AM42" i="7"/>
  <c r="AJ42" i="7"/>
  <c r="AO42" i="7"/>
  <c r="AG42" i="7"/>
  <c r="AK42" i="7"/>
  <c r="AH38" i="7"/>
  <c r="AL38" i="7"/>
  <c r="AP38" i="7"/>
  <c r="AJ38" i="7"/>
  <c r="AI38" i="7"/>
  <c r="AM38" i="7"/>
  <c r="AF38" i="7"/>
  <c r="AN38" i="7"/>
  <c r="AO38" i="7"/>
  <c r="AG38" i="7"/>
  <c r="AK38" i="7"/>
  <c r="AH34" i="7"/>
  <c r="AL34" i="7"/>
  <c r="AP34" i="7"/>
  <c r="AF34" i="7"/>
  <c r="AJ34" i="7"/>
  <c r="AI34" i="7"/>
  <c r="AM34" i="7"/>
  <c r="AN34" i="7"/>
  <c r="AO34" i="7"/>
  <c r="AG34" i="7"/>
  <c r="AK34" i="7"/>
  <c r="AH30" i="7"/>
  <c r="AL30" i="7"/>
  <c r="AP30" i="7"/>
  <c r="AF30" i="7"/>
  <c r="AN30" i="7"/>
  <c r="AI30" i="7"/>
  <c r="AM30" i="7"/>
  <c r="AJ30" i="7"/>
  <c r="AO30" i="7"/>
  <c r="AG30" i="7"/>
  <c r="AK30" i="7"/>
  <c r="AF46" i="7"/>
  <c r="AI46" i="7"/>
  <c r="AM46" i="7"/>
  <c r="AL46" i="7"/>
  <c r="AP46" i="7"/>
  <c r="AO46" i="7"/>
  <c r="AH46" i="7"/>
  <c r="AN46" i="7"/>
  <c r="AG46" i="7"/>
  <c r="AK46" i="7"/>
  <c r="AJ46" i="7"/>
  <c r="AF43" i="7"/>
  <c r="AK43" i="7"/>
  <c r="AP43" i="7"/>
  <c r="AH43" i="7"/>
  <c r="AM43" i="7"/>
  <c r="AO43" i="7"/>
  <c r="AG43" i="7"/>
  <c r="AL43" i="7"/>
  <c r="AI43" i="7"/>
  <c r="AN43" i="7"/>
  <c r="AJ43" i="7"/>
  <c r="E36" i="7"/>
  <c r="I36" i="7"/>
  <c r="M36" i="7"/>
  <c r="Q36" i="7"/>
  <c r="U36" i="7"/>
  <c r="B36" i="7"/>
  <c r="F36" i="7"/>
  <c r="J36" i="7"/>
  <c r="N36" i="7"/>
  <c r="R36" i="7"/>
  <c r="V36" i="7"/>
  <c r="G36" i="7"/>
  <c r="O36" i="7"/>
  <c r="W36" i="7"/>
  <c r="H36" i="7"/>
  <c r="P36" i="7"/>
  <c r="C36" i="7"/>
  <c r="K36" i="7"/>
  <c r="S36" i="7"/>
  <c r="T36" i="7"/>
  <c r="D36" i="7"/>
  <c r="L36" i="7"/>
  <c r="E40" i="7"/>
  <c r="I40" i="7"/>
  <c r="M40" i="7"/>
  <c r="Q40" i="7"/>
  <c r="U40" i="7"/>
  <c r="C40" i="7"/>
  <c r="H40" i="7"/>
  <c r="N40" i="7"/>
  <c r="S40" i="7"/>
  <c r="D40" i="7"/>
  <c r="J40" i="7"/>
  <c r="O40" i="7"/>
  <c r="T40" i="7"/>
  <c r="G40" i="7"/>
  <c r="R40" i="7"/>
  <c r="P40" i="7"/>
  <c r="K40" i="7"/>
  <c r="V40" i="7"/>
  <c r="B40" i="7"/>
  <c r="L40" i="7"/>
  <c r="W40" i="7"/>
  <c r="F40" i="7"/>
  <c r="E29" i="7"/>
  <c r="I29" i="7"/>
  <c r="M29" i="7"/>
  <c r="Q29" i="7"/>
  <c r="U29" i="7"/>
  <c r="C29" i="7"/>
  <c r="G29" i="7"/>
  <c r="K29" i="7"/>
  <c r="O29" i="7"/>
  <c r="S29" i="7"/>
  <c r="W29" i="7"/>
  <c r="F29" i="7"/>
  <c r="N29" i="7"/>
  <c r="V29" i="7"/>
  <c r="H29" i="7"/>
  <c r="P29" i="7"/>
  <c r="J29" i="7"/>
  <c r="B29" i="7"/>
  <c r="R29" i="7"/>
  <c r="L29" i="7"/>
  <c r="D29" i="7"/>
  <c r="T29" i="7"/>
  <c r="C43" i="7"/>
  <c r="G43" i="7"/>
  <c r="K43" i="7"/>
  <c r="O43" i="7"/>
  <c r="S43" i="7"/>
  <c r="W43" i="7"/>
  <c r="F43" i="7"/>
  <c r="L43" i="7"/>
  <c r="Q43" i="7"/>
  <c r="V43" i="7"/>
  <c r="B43" i="7"/>
  <c r="H43" i="7"/>
  <c r="M43" i="7"/>
  <c r="R43" i="7"/>
  <c r="E43" i="7"/>
  <c r="P43" i="7"/>
  <c r="U43" i="7"/>
  <c r="D43" i="7"/>
  <c r="N43" i="7"/>
  <c r="I43" i="7"/>
  <c r="T43" i="7"/>
  <c r="J43" i="7"/>
  <c r="E33" i="7"/>
  <c r="I33" i="7"/>
  <c r="M33" i="7"/>
  <c r="Q33" i="7"/>
  <c r="U33" i="7"/>
  <c r="C33" i="7"/>
  <c r="G33" i="7"/>
  <c r="K33" i="7"/>
  <c r="O33" i="7"/>
  <c r="S33" i="7"/>
  <c r="W33" i="7"/>
  <c r="F33" i="7"/>
  <c r="N33" i="7"/>
  <c r="V33" i="7"/>
  <c r="H33" i="7"/>
  <c r="P33" i="7"/>
  <c r="B33" i="7"/>
  <c r="R33" i="7"/>
  <c r="D33" i="7"/>
  <c r="T33" i="7"/>
  <c r="J33" i="7"/>
  <c r="L33" i="7"/>
  <c r="C32" i="7"/>
  <c r="G32" i="7"/>
  <c r="K32" i="7"/>
  <c r="O32" i="7"/>
  <c r="S32" i="7"/>
  <c r="W32" i="7"/>
  <c r="E32" i="7"/>
  <c r="I32" i="7"/>
  <c r="M32" i="7"/>
  <c r="Q32" i="7"/>
  <c r="U32" i="7"/>
  <c r="D32" i="7"/>
  <c r="L32" i="7"/>
  <c r="T32" i="7"/>
  <c r="F32" i="7"/>
  <c r="N32" i="7"/>
  <c r="V32" i="7"/>
  <c r="H32" i="7"/>
  <c r="J32" i="7"/>
  <c r="P32" i="7"/>
  <c r="B32" i="7"/>
  <c r="R32" i="7"/>
  <c r="C41" i="7"/>
  <c r="G41" i="7"/>
  <c r="K41" i="7"/>
  <c r="O41" i="7"/>
  <c r="S41" i="7"/>
  <c r="W41" i="7"/>
  <c r="B41" i="7"/>
  <c r="H41" i="7"/>
  <c r="M41" i="7"/>
  <c r="R41" i="7"/>
  <c r="D41" i="7"/>
  <c r="I41" i="7"/>
  <c r="N41" i="7"/>
  <c r="T41" i="7"/>
  <c r="F41" i="7"/>
  <c r="Q41" i="7"/>
  <c r="L41" i="7"/>
  <c r="P41" i="7"/>
  <c r="J41" i="7"/>
  <c r="U41" i="7"/>
  <c r="V41" i="7"/>
  <c r="E41" i="7"/>
  <c r="I21" i="7"/>
  <c r="M21" i="7"/>
  <c r="Q21" i="7"/>
  <c r="U21" i="7"/>
  <c r="B21" i="7"/>
  <c r="F21" i="7"/>
  <c r="J21" i="7"/>
  <c r="N21" i="7"/>
  <c r="R21" i="7"/>
  <c r="V21" i="7"/>
  <c r="C21" i="7"/>
  <c r="K21" i="7"/>
  <c r="O21" i="7"/>
  <c r="S21" i="7"/>
  <c r="W21" i="7"/>
  <c r="D21" i="7"/>
  <c r="L21" i="7"/>
  <c r="P21" i="7"/>
  <c r="T21" i="7"/>
  <c r="E27" i="7"/>
  <c r="I27" i="7"/>
  <c r="M27" i="7"/>
  <c r="Q27" i="7"/>
  <c r="U27" i="7"/>
  <c r="C27" i="7"/>
  <c r="G27" i="7"/>
  <c r="K27" i="7"/>
  <c r="O27" i="7"/>
  <c r="S27" i="7"/>
  <c r="W27" i="7"/>
  <c r="D27" i="7"/>
  <c r="H27" i="7"/>
  <c r="L27" i="7"/>
  <c r="F27" i="7"/>
  <c r="R27" i="7"/>
  <c r="J27" i="7"/>
  <c r="T27" i="7"/>
  <c r="V27" i="7"/>
  <c r="N27" i="7"/>
  <c r="B27" i="7"/>
  <c r="P27" i="7"/>
  <c r="E38" i="7"/>
  <c r="I38" i="7"/>
  <c r="M38" i="7"/>
  <c r="Q38" i="7"/>
  <c r="U38" i="7"/>
  <c r="B38" i="7"/>
  <c r="F38" i="7"/>
  <c r="C38" i="7"/>
  <c r="J38" i="7"/>
  <c r="O38" i="7"/>
  <c r="T38" i="7"/>
  <c r="D38" i="7"/>
  <c r="K38" i="7"/>
  <c r="P38" i="7"/>
  <c r="V38" i="7"/>
  <c r="G38" i="7"/>
  <c r="L38" i="7"/>
  <c r="R38" i="7"/>
  <c r="W38" i="7"/>
  <c r="N38" i="7"/>
  <c r="S38" i="7"/>
  <c r="H38" i="7"/>
  <c r="C22" i="7"/>
  <c r="K22" i="7"/>
  <c r="O22" i="7"/>
  <c r="S22" i="7"/>
  <c r="W22" i="7"/>
  <c r="I22" i="7"/>
  <c r="M22" i="7"/>
  <c r="Q22" i="7"/>
  <c r="U22" i="7"/>
  <c r="B22" i="7"/>
  <c r="F22" i="7"/>
  <c r="J22" i="7"/>
  <c r="N22" i="7"/>
  <c r="R22" i="7"/>
  <c r="V22" i="7"/>
  <c r="D22" i="7"/>
  <c r="T22" i="7"/>
  <c r="L22" i="7"/>
  <c r="P22" i="7"/>
  <c r="C28" i="7"/>
  <c r="G28" i="7"/>
  <c r="K28" i="7"/>
  <c r="O28" i="7"/>
  <c r="S28" i="7"/>
  <c r="W28" i="7"/>
  <c r="E28" i="7"/>
  <c r="I28" i="7"/>
  <c r="M28" i="7"/>
  <c r="Q28" i="7"/>
  <c r="U28" i="7"/>
  <c r="D28" i="7"/>
  <c r="L28" i="7"/>
  <c r="T28" i="7"/>
  <c r="F28" i="7"/>
  <c r="N28" i="7"/>
  <c r="V28" i="7"/>
  <c r="P28" i="7"/>
  <c r="H28" i="7"/>
  <c r="B28" i="7"/>
  <c r="R28" i="7"/>
  <c r="J28" i="7"/>
  <c r="E31" i="7"/>
  <c r="I31" i="7"/>
  <c r="M31" i="7"/>
  <c r="Q31" i="7"/>
  <c r="U31" i="7"/>
  <c r="C31" i="7"/>
  <c r="G31" i="7"/>
  <c r="K31" i="7"/>
  <c r="O31" i="7"/>
  <c r="S31" i="7"/>
  <c r="W31" i="7"/>
  <c r="B31" i="7"/>
  <c r="J31" i="7"/>
  <c r="R31" i="7"/>
  <c r="D31" i="7"/>
  <c r="L31" i="7"/>
  <c r="T31" i="7"/>
  <c r="N31" i="7"/>
  <c r="P31" i="7"/>
  <c r="F31" i="7"/>
  <c r="V31" i="7"/>
  <c r="H31" i="7"/>
  <c r="C26" i="7"/>
  <c r="G26" i="7"/>
  <c r="K26" i="7"/>
  <c r="O26" i="7"/>
  <c r="S26" i="7"/>
  <c r="W26" i="7"/>
  <c r="E26" i="7"/>
  <c r="I26" i="7"/>
  <c r="M26" i="7"/>
  <c r="Q26" i="7"/>
  <c r="U26" i="7"/>
  <c r="B26" i="7"/>
  <c r="F26" i="7"/>
  <c r="J26" i="7"/>
  <c r="N26" i="7"/>
  <c r="R26" i="7"/>
  <c r="V26" i="7"/>
  <c r="L26" i="7"/>
  <c r="P26" i="7"/>
  <c r="T26" i="7"/>
  <c r="D26" i="7"/>
  <c r="H26" i="7"/>
  <c r="C20" i="7"/>
  <c r="D34" i="5" s="1"/>
  <c r="K20" i="7"/>
  <c r="G34" i="5" s="1"/>
  <c r="O20" i="7"/>
  <c r="S20" i="7"/>
  <c r="W20" i="7"/>
  <c r="D20" i="7"/>
  <c r="E34" i="5" s="1"/>
  <c r="L20" i="7"/>
  <c r="P20" i="7"/>
  <c r="T20" i="7"/>
  <c r="I20" i="7"/>
  <c r="F34" i="5" s="1"/>
  <c r="M20" i="7"/>
  <c r="H34" i="5" s="1"/>
  <c r="Q20" i="7"/>
  <c r="U20" i="7"/>
  <c r="B20" i="7"/>
  <c r="C34" i="5" s="1"/>
  <c r="F20" i="7"/>
  <c r="J20" i="7"/>
  <c r="N20" i="7"/>
  <c r="R20" i="7"/>
  <c r="V20" i="7"/>
  <c r="C24" i="7"/>
  <c r="G24" i="7"/>
  <c r="K24" i="7"/>
  <c r="O24" i="7"/>
  <c r="S24" i="7"/>
  <c r="W24" i="7"/>
  <c r="E24" i="7"/>
  <c r="I24" i="7"/>
  <c r="M24" i="7"/>
  <c r="Q24" i="7"/>
  <c r="U24" i="7"/>
  <c r="B24" i="7"/>
  <c r="F24" i="7"/>
  <c r="J24" i="7"/>
  <c r="N24" i="7"/>
  <c r="R24" i="7"/>
  <c r="V24" i="7"/>
  <c r="H24" i="7"/>
  <c r="L24" i="7"/>
  <c r="P24" i="7"/>
  <c r="D24" i="7"/>
  <c r="T24" i="7"/>
  <c r="D45" i="7"/>
  <c r="H45" i="7"/>
  <c r="L45" i="7"/>
  <c r="P45" i="7"/>
  <c r="T45" i="7"/>
  <c r="E45" i="7"/>
  <c r="I45" i="7"/>
  <c r="M45" i="7"/>
  <c r="Q45" i="7"/>
  <c r="U45" i="7"/>
  <c r="C45" i="7"/>
  <c r="K45" i="7"/>
  <c r="S45" i="7"/>
  <c r="G45" i="7"/>
  <c r="W45" i="7"/>
  <c r="B45" i="7"/>
  <c r="R45" i="7"/>
  <c r="F45" i="7"/>
  <c r="N45" i="7"/>
  <c r="V45" i="7"/>
  <c r="J45" i="7"/>
  <c r="O45" i="7"/>
  <c r="C39" i="7"/>
  <c r="G39" i="7"/>
  <c r="K39" i="7"/>
  <c r="O39" i="7"/>
  <c r="S39" i="7"/>
  <c r="W39" i="7"/>
  <c r="D39" i="7"/>
  <c r="I39" i="7"/>
  <c r="N39" i="7"/>
  <c r="T39" i="7"/>
  <c r="E39" i="7"/>
  <c r="J39" i="7"/>
  <c r="P39" i="7"/>
  <c r="U39" i="7"/>
  <c r="H39" i="7"/>
  <c r="R39" i="7"/>
  <c r="F39" i="7"/>
  <c r="L39" i="7"/>
  <c r="V39" i="7"/>
  <c r="M39" i="7"/>
  <c r="Q39" i="7"/>
  <c r="B39" i="7"/>
  <c r="E23" i="7"/>
  <c r="I23" i="7"/>
  <c r="M23" i="7"/>
  <c r="Q23" i="7"/>
  <c r="U23" i="7"/>
  <c r="C23" i="7"/>
  <c r="G23" i="7"/>
  <c r="K23" i="7"/>
  <c r="O23" i="7"/>
  <c r="S23" i="7"/>
  <c r="W23" i="7"/>
  <c r="D23" i="7"/>
  <c r="H23" i="7"/>
  <c r="L23" i="7"/>
  <c r="P23" i="7"/>
  <c r="T23" i="7"/>
  <c r="N23" i="7"/>
  <c r="B23" i="7"/>
  <c r="R23" i="7"/>
  <c r="V23" i="7"/>
  <c r="F23" i="7"/>
  <c r="J23" i="7"/>
  <c r="C34" i="7"/>
  <c r="G34" i="7"/>
  <c r="E34" i="7"/>
  <c r="I34" i="7"/>
  <c r="H34" i="7"/>
  <c r="M34" i="7"/>
  <c r="Q34" i="7"/>
  <c r="U34" i="7"/>
  <c r="B34" i="7"/>
  <c r="J34" i="7"/>
  <c r="N34" i="7"/>
  <c r="R34" i="7"/>
  <c r="V34" i="7"/>
  <c r="K34" i="7"/>
  <c r="S34" i="7"/>
  <c r="L34" i="7"/>
  <c r="T34" i="7"/>
  <c r="D34" i="7"/>
  <c r="O34" i="7"/>
  <c r="W34" i="7"/>
  <c r="F34" i="7"/>
  <c r="P34" i="7"/>
  <c r="B46" i="7"/>
  <c r="F46" i="7"/>
  <c r="J46" i="7"/>
  <c r="N46" i="7"/>
  <c r="R46" i="7"/>
  <c r="V46" i="7"/>
  <c r="C46" i="7"/>
  <c r="G46" i="7"/>
  <c r="K46" i="7"/>
  <c r="O46" i="7"/>
  <c r="S46" i="7"/>
  <c r="W46" i="7"/>
  <c r="E46" i="7"/>
  <c r="M46" i="7"/>
  <c r="U46" i="7"/>
  <c r="L46" i="7"/>
  <c r="H46" i="7"/>
  <c r="P46" i="7"/>
  <c r="I46" i="7"/>
  <c r="T46" i="7"/>
  <c r="Q46" i="7"/>
  <c r="D46" i="7"/>
  <c r="E25" i="7"/>
  <c r="I25" i="7"/>
  <c r="M25" i="7"/>
  <c r="Q25" i="7"/>
  <c r="U25" i="7"/>
  <c r="C25" i="7"/>
  <c r="G25" i="7"/>
  <c r="K25" i="7"/>
  <c r="O25" i="7"/>
  <c r="S25" i="7"/>
  <c r="W25" i="7"/>
  <c r="D25" i="7"/>
  <c r="H25" i="7"/>
  <c r="L25" i="7"/>
  <c r="P25" i="7"/>
  <c r="T25" i="7"/>
  <c r="B25" i="7"/>
  <c r="R25" i="7"/>
  <c r="F25" i="7"/>
  <c r="V25" i="7"/>
  <c r="J25" i="7"/>
  <c r="N25" i="7"/>
  <c r="E44" i="7"/>
  <c r="I44" i="7"/>
  <c r="M44" i="7"/>
  <c r="Q44" i="7"/>
  <c r="U44" i="7"/>
  <c r="F44" i="7"/>
  <c r="K44" i="7"/>
  <c r="P44" i="7"/>
  <c r="V44" i="7"/>
  <c r="B44" i="7"/>
  <c r="G44" i="7"/>
  <c r="L44" i="7"/>
  <c r="R44" i="7"/>
  <c r="W44" i="7"/>
  <c r="D44" i="7"/>
  <c r="O44" i="7"/>
  <c r="H44" i="7"/>
  <c r="S44" i="7"/>
  <c r="T44" i="7"/>
  <c r="C44" i="7"/>
  <c r="J44" i="7"/>
  <c r="N44" i="7"/>
  <c r="C37" i="7"/>
  <c r="G37" i="7"/>
  <c r="K37" i="7"/>
  <c r="O37" i="7"/>
  <c r="S37" i="7"/>
  <c r="W37" i="7"/>
  <c r="D37" i="7"/>
  <c r="H37" i="7"/>
  <c r="L37" i="7"/>
  <c r="P37" i="7"/>
  <c r="T37" i="7"/>
  <c r="I37" i="7"/>
  <c r="Q37" i="7"/>
  <c r="B37" i="7"/>
  <c r="J37" i="7"/>
  <c r="R37" i="7"/>
  <c r="E37" i="7"/>
  <c r="M37" i="7"/>
  <c r="U37" i="7"/>
  <c r="F37" i="7"/>
  <c r="N37" i="7"/>
  <c r="V37" i="7"/>
  <c r="C35" i="7"/>
  <c r="G35" i="7"/>
  <c r="K35" i="7"/>
  <c r="O35" i="7"/>
  <c r="S35" i="7"/>
  <c r="W35" i="7"/>
  <c r="D35" i="7"/>
  <c r="H35" i="7"/>
  <c r="L35" i="7"/>
  <c r="P35" i="7"/>
  <c r="T35" i="7"/>
  <c r="E35" i="7"/>
  <c r="M35" i="7"/>
  <c r="U35" i="7"/>
  <c r="F35" i="7"/>
  <c r="N35" i="7"/>
  <c r="V35" i="7"/>
  <c r="I35" i="7"/>
  <c r="Q35" i="7"/>
  <c r="R35" i="7"/>
  <c r="B35" i="7"/>
  <c r="J35" i="7"/>
  <c r="D47" i="7"/>
  <c r="H47" i="7"/>
  <c r="L47" i="7"/>
  <c r="P47" i="7"/>
  <c r="T47" i="7"/>
  <c r="E47" i="7"/>
  <c r="I47" i="7"/>
  <c r="M47" i="7"/>
  <c r="Q47" i="7"/>
  <c r="U47" i="7"/>
  <c r="G47" i="7"/>
  <c r="O47" i="7"/>
  <c r="W47" i="7"/>
  <c r="C47" i="7"/>
  <c r="N47" i="7"/>
  <c r="B47" i="7"/>
  <c r="J47" i="7"/>
  <c r="R47" i="7"/>
  <c r="K47" i="7"/>
  <c r="S47" i="7"/>
  <c r="F47" i="7"/>
  <c r="V47" i="7"/>
  <c r="C30" i="7"/>
  <c r="G30" i="7"/>
  <c r="K30" i="7"/>
  <c r="O30" i="7"/>
  <c r="S30" i="7"/>
  <c r="W30" i="7"/>
  <c r="E30" i="7"/>
  <c r="I30" i="7"/>
  <c r="M30" i="7"/>
  <c r="Q30" i="7"/>
  <c r="U30" i="7"/>
  <c r="H30" i="7"/>
  <c r="P30" i="7"/>
  <c r="B30" i="7"/>
  <c r="J30" i="7"/>
  <c r="R30" i="7"/>
  <c r="D30" i="7"/>
  <c r="T30" i="7"/>
  <c r="F30" i="7"/>
  <c r="V30" i="7"/>
  <c r="L30" i="7"/>
  <c r="N30" i="7"/>
  <c r="E42" i="7"/>
  <c r="I42" i="7"/>
  <c r="M42" i="7"/>
  <c r="Q42" i="7"/>
  <c r="U42" i="7"/>
  <c r="B42" i="7"/>
  <c r="G42" i="7"/>
  <c r="L42" i="7"/>
  <c r="R42" i="7"/>
  <c r="W42" i="7"/>
  <c r="C42" i="7"/>
  <c r="H42" i="7"/>
  <c r="N42" i="7"/>
  <c r="S42" i="7"/>
  <c r="F42" i="7"/>
  <c r="P42" i="7"/>
  <c r="J42" i="7"/>
  <c r="T42" i="7"/>
  <c r="K42" i="7"/>
  <c r="D42" i="7"/>
  <c r="V42" i="7"/>
  <c r="O42" i="7"/>
  <c r="L18" i="7"/>
  <c r="B18" i="7"/>
  <c r="C32" i="5" s="1"/>
  <c r="R18" i="7"/>
  <c r="T18" i="7"/>
  <c r="P18" i="7"/>
  <c r="V18" i="7"/>
  <c r="S18" i="7"/>
  <c r="H18" i="7"/>
  <c r="D18" i="7"/>
  <c r="E32" i="5" s="1"/>
  <c r="U18" i="7"/>
  <c r="C18" i="7"/>
  <c r="D32" i="5" s="1"/>
  <c r="O18" i="7"/>
  <c r="K18" i="7"/>
  <c r="G32" i="5" s="1"/>
  <c r="F18" i="7"/>
  <c r="Q18" i="7"/>
  <c r="J18" i="7"/>
  <c r="M18" i="7"/>
  <c r="H32" i="5" s="1"/>
  <c r="I18" i="7"/>
  <c r="F32" i="5" s="1"/>
  <c r="N18" i="7"/>
  <c r="E18" i="7"/>
  <c r="W18" i="7"/>
  <c r="T19" i="7"/>
  <c r="F19" i="7"/>
  <c r="R19" i="7"/>
  <c r="N19" i="7"/>
  <c r="Q19" i="7"/>
  <c r="D19" i="7"/>
  <c r="E33" i="5" s="1"/>
  <c r="M19" i="7"/>
  <c r="H33" i="5" s="1"/>
  <c r="P19" i="7"/>
  <c r="U19" i="7"/>
  <c r="L19" i="7"/>
  <c r="O19" i="7"/>
  <c r="K19" i="7"/>
  <c r="G33" i="5" s="1"/>
  <c r="W19" i="7"/>
  <c r="I19" i="7"/>
  <c r="F33" i="5" s="1"/>
  <c r="S19" i="7"/>
  <c r="C19" i="7"/>
  <c r="D33" i="5" s="1"/>
  <c r="J19" i="7"/>
  <c r="B19" i="7"/>
  <c r="C33" i="5" s="1"/>
  <c r="V19" i="7"/>
  <c r="N17" i="7"/>
  <c r="K17" i="7"/>
  <c r="D17" i="7"/>
  <c r="E31" i="5" s="1"/>
  <c r="V17" i="7"/>
  <c r="O17" i="7"/>
  <c r="I17" i="7"/>
  <c r="F31" i="5" s="1"/>
  <c r="L17" i="7"/>
  <c r="U17" i="7"/>
  <c r="J17" i="7"/>
  <c r="S17" i="7"/>
  <c r="F17" i="7"/>
  <c r="W17" i="7"/>
  <c r="R17" i="7"/>
  <c r="B17" i="7"/>
  <c r="C31" i="5" s="1"/>
  <c r="E17" i="7"/>
  <c r="Q17" i="7"/>
  <c r="M17" i="7"/>
  <c r="H31" i="5" s="1"/>
  <c r="C17" i="7"/>
  <c r="D31" i="5" s="1"/>
  <c r="T17" i="7"/>
  <c r="P17" i="7"/>
  <c r="H17" i="7"/>
  <c r="F6" i="1"/>
  <c r="G6" i="1" s="1"/>
  <c r="D7" i="1"/>
  <c r="E19" i="7" s="1"/>
  <c r="G31" i="5" l="1"/>
  <c r="D8" i="1"/>
  <c r="E20" i="7" s="1"/>
  <c r="F7" i="1"/>
  <c r="G7" i="1" l="1"/>
  <c r="H19" i="7" s="1"/>
  <c r="G19" i="7"/>
  <c r="D9" i="1"/>
  <c r="F8" i="1"/>
  <c r="G8" i="1" l="1"/>
  <c r="H20" i="7" s="1"/>
  <c r="G20" i="7"/>
  <c r="F9" i="1"/>
  <c r="G9" i="1" s="1"/>
  <c r="D10" i="1"/>
  <c r="F10" i="1" l="1"/>
  <c r="G10" i="1" s="1"/>
  <c r="D11" i="1"/>
  <c r="E21" i="7" s="1"/>
  <c r="D12" i="1" l="1"/>
  <c r="E22" i="7" s="1"/>
  <c r="F11" i="1"/>
  <c r="G11" i="1" l="1"/>
  <c r="H21" i="7" s="1"/>
  <c r="G21" i="7"/>
  <c r="D13" i="1"/>
  <c r="F12" i="1"/>
  <c r="G12" i="1" l="1"/>
  <c r="H22" i="7" s="1"/>
  <c r="G22" i="7"/>
  <c r="F13" i="1"/>
  <c r="G13" i="1" s="1"/>
  <c r="D14" i="1"/>
  <c r="F14" i="1" l="1"/>
  <c r="G14" i="1" s="1"/>
  <c r="D15" i="1"/>
  <c r="D16" i="1" l="1"/>
  <c r="F15" i="1"/>
  <c r="G15" i="1" s="1"/>
  <c r="D17" i="1" l="1"/>
  <c r="F16" i="1"/>
  <c r="G16" i="1" s="1"/>
  <c r="F17" i="1" l="1"/>
  <c r="G17" i="1" s="1"/>
  <c r="D18" i="1"/>
  <c r="F18" i="1" l="1"/>
  <c r="G18" i="1" s="1"/>
  <c r="D19" i="1"/>
  <c r="D20" i="1" l="1"/>
  <c r="F19" i="1"/>
  <c r="G19" i="1" s="1"/>
  <c r="D21" i="1" l="1"/>
  <c r="F20" i="1"/>
  <c r="G20" i="1" s="1"/>
  <c r="F21" i="1" l="1"/>
  <c r="G21" i="1" s="1"/>
  <c r="D22" i="1"/>
  <c r="F22" i="1" l="1"/>
  <c r="G22" i="1" s="1"/>
  <c r="D23" i="1"/>
  <c r="F23" i="1" s="1"/>
  <c r="G23" i="1" l="1"/>
  <c r="I1" i="1"/>
  <c r="K1" i="1" s="1"/>
  <c r="F3" i="10" s="1"/>
  <c r="F8" i="10" l="1"/>
  <c r="F10" i="10" s="1"/>
  <c r="F4" i="10"/>
  <c r="F5" i="10" s="1"/>
</calcChain>
</file>

<file path=xl/sharedStrings.xml><?xml version="1.0" encoding="utf-8"?>
<sst xmlns="http://schemas.openxmlformats.org/spreadsheetml/2006/main" count="297" uniqueCount="140">
  <si>
    <t>Task Description</t>
  </si>
  <si>
    <t>srl</t>
  </si>
  <si>
    <t>Issue</t>
  </si>
  <si>
    <t>Priority</t>
  </si>
  <si>
    <t>Open Date</t>
  </si>
  <si>
    <t>Close Date</t>
  </si>
  <si>
    <t>Comments</t>
  </si>
  <si>
    <t>High</t>
  </si>
  <si>
    <t>Low</t>
  </si>
  <si>
    <t>Medium</t>
  </si>
  <si>
    <t>Issue#1</t>
  </si>
  <si>
    <t>Issue#5</t>
  </si>
  <si>
    <t>Issue#6</t>
  </si>
  <si>
    <t>Issue#7</t>
  </si>
  <si>
    <t>Issue#8</t>
  </si>
  <si>
    <t>Issue#9</t>
  </si>
  <si>
    <t>Issue#2</t>
  </si>
  <si>
    <t>Issue#3</t>
  </si>
  <si>
    <t>Issue#4</t>
  </si>
  <si>
    <t>Issue#10</t>
  </si>
  <si>
    <t>Issue#11</t>
  </si>
  <si>
    <t>Issue#12</t>
  </si>
  <si>
    <t>Issue#13</t>
  </si>
  <si>
    <t>Issue#14</t>
  </si>
  <si>
    <t>Issue#15</t>
  </si>
  <si>
    <t>Issue#16</t>
  </si>
  <si>
    <t>Owner</t>
  </si>
  <si>
    <t>Probability</t>
  </si>
  <si>
    <t>Impact</t>
  </si>
  <si>
    <t>Score</t>
  </si>
  <si>
    <t>Contingency Reserve</t>
  </si>
  <si>
    <t>Civil Work</t>
  </si>
  <si>
    <t>Schedual Status</t>
  </si>
  <si>
    <t>Budget Status</t>
  </si>
  <si>
    <t>Dept</t>
  </si>
  <si>
    <t>Sec</t>
  </si>
  <si>
    <t>P STRT</t>
  </si>
  <si>
    <t>P END</t>
  </si>
  <si>
    <t>A STRT</t>
  </si>
  <si>
    <t>A END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</si>
  <si>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</si>
  <si>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</si>
  <si>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</si>
  <si>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</si>
  <si>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</si>
  <si>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</si>
  <si>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</si>
  <si>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</si>
  <si>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</si>
  <si>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P Cost</t>
  </si>
  <si>
    <t>A Cost</t>
  </si>
  <si>
    <t>P Duration (WD)</t>
  </si>
  <si>
    <t>A Duration (WD)</t>
  </si>
  <si>
    <t>P (CD)</t>
  </si>
  <si>
    <t>A (CD)</t>
  </si>
  <si>
    <t>%Days</t>
  </si>
  <si>
    <t>SRL</t>
  </si>
  <si>
    <t>Today</t>
  </si>
  <si>
    <t>Holidays</t>
  </si>
  <si>
    <t>Today:</t>
  </si>
  <si>
    <t>Days From A Start</t>
  </si>
  <si>
    <t>% C</t>
  </si>
  <si>
    <t>Element Budget</t>
  </si>
  <si>
    <t>Plan</t>
  </si>
  <si>
    <t>Actual</t>
  </si>
  <si>
    <t>%</t>
  </si>
  <si>
    <t>Resources</t>
  </si>
  <si>
    <t>Done</t>
  </si>
  <si>
    <t>Delayed</t>
  </si>
  <si>
    <t>In Progress</t>
  </si>
  <si>
    <t>Not Started</t>
  </si>
  <si>
    <t>Schedule Status</t>
  </si>
  <si>
    <t xml:space="preserve">Architect </t>
  </si>
  <si>
    <t>Salaries</t>
  </si>
  <si>
    <t>Plan/Actual</t>
  </si>
  <si>
    <t>Tools</t>
  </si>
  <si>
    <t>Work Desc</t>
  </si>
  <si>
    <t>Total</t>
  </si>
  <si>
    <t>Status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</si>
  <si>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</si>
  <si>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</si>
  <si>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</si>
  <si>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</si>
  <si>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</si>
  <si>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</si>
  <si>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</si>
  <si>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</si>
  <si>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</si>
  <si>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</si>
  <si>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</si>
  <si>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</si>
  <si>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Start Date:</t>
  </si>
  <si>
    <t>Opened Issues</t>
  </si>
  <si>
    <t>Open</t>
  </si>
  <si>
    <t>Close</t>
  </si>
  <si>
    <t>Issues</t>
  </si>
  <si>
    <t>Count</t>
  </si>
  <si>
    <t xml:space="preserve"> </t>
  </si>
  <si>
    <t>Ahmad</t>
  </si>
  <si>
    <t>Akram</t>
  </si>
  <si>
    <t>Ashraf</t>
  </si>
  <si>
    <t>Scroll Value</t>
  </si>
  <si>
    <t>Solved without extra cost</t>
  </si>
  <si>
    <t>Solved by paying3500 $</t>
  </si>
  <si>
    <t>1500 $ payed</t>
  </si>
  <si>
    <t>Closed without extra cost</t>
  </si>
  <si>
    <t>Solved wih the owner</t>
  </si>
  <si>
    <t>Waiting Vendor feedback</t>
  </si>
  <si>
    <t>No response from the contractor</t>
  </si>
  <si>
    <t>Next week meeting</t>
  </si>
  <si>
    <t>to be discussed with the owner</t>
  </si>
  <si>
    <t>High risk, need high mangement</t>
  </si>
  <si>
    <t>Most likely solved with no cost</t>
  </si>
  <si>
    <t>CVL</t>
  </si>
  <si>
    <t>ELC</t>
  </si>
  <si>
    <t>ARC</t>
  </si>
  <si>
    <t>CFA</t>
  </si>
  <si>
    <t>GRD</t>
  </si>
  <si>
    <t>BTS</t>
  </si>
  <si>
    <t>Section</t>
  </si>
  <si>
    <t>Department</t>
  </si>
  <si>
    <t>Civil</t>
  </si>
  <si>
    <t>Acrhitict</t>
  </si>
  <si>
    <t>Electrical</t>
  </si>
  <si>
    <t>Remaining</t>
  </si>
  <si>
    <t>Planned Cost</t>
  </si>
  <si>
    <t>Current Month</t>
  </si>
  <si>
    <t>Cumulative</t>
  </si>
  <si>
    <t>Acutal Cost</t>
  </si>
  <si>
    <t>Completed</t>
  </si>
  <si>
    <t>Needle Size</t>
  </si>
  <si>
    <t>200% Remaining</t>
  </si>
  <si>
    <t>Lables Settings</t>
  </si>
  <si>
    <t>Project Scope Status</t>
  </si>
  <si>
    <t>Project Schedule Status</t>
  </si>
  <si>
    <t>End Date:</t>
  </si>
  <si>
    <t>Duration</t>
  </si>
  <si>
    <t>Days From Start:</t>
  </si>
  <si>
    <t>Project Cost Status</t>
  </si>
  <si>
    <t>Pointer 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</si>
</sst>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F800]dddd\,\ mmmm\ dd\,\ yyyy"/>
    <numFmt numFmtId="165" formatCode="[$-409]d\-mmm\-yyyy;@"/>
    <numFmt numFmtId="166" formatCode="_(&quot;$&quot;* #,##0_);_(&quot;$&quot;* \(#,##0\);_(&quot;$&quot;* &quot;-&quot;??_);_(@_)"/>
    <numFmt numFmtId="167" formatCode="[$-409]d\-mmm\-yy;@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36"/>
      <color theme="1" tint="0.34998626667073579"/>
      <name val="Tw Cen M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w Cen MT"/>
      <family val="2"/>
    </font>
    <font>
      <b/>
      <sz val="11"/>
      <color theme="1"/>
      <name val="Tw Cen MT"/>
      <family val="2"/>
    </font>
    <font>
      <b/>
      <sz val="14"/>
      <color rgb="FF595959"/>
      <name val="Tw Cen MT"/>
      <family val="2"/>
    </font>
    <font>
      <b/>
      <sz val="14"/>
      <color theme="1"/>
      <name val="Tw Cen MT"/>
      <family val="2"/>
    </font>
    <font>
      <b/>
      <sz val="12"/>
      <color theme="0"/>
      <name val="Tw Cen MT"/>
      <family val="2"/>
    </font>
    <font>
      <sz val="8"/>
      <color rgb="FF000000"/>
      <name val="Segoe UI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Tw Cen MT"/>
      <family val="2"/>
    </font>
    <font>
      <b/>
      <sz val="18"/>
      <color theme="1"/>
      <name val="Tw Cen MT"/>
      <family val="2"/>
    </font>
    <font>
      <sz val="18"/>
      <color theme="1"/>
      <name val="Tw Cen MT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ck">
        <color theme="0" tint="-0.14999847407452621"/>
      </left>
      <right style="thick">
        <color theme="0" tint="-0.14999847407452621"/>
      </right>
      <top style="thick">
        <color theme="0" tint="-0.14999847407452621"/>
      </top>
      <bottom style="thick">
        <color theme="0" tint="-0.1499984740745262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5" fillId="5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/>
    </xf>
    <xf numFmtId="0" fontId="5" fillId="3" borderId="5" xfId="0" applyFont="1" applyFill="1" applyBorder="1"/>
    <xf numFmtId="0" fontId="5" fillId="3" borderId="6" xfId="0" applyFont="1" applyFill="1" applyBorder="1"/>
    <xf numFmtId="0" fontId="0" fillId="0" borderId="0" xfId="0" applyFont="1" applyFill="1" applyBorder="1"/>
    <xf numFmtId="166" fontId="0" fillId="0" borderId="0" xfId="2" applyNumberFormat="1" applyFont="1" applyFill="1" applyBorder="1"/>
    <xf numFmtId="0" fontId="7" fillId="3" borderId="5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17" fontId="5" fillId="3" borderId="6" xfId="0" applyNumberFormat="1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5" fillId="3" borderId="7" xfId="0" applyFont="1" applyFill="1" applyBorder="1"/>
    <xf numFmtId="0" fontId="0" fillId="0" borderId="5" xfId="0" applyFont="1" applyBorder="1"/>
    <xf numFmtId="0" fontId="0" fillId="0" borderId="6" xfId="0" applyFont="1" applyBorder="1"/>
    <xf numFmtId="9" fontId="0" fillId="0" borderId="6" xfId="1" applyNumberFormat="1" applyFont="1" applyBorder="1"/>
    <xf numFmtId="1" fontId="0" fillId="2" borderId="6" xfId="0" applyNumberFormat="1" applyFont="1" applyFill="1" applyBorder="1"/>
    <xf numFmtId="0" fontId="0" fillId="0" borderId="7" xfId="0" applyFont="1" applyBorder="1"/>
    <xf numFmtId="0" fontId="5" fillId="3" borderId="0" xfId="0" applyFont="1" applyFill="1" applyBorder="1"/>
    <xf numFmtId="0" fontId="5" fillId="6" borderId="0" xfId="0" applyNumberFormat="1" applyFont="1" applyFill="1" applyBorder="1"/>
    <xf numFmtId="166" fontId="5" fillId="6" borderId="0" xfId="2" applyNumberFormat="1" applyFont="1" applyFill="1" applyBorder="1"/>
    <xf numFmtId="0" fontId="10" fillId="0" borderId="0" xfId="0" applyFont="1"/>
    <xf numFmtId="0" fontId="11" fillId="6" borderId="0" xfId="0" applyFont="1" applyFill="1" applyAlignment="1">
      <alignment horizontal="center"/>
    </xf>
    <xf numFmtId="165" fontId="6" fillId="4" borderId="0" xfId="0" applyNumberFormat="1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5" fontId="3" fillId="0" borderId="6" xfId="0" applyNumberFormat="1" applyFont="1" applyBorder="1"/>
    <xf numFmtId="1" fontId="3" fillId="0" borderId="6" xfId="0" applyNumberFormat="1" applyFont="1" applyBorder="1"/>
    <xf numFmtId="165" fontId="3" fillId="4" borderId="6" xfId="0" applyNumberFormat="1" applyFont="1" applyFill="1" applyBorder="1"/>
    <xf numFmtId="1" fontId="3" fillId="4" borderId="6" xfId="0" applyNumberFormat="1" applyFont="1" applyFill="1" applyBorder="1"/>
    <xf numFmtId="9" fontId="3" fillId="0" borderId="6" xfId="1" applyNumberFormat="1" applyFont="1" applyBorder="1"/>
    <xf numFmtId="166" fontId="3" fillId="0" borderId="6" xfId="2" applyNumberFormat="1" applyFont="1" applyBorder="1"/>
    <xf numFmtId="14" fontId="3" fillId="0" borderId="7" xfId="0" applyNumberFormat="1" applyFont="1" applyBorder="1"/>
    <xf numFmtId="1" fontId="3" fillId="4" borderId="6" xfId="1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165" fontId="3" fillId="0" borderId="3" xfId="0" applyNumberFormat="1" applyFont="1" applyBorder="1"/>
    <xf numFmtId="1" fontId="3" fillId="0" borderId="3" xfId="0" applyNumberFormat="1" applyFont="1" applyBorder="1"/>
    <xf numFmtId="165" fontId="3" fillId="4" borderId="3" xfId="0" applyNumberFormat="1" applyFont="1" applyFill="1" applyBorder="1"/>
    <xf numFmtId="1" fontId="3" fillId="4" borderId="3" xfId="0" applyNumberFormat="1" applyFont="1" applyFill="1" applyBorder="1"/>
    <xf numFmtId="9" fontId="3" fillId="0" borderId="3" xfId="1" applyNumberFormat="1" applyFont="1" applyBorder="1"/>
    <xf numFmtId="166" fontId="3" fillId="0" borderId="3" xfId="2" applyNumberFormat="1" applyFont="1" applyBorder="1"/>
    <xf numFmtId="14" fontId="3" fillId="0" borderId="4" xfId="0" applyNumberFormat="1" applyFont="1" applyBorder="1"/>
    <xf numFmtId="0" fontId="7" fillId="3" borderId="16" xfId="0" applyFont="1" applyFill="1" applyBorder="1" applyAlignment="1">
      <alignment horizontal="center" vertical="center"/>
    </xf>
    <xf numFmtId="0" fontId="0" fillId="0" borderId="16" xfId="0" applyBorder="1"/>
    <xf numFmtId="9" fontId="0" fillId="0" borderId="16" xfId="1" applyFont="1" applyBorder="1"/>
    <xf numFmtId="166" fontId="0" fillId="0" borderId="16" xfId="2" applyNumberFormat="1" applyFont="1" applyBorder="1"/>
    <xf numFmtId="0" fontId="3" fillId="0" borderId="5" xfId="0" applyFont="1" applyFill="1" applyBorder="1"/>
    <xf numFmtId="0" fontId="3" fillId="0" borderId="7" xfId="0" applyFont="1" applyFill="1" applyBorder="1"/>
    <xf numFmtId="0" fontId="5" fillId="3" borderId="17" xfId="0" applyFont="1" applyFill="1" applyBorder="1"/>
    <xf numFmtId="0" fontId="0" fillId="0" borderId="17" xfId="0" applyFont="1" applyFill="1" applyBorder="1"/>
    <xf numFmtId="166" fontId="0" fillId="0" borderId="17" xfId="2" applyNumberFormat="1" applyFont="1" applyFill="1" applyBorder="1"/>
    <xf numFmtId="0" fontId="13" fillId="4" borderId="17" xfId="0" applyFont="1" applyFill="1" applyBorder="1"/>
    <xf numFmtId="166" fontId="13" fillId="4" borderId="17" xfId="2" applyNumberFormat="1" applyFont="1" applyFill="1" applyBorder="1"/>
    <xf numFmtId="166" fontId="0" fillId="0" borderId="0" xfId="0" applyNumberFormat="1"/>
    <xf numFmtId="167" fontId="0" fillId="0" borderId="16" xfId="0" applyNumberFormat="1" applyBorder="1"/>
    <xf numFmtId="0" fontId="14" fillId="4" borderId="17" xfId="0" applyFont="1" applyFill="1" applyBorder="1"/>
    <xf numFmtId="166" fontId="14" fillId="4" borderId="17" xfId="2" applyNumberFormat="1" applyFont="1" applyFill="1" applyBorder="1"/>
    <xf numFmtId="9" fontId="0" fillId="0" borderId="0" xfId="0" applyNumberFormat="1"/>
    <xf numFmtId="0" fontId="3" fillId="0" borderId="0" xfId="0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8" borderId="18" xfId="0" applyFont="1" applyFill="1" applyBorder="1" applyAlignment="1">
      <alignment vertical="center"/>
    </xf>
    <xf numFmtId="9" fontId="3" fillId="0" borderId="18" xfId="1" applyFont="1" applyBorder="1" applyAlignment="1">
      <alignment vertical="center"/>
    </xf>
    <xf numFmtId="0" fontId="11" fillId="6" borderId="18" xfId="0" applyFont="1" applyFill="1" applyBorder="1" applyAlignment="1">
      <alignment vertical="center"/>
    </xf>
    <xf numFmtId="9" fontId="11" fillId="9" borderId="18" xfId="1" applyFont="1" applyFill="1" applyBorder="1" applyAlignment="1">
      <alignment vertical="center"/>
    </xf>
    <xf numFmtId="0" fontId="6" fillId="4" borderId="0" xfId="0" applyNumberFormat="1" applyFont="1" applyFill="1" applyAlignment="1">
      <alignment horizontal="left" vertical="center"/>
    </xf>
    <xf numFmtId="9" fontId="3" fillId="10" borderId="18" xfId="1" applyFont="1" applyFill="1" applyBorder="1" applyAlignment="1">
      <alignment vertical="center"/>
    </xf>
    <xf numFmtId="9" fontId="3" fillId="2" borderId="18" xfId="1" applyFont="1" applyFill="1" applyBorder="1" applyAlignment="1">
      <alignment vertical="center"/>
    </xf>
    <xf numFmtId="9" fontId="3" fillId="11" borderId="18" xfId="1" applyFont="1" applyFill="1" applyBorder="1" applyAlignment="1">
      <alignment vertical="center"/>
    </xf>
  </cellXfs>
  <cellStyles count="3">
    <cellStyle name="Currency" xfId="2" builtinId="4"/>
    <cellStyle name="Normal" xfId="0" builtinId="0"/>
    <cellStyle name="Percent" xfId="1" builtinId="5"/>
  </cellStyles>
  <dxfs count="5">
    <dxf>
      <fill>
        <patternFill>
          <bgColor theme="0" tint="-4.9989318521683403E-2"/>
        </patternFill>
      </fill>
    </dxf>
    <dxf>
      <numFmt numFmtId="164" formatCode="[$-F800]dddd\,\ mmmm\ dd\,\ 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36482492499341"/>
          <c:y val="0.16025641025641027"/>
          <c:w val="0.80440292067409802"/>
          <c:h val="0.55300755674771418"/>
        </c:manualLayout>
      </c:layout>
      <c:lineChart>
        <c:grouping val="standard"/>
        <c:varyColors val="0"/>
        <c:ser>
          <c:idx val="0"/>
          <c:order val="0"/>
          <c:tx>
            <c:strRef>
              <c:f>'Budget Plan'!$B$5</c:f>
              <c:strCache>
                <c:ptCount val="1"/>
                <c:pt idx="0">
                  <c:v>Plan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'Budget Plan'!$D$4:$J$4</c:f>
              <c:numCache>
                <c:formatCode>mmm\-yy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'Budget Plan'!$D$5:$J$5</c:f>
              <c:numCache>
                <c:formatCode>_("$"* #,##0_);_("$"* \(#,##0\);_("$"* "-"??_);_(@_)</c:formatCode>
                <c:ptCount val="7"/>
                <c:pt idx="0">
                  <c:v>620000</c:v>
                </c:pt>
                <c:pt idx="1">
                  <c:v>1160000</c:v>
                </c:pt>
                <c:pt idx="2">
                  <c:v>1660000</c:v>
                </c:pt>
                <c:pt idx="3">
                  <c:v>2085000</c:v>
                </c:pt>
                <c:pt idx="4">
                  <c:v>2430000</c:v>
                </c:pt>
                <c:pt idx="5">
                  <c:v>2685000</c:v>
                </c:pt>
                <c:pt idx="6">
                  <c:v>2900000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5-4492-9ED5-D898367E2D60}"/>
            </c:ext>
          </c:extLst>
        </c:ser>
        <c:ser>
          <c:idx val="1"/>
          <c:order val="1"/>
          <c:tx>
            <c:strRef>
              <c:f>'Budget Plan'!$B$6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'Budget Plan'!$D$4:$J$4</c:f>
              <c:numCache>
                <c:formatCode>mmm\-yy</c:formatCode>
                <c:ptCount val="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</c:numCache>
            </c:numRef>
          </c:cat>
          <c:val>
            <c:numRef>
              <c:f>'Budget Plan'!$D$6:$J$6</c:f>
              <c:numCache>
                <c:formatCode>_("$"* #,##0_);_("$"* \(#,##0\);_("$"* "-"??_);_(@_)</c:formatCode>
                <c:ptCount val="7"/>
                <c:pt idx="0">
                  <c:v>640000</c:v>
                </c:pt>
                <c:pt idx="1">
                  <c:v>1165000</c:v>
                </c:pt>
                <c:pt idx="2">
                  <c:v>1690000</c:v>
                </c:pt>
                <c:pt idx="3">
                  <c:v>1855000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5-4492-9ED5-D898367E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6266656"/>
        <c:axId val="1915510624"/>
      </c:lineChart>
      <c:dateAx>
        <c:axId val="18062666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510624"/>
        <c:crosses val="autoZero"/>
        <c:auto val="1"/>
        <c:lblOffset val="100"/>
        <c:baseTimeUnit val="months"/>
      </c:dateAx>
      <c:valAx>
        <c:axId val="1915510624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26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1136674321959756"/>
          <c:w val="1"/>
          <c:h val="0.62355848097112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45-4B5A-8EDD-1BBABA633E4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45-4B5A-8EDD-1BBABA633E4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45-4B5A-8EDD-1BBABA633E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Issues!$N$4:$N$6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Issues!$O$4:$O$6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5-4B5A-8EDD-1BBABA633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92849920"/>
        <c:axId val="1729883904"/>
      </c:barChart>
      <c:catAx>
        <c:axId val="149284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1729883904"/>
        <c:crosses val="autoZero"/>
        <c:auto val="1"/>
        <c:lblAlgn val="ctr"/>
        <c:lblOffset val="100"/>
        <c:noMultiLvlLbl val="0"/>
      </c:catAx>
      <c:valAx>
        <c:axId val="172988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9284992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161494519067469E-2"/>
          <c:y val="0.24672755598993074"/>
          <c:w val="0.98283850548093254"/>
          <c:h val="0.57950286775165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Lists!$C$4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A1-4516-BA9A-16BBF43652B8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A1-4516-BA9A-16BBF43652B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2A1-4516-BA9A-16BBF43652B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A1-4516-BA9A-16BBF43652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Lists!$B$5:$B$8</c:f>
              <c:strCache>
                <c:ptCount val="4"/>
                <c:pt idx="0">
                  <c:v>Not Started</c:v>
                </c:pt>
                <c:pt idx="1">
                  <c:v>Delayed</c:v>
                </c:pt>
                <c:pt idx="2">
                  <c:v>In Progress</c:v>
                </c:pt>
                <c:pt idx="3">
                  <c:v>Done</c:v>
                </c:pt>
              </c:strCache>
            </c:strRef>
          </c:cat>
          <c:val>
            <c:numRef>
              <c:f>Lists!$C$5:$C$8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1-4516-BA9A-16BBF4365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461157568"/>
        <c:axId val="502551040"/>
      </c:barChart>
      <c:catAx>
        <c:axId val="46115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502551040"/>
        <c:crosses val="autoZero"/>
        <c:auto val="1"/>
        <c:lblAlgn val="ctr"/>
        <c:lblOffset val="100"/>
        <c:noMultiLvlLbl val="0"/>
      </c:catAx>
      <c:valAx>
        <c:axId val="502551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115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Tasks!$H$2</c:f>
              <c:strCache>
                <c:ptCount val="1"/>
                <c:pt idx="0">
                  <c:v>A STRT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Tasks!$M$3:$M$23</c:f>
                <c:numCache>
                  <c:formatCode>General</c:formatCode>
                  <c:ptCount val="21"/>
                  <c:pt idx="0">
                    <c:v>14</c:v>
                  </c:pt>
                  <c:pt idx="1">
                    <c:v>22.400000000000002</c:v>
                  </c:pt>
                  <c:pt idx="2">
                    <c:v>20.7</c:v>
                  </c:pt>
                  <c:pt idx="3">
                    <c:v>21</c:v>
                  </c:pt>
                  <c:pt idx="4">
                    <c:v>9.5</c:v>
                  </c:pt>
                  <c:pt idx="5">
                    <c:v>8.1</c:v>
                  </c:pt>
                  <c:pt idx="6">
                    <c:v>17</c:v>
                  </c:pt>
                  <c:pt idx="7">
                    <c:v>13</c:v>
                  </c:pt>
                  <c:pt idx="8">
                    <c:v>17.099999999999998</c:v>
                  </c:pt>
                  <c:pt idx="9">
                    <c:v>15.3</c:v>
                  </c:pt>
                  <c:pt idx="10">
                    <c:v>35.1</c:v>
                  </c:pt>
                  <c:pt idx="11">
                    <c:v>29.4</c:v>
                  </c:pt>
                  <c:pt idx="12">
                    <c:v>17.100000000000001</c:v>
                  </c:pt>
                  <c:pt idx="13">
                    <c:v>3.6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889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strRef>
              <c:f>Tasks!$A$3:$A$23</c:f>
              <c:strCache>
                <c:ptCount val="21"/>
                <c:pt idx="0">
                  <c:v>Activity 01</c:v>
                </c:pt>
                <c:pt idx="1">
                  <c:v>Activity 02</c:v>
                </c:pt>
                <c:pt idx="2">
                  <c:v>Activity 03</c:v>
                </c:pt>
                <c:pt idx="3">
                  <c:v>Activity 04</c:v>
                </c:pt>
                <c:pt idx="4">
                  <c:v>Activity 05</c:v>
                </c:pt>
                <c:pt idx="5">
                  <c:v>Activity 06</c:v>
                </c:pt>
                <c:pt idx="6">
                  <c:v>Activity 07</c:v>
                </c:pt>
                <c:pt idx="7">
                  <c:v>Activity 08</c:v>
                </c:pt>
                <c:pt idx="8">
                  <c:v>Activity 09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  <c:pt idx="15">
                  <c:v>Activity 16</c:v>
                </c:pt>
                <c:pt idx="16">
                  <c:v>Activity 17</c:v>
                </c:pt>
                <c:pt idx="17">
                  <c:v>Activity 18</c:v>
                </c:pt>
                <c:pt idx="18">
                  <c:v>Activity 19</c:v>
                </c:pt>
                <c:pt idx="19">
                  <c:v>Activity 20</c:v>
                </c:pt>
                <c:pt idx="20">
                  <c:v>Activity 21</c:v>
                </c:pt>
              </c:strCache>
            </c:strRef>
          </c:cat>
          <c:val>
            <c:numRef>
              <c:f>Tasks!$H$3:$H$23</c:f>
              <c:numCache>
                <c:formatCode>[$-409]d\-mmm\-yyyy;@</c:formatCode>
                <c:ptCount val="21"/>
                <c:pt idx="0">
                  <c:v>43831</c:v>
                </c:pt>
                <c:pt idx="1">
                  <c:v>43846</c:v>
                </c:pt>
                <c:pt idx="2">
                  <c:v>43865</c:v>
                </c:pt>
                <c:pt idx="3">
                  <c:v>43867</c:v>
                </c:pt>
                <c:pt idx="4">
                  <c:v>43870</c:v>
                </c:pt>
                <c:pt idx="5">
                  <c:v>43871</c:v>
                </c:pt>
                <c:pt idx="6">
                  <c:v>43878</c:v>
                </c:pt>
                <c:pt idx="7">
                  <c:v>43893</c:v>
                </c:pt>
                <c:pt idx="8">
                  <c:v>43898</c:v>
                </c:pt>
                <c:pt idx="9">
                  <c:v>43905</c:v>
                </c:pt>
                <c:pt idx="10">
                  <c:v>43905</c:v>
                </c:pt>
                <c:pt idx="11">
                  <c:v>43907</c:v>
                </c:pt>
                <c:pt idx="12">
                  <c:v>43922</c:v>
                </c:pt>
                <c:pt idx="13">
                  <c:v>43935</c:v>
                </c:pt>
                <c:pt idx="14">
                  <c:v>43940</c:v>
                </c:pt>
                <c:pt idx="15">
                  <c:v>43955</c:v>
                </c:pt>
                <c:pt idx="16">
                  <c:v>43979</c:v>
                </c:pt>
                <c:pt idx="17">
                  <c:v>43994</c:v>
                </c:pt>
                <c:pt idx="18">
                  <c:v>43996</c:v>
                </c:pt>
                <c:pt idx="19">
                  <c:v>43999</c:v>
                </c:pt>
                <c:pt idx="20">
                  <c:v>44004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C-4D3F-A04A-A32F9F89AF0A}"/>
            </c:ext>
          </c:extLst>
        </c:ser>
        <c:ser>
          <c:idx val="1"/>
          <c:order val="1"/>
          <c:tx>
            <c:strRef>
              <c:f>Tasks!$K$2</c:f>
              <c:strCache>
                <c:ptCount val="1"/>
                <c:pt idx="0">
                  <c:v>A (CD)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0A0BA7-759B-4DB5-A4D9-AF9EC6346D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4AC-4D3F-A04A-A32F9F89AF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5BF7F4E-CCC6-4980-8E7B-FB4C3D6DF6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4AC-4D3F-A04A-A32F9F89AF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0EA165-2703-47E7-AFC9-763F75DC0A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4AC-4D3F-A04A-A32F9F89AF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9472990-1177-4E0F-A739-4EAFAA892C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4AC-4D3F-A04A-A32F9F89AF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5B3700-CB24-43E9-9B2C-B9EEF1FA67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4AC-4D3F-A04A-A32F9F89AF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F94268-AC88-4A03-8F99-DB0D2FBB06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4AC-4D3F-A04A-A32F9F89AF0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076E52F-4933-4598-863F-0BB8F13E47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4AC-4D3F-A04A-A32F9F89AF0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D5E8306-D5C2-4DA1-8A07-E11ED2C674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4AC-4D3F-A04A-A32F9F89AF0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274293F-7EA0-430E-AD96-EF29B7F9B2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4AC-4D3F-A04A-A32F9F89AF0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6E6F973-05B5-40C6-A384-4DD546B271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4AC-4D3F-A04A-A32F9F89AF0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2C7A5E0-E6B1-48D7-9CC7-39B4BA0055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4AC-4D3F-A04A-A32F9F89AF0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E234075-874F-4E02-AB3A-21E44AE0B5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4AC-4D3F-A04A-A32F9F89AF0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F5148FB-50E3-4C06-91D0-F951F13C3C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4AC-4D3F-A04A-A32F9F89AF0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37E3E6D-9524-427F-9A84-B7DE0520C0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4AC-4D3F-A04A-A32F9F89AF0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AE6CB48-3FD4-449F-B76D-ADB19A5F06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4AC-4D3F-A04A-A32F9F89AF0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4308CDB-1726-41CE-8AFF-20724B72D8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4AC-4D3F-A04A-A32F9F89AF0A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93D0551-261B-4F5C-8C48-BD3455B813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4AC-4D3F-A04A-A32F9F89AF0A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E4691AD-9200-403C-9637-163F0B5DB7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4AC-4D3F-A04A-A32F9F89AF0A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13DA6CC2-4B10-49DA-A424-079D1E26D9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4AC-4D3F-A04A-A32F9F89AF0A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83DA7A0-84D7-4150-8B33-974221D6E7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4AC-4D3F-A04A-A32F9F89AF0A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C0EB24E-826D-4891-9537-D08B52A955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4AC-4D3F-A04A-A32F9F89A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Tasks!$A$3:$A$23</c:f>
              <c:strCache>
                <c:ptCount val="21"/>
                <c:pt idx="0">
                  <c:v>Activity 01</c:v>
                </c:pt>
                <c:pt idx="1">
                  <c:v>Activity 02</c:v>
                </c:pt>
                <c:pt idx="2">
                  <c:v>Activity 03</c:v>
                </c:pt>
                <c:pt idx="3">
                  <c:v>Activity 04</c:v>
                </c:pt>
                <c:pt idx="4">
                  <c:v>Activity 05</c:v>
                </c:pt>
                <c:pt idx="5">
                  <c:v>Activity 06</c:v>
                </c:pt>
                <c:pt idx="6">
                  <c:v>Activity 07</c:v>
                </c:pt>
                <c:pt idx="7">
                  <c:v>Activity 08</c:v>
                </c:pt>
                <c:pt idx="8">
                  <c:v>Activity 09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  <c:pt idx="15">
                  <c:v>Activity 16</c:v>
                </c:pt>
                <c:pt idx="16">
                  <c:v>Activity 17</c:v>
                </c:pt>
                <c:pt idx="17">
                  <c:v>Activity 18</c:v>
                </c:pt>
                <c:pt idx="18">
                  <c:v>Activity 19</c:v>
                </c:pt>
                <c:pt idx="19">
                  <c:v>Activity 20</c:v>
                </c:pt>
                <c:pt idx="20">
                  <c:v>Activity 21</c:v>
                </c:pt>
              </c:strCache>
            </c:strRef>
          </c:cat>
          <c:val>
            <c:numRef>
              <c:f>Tasks!$K$3:$K$23</c:f>
              <c:numCache>
                <c:formatCode>0</c:formatCode>
                <c:ptCount val="21"/>
                <c:pt idx="0">
                  <c:v>14</c:v>
                </c:pt>
                <c:pt idx="1">
                  <c:v>28</c:v>
                </c:pt>
                <c:pt idx="2">
                  <c:v>23</c:v>
                </c:pt>
                <c:pt idx="3">
                  <c:v>21</c:v>
                </c:pt>
                <c:pt idx="4">
                  <c:v>10</c:v>
                </c:pt>
                <c:pt idx="5">
                  <c:v>9</c:v>
                </c:pt>
                <c:pt idx="6">
                  <c:v>17</c:v>
                </c:pt>
                <c:pt idx="7">
                  <c:v>13</c:v>
                </c:pt>
                <c:pt idx="8">
                  <c:v>18</c:v>
                </c:pt>
                <c:pt idx="9">
                  <c:v>17</c:v>
                </c:pt>
                <c:pt idx="10">
                  <c:v>39</c:v>
                </c:pt>
                <c:pt idx="11">
                  <c:v>42</c:v>
                </c:pt>
                <c:pt idx="12">
                  <c:v>19</c:v>
                </c:pt>
                <c:pt idx="13">
                  <c:v>36</c:v>
                </c:pt>
                <c:pt idx="14">
                  <c:v>32</c:v>
                </c:pt>
                <c:pt idx="15">
                  <c:v>34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32</c:v>
                </c:pt>
                <c:pt idx="2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Tasks!$L$3:$L$23</c15:f>
                <c15:dlblRangeCache>
                  <c:ptCount val="21"/>
                  <c:pt idx="0">
                    <c:v>100%</c:v>
                  </c:pt>
                  <c:pt idx="1">
                    <c:v>80%</c:v>
                  </c:pt>
                  <c:pt idx="2">
                    <c:v>90%</c:v>
                  </c:pt>
                  <c:pt idx="3">
                    <c:v>100%</c:v>
                  </c:pt>
                  <c:pt idx="4">
                    <c:v>95%</c:v>
                  </c:pt>
                  <c:pt idx="5">
                    <c:v>90%</c:v>
                  </c:pt>
                  <c:pt idx="6">
                    <c:v>100%</c:v>
                  </c:pt>
                  <c:pt idx="7">
                    <c:v>100%</c:v>
                  </c:pt>
                  <c:pt idx="8">
                    <c:v>95%</c:v>
                  </c:pt>
                  <c:pt idx="9">
                    <c:v>90%</c:v>
                  </c:pt>
                  <c:pt idx="10">
                    <c:v>90%</c:v>
                  </c:pt>
                  <c:pt idx="11">
                    <c:v>70%</c:v>
                  </c:pt>
                  <c:pt idx="12">
                    <c:v>90%</c:v>
                  </c:pt>
                  <c:pt idx="13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24AC-4D3F-A04A-A32F9F89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24198175"/>
        <c:axId val="778941487"/>
      </c:barChart>
      <c:scatterChart>
        <c:scatterStyle val="lineMarker"/>
        <c:varyColors val="0"/>
        <c:ser>
          <c:idx val="2"/>
          <c:order val="2"/>
          <c:tx>
            <c:v>P Start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Tasks!$G$3:$G$23</c:f>
                <c:numCache>
                  <c:formatCode>General</c:formatCode>
                  <c:ptCount val="21"/>
                  <c:pt idx="0">
                    <c:v>14</c:v>
                  </c:pt>
                  <c:pt idx="1">
                    <c:v>28</c:v>
                  </c:pt>
                  <c:pt idx="2">
                    <c:v>23</c:v>
                  </c:pt>
                  <c:pt idx="3">
                    <c:v>21</c:v>
                  </c:pt>
                  <c:pt idx="4">
                    <c:v>10</c:v>
                  </c:pt>
                  <c:pt idx="5">
                    <c:v>9</c:v>
                  </c:pt>
                  <c:pt idx="6">
                    <c:v>17</c:v>
                  </c:pt>
                  <c:pt idx="7">
                    <c:v>13</c:v>
                  </c:pt>
                  <c:pt idx="8">
                    <c:v>18</c:v>
                  </c:pt>
                  <c:pt idx="9">
                    <c:v>17</c:v>
                  </c:pt>
                  <c:pt idx="10">
                    <c:v>39</c:v>
                  </c:pt>
                  <c:pt idx="11">
                    <c:v>42</c:v>
                  </c:pt>
                  <c:pt idx="12">
                    <c:v>19</c:v>
                  </c:pt>
                  <c:pt idx="13">
                    <c:v>36</c:v>
                  </c:pt>
                  <c:pt idx="14">
                    <c:v>32</c:v>
                  </c:pt>
                  <c:pt idx="15">
                    <c:v>32</c:v>
                  </c:pt>
                  <c:pt idx="16">
                    <c:v>27</c:v>
                  </c:pt>
                  <c:pt idx="17">
                    <c:v>19</c:v>
                  </c:pt>
                  <c:pt idx="18">
                    <c:v>18</c:v>
                  </c:pt>
                  <c:pt idx="19">
                    <c:v>30</c:v>
                  </c:pt>
                  <c:pt idx="20">
                    <c:v>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9050" cap="flat" cmpd="sng" algn="ctr">
                <a:solidFill>
                  <a:schemeClr val="accent1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Tasks!$D$3:$D$23</c:f>
              <c:numCache>
                <c:formatCode>[$-409]d\-mmm\-yyyy;@</c:formatCode>
                <c:ptCount val="21"/>
                <c:pt idx="0">
                  <c:v>43831</c:v>
                </c:pt>
                <c:pt idx="1">
                  <c:v>43846</c:v>
                </c:pt>
                <c:pt idx="2">
                  <c:v>43865</c:v>
                </c:pt>
                <c:pt idx="3">
                  <c:v>43867</c:v>
                </c:pt>
                <c:pt idx="4">
                  <c:v>43870</c:v>
                </c:pt>
                <c:pt idx="5">
                  <c:v>43871</c:v>
                </c:pt>
                <c:pt idx="6">
                  <c:v>43878</c:v>
                </c:pt>
                <c:pt idx="7">
                  <c:v>43892</c:v>
                </c:pt>
                <c:pt idx="8">
                  <c:v>43897</c:v>
                </c:pt>
                <c:pt idx="9">
                  <c:v>43904</c:v>
                </c:pt>
                <c:pt idx="10">
                  <c:v>43904</c:v>
                </c:pt>
                <c:pt idx="11">
                  <c:v>43906</c:v>
                </c:pt>
                <c:pt idx="12">
                  <c:v>43921</c:v>
                </c:pt>
                <c:pt idx="13">
                  <c:v>43934</c:v>
                </c:pt>
                <c:pt idx="14">
                  <c:v>43939</c:v>
                </c:pt>
                <c:pt idx="15">
                  <c:v>43954</c:v>
                </c:pt>
                <c:pt idx="16">
                  <c:v>43978</c:v>
                </c:pt>
                <c:pt idx="17">
                  <c:v>43993</c:v>
                </c:pt>
                <c:pt idx="18">
                  <c:v>43995</c:v>
                </c:pt>
                <c:pt idx="19">
                  <c:v>43998</c:v>
                </c:pt>
                <c:pt idx="20">
                  <c:v>44003</c:v>
                </c:pt>
              </c:numCache>
            </c:numRef>
          </c:xVal>
          <c:yVal>
            <c:numRef>
              <c:f>Tasks!$U$3:$U$23</c:f>
              <c:numCache>
                <c:formatCode>General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4AC-4D3F-A04A-A32F9F89AF0A}"/>
            </c:ext>
          </c:extLst>
        </c:ser>
        <c:ser>
          <c:idx val="3"/>
          <c:order val="3"/>
          <c:tx>
            <c:strRef>
              <c:f>Tasks!$V$2</c:f>
              <c:strCache>
                <c:ptCount val="1"/>
                <c:pt idx="0">
                  <c:v>Today</c:v>
                </c:pt>
              </c:strCache>
            </c:strRef>
          </c:tx>
          <c:spPr>
            <a:ln w="25400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  <a:headEnd type="triangle"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solidFill>
                    <a:schemeClr val="accent1">
                      <a:lumMod val="40000"/>
                      <a:lumOff val="60000"/>
                    </a:schemeClr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4AC-4D3F-A04A-A32F9F89A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Tasks!$V$3:$V$23</c:f>
              <c:numCache>
                <c:formatCode>m/d/yyyy</c:formatCode>
                <c:ptCount val="21"/>
                <c:pt idx="0">
                  <c:v>43931</c:v>
                </c:pt>
                <c:pt idx="1">
                  <c:v>43931</c:v>
                </c:pt>
                <c:pt idx="2">
                  <c:v>43931</c:v>
                </c:pt>
                <c:pt idx="3">
                  <c:v>43931</c:v>
                </c:pt>
                <c:pt idx="4">
                  <c:v>43931</c:v>
                </c:pt>
                <c:pt idx="5">
                  <c:v>43931</c:v>
                </c:pt>
                <c:pt idx="6">
                  <c:v>43931</c:v>
                </c:pt>
                <c:pt idx="7">
                  <c:v>43931</c:v>
                </c:pt>
                <c:pt idx="8">
                  <c:v>43931</c:v>
                </c:pt>
                <c:pt idx="9">
                  <c:v>43931</c:v>
                </c:pt>
                <c:pt idx="10">
                  <c:v>43931</c:v>
                </c:pt>
                <c:pt idx="11">
                  <c:v>43931</c:v>
                </c:pt>
                <c:pt idx="12">
                  <c:v>43931</c:v>
                </c:pt>
                <c:pt idx="13">
                  <c:v>43931</c:v>
                </c:pt>
                <c:pt idx="14">
                  <c:v>43931</c:v>
                </c:pt>
                <c:pt idx="15">
                  <c:v>43931</c:v>
                </c:pt>
                <c:pt idx="16">
                  <c:v>43931</c:v>
                </c:pt>
                <c:pt idx="17">
                  <c:v>43931</c:v>
                </c:pt>
                <c:pt idx="18">
                  <c:v>43931</c:v>
                </c:pt>
                <c:pt idx="19">
                  <c:v>43931</c:v>
                </c:pt>
                <c:pt idx="20">
                  <c:v>43931</c:v>
                </c:pt>
              </c:numCache>
            </c:numRef>
          </c:xVal>
          <c:yVal>
            <c:numRef>
              <c:f>Tasks!$U$3:$U$23</c:f>
              <c:numCache>
                <c:formatCode>General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4AC-4D3F-A04A-A32F9F89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71855"/>
        <c:axId val="778972687"/>
      </c:scatterChart>
      <c:catAx>
        <c:axId val="7241981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941487"/>
        <c:crosses val="autoZero"/>
        <c:auto val="1"/>
        <c:lblAlgn val="ctr"/>
        <c:lblOffset val="100"/>
        <c:noMultiLvlLbl val="0"/>
      </c:catAx>
      <c:valAx>
        <c:axId val="778941487"/>
        <c:scaling>
          <c:orientation val="minMax"/>
          <c:max val="44040"/>
          <c:min val="4383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198175"/>
        <c:crosses val="autoZero"/>
        <c:crossBetween val="between"/>
        <c:majorUnit val="15"/>
      </c:valAx>
      <c:valAx>
        <c:axId val="778972687"/>
        <c:scaling>
          <c:orientation val="minMax"/>
          <c:max val="2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778971855"/>
        <c:crosses val="max"/>
        <c:crossBetween val="midCat"/>
      </c:valAx>
      <c:valAx>
        <c:axId val="778971855"/>
        <c:scaling>
          <c:orientation val="minMax"/>
        </c:scaling>
        <c:delete val="1"/>
        <c:axPos val="t"/>
        <c:numFmt formatCode="[$-409]d\-mmm\-yyyy;@" sourceLinked="1"/>
        <c:majorTickMark val="out"/>
        <c:minorTickMark val="none"/>
        <c:tickLblPos val="nextTo"/>
        <c:crossAx val="778972687"/>
        <c:crosses val="max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6727032022206177E-2"/>
          <c:w val="0.96732026143790861"/>
          <c:h val="0.57634298478881973"/>
        </c:manualLayout>
      </c:layout>
      <c:doughnutChart>
        <c:varyColors val="1"/>
        <c:ser>
          <c:idx val="0"/>
          <c:order val="1"/>
          <c:tx>
            <c:strRef>
              <c:f>SpeedoMeters!$A$12</c:f>
              <c:strCache>
                <c:ptCount val="1"/>
                <c:pt idx="0">
                  <c:v>Lables Settings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F6-448C-8282-C2E3AFA49BA3}"/>
              </c:ext>
            </c:extLst>
          </c:dPt>
          <c:dPt>
            <c:idx val="1"/>
            <c:bubble3D val="0"/>
            <c:spPr>
              <a:solidFill>
                <a:srgbClr val="C0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F6-448C-8282-C2E3AFA49BA3}"/>
              </c:ext>
            </c:extLst>
          </c:dPt>
          <c:dPt>
            <c:idx val="2"/>
            <c:bubble3D val="0"/>
            <c:spPr>
              <a:solidFill>
                <a:srgbClr val="00B05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F6-448C-8282-C2E3AFA49BA3}"/>
              </c:ext>
            </c:extLst>
          </c:dPt>
          <c:dPt>
            <c:idx val="3"/>
            <c:bubble3D val="0"/>
            <c:spPr>
              <a:solidFill>
                <a:srgbClr val="00B050">
                  <a:alpha val="7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F6-448C-8282-C2E3AFA49BA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F6-448C-8282-C2E3AFA49BA3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F6-448C-8282-C2E3AFA49B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0633362-B7A8-4052-B7C8-CD86B47F65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1F6-448C-8282-C2E3AFA49BA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28D12AE-FA05-4D91-8551-5F6CD320DD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1F6-448C-8282-C2E3AFA49BA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ADE00D5-EAE6-4988-BE54-B388F5A90D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1F6-448C-8282-C2E3AFA49B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B35E25F-7742-4DA2-A32D-7020084BB9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1F6-448C-8282-C2E3AFA49B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7E08936-D57C-48F5-A332-B974DB7CAD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1F6-448C-8282-C2E3AFA49BA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F6-448C-8282-C2E3AFA49B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SpeedoMeters!$A$13:$A$18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SpeedoMeters!$B$13:$B$18</c15:f>
                <c15:dlblRangeCache>
                  <c:ptCount val="6"/>
                  <c:pt idx="0">
                    <c:v>10%</c:v>
                  </c:pt>
                  <c:pt idx="1">
                    <c:v>30%</c:v>
                  </c:pt>
                  <c:pt idx="2">
                    <c:v>50%</c:v>
                  </c:pt>
                  <c:pt idx="3">
                    <c:v>70%</c:v>
                  </c:pt>
                  <c:pt idx="4">
                    <c:v>90%</c:v>
                  </c:pt>
                  <c:pt idx="5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61F6-448C-8282-C2E3AFA4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0"/>
      </c:doughnutChart>
      <c:pieChart>
        <c:varyColors val="1"/>
        <c:ser>
          <c:idx val="1"/>
          <c:order val="0"/>
          <c:tx>
            <c:strRef>
              <c:f>SpeedoMeters!$A$7</c:f>
              <c:strCache>
                <c:ptCount val="1"/>
                <c:pt idx="0">
                  <c:v>Pointer Settings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1F6-448C-8282-C2E3AFA49BA3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1F6-448C-8282-C2E3AFA49BA3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1F6-448C-8282-C2E3AFA49BA3}"/>
              </c:ext>
            </c:extLst>
          </c:dPt>
          <c:val>
            <c:numRef>
              <c:f>SpeedoMeters!$B$8:$B$10</c:f>
              <c:numCache>
                <c:formatCode>0%</c:formatCode>
                <c:ptCount val="3"/>
                <c:pt idx="0">
                  <c:v>0.8571428571428571</c:v>
                </c:pt>
                <c:pt idx="1">
                  <c:v>0.01</c:v>
                </c:pt>
                <c:pt idx="2">
                  <c:v>1.132857142857143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1F6-448C-8282-C2E3AFA4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995007976944059E-2"/>
          <c:y val="9.7399502693742229E-2"/>
          <c:w val="0.95532525346096442"/>
          <c:h val="0.56984313364338235"/>
        </c:manualLayout>
      </c:layout>
      <c:doughnutChart>
        <c:varyColors val="1"/>
        <c:ser>
          <c:idx val="0"/>
          <c:order val="1"/>
          <c:tx>
            <c:strRef>
              <c:f>SpeedoMeters!$E$12</c:f>
              <c:strCache>
                <c:ptCount val="1"/>
                <c:pt idx="0">
                  <c:v>Lables Settings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48-4489-B3B0-CFAB87BE26AC}"/>
              </c:ext>
            </c:extLst>
          </c:dPt>
          <c:dPt>
            <c:idx val="1"/>
            <c:bubble3D val="0"/>
            <c:spPr>
              <a:solidFill>
                <a:srgbClr val="C0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8-4489-B3B0-CFAB87BE26AC}"/>
              </c:ext>
            </c:extLst>
          </c:dPt>
          <c:dPt>
            <c:idx val="2"/>
            <c:bubble3D val="0"/>
            <c:spPr>
              <a:solidFill>
                <a:srgbClr val="00B05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48-4489-B3B0-CFAB87BE26AC}"/>
              </c:ext>
            </c:extLst>
          </c:dPt>
          <c:dPt>
            <c:idx val="3"/>
            <c:bubble3D val="0"/>
            <c:spPr>
              <a:solidFill>
                <a:srgbClr val="00B050">
                  <a:alpha val="7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48-4489-B3B0-CFAB87BE26A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48-4489-B3B0-CFAB87BE26AC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48-4489-B3B0-CFAB87BE26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E2E6FCA-915E-44A8-AADA-61B9D84D6A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48-4489-B3B0-CFAB87BE26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7729A62-260B-47D0-8C3C-2EB45F3322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F48-4489-B3B0-CFAB87BE26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697752A-2299-4B0E-903C-64B6B34107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F48-4489-B3B0-CFAB87BE26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3D65AFC-7A71-4EDD-A1CB-693968EC49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F48-4489-B3B0-CFAB87BE26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180271-E5EB-493B-A32C-0C668DD4DB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F48-4489-B3B0-CFAB87BE26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48-4489-B3B0-CFAB87BE2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SpeedoMeters!$E$13:$E$18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SpeedoMeters!$F$13:$F$18</c15:f>
                <c15:dlblRangeCache>
                  <c:ptCount val="6"/>
                  <c:pt idx="0">
                    <c:v>10%</c:v>
                  </c:pt>
                  <c:pt idx="1">
                    <c:v>30%</c:v>
                  </c:pt>
                  <c:pt idx="2">
                    <c:v>50%</c:v>
                  </c:pt>
                  <c:pt idx="3">
                    <c:v>70%</c:v>
                  </c:pt>
                  <c:pt idx="4">
                    <c:v>90%</c:v>
                  </c:pt>
                  <c:pt idx="5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3F48-4489-B3B0-CFAB87BE2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0"/>
      </c:doughnutChart>
      <c:pieChart>
        <c:varyColors val="1"/>
        <c:ser>
          <c:idx val="1"/>
          <c:order val="0"/>
          <c:tx>
            <c:strRef>
              <c:f>SpeedoMeters!$E$7</c:f>
              <c:strCache>
                <c:ptCount val="1"/>
                <c:pt idx="0">
                  <c:v>Pointer Settings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F48-4489-B3B0-CFAB87BE26AC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F48-4489-B3B0-CFAB87BE26AC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F48-4489-B3B0-CFAB87BE26AC}"/>
              </c:ext>
            </c:extLst>
          </c:dPt>
          <c:val>
            <c:numRef>
              <c:f>SpeedoMeters!$F$8:$F$10</c:f>
              <c:numCache>
                <c:formatCode>0%</c:formatCode>
                <c:ptCount val="3"/>
                <c:pt idx="0">
                  <c:v>0.50761421319796951</c:v>
                </c:pt>
                <c:pt idx="1">
                  <c:v>0.01</c:v>
                </c:pt>
                <c:pt idx="2">
                  <c:v>1.4823857868020305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48-4489-B3B0-CFAB87BE2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91446657403118E-2"/>
          <c:y val="9.5261776488465233E-2"/>
          <c:w val="0.96980855334259686"/>
          <c:h val="0.57848229497628589"/>
        </c:manualLayout>
      </c:layout>
      <c:doughnutChart>
        <c:varyColors val="1"/>
        <c:ser>
          <c:idx val="0"/>
          <c:order val="1"/>
          <c:tx>
            <c:strRef>
              <c:f>SpeedoMeters!$I$12</c:f>
              <c:strCache>
                <c:ptCount val="1"/>
                <c:pt idx="0">
                  <c:v>Lables Settings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9-40E8-A684-F93B84C3416E}"/>
              </c:ext>
            </c:extLst>
          </c:dPt>
          <c:dPt>
            <c:idx val="1"/>
            <c:bubble3D val="0"/>
            <c:spPr>
              <a:solidFill>
                <a:srgbClr val="C0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49-40E8-A684-F93B84C3416E}"/>
              </c:ext>
            </c:extLst>
          </c:dPt>
          <c:dPt>
            <c:idx val="2"/>
            <c:bubble3D val="0"/>
            <c:spPr>
              <a:solidFill>
                <a:srgbClr val="00B05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49-40E8-A684-F93B84C3416E}"/>
              </c:ext>
            </c:extLst>
          </c:dPt>
          <c:dPt>
            <c:idx val="3"/>
            <c:bubble3D val="0"/>
            <c:spPr>
              <a:solidFill>
                <a:srgbClr val="00B050">
                  <a:alpha val="3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49-40E8-A684-F93B84C3416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49-40E8-A684-F93B84C3416E}"/>
              </c:ext>
            </c:extLst>
          </c:dPt>
          <c:dPt>
            <c:idx val="5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49-40E8-A684-F93B84C341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210E04A-1BE8-49E1-86B5-1D2F37F8D2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F49-40E8-A684-F93B84C341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18017F-223B-4447-848D-D17E9D28D6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F49-40E8-A684-F93B84C341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0A9C54-532A-4964-9FBD-4EBB0ADDF8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F49-40E8-A684-F93B84C341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0976E26-3246-4516-BBA6-C645D06A42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F49-40E8-A684-F93B84C341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1B738C9-BC08-4173-9D67-4BE2F35024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F49-40E8-A684-F93B84C341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49-40E8-A684-F93B84C341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SpeedoMeters!$I$13:$I$18</c:f>
              <c:numCache>
                <c:formatCode>0%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SpeedoMeters!$J$13:$J$18</c15:f>
                <c15:dlblRangeCache>
                  <c:ptCount val="6"/>
                  <c:pt idx="0">
                    <c:v>10%</c:v>
                  </c:pt>
                  <c:pt idx="1">
                    <c:v>30%</c:v>
                  </c:pt>
                  <c:pt idx="2">
                    <c:v>50%</c:v>
                  </c:pt>
                  <c:pt idx="3">
                    <c:v>70%</c:v>
                  </c:pt>
                  <c:pt idx="4">
                    <c:v>90%</c:v>
                  </c:pt>
                  <c:pt idx="5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FF49-40E8-A684-F93B84C3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60"/>
      </c:doughnutChart>
      <c:pieChart>
        <c:varyColors val="1"/>
        <c:ser>
          <c:idx val="1"/>
          <c:order val="0"/>
          <c:tx>
            <c:strRef>
              <c:f>SpeedoMeters!$I$7</c:f>
              <c:strCache>
                <c:ptCount val="1"/>
                <c:pt idx="0">
                  <c:v>Pointer Settings</c:v>
                </c:pt>
              </c:strCache>
            </c:strRef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F49-40E8-A684-F93B84C3416E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F49-40E8-A684-F93B84C3416E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F49-40E8-A684-F93B84C3416E}"/>
              </c:ext>
            </c:extLst>
          </c:dPt>
          <c:val>
            <c:numRef>
              <c:f>SpeedoMeters!$J$8:$J$10</c:f>
              <c:numCache>
                <c:formatCode>0%</c:formatCode>
                <c:ptCount val="3"/>
                <c:pt idx="0">
                  <c:v>0.6396551724137931</c:v>
                </c:pt>
                <c:pt idx="1">
                  <c:v>0.01</c:v>
                </c:pt>
                <c:pt idx="2">
                  <c:v>1.3503448275862069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F49-40E8-A684-F93B84C3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Tasks!$H$2</c:f>
              <c:strCache>
                <c:ptCount val="1"/>
                <c:pt idx="0">
                  <c:v>A STRT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Tasks!$M$3:$M$23</c:f>
                <c:numCache>
                  <c:formatCode>General</c:formatCode>
                  <c:ptCount val="21"/>
                  <c:pt idx="0">
                    <c:v>14</c:v>
                  </c:pt>
                  <c:pt idx="1">
                    <c:v>22.400000000000002</c:v>
                  </c:pt>
                  <c:pt idx="2">
                    <c:v>20.7</c:v>
                  </c:pt>
                  <c:pt idx="3">
                    <c:v>21</c:v>
                  </c:pt>
                  <c:pt idx="4">
                    <c:v>9.5</c:v>
                  </c:pt>
                  <c:pt idx="5">
                    <c:v>8.1</c:v>
                  </c:pt>
                  <c:pt idx="6">
                    <c:v>17</c:v>
                  </c:pt>
                  <c:pt idx="7">
                    <c:v>13</c:v>
                  </c:pt>
                  <c:pt idx="8">
                    <c:v>17.099999999999998</c:v>
                  </c:pt>
                  <c:pt idx="9">
                    <c:v>15.3</c:v>
                  </c:pt>
                  <c:pt idx="10">
                    <c:v>35.1</c:v>
                  </c:pt>
                  <c:pt idx="11">
                    <c:v>29.4</c:v>
                  </c:pt>
                  <c:pt idx="12">
                    <c:v>17.100000000000001</c:v>
                  </c:pt>
                  <c:pt idx="13">
                    <c:v>3.6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8415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strRef>
              <c:f>Tasks!$A$3:$A$23</c:f>
              <c:strCache>
                <c:ptCount val="21"/>
                <c:pt idx="0">
                  <c:v>Activity 01</c:v>
                </c:pt>
                <c:pt idx="1">
                  <c:v>Activity 02</c:v>
                </c:pt>
                <c:pt idx="2">
                  <c:v>Activity 03</c:v>
                </c:pt>
                <c:pt idx="3">
                  <c:v>Activity 04</c:v>
                </c:pt>
                <c:pt idx="4">
                  <c:v>Activity 05</c:v>
                </c:pt>
                <c:pt idx="5">
                  <c:v>Activity 06</c:v>
                </c:pt>
                <c:pt idx="6">
                  <c:v>Activity 07</c:v>
                </c:pt>
                <c:pt idx="7">
                  <c:v>Activity 08</c:v>
                </c:pt>
                <c:pt idx="8">
                  <c:v>Activity 09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  <c:pt idx="15">
                  <c:v>Activity 16</c:v>
                </c:pt>
                <c:pt idx="16">
                  <c:v>Activity 17</c:v>
                </c:pt>
                <c:pt idx="17">
                  <c:v>Activity 18</c:v>
                </c:pt>
                <c:pt idx="18">
                  <c:v>Activity 19</c:v>
                </c:pt>
                <c:pt idx="19">
                  <c:v>Activity 20</c:v>
                </c:pt>
                <c:pt idx="20">
                  <c:v>Activity 21</c:v>
                </c:pt>
              </c:strCache>
            </c:strRef>
          </c:cat>
          <c:val>
            <c:numRef>
              <c:f>Tasks!$H$3:$H$23</c:f>
              <c:numCache>
                <c:formatCode>[$-409]d\-mmm\-yyyy;@</c:formatCode>
                <c:ptCount val="21"/>
                <c:pt idx="0">
                  <c:v>43831</c:v>
                </c:pt>
                <c:pt idx="1">
                  <c:v>43846</c:v>
                </c:pt>
                <c:pt idx="2">
                  <c:v>43865</c:v>
                </c:pt>
                <c:pt idx="3">
                  <c:v>43867</c:v>
                </c:pt>
                <c:pt idx="4">
                  <c:v>43870</c:v>
                </c:pt>
                <c:pt idx="5">
                  <c:v>43871</c:v>
                </c:pt>
                <c:pt idx="6">
                  <c:v>43878</c:v>
                </c:pt>
                <c:pt idx="7">
                  <c:v>43893</c:v>
                </c:pt>
                <c:pt idx="8">
                  <c:v>43898</c:v>
                </c:pt>
                <c:pt idx="9">
                  <c:v>43905</c:v>
                </c:pt>
                <c:pt idx="10">
                  <c:v>43905</c:v>
                </c:pt>
                <c:pt idx="11">
                  <c:v>43907</c:v>
                </c:pt>
                <c:pt idx="12">
                  <c:v>43922</c:v>
                </c:pt>
                <c:pt idx="13">
                  <c:v>43935</c:v>
                </c:pt>
                <c:pt idx="14">
                  <c:v>43940</c:v>
                </c:pt>
                <c:pt idx="15">
                  <c:v>43955</c:v>
                </c:pt>
                <c:pt idx="16">
                  <c:v>43979</c:v>
                </c:pt>
                <c:pt idx="17">
                  <c:v>43994</c:v>
                </c:pt>
                <c:pt idx="18">
                  <c:v>43996</c:v>
                </c:pt>
                <c:pt idx="19">
                  <c:v>43999</c:v>
                </c:pt>
                <c:pt idx="20">
                  <c:v>44004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6-45D8-A542-ED7E8D296E2F}"/>
            </c:ext>
          </c:extLst>
        </c:ser>
        <c:ser>
          <c:idx val="1"/>
          <c:order val="1"/>
          <c:tx>
            <c:strRef>
              <c:f>Tasks!$K$2</c:f>
              <c:strCache>
                <c:ptCount val="1"/>
                <c:pt idx="0">
                  <c:v>A (CD)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5BC72F1-C9C6-4B55-81C9-6AFEF772D1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666-45D8-A542-ED7E8D296E2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123AB1-FDAA-4610-9C4F-9629356B18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666-45D8-A542-ED7E8D296E2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0939C1-F187-4D23-A580-CAE35A8B7E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666-45D8-A542-ED7E8D296E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720CA02-BB46-49A5-9560-DF8DAAF931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666-45D8-A542-ED7E8D296E2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9516735-6FBD-4B88-B57B-799644BEFE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666-45D8-A542-ED7E8D296E2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387F8F0-E59B-428A-B236-D6ECA0946B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666-45D8-A542-ED7E8D296E2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2700A6-E69B-494A-9FF9-772112F373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666-45D8-A542-ED7E8D296E2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F25D9BD-04CA-4D83-9BFC-B4DE8A1EF4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666-45D8-A542-ED7E8D296E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0096B52-6044-4FB0-89F2-7DE1D79540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666-45D8-A542-ED7E8D296E2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0A0F14B-294B-41F5-B950-E5068311B0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AF2-4548-B36F-79BFC630BF6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EA717E9-BB63-4246-941B-461890BF8B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AF2-4548-B36F-79BFC630BF6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ECD2170-7B95-4AB2-A8FF-3357B62E8E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AF2-4548-B36F-79BFC630BF6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5F16708-6064-45AE-94D6-4573B29194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AF2-4548-B36F-79BFC630BF6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4A91627-C1FF-4C7E-9ABA-FAB84D3518E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AF2-4548-B36F-79BFC630BF6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3EC3CEF-03B0-4C57-AD16-B5E4605AEA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AF2-4548-B36F-79BFC630BF6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33405A6-81A4-4BEE-AA56-D0AB19AFB9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AF2-4548-B36F-79BFC630BF6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0B420AB-FBE9-47C3-AAD7-B1A96AADE6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AF2-4548-B36F-79BFC630BF6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E86487A-B45A-4706-8EE5-D33F33B742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AF2-4548-B36F-79BFC630BF6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9B343A6-F724-4C20-91A5-F3F7652BA6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AF2-4548-B36F-79BFC630BF6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A6B74CE-0454-4A6D-9DCD-172CE811D3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AF2-4548-B36F-79BFC630BF6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56ACDED-9E6B-4465-AB55-C53C48B54D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AF2-4548-B36F-79BFC630B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Tasks!$A$3:$A$23</c:f>
              <c:strCache>
                <c:ptCount val="21"/>
                <c:pt idx="0">
                  <c:v>Activity 01</c:v>
                </c:pt>
                <c:pt idx="1">
                  <c:v>Activity 02</c:v>
                </c:pt>
                <c:pt idx="2">
                  <c:v>Activity 03</c:v>
                </c:pt>
                <c:pt idx="3">
                  <c:v>Activity 04</c:v>
                </c:pt>
                <c:pt idx="4">
                  <c:v>Activity 05</c:v>
                </c:pt>
                <c:pt idx="5">
                  <c:v>Activity 06</c:v>
                </c:pt>
                <c:pt idx="6">
                  <c:v>Activity 07</c:v>
                </c:pt>
                <c:pt idx="7">
                  <c:v>Activity 08</c:v>
                </c:pt>
                <c:pt idx="8">
                  <c:v>Activity 09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Activity 15</c:v>
                </c:pt>
                <c:pt idx="15">
                  <c:v>Activity 16</c:v>
                </c:pt>
                <c:pt idx="16">
                  <c:v>Activity 17</c:v>
                </c:pt>
                <c:pt idx="17">
                  <c:v>Activity 18</c:v>
                </c:pt>
                <c:pt idx="18">
                  <c:v>Activity 19</c:v>
                </c:pt>
                <c:pt idx="19">
                  <c:v>Activity 20</c:v>
                </c:pt>
                <c:pt idx="20">
                  <c:v>Activity 21</c:v>
                </c:pt>
              </c:strCache>
            </c:strRef>
          </c:cat>
          <c:val>
            <c:numRef>
              <c:f>Tasks!$K$3:$K$23</c:f>
              <c:numCache>
                <c:formatCode>0</c:formatCode>
                <c:ptCount val="21"/>
                <c:pt idx="0">
                  <c:v>14</c:v>
                </c:pt>
                <c:pt idx="1">
                  <c:v>28</c:v>
                </c:pt>
                <c:pt idx="2">
                  <c:v>23</c:v>
                </c:pt>
                <c:pt idx="3">
                  <c:v>21</c:v>
                </c:pt>
                <c:pt idx="4">
                  <c:v>10</c:v>
                </c:pt>
                <c:pt idx="5">
                  <c:v>9</c:v>
                </c:pt>
                <c:pt idx="6">
                  <c:v>17</c:v>
                </c:pt>
                <c:pt idx="7">
                  <c:v>13</c:v>
                </c:pt>
                <c:pt idx="8">
                  <c:v>18</c:v>
                </c:pt>
                <c:pt idx="9">
                  <c:v>17</c:v>
                </c:pt>
                <c:pt idx="10">
                  <c:v>39</c:v>
                </c:pt>
                <c:pt idx="11">
                  <c:v>42</c:v>
                </c:pt>
                <c:pt idx="12">
                  <c:v>19</c:v>
                </c:pt>
                <c:pt idx="13">
                  <c:v>36</c:v>
                </c:pt>
                <c:pt idx="14">
                  <c:v>32</c:v>
                </c:pt>
                <c:pt idx="15">
                  <c:v>34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32</c:v>
                </c:pt>
                <c:pt idx="20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Tasks!$L$3:$L$23</c15:f>
                <c15:dlblRangeCache>
                  <c:ptCount val="21"/>
                  <c:pt idx="0">
                    <c:v>100%</c:v>
                  </c:pt>
                  <c:pt idx="1">
                    <c:v>80%</c:v>
                  </c:pt>
                  <c:pt idx="2">
                    <c:v>90%</c:v>
                  </c:pt>
                  <c:pt idx="3">
                    <c:v>100%</c:v>
                  </c:pt>
                  <c:pt idx="4">
                    <c:v>95%</c:v>
                  </c:pt>
                  <c:pt idx="5">
                    <c:v>90%</c:v>
                  </c:pt>
                  <c:pt idx="6">
                    <c:v>100%</c:v>
                  </c:pt>
                  <c:pt idx="7">
                    <c:v>100%</c:v>
                  </c:pt>
                  <c:pt idx="8">
                    <c:v>95%</c:v>
                  </c:pt>
                  <c:pt idx="9">
                    <c:v>90%</c:v>
                  </c:pt>
                  <c:pt idx="10">
                    <c:v>90%</c:v>
                  </c:pt>
                  <c:pt idx="11">
                    <c:v>70%</c:v>
                  </c:pt>
                  <c:pt idx="12">
                    <c:v>90%</c:v>
                  </c:pt>
                  <c:pt idx="13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666-45D8-A542-ED7E8D29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24198175"/>
        <c:axId val="778941487"/>
      </c:barChart>
      <c:scatterChart>
        <c:scatterStyle val="lineMarker"/>
        <c:varyColors val="0"/>
        <c:ser>
          <c:idx val="2"/>
          <c:order val="2"/>
          <c:tx>
            <c:v>P Start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Tasks!$G$3:$G$23</c:f>
                <c:numCache>
                  <c:formatCode>General</c:formatCode>
                  <c:ptCount val="21"/>
                  <c:pt idx="0">
                    <c:v>14</c:v>
                  </c:pt>
                  <c:pt idx="1">
                    <c:v>28</c:v>
                  </c:pt>
                  <c:pt idx="2">
                    <c:v>23</c:v>
                  </c:pt>
                  <c:pt idx="3">
                    <c:v>21</c:v>
                  </c:pt>
                  <c:pt idx="4">
                    <c:v>10</c:v>
                  </c:pt>
                  <c:pt idx="5">
                    <c:v>9</c:v>
                  </c:pt>
                  <c:pt idx="6">
                    <c:v>17</c:v>
                  </c:pt>
                  <c:pt idx="7">
                    <c:v>13</c:v>
                  </c:pt>
                  <c:pt idx="8">
                    <c:v>18</c:v>
                  </c:pt>
                  <c:pt idx="9">
                    <c:v>17</c:v>
                  </c:pt>
                  <c:pt idx="10">
                    <c:v>39</c:v>
                  </c:pt>
                  <c:pt idx="11">
                    <c:v>42</c:v>
                  </c:pt>
                  <c:pt idx="12">
                    <c:v>19</c:v>
                  </c:pt>
                  <c:pt idx="13">
                    <c:v>36</c:v>
                  </c:pt>
                  <c:pt idx="14">
                    <c:v>32</c:v>
                  </c:pt>
                  <c:pt idx="15">
                    <c:v>32</c:v>
                  </c:pt>
                  <c:pt idx="16">
                    <c:v>27</c:v>
                  </c:pt>
                  <c:pt idx="17">
                    <c:v>19</c:v>
                  </c:pt>
                  <c:pt idx="18">
                    <c:v>18</c:v>
                  </c:pt>
                  <c:pt idx="19">
                    <c:v>30</c:v>
                  </c:pt>
                  <c:pt idx="20">
                    <c:v>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9050" cap="flat" cmpd="sng" algn="ctr">
                <a:solidFill>
                  <a:schemeClr val="accent1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xVal>
            <c:numRef>
              <c:f>Tasks!$D$3:$D$23</c:f>
              <c:numCache>
                <c:formatCode>[$-409]d\-mmm\-yyyy;@</c:formatCode>
                <c:ptCount val="21"/>
                <c:pt idx="0">
                  <c:v>43831</c:v>
                </c:pt>
                <c:pt idx="1">
                  <c:v>43846</c:v>
                </c:pt>
                <c:pt idx="2">
                  <c:v>43865</c:v>
                </c:pt>
                <c:pt idx="3">
                  <c:v>43867</c:v>
                </c:pt>
                <c:pt idx="4">
                  <c:v>43870</c:v>
                </c:pt>
                <c:pt idx="5">
                  <c:v>43871</c:v>
                </c:pt>
                <c:pt idx="6">
                  <c:v>43878</c:v>
                </c:pt>
                <c:pt idx="7">
                  <c:v>43892</c:v>
                </c:pt>
                <c:pt idx="8">
                  <c:v>43897</c:v>
                </c:pt>
                <c:pt idx="9">
                  <c:v>43904</c:v>
                </c:pt>
                <c:pt idx="10">
                  <c:v>43904</c:v>
                </c:pt>
                <c:pt idx="11">
                  <c:v>43906</c:v>
                </c:pt>
                <c:pt idx="12">
                  <c:v>43921</c:v>
                </c:pt>
                <c:pt idx="13">
                  <c:v>43934</c:v>
                </c:pt>
                <c:pt idx="14">
                  <c:v>43939</c:v>
                </c:pt>
                <c:pt idx="15">
                  <c:v>43954</c:v>
                </c:pt>
                <c:pt idx="16">
                  <c:v>43978</c:v>
                </c:pt>
                <c:pt idx="17">
                  <c:v>43993</c:v>
                </c:pt>
                <c:pt idx="18">
                  <c:v>43995</c:v>
                </c:pt>
                <c:pt idx="19">
                  <c:v>43998</c:v>
                </c:pt>
                <c:pt idx="20">
                  <c:v>44003</c:v>
                </c:pt>
              </c:numCache>
            </c:numRef>
          </c:xVal>
          <c:yVal>
            <c:numRef>
              <c:f>Tasks!$U$3:$U$23</c:f>
              <c:numCache>
                <c:formatCode>General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66-45D8-A542-ED7E8D296E2F}"/>
            </c:ext>
          </c:extLst>
        </c:ser>
        <c:ser>
          <c:idx val="3"/>
          <c:order val="3"/>
          <c:tx>
            <c:strRef>
              <c:f>Tasks!$V$2</c:f>
              <c:strCache>
                <c:ptCount val="1"/>
                <c:pt idx="0">
                  <c:v>Today</c:v>
                </c:pt>
              </c:strCache>
            </c:strRef>
          </c:tx>
          <c:spPr>
            <a:ln w="25400" cap="rnd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  <a:headEnd type="triangle"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solidFill>
                    <a:schemeClr val="accent1">
                      <a:lumMod val="40000"/>
                      <a:lumOff val="60000"/>
                    </a:schemeClr>
                  </a:solidFill>
                  <a:prstDash val="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6-45D8-A542-ED7E8D296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Tasks!$V$3:$V$23</c:f>
              <c:numCache>
                <c:formatCode>m/d/yyyy</c:formatCode>
                <c:ptCount val="21"/>
                <c:pt idx="0">
                  <c:v>43931</c:v>
                </c:pt>
                <c:pt idx="1">
                  <c:v>43931</c:v>
                </c:pt>
                <c:pt idx="2">
                  <c:v>43931</c:v>
                </c:pt>
                <c:pt idx="3">
                  <c:v>43931</c:v>
                </c:pt>
                <c:pt idx="4">
                  <c:v>43931</c:v>
                </c:pt>
                <c:pt idx="5">
                  <c:v>43931</c:v>
                </c:pt>
                <c:pt idx="6">
                  <c:v>43931</c:v>
                </c:pt>
                <c:pt idx="7">
                  <c:v>43931</c:v>
                </c:pt>
                <c:pt idx="8">
                  <c:v>43931</c:v>
                </c:pt>
                <c:pt idx="9">
                  <c:v>43931</c:v>
                </c:pt>
                <c:pt idx="10">
                  <c:v>43931</c:v>
                </c:pt>
                <c:pt idx="11">
                  <c:v>43931</c:v>
                </c:pt>
                <c:pt idx="12">
                  <c:v>43931</c:v>
                </c:pt>
                <c:pt idx="13">
                  <c:v>43931</c:v>
                </c:pt>
                <c:pt idx="14">
                  <c:v>43931</c:v>
                </c:pt>
                <c:pt idx="15">
                  <c:v>43931</c:v>
                </c:pt>
                <c:pt idx="16">
                  <c:v>43931</c:v>
                </c:pt>
                <c:pt idx="17">
                  <c:v>43931</c:v>
                </c:pt>
                <c:pt idx="18">
                  <c:v>43931</c:v>
                </c:pt>
                <c:pt idx="19">
                  <c:v>43931</c:v>
                </c:pt>
                <c:pt idx="20">
                  <c:v>43931</c:v>
                </c:pt>
              </c:numCache>
            </c:numRef>
          </c:xVal>
          <c:yVal>
            <c:numRef>
              <c:f>Tasks!$U$3:$U$23</c:f>
              <c:numCache>
                <c:formatCode>General</c:formatCode>
                <c:ptCount val="21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66-45D8-A542-ED7E8D29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71855"/>
        <c:axId val="778972687"/>
      </c:scatterChart>
      <c:catAx>
        <c:axId val="72419817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8941487"/>
        <c:crosses val="autoZero"/>
        <c:auto val="1"/>
        <c:lblAlgn val="ctr"/>
        <c:lblOffset val="100"/>
        <c:noMultiLvlLbl val="0"/>
      </c:catAx>
      <c:valAx>
        <c:axId val="778941487"/>
        <c:scaling>
          <c:orientation val="minMax"/>
          <c:max val="44040"/>
          <c:min val="4383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d\-mmm\-yyyy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198175"/>
        <c:crosses val="autoZero"/>
        <c:crossBetween val="between"/>
        <c:majorUnit val="15"/>
      </c:valAx>
      <c:valAx>
        <c:axId val="778972687"/>
        <c:scaling>
          <c:orientation val="minMax"/>
          <c:max val="2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778971855"/>
        <c:crosses val="max"/>
        <c:crossBetween val="midCat"/>
      </c:valAx>
      <c:valAx>
        <c:axId val="778971855"/>
        <c:scaling>
          <c:orientation val="minMax"/>
        </c:scaling>
        <c:delete val="1"/>
        <c:axPos val="t"/>
        <c:numFmt formatCode="[$-409]d\-mmm\-yyyy;@" sourceLinked="1"/>
        <c:majorTickMark val="out"/>
        <c:minorTickMark val="none"/>
        <c:tickLblPos val="nextTo"/>
        <c:crossAx val="778972687"/>
        <c:crosses val="max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6" fmlaLink="Lists!$O$3" fmlaRange="Lists!$O$6:$O$10" noThreeD="1" sel="5" val="0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Scroll" dx="26" fmlaLink="Lists!$AF$3" max="17" min="1" page="7"/>
</file>

<file path=xl/ctrlProps/ctrlProp14.xml><?xml version="1.0" encoding="utf-8"?>
<formControlPr xmlns="http://schemas.microsoft.com/office/spreadsheetml/2009/9/main" objectType="GBox"/>
</file>

<file path=xl/ctrlProps/ctrlProp15.xml><?xml version="1.0" encoding="utf-8"?>
<formControlPr xmlns="http://schemas.microsoft.com/office/spreadsheetml/2009/9/main" objectType="Scroll" dx="26" fmlaLink="$N$1" max="500" page="10" val="100"/>
</file>

<file path=xl/ctrlProps/ctrlProp2.xml><?xml version="1.0" encoding="utf-8"?>
<formControlPr xmlns="http://schemas.microsoft.com/office/spreadsheetml/2009/9/main" objectType="CheckBox" checked="Checked" fmlaLink="'Budget Plan'!$B$2" lockText="1" noThreeD="1"/>
</file>

<file path=xl/ctrlProps/ctrlProp3.xml><?xml version="1.0" encoding="utf-8"?>
<formControlPr xmlns="http://schemas.microsoft.com/office/spreadsheetml/2009/9/main" objectType="CheckBox" checked="Checked" fmlaLink="'Budget Plan'!$B$1" lockText="1" noThreeD="1"/>
</file>

<file path=xl/ctrlProps/ctrlProp4.xml><?xml version="1.0" encoding="utf-8"?>
<formControlPr xmlns="http://schemas.microsoft.com/office/spreadsheetml/2009/9/main" objectType="Radio" firstButton="1" fmlaLink="Lists!$B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Scroll" dx="26" fmlaLink="Lists!$C$3" max="17" min="1" page="7"/>
</file>

<file path=xl/ctrlProps/ctrlProp9.xml><?xml version="1.0" encoding="utf-8"?>
<formControlPr xmlns="http://schemas.microsoft.com/office/spreadsheetml/2009/9/main" objectType="Radio" firstButton="1" fmlaLink="Lists!$AE$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19</xdr:row>
      <xdr:rowOff>22860</xdr:rowOff>
    </xdr:from>
    <xdr:to>
      <xdr:col>8</xdr:col>
      <xdr:colOff>279400</xdr:colOff>
      <xdr:row>34</xdr:row>
      <xdr:rowOff>112606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480" y="3494193"/>
          <a:ext cx="4914053" cy="2926080"/>
        </a:xfrm>
        <a:prstGeom prst="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332528</xdr:colOff>
      <xdr:row>3</xdr:row>
      <xdr:rowOff>36406</xdr:rowOff>
    </xdr:from>
    <xdr:to>
      <xdr:col>14</xdr:col>
      <xdr:colOff>327448</xdr:colOff>
      <xdr:row>4</xdr:row>
      <xdr:rowOff>154452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990253" y="522181"/>
          <a:ext cx="4833620" cy="2990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</xdr:row>
          <xdr:rowOff>91440</xdr:rowOff>
        </xdr:from>
        <xdr:to>
          <xdr:col>11</xdr:col>
          <xdr:colOff>556260</xdr:colOff>
          <xdr:row>4</xdr:row>
          <xdr:rowOff>99060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329692</xdr:colOff>
      <xdr:row>4</xdr:row>
      <xdr:rowOff>154871</xdr:rowOff>
    </xdr:from>
    <xdr:to>
      <xdr:col>14</xdr:col>
      <xdr:colOff>330187</xdr:colOff>
      <xdr:row>18</xdr:row>
      <xdr:rowOff>162321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</xdr:row>
          <xdr:rowOff>91440</xdr:rowOff>
        </xdr:from>
        <xdr:to>
          <xdr:col>13</xdr:col>
          <xdr:colOff>640080</xdr:colOff>
          <xdr:row>4</xdr:row>
          <xdr:rowOff>106680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693420</xdr:colOff>
          <xdr:row>3</xdr:row>
          <xdr:rowOff>91440</xdr:rowOff>
        </xdr:from>
        <xdr:to>
          <xdr:col>13</xdr:col>
          <xdr:colOff>1226820</xdr:colOff>
          <xdr:row>4</xdr:row>
          <xdr:rowOff>114300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383541</xdr:colOff>
      <xdr:row>20</xdr:row>
      <xdr:rowOff>15239</xdr:rowOff>
    </xdr:from>
    <xdr:to>
      <xdr:col>13</xdr:col>
      <xdr:colOff>42334</xdr:colOff>
      <xdr:row>25</xdr:row>
      <xdr:rowOff>126999</xdr:rowOff>
    </xdr:to>
    <xdr:sp macro="" textlink="Lists!$AF$2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48674" y="3672839"/>
          <a:ext cx="2537460" cy="1085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3D5CCE3C-E52E-4F97-832A-2DEE2BE829BA}" type="TxLink">
            <a:rPr lang="en-US" sz="2800" b="1" i="0" u="none" strike="noStrike">
              <a:solidFill>
                <a:srgbClr val="C00000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Medium Priotity 
Issues</a:t>
          </a:fld>
          <a:endParaRPr lang="en-US" sz="2800" b="1" i="0" u="none" strike="noStrike">
            <a:solidFill>
              <a:srgbClr val="C00000"/>
            </a:solidFill>
            <a:latin typeface="Impact" panose="020B0806030902050204" pitchFamily="34" charset="0"/>
            <a:ea typeface="+mn-ea"/>
            <a:cs typeface="Calibri"/>
          </a:endParaRPr>
        </a:p>
      </xdr:txBody>
    </xdr:sp>
    <xdr:clientData/>
  </xdr:twoCellAnchor>
  <xdr:twoCellAnchor editAs="oneCell">
    <xdr:from>
      <xdr:col>2</xdr:col>
      <xdr:colOff>198120</xdr:colOff>
      <xdr:row>24</xdr:row>
      <xdr:rowOff>22860</xdr:rowOff>
    </xdr:from>
    <xdr:to>
      <xdr:col>3</xdr:col>
      <xdr:colOff>342900</xdr:colOff>
      <xdr:row>28</xdr:row>
      <xdr:rowOff>114300</xdr:rowOff>
    </xdr:to>
    <xdr:sp macro="" textlink="Lists!$A$16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5780" y="982980"/>
          <a:ext cx="1188720" cy="82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39025AE2-5E17-49ED-85EA-1375C3688ECA}" type="TxLink">
            <a:rPr lang="en-US" sz="4800" b="0" i="0" u="none" strike="noStrike">
              <a:solidFill>
                <a:schemeClr val="accent1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4</a:t>
          </a:fld>
          <a:endParaRPr lang="en-US" sz="4800" b="0" i="0" u="none" strike="noStrike">
            <a:solidFill>
              <a:schemeClr val="accent1"/>
            </a:solidFill>
            <a:latin typeface="Impact" panose="020B0806030902050204" pitchFamily="34" charset="0"/>
            <a:ea typeface="+mn-ea"/>
            <a:cs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30</xdr:row>
          <xdr:rowOff>7620</xdr:rowOff>
        </xdr:from>
        <xdr:to>
          <xdr:col>8</xdr:col>
          <xdr:colOff>182880</xdr:colOff>
          <xdr:row>33</xdr:row>
          <xdr:rowOff>182880</xdr:rowOff>
        </xdr:to>
        <xdr:sp macro="" textlink="">
          <xdr:nvSpPr>
            <xdr:cNvPr id="5136" name="Scroll Bar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335280</xdr:colOff>
      <xdr:row>19</xdr:row>
      <xdr:rowOff>22860</xdr:rowOff>
    </xdr:from>
    <xdr:to>
      <xdr:col>14</xdr:col>
      <xdr:colOff>336973</xdr:colOff>
      <xdr:row>34</xdr:row>
      <xdr:rowOff>112606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000413" y="3494193"/>
          <a:ext cx="4853093" cy="2926080"/>
        </a:xfrm>
        <a:prstGeom prst="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220980</xdr:colOff>
      <xdr:row>24</xdr:row>
      <xdr:rowOff>22860</xdr:rowOff>
    </xdr:from>
    <xdr:to>
      <xdr:col>11</xdr:col>
      <xdr:colOff>380999</xdr:colOff>
      <xdr:row>28</xdr:row>
      <xdr:rowOff>114300</xdr:rowOff>
    </xdr:to>
    <xdr:sp macro="" textlink="Lists!$AE$16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36447" y="5280660"/>
          <a:ext cx="1192953" cy="8365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64E4ADC4-A24E-4A55-96E7-A4DA1AEB3A12}" type="TxLink">
            <a:rPr lang="en-US" sz="4800" b="0" i="0" u="none" strike="noStrike">
              <a:solidFill>
                <a:schemeClr val="accent1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2</a:t>
          </a:fld>
          <a:endParaRPr lang="en-US" sz="4800" b="0" i="0" u="none" strike="noStrike">
            <a:solidFill>
              <a:schemeClr val="accent1"/>
            </a:solidFill>
            <a:latin typeface="Impact" panose="020B080603090205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13</xdr:col>
      <xdr:colOff>91440</xdr:colOff>
      <xdr:row>19</xdr:row>
      <xdr:rowOff>106680</xdr:rowOff>
    </xdr:from>
    <xdr:to>
      <xdr:col>14</xdr:col>
      <xdr:colOff>266700</xdr:colOff>
      <xdr:row>28</xdr:row>
      <xdr:rowOff>106680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635240" y="3578013"/>
          <a:ext cx="2147993" cy="1718734"/>
          <a:chOff x="7543800" y="106680"/>
          <a:chExt cx="2148840" cy="1691640"/>
        </a:xfrm>
      </xdr:grpSpPr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aphicFramePr>
            <a:graphicFrameLocks/>
          </xdr:cNvGraphicFramePr>
        </xdr:nvGraphicFramePr>
        <xdr:xfrm>
          <a:off x="7543800" y="106680"/>
          <a:ext cx="2148840" cy="14630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Option Button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7802880" y="1569720"/>
                <a:ext cx="228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669900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Option Button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8481060" y="1569720"/>
                <a:ext cx="228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CC00" mc:Ignorable="a14" a14:legacySpreadsheetColorIndex="51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Option Button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9220200" y="1569720"/>
                <a:ext cx="228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CC0000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457200</xdr:colOff>
      <xdr:row>19</xdr:row>
      <xdr:rowOff>60960</xdr:rowOff>
    </xdr:from>
    <xdr:to>
      <xdr:col>8</xdr:col>
      <xdr:colOff>136781</xdr:colOff>
      <xdr:row>26</xdr:row>
      <xdr:rowOff>161538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152400</xdr:colOff>
          <xdr:row>27</xdr:row>
          <xdr:rowOff>45720</xdr:rowOff>
        </xdr:from>
        <xdr:to>
          <xdr:col>5</xdr:col>
          <xdr:colOff>396240</xdr:colOff>
          <xdr:row>28</xdr:row>
          <xdr:rowOff>91440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777240</xdr:colOff>
          <xdr:row>27</xdr:row>
          <xdr:rowOff>45720</xdr:rowOff>
        </xdr:from>
        <xdr:to>
          <xdr:col>6</xdr:col>
          <xdr:colOff>144780</xdr:colOff>
          <xdr:row>28</xdr:row>
          <xdr:rowOff>91440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510540</xdr:colOff>
          <xdr:row>27</xdr:row>
          <xdr:rowOff>45720</xdr:rowOff>
        </xdr:from>
        <xdr:to>
          <xdr:col>6</xdr:col>
          <xdr:colOff>746760</xdr:colOff>
          <xdr:row>28</xdr:row>
          <xdr:rowOff>91440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00" mc:Ignorable="a14" a14:legacySpreadsheetColorIndex="5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198120</xdr:colOff>
          <xdr:row>27</xdr:row>
          <xdr:rowOff>45720</xdr:rowOff>
        </xdr:from>
        <xdr:to>
          <xdr:col>7</xdr:col>
          <xdr:colOff>434340</xdr:colOff>
          <xdr:row>28</xdr:row>
          <xdr:rowOff>91440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6699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26</xdr:row>
          <xdr:rowOff>160020</xdr:rowOff>
        </xdr:from>
        <xdr:to>
          <xdr:col>8</xdr:col>
          <xdr:colOff>144780</xdr:colOff>
          <xdr:row>28</xdr:row>
          <xdr:rowOff>137160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38100</xdr:colOff>
      <xdr:row>20</xdr:row>
      <xdr:rowOff>0</xdr:rowOff>
    </xdr:from>
    <xdr:to>
      <xdr:col>4</xdr:col>
      <xdr:colOff>182880</xdr:colOff>
      <xdr:row>27</xdr:row>
      <xdr:rowOff>15240</xdr:rowOff>
    </xdr:to>
    <xdr:sp macro="" textlink="Lists!$C$2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182880"/>
          <a:ext cx="1935480" cy="1341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2802E8B0-5769-46BE-89F9-4C5C47ACF7D6}" type="TxLink">
            <a:rPr lang="en-US" sz="2800" b="1" i="0" u="none" strike="noStrike">
              <a:solidFill>
                <a:srgbClr val="C00000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Done 
Tasks</a:t>
          </a:fld>
          <a:endParaRPr lang="en-US" sz="2800" b="1" i="0" u="none" strike="noStrike">
            <a:solidFill>
              <a:srgbClr val="C00000"/>
            </a:solidFill>
            <a:latin typeface="Impact" panose="020B0806030902050204" pitchFamily="34" charset="0"/>
            <a:ea typeface="+mn-ea"/>
            <a:cs typeface="Calibri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30</xdr:row>
          <xdr:rowOff>30480</xdr:rowOff>
        </xdr:from>
        <xdr:to>
          <xdr:col>14</xdr:col>
          <xdr:colOff>175260</xdr:colOff>
          <xdr:row>34</xdr:row>
          <xdr:rowOff>15240</xdr:rowOff>
        </xdr:to>
        <xdr:sp macro="" textlink="">
          <xdr:nvSpPr>
            <xdr:cNvPr id="5141" name="Scroll Bar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57150</xdr:rowOff>
    </xdr:from>
    <xdr:to>
      <xdr:col>14</xdr:col>
      <xdr:colOff>323850</xdr:colOff>
      <xdr:row>2</xdr:row>
      <xdr:rowOff>121920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47625" y="57150"/>
          <a:ext cx="9772650" cy="42672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 b="1" baseline="0">
              <a:latin typeface="Tw Cen MT" panose="020B0602020104020603" pitchFamily="34" charset="0"/>
            </a:rPr>
            <a:t>X Project Dashboard</a:t>
          </a:r>
        </a:p>
      </xdr:txBody>
    </xdr:sp>
    <xdr:clientData/>
  </xdr:twoCellAnchor>
  <xdr:twoCellAnchor>
    <xdr:from>
      <xdr:col>0</xdr:col>
      <xdr:colOff>59266</xdr:colOff>
      <xdr:row>3</xdr:row>
      <xdr:rowOff>38946</xdr:rowOff>
    </xdr:from>
    <xdr:to>
      <xdr:col>8</xdr:col>
      <xdr:colOff>254000</xdr:colOff>
      <xdr:row>8</xdr:row>
      <xdr:rowOff>25399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9266" y="530013"/>
          <a:ext cx="4859867" cy="917786"/>
          <a:chOff x="42334" y="504613"/>
          <a:chExt cx="4141173" cy="866982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/>
        </xdr:nvGrpSpPr>
        <xdr:grpSpPr>
          <a:xfrm>
            <a:off x="42334" y="504613"/>
            <a:ext cx="1380067" cy="866982"/>
            <a:chOff x="143934" y="580813"/>
            <a:chExt cx="1380067" cy="866982"/>
          </a:xfrm>
        </xdr:grpSpPr>
        <xdr:sp macro="" textlink="">
          <xdr:nvSpPr>
            <xdr:cNvPr id="45" name="Rectangl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>
            <a:xfrm>
              <a:off x="143934" y="604520"/>
              <a:ext cx="1380067" cy="79248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 baseline="0"/>
            </a:p>
          </xdr:txBody>
        </xdr:sp>
        <xdr:sp macro="" textlink="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165101" y="580813"/>
              <a:ext cx="1337733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r>
                <a:rPr lang="en-US" sz="2800" b="0" i="0" u="none" strike="noStrike">
                  <a:solidFill>
                    <a:srgbClr val="C00000"/>
                  </a:solidFill>
                  <a:latin typeface="Impact" panose="020B0806030902050204" pitchFamily="34" charset="0"/>
                  <a:ea typeface="+mn-ea"/>
                  <a:cs typeface="Calibri"/>
                </a:rPr>
                <a:t>Budget</a:t>
              </a:r>
            </a:p>
          </xdr:txBody>
        </xdr:sp>
        <xdr:sp macro="" textlink="'Budget Plan'!C10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 txBox="1"/>
          </xdr:nvSpPr>
          <xdr:spPr>
            <a:xfrm>
              <a:off x="179705" y="944875"/>
              <a:ext cx="1308524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06EFAF8A-2B47-4364-8EE4-8B54616EA497}" type="TxLink">
                <a:rPr lang="en-US" sz="1600" b="0" i="0" u="none" strike="noStrike">
                  <a:solidFill>
                    <a:schemeClr val="accent1"/>
                  </a:solidFill>
                  <a:latin typeface="Impact" panose="020B0806030902050204" pitchFamily="34" charset="0"/>
                  <a:ea typeface="+mn-ea"/>
                  <a:cs typeface="Calibri"/>
                </a:rPr>
                <a:pPr marL="0" indent="0" algn="ctr"/>
                <a:t> $2,900,000 </a:t>
              </a:fld>
              <a:endParaRPr lang="en-US" sz="4000" b="0" i="0" u="none" strike="noStrike">
                <a:solidFill>
                  <a:schemeClr val="accent1"/>
                </a:solidFill>
                <a:latin typeface="Impact" panose="020B0806030902050204" pitchFamily="34" charset="0"/>
                <a:ea typeface="+mn-ea"/>
                <a:cs typeface="Calibri"/>
              </a:endParaRPr>
            </a:p>
          </xdr:txBody>
        </xdr: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/>
        </xdr:nvGrpSpPr>
        <xdr:grpSpPr>
          <a:xfrm>
            <a:off x="1447800" y="504613"/>
            <a:ext cx="1380067" cy="866982"/>
            <a:chOff x="1447800" y="504613"/>
            <a:chExt cx="1380067" cy="866982"/>
          </a:xfrm>
        </xdr:grpSpPr>
        <xdr:sp macro="" textlink="">
          <xdr:nvSpPr>
            <xdr:cNvPr id="49" name="Rectangl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>
            <a:xfrm>
              <a:off x="1447800" y="528320"/>
              <a:ext cx="1380067" cy="79248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 baseline="0"/>
            </a:p>
          </xdr:txBody>
        </xdr:sp>
        <xdr:sp macro="" textlink="">
          <xdr:nvSpPr>
            <xdr:cNvPr id="50" name="TextBox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1468967" y="504613"/>
              <a:ext cx="1337733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r>
                <a:rPr lang="en-US" sz="2800" b="0" i="0" u="none" strike="noStrike">
                  <a:solidFill>
                    <a:srgbClr val="C00000"/>
                  </a:solidFill>
                  <a:latin typeface="Impact" panose="020B0806030902050204" pitchFamily="34" charset="0"/>
                  <a:ea typeface="+mn-ea"/>
                  <a:cs typeface="Calibri"/>
                </a:rPr>
                <a:t>Plan</a:t>
              </a:r>
            </a:p>
          </xdr:txBody>
        </xdr:sp>
        <xdr:sp macro="" textlink="'Budget Plan'!H1">
          <xdr:nvSpPr>
            <xdr:cNvPr id="51" name="TextBox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1483571" y="868675"/>
              <a:ext cx="1308524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5E8896D7-5520-4878-B9B1-BA308B501E31}" type="TxLink">
                <a:rPr lang="en-US" sz="1600" b="0" i="0" u="none" strike="noStrike">
                  <a:solidFill>
                    <a:schemeClr val="accent1"/>
                  </a:solidFill>
                  <a:latin typeface="Impact" panose="020B0806030902050204" pitchFamily="34" charset="0"/>
                  <a:ea typeface="+mn-ea"/>
                  <a:cs typeface="Calibri"/>
                </a:rPr>
                <a:pPr marL="0" indent="0" algn="ctr"/>
                <a:t> $2,085,000 </a:t>
              </a:fld>
              <a:endParaRPr lang="en-US" sz="1600" b="0" i="0" u="none" strike="noStrike">
                <a:solidFill>
                  <a:schemeClr val="accent1"/>
                </a:solidFill>
                <a:latin typeface="Impact" panose="020B0806030902050204" pitchFamily="34" charset="0"/>
                <a:ea typeface="+mn-ea"/>
                <a:cs typeface="Calibri"/>
              </a:endParaRPr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2853265" y="504613"/>
            <a:ext cx="1330242" cy="866982"/>
            <a:chOff x="2853265" y="504613"/>
            <a:chExt cx="1330242" cy="866982"/>
          </a:xfrm>
        </xdr:grpSpPr>
        <xdr:sp macro="" textlink="">
          <xdr:nvSpPr>
            <xdr:cNvPr id="53" name="Rectangl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>
            <a:xfrm>
              <a:off x="2853265" y="528320"/>
              <a:ext cx="1330242" cy="79248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 baseline="0"/>
            </a:p>
          </xdr:txBody>
        </xdr: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2873914" y="504613"/>
              <a:ext cx="1304906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r>
                <a:rPr lang="en-US" sz="2800" b="0" i="0" u="none" strike="noStrike">
                  <a:solidFill>
                    <a:srgbClr val="C00000"/>
                  </a:solidFill>
                  <a:latin typeface="Impact" panose="020B0806030902050204" pitchFamily="34" charset="0"/>
                  <a:ea typeface="+mn-ea"/>
                  <a:cs typeface="Calibri"/>
                </a:rPr>
                <a:t>Acutal</a:t>
              </a:r>
            </a:p>
          </xdr:txBody>
        </xdr:sp>
        <xdr:sp macro="" textlink="'Budget Plan'!H2">
          <xdr:nvSpPr>
            <xdr:cNvPr id="55" name="TextBox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2888159" y="868675"/>
              <a:ext cx="1276414" cy="5029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05A15F4F-D0CF-4EE4-A4F5-73142237D23A}" type="TxLink">
                <a:rPr lang="en-US" sz="1600" b="0" i="0" u="none" strike="noStrike">
                  <a:solidFill>
                    <a:schemeClr val="accent1"/>
                  </a:solidFill>
                  <a:latin typeface="Impact" panose="020B0806030902050204" pitchFamily="34" charset="0"/>
                  <a:ea typeface="+mn-ea"/>
                  <a:cs typeface="Calibri"/>
                </a:rPr>
                <a:pPr marL="0" indent="0" algn="ctr"/>
                <a:t> $1,855,000 </a:t>
              </a:fld>
              <a:endParaRPr lang="en-US" sz="1600" b="0" i="0" u="none" strike="noStrike">
                <a:solidFill>
                  <a:schemeClr val="accent1"/>
                </a:solidFill>
                <a:latin typeface="Impact" panose="020B0806030902050204" pitchFamily="34" charset="0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 editAs="oneCell">
    <xdr:from>
      <xdr:col>13</xdr:col>
      <xdr:colOff>180975</xdr:colOff>
      <xdr:row>0</xdr:row>
      <xdr:rowOff>88900</xdr:rowOff>
    </xdr:from>
    <xdr:to>
      <xdr:col>14</xdr:col>
      <xdr:colOff>140759</xdr:colOff>
      <xdr:row>2</xdr:row>
      <xdr:rowOff>97367</xdr:rowOff>
    </xdr:to>
    <xdr:sp macro="" textlink="Tasks!M1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705725" y="88900"/>
          <a:ext cx="1931459" cy="370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638FD2F2-33CC-44B4-BE1C-8346924C2B10}" type="TxLink">
            <a:rPr lang="en-US" sz="1800" b="1" i="0" u="none" strike="noStrike">
              <a:solidFill>
                <a:schemeClr val="bg1"/>
              </a:solidFill>
              <a:latin typeface="Tw Cen MT" panose="020B0602020104020603" pitchFamily="34" charset="0"/>
              <a:cs typeface="Calibri"/>
            </a:rPr>
            <a:pPr algn="r"/>
            <a:t>10-Apr-2020</a:t>
          </a:fld>
          <a:endParaRPr lang="en-US" sz="1800">
            <a:solidFill>
              <a:schemeClr val="bg1"/>
            </a:solidFill>
            <a:latin typeface="Tw Cen MT" panose="020B0602020104020603" pitchFamily="34" charset="0"/>
          </a:endParaRPr>
        </a:p>
      </xdr:txBody>
    </xdr:sp>
    <xdr:clientData/>
  </xdr:twoCellAnchor>
  <xdr:twoCellAnchor>
    <xdr:from>
      <xdr:col>14</xdr:col>
      <xdr:colOff>414869</xdr:colOff>
      <xdr:row>0</xdr:row>
      <xdr:rowOff>0</xdr:rowOff>
    </xdr:from>
    <xdr:to>
      <xdr:col>22</xdr:col>
      <xdr:colOff>8468</xdr:colOff>
      <xdr:row>35</xdr:row>
      <xdr:rowOff>25400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59269</xdr:colOff>
      <xdr:row>8</xdr:row>
      <xdr:rowOff>50800</xdr:rowOff>
    </xdr:from>
    <xdr:to>
      <xdr:col>3</xdr:col>
      <xdr:colOff>242149</xdr:colOff>
      <xdr:row>22</xdr:row>
      <xdr:rowOff>9735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347134</xdr:colOff>
      <xdr:row>8</xdr:row>
      <xdr:rowOff>50800</xdr:rowOff>
    </xdr:from>
    <xdr:to>
      <xdr:col>5</xdr:col>
      <xdr:colOff>834814</xdr:colOff>
      <xdr:row>22</xdr:row>
      <xdr:rowOff>6773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67732</xdr:colOff>
      <xdr:row>8</xdr:row>
      <xdr:rowOff>50800</xdr:rowOff>
    </xdr:from>
    <xdr:to>
      <xdr:col>8</xdr:col>
      <xdr:colOff>267546</xdr:colOff>
      <xdr:row>22</xdr:row>
      <xdr:rowOff>6773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27</xdr:row>
          <xdr:rowOff>60960</xdr:rowOff>
        </xdr:from>
        <xdr:to>
          <xdr:col>14</xdr:col>
          <xdr:colOff>266700</xdr:colOff>
          <xdr:row>28</xdr:row>
          <xdr:rowOff>137160</xdr:rowOff>
        </xdr:to>
        <xdr:sp macro="" textlink="">
          <xdr:nvSpPr>
            <xdr:cNvPr id="5142" name="Group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</xdr:colOff>
      <xdr:row>3</xdr:row>
      <xdr:rowOff>39793</xdr:rowOff>
    </xdr:from>
    <xdr:to>
      <xdr:col>8</xdr:col>
      <xdr:colOff>279400</xdr:colOff>
      <xdr:row>18</xdr:row>
      <xdr:rowOff>171873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0480" y="530860"/>
          <a:ext cx="4914053" cy="2926080"/>
        </a:xfrm>
        <a:prstGeom prst="rect">
          <a:avLst/>
        </a:prstGeom>
        <a:noFill/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0.09797</cdr:y>
    </cdr:to>
    <cdr:sp macro="" textlink="Lists!$O$4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5DBA945-F7D1-4457-B382-697A3EA98A35}"/>
            </a:ext>
          </a:extLst>
        </cdr:cNvPr>
        <cdr:cNvSpPr/>
      </cdr:nvSpPr>
      <cdr:spPr>
        <a:xfrm xmlns:a="http://schemas.openxmlformats.org/drawingml/2006/main">
          <a:off x="0" y="0"/>
          <a:ext cx="4472940" cy="27174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9284AAB7-3A13-4A90-903E-6D3C0106B30C}" type="TxLink">
            <a:rPr lang="en-US" sz="16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pPr algn="ctr"/>
            <a:t>Total</a:t>
          </a:fld>
          <a:endParaRPr lang="en-US" sz="1600" b="0">
            <a:solidFill>
              <a:schemeClr val="bg1"/>
            </a:solidFill>
            <a:latin typeface="Impact" panose="020B080603090205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0.19792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652810D-DFC8-413F-BC25-9BA8068FEFF2}"/>
            </a:ext>
          </a:extLst>
        </cdr:cNvPr>
        <cdr:cNvSpPr/>
      </cdr:nvSpPr>
      <cdr:spPr>
        <a:xfrm xmlns:a="http://schemas.openxmlformats.org/drawingml/2006/main">
          <a:off x="0" y="0"/>
          <a:ext cx="2148840" cy="28956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Opened</a:t>
          </a:r>
          <a:r>
            <a:rPr lang="en-US" sz="1600" b="0" i="0" u="none" strike="noStrike" baseline="0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 Issues</a:t>
          </a:r>
          <a:endParaRPr lang="en-US" sz="1600" b="0">
            <a:solidFill>
              <a:schemeClr val="bg1"/>
            </a:solidFill>
            <a:latin typeface="Impact" panose="020B080603090205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0.19251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F240AFD-89EA-47B2-A8F2-25C1811189E0}"/>
            </a:ext>
          </a:extLst>
        </cdr:cNvPr>
        <cdr:cNvSpPr/>
      </cdr:nvSpPr>
      <cdr:spPr>
        <a:xfrm xmlns:a="http://schemas.openxmlformats.org/drawingml/2006/main">
          <a:off x="0" y="0"/>
          <a:ext cx="2324100" cy="27432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0" i="0" u="none" strike="noStrike">
              <a:solidFill>
                <a:schemeClr val="bg1"/>
              </a:solidFill>
              <a:latin typeface="Impact" panose="020B0806030902050204" pitchFamily="34" charset="0"/>
              <a:cs typeface="Calibri"/>
            </a:rPr>
            <a:t>Tasks Status</a:t>
          </a:r>
          <a:endParaRPr lang="en-US" sz="1600" b="0">
            <a:solidFill>
              <a:schemeClr val="bg1"/>
            </a:solidFill>
            <a:latin typeface="Impact" panose="020B0806030902050204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0.61658</cdr:y>
    </cdr:from>
    <cdr:to>
      <cdr:x>1</cdr:x>
      <cdr:y>0.71534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3107947-2354-4A61-9B9D-BFBD4F2D2BB3}"/>
            </a:ext>
          </a:extLst>
        </cdr:cNvPr>
        <cdr:cNvSpPr/>
      </cdr:nvSpPr>
      <cdr:spPr>
        <a:xfrm xmlns:a="http://schemas.openxmlformats.org/drawingml/2006/main">
          <a:off x="0" y="1608666"/>
          <a:ext cx="1554480" cy="25766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0" u="none" strike="noStrike">
              <a:solidFill>
                <a:schemeClr val="bg1"/>
              </a:solidFill>
              <a:latin typeface="Tw Cen MT" panose="020B0602020104020603" pitchFamily="34" charset="0"/>
              <a:cs typeface="Calibri"/>
            </a:rPr>
            <a:t>Scope</a:t>
          </a:r>
          <a:endParaRPr lang="en-US" sz="1600" b="1">
            <a:solidFill>
              <a:schemeClr val="bg1"/>
            </a:solidFill>
            <a:latin typeface="Tw Cen MT" panose="020B0602020104020603" pitchFamily="34" charset="0"/>
          </a:endParaRPr>
        </a:p>
      </cdr:txBody>
    </cdr:sp>
  </cdr:relSizeAnchor>
  <cdr:relSizeAnchor xmlns:cdr="http://schemas.openxmlformats.org/drawingml/2006/chartDrawing">
    <cdr:from>
      <cdr:x>0.05514</cdr:x>
      <cdr:y>0.38443</cdr:y>
    </cdr:from>
    <cdr:to>
      <cdr:x>0.92203</cdr:x>
      <cdr:y>0.48195</cdr:y>
    </cdr:to>
    <cdr:sp macro="" textlink="SpeedoMeters!$B$3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8837D8D7-9052-4EF4-A93D-ADFA6FB30DE6}"/>
            </a:ext>
          </a:extLst>
        </cdr:cNvPr>
        <cdr:cNvSpPr/>
      </cdr:nvSpPr>
      <cdr:spPr>
        <a:xfrm xmlns:a="http://schemas.openxmlformats.org/drawingml/2006/main">
          <a:off x="85708" y="1002973"/>
          <a:ext cx="1347563" cy="254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038E649-C4E0-4D2F-B118-7A54B1FFE199}" type="TxLink">
            <a:rPr lang="en-US" sz="2400" b="0" i="0" u="none" strike="noStrike">
              <a:solidFill>
                <a:schemeClr val="accent1"/>
              </a:solidFill>
              <a:latin typeface="Impact" panose="020B0806030902050204" pitchFamily="34" charset="0"/>
              <a:cs typeface="Calibri"/>
            </a:rPr>
            <a:pPr algn="ctr"/>
            <a:t>86%</a:t>
          </a:fld>
          <a:endParaRPr lang="en-US" sz="3600" b="1">
            <a:solidFill>
              <a:schemeClr val="accent1"/>
            </a:solidFill>
            <a:latin typeface="Impact" panose="020B080603090205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0.0007</cdr:x>
      <cdr:y>0.61728</cdr:y>
    </cdr:from>
    <cdr:to>
      <cdr:x>1</cdr:x>
      <cdr:y>0.71615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B5C2A18-8A8F-45C0-8898-8FEDFC8533B3}"/>
            </a:ext>
          </a:extLst>
        </cdr:cNvPr>
        <cdr:cNvSpPr/>
      </cdr:nvSpPr>
      <cdr:spPr>
        <a:xfrm xmlns:a="http://schemas.openxmlformats.org/drawingml/2006/main">
          <a:off x="1086" y="1608667"/>
          <a:ext cx="1553394" cy="25766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0" u="none" strike="noStrike">
              <a:solidFill>
                <a:schemeClr val="bg1"/>
              </a:solidFill>
              <a:latin typeface="Tw Cen MT" panose="020B0602020104020603" pitchFamily="34" charset="0"/>
              <a:cs typeface="Calibri"/>
            </a:rPr>
            <a:t>Time</a:t>
          </a:r>
          <a:endParaRPr lang="en-US" sz="1600" b="1">
            <a:solidFill>
              <a:schemeClr val="bg1"/>
            </a:solidFill>
            <a:latin typeface="Tw Cen MT" panose="020B0602020104020603" pitchFamily="34" charset="0"/>
          </a:endParaRPr>
        </a:p>
      </cdr:txBody>
    </cdr:sp>
  </cdr:relSizeAnchor>
  <cdr:relSizeAnchor xmlns:cdr="http://schemas.openxmlformats.org/drawingml/2006/chartDrawing">
    <cdr:from>
      <cdr:x>0.05745</cdr:x>
      <cdr:y>0.40286</cdr:y>
    </cdr:from>
    <cdr:to>
      <cdr:x>0.92373</cdr:x>
      <cdr:y>0.50049</cdr:y>
    </cdr:to>
    <cdr:sp macro="" textlink="SpeedoMeters!$F$3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C3E4D179-0C9F-42D8-9CDC-954F0566663A}"/>
            </a:ext>
          </a:extLst>
        </cdr:cNvPr>
        <cdr:cNvSpPr/>
      </cdr:nvSpPr>
      <cdr:spPr>
        <a:xfrm xmlns:a="http://schemas.openxmlformats.org/drawingml/2006/main">
          <a:off x="89299" y="1049867"/>
          <a:ext cx="1346621" cy="254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/>
          <a:fld id="{63EADF61-FF70-4A21-9E76-0E734EC0B8D5}" type="TxLink">
            <a:rPr lang="en-US" sz="2400" b="0" i="0" u="none" strike="noStrike">
              <a:solidFill>
                <a:schemeClr val="accent1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51%</a:t>
          </a:fld>
          <a:endParaRPr lang="en-US" sz="2400" b="0" i="0" u="none" strike="noStrike">
            <a:solidFill>
              <a:schemeClr val="accent1"/>
            </a:solidFill>
            <a:latin typeface="Impact" panose="020B0806030902050204" pitchFamily="34" charset="0"/>
            <a:ea typeface="+mn-ea"/>
            <a:cs typeface="Calibri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0.0007</cdr:x>
      <cdr:y>0.62053</cdr:y>
    </cdr:from>
    <cdr:to>
      <cdr:x>1</cdr:x>
      <cdr:y>0.7194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7575BD36-37F5-4A28-B922-8136335F28CC}"/>
            </a:ext>
          </a:extLst>
        </cdr:cNvPr>
        <cdr:cNvSpPr/>
      </cdr:nvSpPr>
      <cdr:spPr>
        <a:xfrm xmlns:a="http://schemas.openxmlformats.org/drawingml/2006/main">
          <a:off x="1086" y="1617133"/>
          <a:ext cx="1553394" cy="25766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0" u="none" strike="noStrike">
              <a:solidFill>
                <a:schemeClr val="bg1"/>
              </a:solidFill>
              <a:latin typeface="Tw Cen MT" panose="020B0602020104020603" pitchFamily="34" charset="0"/>
              <a:cs typeface="Calibri"/>
            </a:rPr>
            <a:t>Cost</a:t>
          </a:r>
          <a:endParaRPr lang="en-US" sz="1600" b="1">
            <a:solidFill>
              <a:schemeClr val="bg1"/>
            </a:solidFill>
            <a:latin typeface="Tw Cen MT" panose="020B0602020104020603" pitchFamily="34" charset="0"/>
          </a:endParaRPr>
        </a:p>
      </cdr:txBody>
    </cdr:sp>
  </cdr:relSizeAnchor>
  <cdr:relSizeAnchor xmlns:cdr="http://schemas.openxmlformats.org/drawingml/2006/chartDrawing">
    <cdr:from>
      <cdr:x>0.08962</cdr:x>
      <cdr:y>0.4191</cdr:y>
    </cdr:from>
    <cdr:to>
      <cdr:x>0.95591</cdr:x>
      <cdr:y>0.51673</cdr:y>
    </cdr:to>
    <cdr:sp macro="" textlink="SpeedoMeters!$J$3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772E345-A7AB-4903-A182-D998B477B631}"/>
            </a:ext>
          </a:extLst>
        </cdr:cNvPr>
        <cdr:cNvSpPr/>
      </cdr:nvSpPr>
      <cdr:spPr>
        <a:xfrm xmlns:a="http://schemas.openxmlformats.org/drawingml/2006/main">
          <a:off x="139315" y="1092200"/>
          <a:ext cx="1346621" cy="254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/>
          <a:fld id="{3A133DAB-1756-4613-8BB2-3183348A85CC}" type="TxLink">
            <a:rPr lang="en-US" sz="2400" b="0" i="0" u="none" strike="noStrike">
              <a:solidFill>
                <a:schemeClr val="accent1"/>
              </a:solidFill>
              <a:latin typeface="Impact" panose="020B0806030902050204" pitchFamily="34" charset="0"/>
              <a:ea typeface="+mn-ea"/>
              <a:cs typeface="Calibri"/>
            </a:rPr>
            <a:pPr marL="0" indent="0" algn="ctr"/>
            <a:t>64%</a:t>
          </a:fld>
          <a:endParaRPr lang="en-US" sz="2400" b="0" i="0" u="none" strike="noStrike">
            <a:solidFill>
              <a:schemeClr val="accent1"/>
            </a:solidFill>
            <a:latin typeface="Impact" panose="020B0806030902050204" pitchFamily="34" charset="0"/>
            <a:ea typeface="+mn-ea"/>
            <a:cs typeface="Calibri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22860</xdr:rowOff>
    </xdr:from>
    <xdr:to>
      <xdr:col>5</xdr:col>
      <xdr:colOff>220980</xdr:colOff>
      <xdr:row>0</xdr:row>
      <xdr:rowOff>567267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" y="22860"/>
          <a:ext cx="4734560" cy="544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 u="none">
              <a:solidFill>
                <a:schemeClr val="tx1">
                  <a:lumMod val="75000"/>
                  <a:lumOff val="25000"/>
                </a:schemeClr>
              </a:solidFill>
              <a:latin typeface="Tw Cen MT" panose="020B0602020104020603" pitchFamily="34" charset="0"/>
            </a:rPr>
            <a:t>Project</a:t>
          </a:r>
          <a:r>
            <a:rPr lang="en-US" sz="3600" b="1" u="none">
              <a:solidFill>
                <a:schemeClr val="tx1">
                  <a:lumMod val="75000"/>
                  <a:lumOff val="25000"/>
                </a:schemeClr>
              </a:solidFill>
              <a:latin typeface="Tw Cen MT" panose="020B0602020104020603" pitchFamily="34" charset="0"/>
            </a:rPr>
            <a:t> Tracker</a:t>
          </a:r>
        </a:p>
      </xdr:txBody>
    </xdr:sp>
    <xdr:clientData/>
  </xdr:twoCellAnchor>
  <xdr:twoCellAnchor>
    <xdr:from>
      <xdr:col>0</xdr:col>
      <xdr:colOff>0</xdr:colOff>
      <xdr:row>25</xdr:row>
      <xdr:rowOff>4021</xdr:rowOff>
    </xdr:from>
    <xdr:to>
      <xdr:col>15</xdr:col>
      <xdr:colOff>1018540</xdr:colOff>
      <xdr:row>85</xdr:row>
      <xdr:rowOff>33867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845820</xdr:colOff>
          <xdr:row>0</xdr:row>
          <xdr:rowOff>15240</xdr:rowOff>
        </xdr:from>
        <xdr:to>
          <xdr:col>13</xdr:col>
          <xdr:colOff>274320</xdr:colOff>
          <xdr:row>0</xdr:row>
          <xdr:rowOff>563880</xdr:rowOff>
        </xdr:to>
        <xdr:sp macro="" textlink="">
          <xdr:nvSpPr>
            <xdr:cNvPr id="6145" name="Scroll Ba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9EECA7-1C58-4417-A93D-648F8682C93A}" name="Table4" displayName="Table4" ref="AB2:AB4" totalsRowShown="0" headerRowDxfId="4" headerRowBorderDxfId="3" tableBorderDxfId="2">
  <autoFilter ref="AB2:AB4" xr:uid="{3426F9D3-637D-4A29-86F7-612F8AB34F6F}"/>
  <tableColumns count="1">
    <tableColumn id="1" xr3:uid="{C15E0E20-661C-45F7-A50A-14ECE250AC64}" name="Holiday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6D8-905D-4FA9-9E82-9A04313DBA1A}">
  <dimension ref="B3:N34"/>
  <sheetViews>
    <sheetView showGridLines="0" tabSelected="1" zoomScale="90" zoomScaleNormal="90" workbookViewId="0">
      <selection activeCell="N37" sqref="N37"/>
    </sheetView>
  </sheetViews>
  <sheetFormatPr defaultRowHeight="14.4" x14ac:dyDescent="0.3"/>
  <cols>
    <col min="1" max="1" width="1.6640625" customWidth="1"/>
    <col min="2" max="2" width="3.109375" bestFit="1" customWidth="1"/>
    <col min="3" max="3" width="15.21875" bestFit="1" customWidth="1"/>
    <col min="4" max="5" width="7.77734375" customWidth="1"/>
    <col min="6" max="6" width="12.6640625" customWidth="1"/>
    <col min="7" max="7" width="12.21875" customWidth="1"/>
    <col min="8" max="8" width="7.5546875" customWidth="1"/>
    <col min="9" max="9" width="6.5546875" customWidth="1"/>
    <col min="10" max="10" width="3.109375" bestFit="1" customWidth="1"/>
    <col min="11" max="11" width="15" customWidth="1"/>
    <col min="12" max="12" width="8.33203125" bestFit="1" customWidth="1"/>
    <col min="14" max="14" width="28.77734375" customWidth="1"/>
    <col min="15" max="15" width="26.77734375" customWidth="1"/>
  </cols>
  <sheetData>
    <row r="3" ht="9.6" customHeight="1" x14ac:dyDescent="0.3"/>
    <row r="21" spans="2:14" ht="18" x14ac:dyDescent="0.3">
      <c r="K21" s="6"/>
      <c r="N21" s="6"/>
    </row>
    <row r="29" spans="2:14" x14ac:dyDescent="0.3">
      <c r="C29" t="s">
        <v>97</v>
      </c>
    </row>
    <row r="30" spans="2:14" x14ac:dyDescent="0.3">
      <c r="B30" s="60" t="s">
        <v>1</v>
      </c>
      <c r="C30" s="60" t="s">
        <v>0</v>
      </c>
      <c r="D30" s="60" t="s">
        <v>35</v>
      </c>
      <c r="E30" s="60" t="s">
        <v>34</v>
      </c>
      <c r="F30" s="60" t="s">
        <v>38</v>
      </c>
      <c r="G30" s="60" t="s">
        <v>39</v>
      </c>
      <c r="H30" s="60" t="s">
        <v>65</v>
      </c>
      <c r="J30" s="60" t="s">
        <v>1</v>
      </c>
      <c r="K30" s="9" t="s">
        <v>2</v>
      </c>
      <c r="L30" s="31" t="s">
        <v>29</v>
      </c>
      <c r="M30" s="9" t="s">
        <v>26</v>
      </c>
      <c r="N30" s="9" t="s">
        <v>6</v>
      </c>
    </row>
    <row r="31" spans="2:14" x14ac:dyDescent="0.3">
      <c r="B31" s="61">
        <f>Lists!$C$3</f>
        <v>1</v>
      </c>
      <c r="C31" s="61" t="str">
        <f>INDEX(Lists!$B$17:$W$47,Dashboard!$B31,MATCH(C$30,Lists!$B$16:$W$16,0))</f>
        <v>Activity 01</v>
      </c>
      <c r="D31" s="61" t="str">
        <f>INDEX(Lists!$B$17:$W$47,Dashboard!$B31,MATCH(D$30,Lists!$B$16:$W$16,0))</f>
        <v>BTS</v>
      </c>
      <c r="E31" s="61" t="str">
        <f>INDEX(Lists!$B$17:$W$47,Dashboard!$B31,MATCH(E$30,Lists!$B$16:$W$16,0))</f>
        <v>Civil</v>
      </c>
      <c r="F31" s="72">
        <f>INDEX(Lists!$B$17:$W$47,Dashboard!$B31,MATCH(F$30,Lists!$B$16:$W$16,0))</f>
        <v>43831</v>
      </c>
      <c r="G31" s="72">
        <f>INDEX(Lists!$B$17:$W$47,Dashboard!$B31,MATCH(G$30,Lists!$B$16:$W$16,0))</f>
        <v>43845</v>
      </c>
      <c r="H31" s="62">
        <f>INDEX(Lists!$B$17:$W$47,Dashboard!$B31,MATCH(H$30,Lists!$B$16:$W$16,0))</f>
        <v>1</v>
      </c>
      <c r="J31" s="61">
        <f>Lists!$AF$3</f>
        <v>1</v>
      </c>
      <c r="K31" s="61" t="str">
        <f>INDEX(Lists!$AG$17:$AP$47,Dashboard!$J31,MATCH(K$30,Lists!$AG$16:$AP$16,0))</f>
        <v>Issue#5</v>
      </c>
      <c r="L31" s="63">
        <f>INDEX(Lists!$AG$17:$AP$47,Dashboard!$J31,MATCH(L$30,Lists!$AG$16:$AP$16,0))</f>
        <v>3603.6</v>
      </c>
      <c r="M31" s="61" t="str">
        <f>INDEX(Lists!$AG$17:$AP$47,Dashboard!$J31,MATCH(M$30,Lists!$AG$16:$AP$16,0))</f>
        <v>Ahmad</v>
      </c>
      <c r="N31" s="61" t="str">
        <f>INDEX(Lists!$AG$17:$AP$47,Dashboard!$J31,MATCH(N$30,Lists!$AG$16:$AP$16,0))</f>
        <v>No response from the contractor</v>
      </c>
    </row>
    <row r="32" spans="2:14" x14ac:dyDescent="0.3">
      <c r="B32" s="61">
        <f>B31+1</f>
        <v>2</v>
      </c>
      <c r="C32" s="61" t="str">
        <f>INDEX(Lists!$B$17:$W$47,Dashboard!$B32,MATCH(C$30,Lists!$B$16:$W$16,0))</f>
        <v>Activity 04</v>
      </c>
      <c r="D32" s="61" t="str">
        <f>INDEX(Lists!$B$17:$W$47,Dashboard!$B32,MATCH(D$30,Lists!$B$16:$W$16,0))</f>
        <v>CFA</v>
      </c>
      <c r="E32" s="61" t="str">
        <f>INDEX(Lists!$B$17:$W$47,Dashboard!$B32,MATCH(E$30,Lists!$B$16:$W$16,0))</f>
        <v>Acrhitict</v>
      </c>
      <c r="F32" s="72">
        <f>INDEX(Lists!$B$17:$W$47,Dashboard!$B32,MATCH(F$30,Lists!$B$16:$W$16,0))</f>
        <v>43867</v>
      </c>
      <c r="G32" s="72">
        <f>INDEX(Lists!$B$17:$W$47,Dashboard!$B32,MATCH(G$30,Lists!$B$16:$W$16,0))</f>
        <v>43888</v>
      </c>
      <c r="H32" s="62">
        <f>INDEX(Lists!$B$17:$W$47,Dashboard!$B32,MATCH(H$30,Lists!$B$16:$W$16,0))</f>
        <v>1</v>
      </c>
      <c r="J32" s="61">
        <f>J31+1</f>
        <v>2</v>
      </c>
      <c r="K32" s="61" t="str">
        <f>INDEX(Lists!$AG$17:$AP$47,Dashboard!$J32,MATCH(K$30,Lists!$AG$16:$AP$16,0))</f>
        <v>Issue#13</v>
      </c>
      <c r="L32" s="63">
        <f>INDEX(Lists!$AG$17:$AP$47,Dashboard!$J32,MATCH(L$30,Lists!$AG$16:$AP$16,0))</f>
        <v>2244.3200000000002</v>
      </c>
      <c r="M32" s="61" t="str">
        <f>INDEX(Lists!$AG$17:$AP$47,Dashboard!$J32,MATCH(M$30,Lists!$AG$16:$AP$16,0))</f>
        <v>Ahmad</v>
      </c>
      <c r="N32" s="61" t="str">
        <f>INDEX(Lists!$AG$17:$AP$47,Dashboard!$J32,MATCH(N$30,Lists!$AG$16:$AP$16,0))</f>
        <v>Next week meeting</v>
      </c>
    </row>
    <row r="33" spans="2:14" x14ac:dyDescent="0.3">
      <c r="B33" s="61">
        <f t="shared" ref="B33:B34" si="0">B32+1</f>
        <v>3</v>
      </c>
      <c r="C33" s="61" t="str">
        <f>INDEX(Lists!$B$17:$W$47,Dashboard!$B33,MATCH(C$30,Lists!$B$16:$W$16,0))</f>
        <v>Activity 07</v>
      </c>
      <c r="D33" s="61" t="str">
        <f>INDEX(Lists!$B$17:$W$47,Dashboard!$B33,MATCH(D$30,Lists!$B$16:$W$16,0))</f>
        <v>BTS</v>
      </c>
      <c r="E33" s="61" t="str">
        <f>INDEX(Lists!$B$17:$W$47,Dashboard!$B33,MATCH(E$30,Lists!$B$16:$W$16,0))</f>
        <v>Civil</v>
      </c>
      <c r="F33" s="72">
        <f>INDEX(Lists!$B$17:$W$47,Dashboard!$B33,MATCH(F$30,Lists!$B$16:$W$16,0))</f>
        <v>43878</v>
      </c>
      <c r="G33" s="72">
        <f>INDEX(Lists!$B$17:$W$47,Dashboard!$B33,MATCH(G$30,Lists!$B$16:$W$16,0))</f>
        <v>43895</v>
      </c>
      <c r="H33" s="62">
        <f>INDEX(Lists!$B$17:$W$47,Dashboard!$B33,MATCH(H$30,Lists!$B$16:$W$16,0))</f>
        <v>1</v>
      </c>
      <c r="J33" s="61">
        <f t="shared" ref="J33:J34" si="1">J32+1</f>
        <v>3</v>
      </c>
      <c r="K33" s="61" t="str">
        <f>INDEX(Lists!$AG$17:$AP$47,Dashboard!$J33,MATCH(K$30,Lists!$AG$16:$AP$16,0))</f>
        <v/>
      </c>
      <c r="L33" s="63" t="str">
        <f>INDEX(Lists!$AG$17:$AP$47,Dashboard!$J33,MATCH(L$30,Lists!$AG$16:$AP$16,0))</f>
        <v/>
      </c>
      <c r="M33" s="61" t="str">
        <f>INDEX(Lists!$AG$17:$AP$47,Dashboard!$J33,MATCH(M$30,Lists!$AG$16:$AP$16,0))</f>
        <v/>
      </c>
      <c r="N33" s="61" t="str">
        <f>INDEX(Lists!$AG$17:$AP$47,Dashboard!$J33,MATCH(N$30,Lists!$AG$16:$AP$16,0))</f>
        <v/>
      </c>
    </row>
    <row r="34" spans="2:14" x14ac:dyDescent="0.3">
      <c r="B34" s="61">
        <f t="shared" si="0"/>
        <v>4</v>
      </c>
      <c r="C34" s="61" t="str">
        <f>INDEX(Lists!$B$17:$W$47,Dashboard!$B34,MATCH(C$30,Lists!$B$16:$W$16,0))</f>
        <v>Activity 08</v>
      </c>
      <c r="D34" s="61" t="str">
        <f>INDEX(Lists!$B$17:$W$47,Dashboard!$B34,MATCH(D$30,Lists!$B$16:$W$16,0))</f>
        <v>ELC</v>
      </c>
      <c r="E34" s="61" t="str">
        <f>INDEX(Lists!$B$17:$W$47,Dashboard!$B34,MATCH(E$30,Lists!$B$16:$W$16,0))</f>
        <v>Electrical</v>
      </c>
      <c r="F34" s="72">
        <f>INDEX(Lists!$B$17:$W$47,Dashboard!$B34,MATCH(F$30,Lists!$B$16:$W$16,0))</f>
        <v>43893</v>
      </c>
      <c r="G34" s="72">
        <f>INDEX(Lists!$B$17:$W$47,Dashboard!$B34,MATCH(G$30,Lists!$B$16:$W$16,0))</f>
        <v>43906</v>
      </c>
      <c r="H34" s="62">
        <f>INDEX(Lists!$B$17:$W$47,Dashboard!$B34,MATCH(H$30,Lists!$B$16:$W$16,0))</f>
        <v>1</v>
      </c>
      <c r="J34" s="61">
        <f t="shared" si="1"/>
        <v>4</v>
      </c>
      <c r="K34" s="61" t="str">
        <f>INDEX(Lists!$AG$17:$AP$47,Dashboard!$J34,MATCH(K$30,Lists!$AG$16:$AP$16,0))</f>
        <v/>
      </c>
      <c r="L34" s="63" t="str">
        <f>INDEX(Lists!$AG$17:$AP$47,Dashboard!$J34,MATCH(L$30,Lists!$AG$16:$AP$16,0))</f>
        <v/>
      </c>
      <c r="M34" s="61" t="str">
        <f>INDEX(Lists!$AG$17:$AP$47,Dashboard!$J34,MATCH(M$30,Lists!$AG$16:$AP$16,0))</f>
        <v/>
      </c>
      <c r="N34" s="61" t="str">
        <f>INDEX(Lists!$AG$17:$AP$47,Dashboard!$J34,MATCH(N$30,Lists!$AG$16:$AP$16,0))</f>
        <v/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Drop Down 6">
              <controlPr defaultSize="0" autoLine="0" autoPict="0">
                <anchor moveWithCells="1">
                  <from>
                    <xdr:col>9</xdr:col>
                    <xdr:colOff>68580</xdr:colOff>
                    <xdr:row>3</xdr:row>
                    <xdr:rowOff>91440</xdr:rowOff>
                  </from>
                  <to>
                    <xdr:col>11</xdr:col>
                    <xdr:colOff>556260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13</xdr:col>
                    <xdr:colOff>22860</xdr:colOff>
                    <xdr:row>3</xdr:row>
                    <xdr:rowOff>91440</xdr:rowOff>
                  </from>
                  <to>
                    <xdr:col>13</xdr:col>
                    <xdr:colOff>640080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13</xdr:col>
                    <xdr:colOff>693420</xdr:colOff>
                    <xdr:row>3</xdr:row>
                    <xdr:rowOff>91440</xdr:rowOff>
                  </from>
                  <to>
                    <xdr:col>13</xdr:col>
                    <xdr:colOff>1226820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Option Button 11">
              <controlPr defaultSize="0" autoFill="0" autoLine="0" autoPict="0" altText="">
                <anchor>
                  <from>
                    <xdr:col>5</xdr:col>
                    <xdr:colOff>152400</xdr:colOff>
                    <xdr:row>27</xdr:row>
                    <xdr:rowOff>45720</xdr:rowOff>
                  </from>
                  <to>
                    <xdr:col>5</xdr:col>
                    <xdr:colOff>396240</xdr:colOff>
                    <xdr:row>28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Option Button 12">
              <controlPr defaultSize="0" autoFill="0" autoLine="0" autoPict="0" altText="">
                <anchor>
                  <from>
                    <xdr:col>5</xdr:col>
                    <xdr:colOff>777240</xdr:colOff>
                    <xdr:row>27</xdr:row>
                    <xdr:rowOff>45720</xdr:rowOff>
                  </from>
                  <to>
                    <xdr:col>6</xdr:col>
                    <xdr:colOff>144780</xdr:colOff>
                    <xdr:row>28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Option Button 13">
              <controlPr defaultSize="0" autoFill="0" autoLine="0" autoPict="0" altText="">
                <anchor>
                  <from>
                    <xdr:col>6</xdr:col>
                    <xdr:colOff>510540</xdr:colOff>
                    <xdr:row>27</xdr:row>
                    <xdr:rowOff>45720</xdr:rowOff>
                  </from>
                  <to>
                    <xdr:col>6</xdr:col>
                    <xdr:colOff>746760</xdr:colOff>
                    <xdr:row>28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Option Button 14">
              <controlPr defaultSize="0" autoFill="0" autoLine="0" autoPict="0" altText="">
                <anchor>
                  <from>
                    <xdr:col>7</xdr:col>
                    <xdr:colOff>198120</xdr:colOff>
                    <xdr:row>27</xdr:row>
                    <xdr:rowOff>45720</xdr:rowOff>
                  </from>
                  <to>
                    <xdr:col>7</xdr:col>
                    <xdr:colOff>434340</xdr:colOff>
                    <xdr:row>28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Scroll Bar 16">
              <controlPr defaultSize="0" autoPict="0">
                <anchor moveWithCells="1">
                  <from>
                    <xdr:col>8</xdr:col>
                    <xdr:colOff>30480</xdr:colOff>
                    <xdr:row>30</xdr:row>
                    <xdr:rowOff>7620</xdr:rowOff>
                  </from>
                  <to>
                    <xdr:col>8</xdr:col>
                    <xdr:colOff>182880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 altText="">
                <anchor moveWithCells="1">
                  <from>
                    <xdr:col>13</xdr:col>
                    <xdr:colOff>350520</xdr:colOff>
                    <xdr:row>27</xdr:row>
                    <xdr:rowOff>60960</xdr:rowOff>
                  </from>
                  <to>
                    <xdr:col>13</xdr:col>
                    <xdr:colOff>579120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 altText="">
                <anchor moveWithCells="1">
                  <from>
                    <xdr:col>13</xdr:col>
                    <xdr:colOff>1028700</xdr:colOff>
                    <xdr:row>27</xdr:row>
                    <xdr:rowOff>60960</xdr:rowOff>
                  </from>
                  <to>
                    <xdr:col>13</xdr:col>
                    <xdr:colOff>1257300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 altText="">
                <anchor moveWithCells="1">
                  <from>
                    <xdr:col>13</xdr:col>
                    <xdr:colOff>1767840</xdr:colOff>
                    <xdr:row>27</xdr:row>
                    <xdr:rowOff>60960</xdr:rowOff>
                  </from>
                  <to>
                    <xdr:col>14</xdr:col>
                    <xdr:colOff>22860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autoFill="0" autoPict="0" altText="">
                <anchor moveWithCells="1">
                  <from>
                    <xdr:col>4</xdr:col>
                    <xdr:colOff>457200</xdr:colOff>
                    <xdr:row>26</xdr:row>
                    <xdr:rowOff>160020</xdr:rowOff>
                  </from>
                  <to>
                    <xdr:col>8</xdr:col>
                    <xdr:colOff>144780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Scroll Bar 21">
              <controlPr defaultSize="0" autoPict="0">
                <anchor moveWithCells="1">
                  <from>
                    <xdr:col>14</xdr:col>
                    <xdr:colOff>22860</xdr:colOff>
                    <xdr:row>30</xdr:row>
                    <xdr:rowOff>30480</xdr:rowOff>
                  </from>
                  <to>
                    <xdr:col>14</xdr:col>
                    <xdr:colOff>175260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Group Box 22">
              <controlPr defaultSize="0" autoFill="0" autoPict="0" altText="">
                <anchor moveWithCells="1">
                  <from>
                    <xdr:col>13</xdr:col>
                    <xdr:colOff>99060</xdr:colOff>
                    <xdr:row>27</xdr:row>
                    <xdr:rowOff>60960</xdr:rowOff>
                  </from>
                  <to>
                    <xdr:col>14</xdr:col>
                    <xdr:colOff>266700</xdr:colOff>
                    <xdr:row>28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DFE5-50C4-48BE-944D-7983963CD667}">
  <dimension ref="A1:AE24"/>
  <sheetViews>
    <sheetView showGridLines="0" zoomScale="90" zoomScaleNormal="90" workbookViewId="0">
      <selection activeCell="C3" sqref="C3:C23"/>
    </sheetView>
  </sheetViews>
  <sheetFormatPr defaultRowHeight="14.4" x14ac:dyDescent="0.3"/>
  <cols>
    <col min="1" max="1" width="19.6640625" bestFit="1" customWidth="1"/>
    <col min="2" max="2" width="8.21875" bestFit="1" customWidth="1"/>
    <col min="3" max="3" width="13.21875" bestFit="1" customWidth="1"/>
    <col min="4" max="4" width="13.109375" bestFit="1" customWidth="1"/>
    <col min="5" max="5" width="12.109375" customWidth="1"/>
    <col min="6" max="6" width="14.109375" customWidth="1"/>
    <col min="7" max="7" width="10.88671875" bestFit="1" customWidth="1"/>
    <col min="8" max="8" width="13" bestFit="1" customWidth="1"/>
    <col min="9" max="9" width="11.5546875" customWidth="1"/>
    <col min="10" max="10" width="13.77734375" customWidth="1"/>
    <col min="11" max="11" width="11.109375" bestFit="1" customWidth="1"/>
    <col min="12" max="12" width="10" bestFit="1" customWidth="1"/>
    <col min="13" max="13" width="12.44140625" bestFit="1" customWidth="1"/>
    <col min="14" max="14" width="12.44140625" customWidth="1"/>
    <col min="15" max="15" width="19.109375" bestFit="1" customWidth="1"/>
    <col min="16" max="16" width="19.109375" customWidth="1"/>
    <col min="17" max="17" width="11.88671875" bestFit="1" customWidth="1"/>
    <col min="18" max="18" width="12.21875" customWidth="1"/>
    <col min="19" max="19" width="20.109375" bestFit="1" customWidth="1"/>
    <col min="20" max="20" width="18.33203125" bestFit="1" customWidth="1"/>
    <col min="21" max="21" width="9.5546875" bestFit="1" customWidth="1"/>
    <col min="22" max="22" width="12.109375" bestFit="1" customWidth="1"/>
    <col min="28" max="28" width="24.21875" bestFit="1" customWidth="1"/>
  </cols>
  <sheetData>
    <row r="1" spans="1:31" ht="45" x14ac:dyDescent="0.75">
      <c r="A1" s="2"/>
      <c r="F1" s="4" t="s">
        <v>91</v>
      </c>
      <c r="G1" s="36">
        <v>43831</v>
      </c>
      <c r="H1" s="4" t="s">
        <v>135</v>
      </c>
      <c r="I1" s="36">
        <f>MAX(F3:F23)</f>
        <v>44028</v>
      </c>
      <c r="J1" s="4" t="s">
        <v>136</v>
      </c>
      <c r="K1" s="86">
        <f>I1-G1</f>
        <v>197</v>
      </c>
      <c r="L1" s="4" t="s">
        <v>59</v>
      </c>
      <c r="M1" s="36">
        <f>DATE(2020,1,1)+N1</f>
        <v>43931</v>
      </c>
      <c r="N1" s="5">
        <v>100</v>
      </c>
      <c r="O1" s="4" t="s">
        <v>137</v>
      </c>
      <c r="P1" s="86">
        <f>M1-G1</f>
        <v>100</v>
      </c>
    </row>
    <row r="2" spans="1:31" ht="31.8" customHeight="1" x14ac:dyDescent="0.3">
      <c r="A2" s="37" t="s">
        <v>0</v>
      </c>
      <c r="B2" s="38" t="s">
        <v>35</v>
      </c>
      <c r="C2" s="38" t="s">
        <v>34</v>
      </c>
      <c r="D2" s="38" t="s">
        <v>36</v>
      </c>
      <c r="E2" s="39" t="s">
        <v>51</v>
      </c>
      <c r="F2" s="38" t="s">
        <v>37</v>
      </c>
      <c r="G2" s="38" t="s">
        <v>53</v>
      </c>
      <c r="H2" s="38" t="s">
        <v>38</v>
      </c>
      <c r="I2" s="39" t="s">
        <v>52</v>
      </c>
      <c r="J2" s="38" t="s">
        <v>39</v>
      </c>
      <c r="K2" s="38" t="s">
        <v>54</v>
      </c>
      <c r="L2" s="38" t="s">
        <v>65</v>
      </c>
      <c r="M2" s="38" t="s">
        <v>55</v>
      </c>
      <c r="N2" s="39" t="s">
        <v>60</v>
      </c>
      <c r="O2" s="38" t="s">
        <v>32</v>
      </c>
      <c r="P2" s="38" t="s">
        <v>66</v>
      </c>
      <c r="Q2" s="38" t="s">
        <v>49</v>
      </c>
      <c r="R2" s="38" t="s">
        <v>50</v>
      </c>
      <c r="S2" s="38" t="s">
        <v>61</v>
      </c>
      <c r="T2" s="38" t="s">
        <v>33</v>
      </c>
      <c r="U2" s="38" t="s">
        <v>56</v>
      </c>
      <c r="V2" s="40" t="s">
        <v>57</v>
      </c>
      <c r="AB2" s="3" t="s">
        <v>58</v>
      </c>
      <c r="AD2" s="12" t="s">
        <v>119</v>
      </c>
      <c r="AE2" s="12" t="s">
        <v>120</v>
      </c>
    </row>
    <row r="3" spans="1:31" x14ac:dyDescent="0.3">
      <c r="A3" s="41" t="s">
        <v>40</v>
      </c>
      <c r="B3" s="42" t="s">
        <v>118</v>
      </c>
      <c r="C3" s="43" t="str">
        <f>VLOOKUP(B3,Tasks!$AD$2:$AE$8,2,0)</f>
        <v>Civil</v>
      </c>
      <c r="D3" s="43">
        <f>G1</f>
        <v>43831</v>
      </c>
      <c r="E3" s="44">
        <v>10</v>
      </c>
      <c r="F3" s="45">
        <f>IF(OR(ISBLANK(Tasks!$D3),ISBLANK(Tasks!$E3)),"",WORKDAY.INTL(Tasks!$D3,Tasks!$E3,7,Table4[Holidays]))</f>
        <v>43845</v>
      </c>
      <c r="G3" s="46">
        <f>Tasks!$F3-Tasks!$D3</f>
        <v>14</v>
      </c>
      <c r="H3" s="43">
        <v>43831</v>
      </c>
      <c r="I3" s="44">
        <v>10</v>
      </c>
      <c r="J3" s="45">
        <f>IF(OR(ISBLANK(Tasks!$H3),ISBLANK(Tasks!$I3)),"",WORKDAY.INTL(Tasks!$H3,Tasks!$I3,7,Table4[Holidays]))</f>
        <v>43845</v>
      </c>
      <c r="K3" s="46">
        <f>Tasks!$J3-Tasks!$H3</f>
        <v>14</v>
      </c>
      <c r="L3" s="47">
        <v>1</v>
      </c>
      <c r="M3" s="46">
        <f>Tasks!$L3*Tasks!$K3</f>
        <v>14</v>
      </c>
      <c r="N3" s="46">
        <f>$M$1-Tasks!$H3</f>
        <v>100</v>
      </c>
      <c r="O3" s="42" t="str">
        <f>IF(Tasks!$L3=1,"Done",IF(Tasks!$N3&gt;Tasks!$M3,"Delayed",IF(Tasks!$H3&gt;$M$1,"Not Started","In Progress")))</f>
        <v>Done</v>
      </c>
      <c r="P3" s="42"/>
      <c r="Q3" s="48">
        <v>4308</v>
      </c>
      <c r="R3" s="48">
        <v>4308</v>
      </c>
      <c r="S3" s="48">
        <f>Tasks!$R3*Tasks!$L3</f>
        <v>4308</v>
      </c>
      <c r="T3" s="42"/>
      <c r="U3" s="42">
        <f t="shared" ref="U3:U21" si="0">U4+1</f>
        <v>20</v>
      </c>
      <c r="V3" s="49">
        <f t="shared" ref="V3:V23" si="1">$M$1</f>
        <v>43931</v>
      </c>
      <c r="W3">
        <f>IFERROR(ROW()/(O3=Lists!$B$2),1000)</f>
        <v>3</v>
      </c>
      <c r="AB3" s="1">
        <v>43501</v>
      </c>
      <c r="AD3" s="64" t="s">
        <v>118</v>
      </c>
      <c r="AE3" s="64" t="s">
        <v>121</v>
      </c>
    </row>
    <row r="4" spans="1:31" x14ac:dyDescent="0.3">
      <c r="A4" s="41" t="s">
        <v>41</v>
      </c>
      <c r="B4" s="42" t="s">
        <v>118</v>
      </c>
      <c r="C4" s="43" t="str">
        <f>VLOOKUP(B4,Tasks!$AD$2:$AE$8,2,0)</f>
        <v>Civil</v>
      </c>
      <c r="D4" s="43">
        <f>D3+15</f>
        <v>43846</v>
      </c>
      <c r="E4" s="44">
        <v>20</v>
      </c>
      <c r="F4" s="45">
        <f>IF(OR(ISBLANK(Tasks!$D4),ISBLANK(Tasks!$E4)),"",WORKDAY.INTL(Tasks!$D4,Tasks!$E4,7,Table4[Holidays]))</f>
        <v>43874</v>
      </c>
      <c r="G4" s="46">
        <f>Tasks!$F4-Tasks!$D4</f>
        <v>28</v>
      </c>
      <c r="H4" s="43">
        <v>43846</v>
      </c>
      <c r="I4" s="44">
        <v>20</v>
      </c>
      <c r="J4" s="45">
        <f>IF(OR(ISBLANK(Tasks!$H4),ISBLANK(Tasks!$I4)),"",WORKDAY.INTL(Tasks!$H4,Tasks!$I4,7,Table4[Holidays]))</f>
        <v>43874</v>
      </c>
      <c r="K4" s="46">
        <f>Tasks!$J4-Tasks!$H4</f>
        <v>28</v>
      </c>
      <c r="L4" s="47">
        <v>0.8</v>
      </c>
      <c r="M4" s="46">
        <f>Tasks!$L4*Tasks!$K4</f>
        <v>22.400000000000002</v>
      </c>
      <c r="N4" s="46">
        <f>$M$1-Tasks!$H4</f>
        <v>85</v>
      </c>
      <c r="O4" s="42" t="str">
        <f>IF(Tasks!$L4=1,"Done",IF(Tasks!$N4&gt;Tasks!$M4,"Delayed",IF(Tasks!$H4&gt;$M$1,"Not Started","In Progress")))</f>
        <v>Delayed</v>
      </c>
      <c r="P4" s="42"/>
      <c r="Q4" s="48">
        <v>1336</v>
      </c>
      <c r="R4" s="48">
        <v>1336</v>
      </c>
      <c r="S4" s="48">
        <f>Tasks!$R4*Tasks!$L4</f>
        <v>1068.8</v>
      </c>
      <c r="T4" s="42"/>
      <c r="U4" s="42">
        <f t="shared" si="0"/>
        <v>19</v>
      </c>
      <c r="V4" s="49">
        <f t="shared" si="1"/>
        <v>43931</v>
      </c>
      <c r="W4">
        <f>IFERROR(ROW()/(O4=Lists!$B$2),1000)</f>
        <v>1000</v>
      </c>
      <c r="AB4" s="1">
        <v>43549</v>
      </c>
      <c r="AD4" s="64" t="s">
        <v>115</v>
      </c>
      <c r="AE4" s="65" t="s">
        <v>122</v>
      </c>
    </row>
    <row r="5" spans="1:31" x14ac:dyDescent="0.3">
      <c r="A5" s="41" t="s">
        <v>42</v>
      </c>
      <c r="B5" s="42" t="s">
        <v>115</v>
      </c>
      <c r="C5" s="43" t="str">
        <f>VLOOKUP(B5,Tasks!$AD$2:$AE$8,2,0)</f>
        <v>Acrhitict</v>
      </c>
      <c r="D5" s="43">
        <f>D4+19</f>
        <v>43865</v>
      </c>
      <c r="E5" s="44">
        <v>17</v>
      </c>
      <c r="F5" s="45">
        <f>IF(OR(ISBLANK(Tasks!$D5),ISBLANK(Tasks!$E5)),"",WORKDAY.INTL(Tasks!$D5,Tasks!$E5,7,Table4[Holidays]))</f>
        <v>43888</v>
      </c>
      <c r="G5" s="46">
        <f>Tasks!$F5-Tasks!$D5</f>
        <v>23</v>
      </c>
      <c r="H5" s="43">
        <v>43865</v>
      </c>
      <c r="I5" s="44">
        <v>17</v>
      </c>
      <c r="J5" s="45">
        <f>IF(OR(ISBLANK(Tasks!$H5),ISBLANK(Tasks!$I5)),"",WORKDAY.INTL(Tasks!$H5,Tasks!$I5,7,Table4[Holidays]))</f>
        <v>43888</v>
      </c>
      <c r="K5" s="46">
        <f>Tasks!$J5-Tasks!$H5</f>
        <v>23</v>
      </c>
      <c r="L5" s="47">
        <v>0.9</v>
      </c>
      <c r="M5" s="46">
        <f>Tasks!$L5*Tasks!$K5</f>
        <v>20.7</v>
      </c>
      <c r="N5" s="46">
        <f>$M$1-Tasks!$H5</f>
        <v>66</v>
      </c>
      <c r="O5" s="42" t="str">
        <f>IF(Tasks!$L5=1,"Done",IF(Tasks!$N5&gt;Tasks!$M5,"Delayed",IF(Tasks!$H5&gt;$M$1,"Not Started","In Progress")))</f>
        <v>Delayed</v>
      </c>
      <c r="P5" s="42"/>
      <c r="Q5" s="48">
        <v>3278</v>
      </c>
      <c r="R5" s="48">
        <v>3278</v>
      </c>
      <c r="S5" s="48">
        <f>Tasks!$R5*Tasks!$L5</f>
        <v>2950.2000000000003</v>
      </c>
      <c r="T5" s="42"/>
      <c r="U5" s="42">
        <f t="shared" si="0"/>
        <v>18</v>
      </c>
      <c r="V5" s="49">
        <f t="shared" si="1"/>
        <v>43931</v>
      </c>
      <c r="W5">
        <f>IFERROR(ROW()/(O5=Lists!$B$2),1000)</f>
        <v>1000</v>
      </c>
      <c r="AD5" s="64" t="s">
        <v>116</v>
      </c>
      <c r="AE5" s="65" t="s">
        <v>122</v>
      </c>
    </row>
    <row r="6" spans="1:31" x14ac:dyDescent="0.3">
      <c r="A6" s="41" t="s">
        <v>43</v>
      </c>
      <c r="B6" s="42" t="s">
        <v>116</v>
      </c>
      <c r="C6" s="43" t="str">
        <f>VLOOKUP(B6,Tasks!$AD$2:$AE$8,2,0)</f>
        <v>Acrhitict</v>
      </c>
      <c r="D6" s="43">
        <f>D5+2</f>
        <v>43867</v>
      </c>
      <c r="E6" s="44">
        <v>15</v>
      </c>
      <c r="F6" s="45">
        <f>IF(OR(ISBLANK(Tasks!$D6),ISBLANK(Tasks!$E6)),"",WORKDAY.INTL(Tasks!$D6,Tasks!$E6,7,Table4[Holidays]))</f>
        <v>43888</v>
      </c>
      <c r="G6" s="46">
        <f>Tasks!$F6-Tasks!$D6</f>
        <v>21</v>
      </c>
      <c r="H6" s="43">
        <v>43867</v>
      </c>
      <c r="I6" s="44">
        <v>15</v>
      </c>
      <c r="J6" s="45">
        <f>IF(OR(ISBLANK(Tasks!$H6),ISBLANK(Tasks!$I6)),"",WORKDAY.INTL(Tasks!$H6,Tasks!$I6,7,Table4[Holidays]))</f>
        <v>43888</v>
      </c>
      <c r="K6" s="46">
        <f>Tasks!$J6-Tasks!$H6</f>
        <v>21</v>
      </c>
      <c r="L6" s="47">
        <v>1</v>
      </c>
      <c r="M6" s="46">
        <f>Tasks!$L6*Tasks!$K6</f>
        <v>21</v>
      </c>
      <c r="N6" s="46">
        <f>$M$1-Tasks!$H6</f>
        <v>64</v>
      </c>
      <c r="O6" s="42" t="str">
        <f>IF(Tasks!$L6=1,"Done",IF(Tasks!$N6&gt;Tasks!$M6,"Delayed",IF(Tasks!$H6&gt;$M$1,"Not Started","In Progress")))</f>
        <v>Done</v>
      </c>
      <c r="P6" s="42"/>
      <c r="Q6" s="48">
        <v>2758</v>
      </c>
      <c r="R6" s="48">
        <v>2758</v>
      </c>
      <c r="S6" s="48">
        <f>Tasks!$R6*Tasks!$L6</f>
        <v>2758</v>
      </c>
      <c r="T6" s="42"/>
      <c r="U6" s="42">
        <f t="shared" si="0"/>
        <v>17</v>
      </c>
      <c r="V6" s="49">
        <f t="shared" si="1"/>
        <v>43931</v>
      </c>
      <c r="W6">
        <f>IFERROR(ROW()/(O6=Lists!$B$2),1000)</f>
        <v>6</v>
      </c>
      <c r="AD6" s="13" t="s">
        <v>117</v>
      </c>
      <c r="AE6" s="14" t="s">
        <v>123</v>
      </c>
    </row>
    <row r="7" spans="1:31" x14ac:dyDescent="0.3">
      <c r="A7" s="41" t="s">
        <v>44</v>
      </c>
      <c r="B7" s="42" t="s">
        <v>115</v>
      </c>
      <c r="C7" s="43" t="str">
        <f>VLOOKUP(B7,Tasks!$AD$2:$AE$8,2,0)</f>
        <v>Acrhitict</v>
      </c>
      <c r="D7" s="43">
        <f>D6+3</f>
        <v>43870</v>
      </c>
      <c r="E7" s="44">
        <v>8</v>
      </c>
      <c r="F7" s="45">
        <f>IF(OR(ISBLANK(Tasks!$D7),ISBLANK(Tasks!$E7)),"",WORKDAY.INTL(Tasks!$D7,Tasks!$E7,7,Table4[Holidays]))</f>
        <v>43880</v>
      </c>
      <c r="G7" s="46">
        <f>Tasks!$F7-Tasks!$D7</f>
        <v>10</v>
      </c>
      <c r="H7" s="43">
        <v>43870</v>
      </c>
      <c r="I7" s="44">
        <v>8</v>
      </c>
      <c r="J7" s="45">
        <f>IF(OR(ISBLANK(Tasks!$H7),ISBLANK(Tasks!$I7)),"",WORKDAY.INTL(Tasks!$H7,Tasks!$I7,7,Table4[Holidays]))</f>
        <v>43880</v>
      </c>
      <c r="K7" s="46">
        <f>Tasks!$J7-Tasks!$H7</f>
        <v>10</v>
      </c>
      <c r="L7" s="47">
        <v>0.95</v>
      </c>
      <c r="M7" s="46">
        <f>Tasks!$L7*Tasks!$K7</f>
        <v>9.5</v>
      </c>
      <c r="N7" s="46">
        <f>$M$1-Tasks!$H7</f>
        <v>61</v>
      </c>
      <c r="O7" s="42" t="str">
        <f>IF(Tasks!$L7=1,"Done",IF(Tasks!$N7&gt;Tasks!$M7,"Delayed",IF(Tasks!$H7&gt;$M$1,"Not Started","In Progress")))</f>
        <v>Delayed</v>
      </c>
      <c r="P7" s="42"/>
      <c r="Q7" s="48">
        <v>2547</v>
      </c>
      <c r="R7" s="48">
        <v>2547</v>
      </c>
      <c r="S7" s="48">
        <f>Tasks!$R7*Tasks!$L7</f>
        <v>2419.65</v>
      </c>
      <c r="T7" s="42"/>
      <c r="U7" s="42">
        <f t="shared" si="0"/>
        <v>16</v>
      </c>
      <c r="V7" s="49">
        <f t="shared" si="1"/>
        <v>43931</v>
      </c>
      <c r="W7">
        <f>IFERROR(ROW()/(O7=Lists!$B$2),1000)</f>
        <v>1000</v>
      </c>
      <c r="AD7" s="13" t="s">
        <v>114</v>
      </c>
      <c r="AE7" s="14" t="s">
        <v>123</v>
      </c>
    </row>
    <row r="8" spans="1:31" x14ac:dyDescent="0.3">
      <c r="A8" s="41" t="s">
        <v>45</v>
      </c>
      <c r="B8" s="42" t="s">
        <v>117</v>
      </c>
      <c r="C8" s="43" t="str">
        <f>VLOOKUP(B8,Tasks!$AD$2:$AE$8,2,0)</f>
        <v>Electrical</v>
      </c>
      <c r="D8" s="43">
        <f>D7+1</f>
        <v>43871</v>
      </c>
      <c r="E8" s="44">
        <v>7</v>
      </c>
      <c r="F8" s="45">
        <f>IF(OR(ISBLANK(Tasks!$D8),ISBLANK(Tasks!$E8)),"",WORKDAY.INTL(Tasks!$D8,Tasks!$E8,7,Table4[Holidays]))</f>
        <v>43880</v>
      </c>
      <c r="G8" s="46">
        <f>Tasks!$F8-Tasks!$D8</f>
        <v>9</v>
      </c>
      <c r="H8" s="43">
        <v>43871</v>
      </c>
      <c r="I8" s="44">
        <v>7</v>
      </c>
      <c r="J8" s="45">
        <f>IF(OR(ISBLANK(Tasks!$H8),ISBLANK(Tasks!$I8)),"",WORKDAY.INTL(Tasks!$H8,Tasks!$I8,7,Table4[Holidays]))</f>
        <v>43880</v>
      </c>
      <c r="K8" s="46">
        <f>Tasks!$J8-Tasks!$H8</f>
        <v>9</v>
      </c>
      <c r="L8" s="47">
        <v>0.9</v>
      </c>
      <c r="M8" s="46">
        <f>Tasks!$L8*Tasks!$K8</f>
        <v>8.1</v>
      </c>
      <c r="N8" s="46">
        <f>$M$1-Tasks!$H8</f>
        <v>60</v>
      </c>
      <c r="O8" s="42" t="str">
        <f>IF(Tasks!$L8=1,"Done",IF(Tasks!$N8&gt;Tasks!$M8,"Delayed",IF(Tasks!$H8&gt;$M$1,"Not Started","In Progress")))</f>
        <v>Delayed</v>
      </c>
      <c r="P8" s="42"/>
      <c r="Q8" s="48">
        <v>2183</v>
      </c>
      <c r="R8" s="48">
        <v>2183</v>
      </c>
      <c r="S8" s="48">
        <f>Tasks!$R8*Tasks!$L8</f>
        <v>1964.7</v>
      </c>
      <c r="T8" s="42"/>
      <c r="U8" s="42">
        <f t="shared" si="0"/>
        <v>15</v>
      </c>
      <c r="V8" s="49">
        <f t="shared" si="1"/>
        <v>43931</v>
      </c>
      <c r="W8">
        <f>IFERROR(ROW()/(O8=Lists!$B$2),1000)</f>
        <v>1000</v>
      </c>
      <c r="AD8" s="13" t="s">
        <v>113</v>
      </c>
      <c r="AE8" s="14" t="s">
        <v>121</v>
      </c>
    </row>
    <row r="9" spans="1:31" x14ac:dyDescent="0.3">
      <c r="A9" s="41" t="s">
        <v>46</v>
      </c>
      <c r="B9" s="42" t="s">
        <v>118</v>
      </c>
      <c r="C9" s="43" t="str">
        <f>VLOOKUP(B9,Tasks!$AD$2:$AE$8,2,0)</f>
        <v>Civil</v>
      </c>
      <c r="D9" s="43">
        <f>D8+7</f>
        <v>43878</v>
      </c>
      <c r="E9" s="44">
        <v>13</v>
      </c>
      <c r="F9" s="45">
        <f>IF(OR(ISBLANK(Tasks!$D9),ISBLANK(Tasks!$E9)),"",WORKDAY.INTL(Tasks!$D9,Tasks!$E9,7,Table4[Holidays]))</f>
        <v>43895</v>
      </c>
      <c r="G9" s="46">
        <f>Tasks!$F9-Tasks!$D9</f>
        <v>17</v>
      </c>
      <c r="H9" s="43">
        <v>43878</v>
      </c>
      <c r="I9" s="44">
        <v>13</v>
      </c>
      <c r="J9" s="45">
        <f>IF(OR(ISBLANK(Tasks!$H9),ISBLANK(Tasks!$I9)),"",WORKDAY.INTL(Tasks!$H9,Tasks!$I9,7,Table4[Holidays]))</f>
        <v>43895</v>
      </c>
      <c r="K9" s="46">
        <f>Tasks!$J9-Tasks!$H9</f>
        <v>17</v>
      </c>
      <c r="L9" s="47">
        <v>1</v>
      </c>
      <c r="M9" s="46">
        <f>Tasks!$L9*Tasks!$K9</f>
        <v>17</v>
      </c>
      <c r="N9" s="46">
        <f>$M$1-Tasks!$H9</f>
        <v>53</v>
      </c>
      <c r="O9" s="42" t="str">
        <f>IF(Tasks!$L9=1,"Done",IF(Tasks!$N9&gt;Tasks!$M9,"Delayed",IF(Tasks!$H9&gt;$M$1,"Not Started","In Progress")))</f>
        <v>Done</v>
      </c>
      <c r="P9" s="42"/>
      <c r="Q9" s="48">
        <v>4662</v>
      </c>
      <c r="R9" s="48">
        <v>4662</v>
      </c>
      <c r="S9" s="48">
        <f>Tasks!$R9*Tasks!$L9</f>
        <v>4662</v>
      </c>
      <c r="T9" s="42"/>
      <c r="U9" s="42">
        <f t="shared" si="0"/>
        <v>14</v>
      </c>
      <c r="V9" s="49">
        <f t="shared" si="1"/>
        <v>43931</v>
      </c>
      <c r="W9">
        <f>IFERROR(ROW()/(O9=Lists!$B$2),1000)</f>
        <v>9</v>
      </c>
    </row>
    <row r="10" spans="1:31" x14ac:dyDescent="0.3">
      <c r="A10" s="41" t="s">
        <v>47</v>
      </c>
      <c r="B10" s="42" t="s">
        <v>114</v>
      </c>
      <c r="C10" s="43" t="str">
        <f>VLOOKUP(B10,Tasks!$AD$2:$AE$8,2,0)</f>
        <v>Electrical</v>
      </c>
      <c r="D10" s="43">
        <f>D9+14</f>
        <v>43892</v>
      </c>
      <c r="E10" s="44">
        <v>9</v>
      </c>
      <c r="F10" s="45">
        <f>IF(OR(ISBLANK(Tasks!$D10),ISBLANK(Tasks!$E10)),"",WORKDAY.INTL(Tasks!$D10,Tasks!$E10,7,Table4[Holidays]))</f>
        <v>43905</v>
      </c>
      <c r="G10" s="46">
        <f>Tasks!$F10-Tasks!$D10</f>
        <v>13</v>
      </c>
      <c r="H10" s="43">
        <v>43893</v>
      </c>
      <c r="I10" s="44">
        <v>9</v>
      </c>
      <c r="J10" s="45">
        <f>IF(OR(ISBLANK(Tasks!$H10),ISBLANK(Tasks!$I10)),"",WORKDAY.INTL(Tasks!$H10,Tasks!$I10,7,Table4[Holidays]))</f>
        <v>43906</v>
      </c>
      <c r="K10" s="46">
        <f>Tasks!$J10-Tasks!$H10</f>
        <v>13</v>
      </c>
      <c r="L10" s="47">
        <v>1</v>
      </c>
      <c r="M10" s="46">
        <f>Tasks!$L10*Tasks!$K10</f>
        <v>13</v>
      </c>
      <c r="N10" s="46">
        <f>$M$1-Tasks!$H10</f>
        <v>38</v>
      </c>
      <c r="O10" s="42" t="str">
        <f>IF(Tasks!$L10=1,"Done",IF(Tasks!$N10&gt;Tasks!$M10,"Delayed",IF(Tasks!$H10&gt;$M$1,"Not Started","In Progress")))</f>
        <v>Done</v>
      </c>
      <c r="P10" s="42"/>
      <c r="Q10" s="48">
        <v>2010</v>
      </c>
      <c r="R10" s="48">
        <v>2010</v>
      </c>
      <c r="S10" s="48">
        <f>Tasks!$R10*Tasks!$L10</f>
        <v>2010</v>
      </c>
      <c r="T10" s="42"/>
      <c r="U10" s="42">
        <f t="shared" si="0"/>
        <v>13</v>
      </c>
      <c r="V10" s="49">
        <f t="shared" si="1"/>
        <v>43931</v>
      </c>
      <c r="W10">
        <f>IFERROR(ROW()/(O10=Lists!$B$2),1000)</f>
        <v>10</v>
      </c>
    </row>
    <row r="11" spans="1:31" x14ac:dyDescent="0.3">
      <c r="A11" s="41" t="s">
        <v>48</v>
      </c>
      <c r="B11" s="42" t="s">
        <v>113</v>
      </c>
      <c r="C11" s="43" t="str">
        <f>VLOOKUP(B11,Tasks!$AD$2:$AE$8,2,0)</f>
        <v>Civil</v>
      </c>
      <c r="D11" s="43">
        <f>D10+5</f>
        <v>43897</v>
      </c>
      <c r="E11" s="44">
        <v>14</v>
      </c>
      <c r="F11" s="45">
        <f>IF(OR(ISBLANK(Tasks!$D11),ISBLANK(Tasks!$E11)),"",WORKDAY.INTL(Tasks!$D11,Tasks!$E11,7,Table4[Holidays]))</f>
        <v>43915</v>
      </c>
      <c r="G11" s="46">
        <f>Tasks!$F11-Tasks!$D11</f>
        <v>18</v>
      </c>
      <c r="H11" s="43">
        <v>43898</v>
      </c>
      <c r="I11" s="44">
        <v>14</v>
      </c>
      <c r="J11" s="45">
        <f>IF(OR(ISBLANK(Tasks!$H11),ISBLANK(Tasks!$I11)),"",WORKDAY.INTL(Tasks!$H11,Tasks!$I11,7,Table4[Holidays]))</f>
        <v>43916</v>
      </c>
      <c r="K11" s="46">
        <f>Tasks!$J11-Tasks!$H11</f>
        <v>18</v>
      </c>
      <c r="L11" s="47">
        <v>0.95</v>
      </c>
      <c r="M11" s="50">
        <f>Tasks!$L11*Tasks!$K11</f>
        <v>17.099999999999998</v>
      </c>
      <c r="N11" s="46">
        <f>$M$1-Tasks!$H11</f>
        <v>33</v>
      </c>
      <c r="O11" s="42" t="str">
        <f>IF(Tasks!$L11=1,"Done",IF(Tasks!$N11&gt;Tasks!$M11,"Delayed",IF(Tasks!$H11&gt;$M$1,"Not Started","In Progress")))</f>
        <v>Delayed</v>
      </c>
      <c r="P11" s="42"/>
      <c r="Q11" s="48"/>
      <c r="R11" s="48"/>
      <c r="S11" s="48">
        <f>Tasks!$R11*Tasks!$L11</f>
        <v>0</v>
      </c>
      <c r="T11" s="42"/>
      <c r="U11" s="42">
        <f t="shared" si="0"/>
        <v>12</v>
      </c>
      <c r="V11" s="49">
        <f t="shared" si="1"/>
        <v>43931</v>
      </c>
      <c r="W11">
        <f>IFERROR(ROW()/(O11=Lists!$B$2),1000)</f>
        <v>1000</v>
      </c>
    </row>
    <row r="12" spans="1:31" x14ac:dyDescent="0.3">
      <c r="A12" s="41" t="s">
        <v>79</v>
      </c>
      <c r="B12" s="42" t="s">
        <v>114</v>
      </c>
      <c r="C12" s="43" t="str">
        <f>VLOOKUP(B12,Tasks!$AD$2:$AE$8,2,0)</f>
        <v>Electrical</v>
      </c>
      <c r="D12" s="43">
        <f>D11+7</f>
        <v>43904</v>
      </c>
      <c r="E12" s="44">
        <v>13</v>
      </c>
      <c r="F12" s="45">
        <f>IF(OR(ISBLANK(Tasks!$D12),ISBLANK(Tasks!$E12)),"",WORKDAY.INTL(Tasks!$D12,Tasks!$E12,7,Table4[Holidays]))</f>
        <v>43921</v>
      </c>
      <c r="G12" s="46">
        <f>Tasks!$F12-Tasks!$D12</f>
        <v>17</v>
      </c>
      <c r="H12" s="43">
        <v>43905</v>
      </c>
      <c r="I12" s="44">
        <v>13</v>
      </c>
      <c r="J12" s="45">
        <f>IF(OR(ISBLANK(Tasks!$H12),ISBLANK(Tasks!$I12)),"",WORKDAY.INTL(Tasks!$H12,Tasks!$I12,7,Table4[Holidays]))</f>
        <v>43922</v>
      </c>
      <c r="K12" s="46">
        <f>Tasks!$J12-Tasks!$H12</f>
        <v>17</v>
      </c>
      <c r="L12" s="47">
        <v>0.9</v>
      </c>
      <c r="M12" s="50">
        <f>Tasks!$L12*Tasks!$K12</f>
        <v>15.3</v>
      </c>
      <c r="N12" s="46">
        <f>$M$1-Tasks!$H12</f>
        <v>26</v>
      </c>
      <c r="O12" s="42" t="str">
        <f>IF(Tasks!$L12=1,"Done",IF(Tasks!$N12&gt;Tasks!$M12,"Delayed",IF(Tasks!$H12&gt;$M$1,"Not Started","In Progress")))</f>
        <v>Delayed</v>
      </c>
      <c r="P12" s="42"/>
      <c r="Q12" s="48"/>
      <c r="R12" s="48"/>
      <c r="S12" s="48">
        <f>Tasks!$R12*Tasks!$L12</f>
        <v>0</v>
      </c>
      <c r="T12" s="42"/>
      <c r="U12" s="42">
        <f t="shared" si="0"/>
        <v>11</v>
      </c>
      <c r="V12" s="49">
        <f t="shared" si="1"/>
        <v>43931</v>
      </c>
      <c r="W12">
        <f>IFERROR(ROW()/(O12=Lists!$B$2),1000)</f>
        <v>1000</v>
      </c>
    </row>
    <row r="13" spans="1:31" x14ac:dyDescent="0.3">
      <c r="A13" s="41" t="s">
        <v>80</v>
      </c>
      <c r="B13" s="42" t="s">
        <v>113</v>
      </c>
      <c r="C13" s="43" t="str">
        <f>VLOOKUP(B13,Tasks!$AD$2:$AE$8,2,0)</f>
        <v>Civil</v>
      </c>
      <c r="D13" s="43">
        <f>D12+0</f>
        <v>43904</v>
      </c>
      <c r="E13" s="44">
        <v>29</v>
      </c>
      <c r="F13" s="45">
        <f>IF(OR(ISBLANK(Tasks!$D13),ISBLANK(Tasks!$E13)),"",WORKDAY.INTL(Tasks!$D13,Tasks!$E13,7,Table4[Holidays]))</f>
        <v>43943</v>
      </c>
      <c r="G13" s="46">
        <f>Tasks!$F13-Tasks!$D13</f>
        <v>39</v>
      </c>
      <c r="H13" s="43">
        <v>43905</v>
      </c>
      <c r="I13" s="44">
        <v>29</v>
      </c>
      <c r="J13" s="45">
        <f>IF(OR(ISBLANK(Tasks!$H13),ISBLANK(Tasks!$I13)),"",WORKDAY.INTL(Tasks!$H13,Tasks!$I13,7,Table4[Holidays]))</f>
        <v>43944</v>
      </c>
      <c r="K13" s="46">
        <f>Tasks!$J13-Tasks!$H13</f>
        <v>39</v>
      </c>
      <c r="L13" s="47">
        <v>0.9</v>
      </c>
      <c r="M13" s="50">
        <f>Tasks!$L13*Tasks!$K13</f>
        <v>35.1</v>
      </c>
      <c r="N13" s="46">
        <f>$M$1-Tasks!$H13</f>
        <v>26</v>
      </c>
      <c r="O13" s="42" t="str">
        <f>IF(Tasks!$L13=1,"Done",IF(Tasks!$N13&gt;Tasks!$M13,"Delayed",IF(Tasks!$H13&gt;$M$1,"Not Started","In Progress")))</f>
        <v>In Progress</v>
      </c>
      <c r="P13" s="42"/>
      <c r="Q13" s="48"/>
      <c r="R13" s="48"/>
      <c r="S13" s="48">
        <f>Tasks!$R13*Tasks!$L13</f>
        <v>0</v>
      </c>
      <c r="T13" s="42"/>
      <c r="U13" s="42">
        <f t="shared" si="0"/>
        <v>10</v>
      </c>
      <c r="V13" s="49">
        <f t="shared" si="1"/>
        <v>43931</v>
      </c>
      <c r="W13">
        <f>IFERROR(ROW()/(O13=Lists!$B$2),1000)</f>
        <v>1000</v>
      </c>
    </row>
    <row r="14" spans="1:31" x14ac:dyDescent="0.3">
      <c r="A14" s="41" t="s">
        <v>81</v>
      </c>
      <c r="B14" s="42" t="s">
        <v>113</v>
      </c>
      <c r="C14" s="43" t="str">
        <f>VLOOKUP(B14,Tasks!$AD$2:$AE$8,2,0)</f>
        <v>Civil</v>
      </c>
      <c r="D14" s="43">
        <f>D13+2</f>
        <v>43906</v>
      </c>
      <c r="E14" s="44">
        <v>30</v>
      </c>
      <c r="F14" s="45">
        <f>IF(OR(ISBLANK(Tasks!$D14),ISBLANK(Tasks!$E14)),"",WORKDAY.INTL(Tasks!$D14,Tasks!$E14,7,Table4[Holidays]))</f>
        <v>43948</v>
      </c>
      <c r="G14" s="46">
        <f>Tasks!$F14-Tasks!$D14</f>
        <v>42</v>
      </c>
      <c r="H14" s="43">
        <v>43907</v>
      </c>
      <c r="I14" s="44">
        <v>30</v>
      </c>
      <c r="J14" s="45">
        <f>IF(OR(ISBLANK(Tasks!$H14),ISBLANK(Tasks!$I14)),"",WORKDAY.INTL(Tasks!$H14,Tasks!$I14,7,Table4[Holidays]))</f>
        <v>43949</v>
      </c>
      <c r="K14" s="46">
        <f>Tasks!$J14-Tasks!$H14</f>
        <v>42</v>
      </c>
      <c r="L14" s="47">
        <v>0.7</v>
      </c>
      <c r="M14" s="50">
        <f>Tasks!$L14*Tasks!$K14</f>
        <v>29.4</v>
      </c>
      <c r="N14" s="46">
        <f>$M$1-Tasks!$H14</f>
        <v>24</v>
      </c>
      <c r="O14" s="42" t="str">
        <f>IF(Tasks!$L14=1,"Done",IF(Tasks!$N14&gt;Tasks!$M14,"Delayed",IF(Tasks!$H14&gt;$M$1,"Not Started","In Progress")))</f>
        <v>In Progress</v>
      </c>
      <c r="P14" s="42"/>
      <c r="Q14" s="48"/>
      <c r="R14" s="48"/>
      <c r="S14" s="48">
        <f>Tasks!$R14*Tasks!$L14</f>
        <v>0</v>
      </c>
      <c r="T14" s="42"/>
      <c r="U14" s="42">
        <f t="shared" si="0"/>
        <v>9</v>
      </c>
      <c r="V14" s="49">
        <f t="shared" si="1"/>
        <v>43931</v>
      </c>
      <c r="W14">
        <f>IFERROR(ROW()/(O14=Lists!$B$2),1000)</f>
        <v>1000</v>
      </c>
    </row>
    <row r="15" spans="1:31" x14ac:dyDescent="0.3">
      <c r="A15" s="41" t="s">
        <v>82</v>
      </c>
      <c r="B15" s="42" t="s">
        <v>116</v>
      </c>
      <c r="C15" s="43" t="str">
        <f>VLOOKUP(B15,Tasks!$AD$2:$AE$8,2,0)</f>
        <v>Acrhitict</v>
      </c>
      <c r="D15" s="43">
        <f>D14+15</f>
        <v>43921</v>
      </c>
      <c r="E15" s="44">
        <v>13</v>
      </c>
      <c r="F15" s="45">
        <f>IF(OR(ISBLANK(Tasks!$D15),ISBLANK(Tasks!$E15)),"",WORKDAY.INTL(Tasks!$D15,Tasks!$E15,7,Table4[Holidays]))</f>
        <v>43940</v>
      </c>
      <c r="G15" s="46">
        <f>Tasks!$F15-Tasks!$D15</f>
        <v>19</v>
      </c>
      <c r="H15" s="43">
        <v>43922</v>
      </c>
      <c r="I15" s="44">
        <v>13</v>
      </c>
      <c r="J15" s="45">
        <f>IF(OR(ISBLANK(Tasks!$H15),ISBLANK(Tasks!$I15)),"",WORKDAY.INTL(Tasks!$H15,Tasks!$I15,7,Table4[Holidays]))</f>
        <v>43941</v>
      </c>
      <c r="K15" s="46">
        <f>Tasks!$J15-Tasks!$H15</f>
        <v>19</v>
      </c>
      <c r="L15" s="47">
        <v>0.9</v>
      </c>
      <c r="M15" s="50">
        <f>Tasks!$L15*Tasks!$K15</f>
        <v>17.100000000000001</v>
      </c>
      <c r="N15" s="46">
        <f>$M$1-Tasks!$H15</f>
        <v>9</v>
      </c>
      <c r="O15" s="42" t="str">
        <f>IF(Tasks!$L15=1,"Done",IF(Tasks!$N15&gt;Tasks!$M15,"Delayed",IF(Tasks!$H15&gt;$M$1,"Not Started","In Progress")))</f>
        <v>In Progress</v>
      </c>
      <c r="P15" s="42"/>
      <c r="Q15" s="48"/>
      <c r="R15" s="48"/>
      <c r="S15" s="48">
        <f>Tasks!$R15*Tasks!$L15</f>
        <v>0</v>
      </c>
      <c r="T15" s="42"/>
      <c r="U15" s="42">
        <f t="shared" si="0"/>
        <v>8</v>
      </c>
      <c r="V15" s="49">
        <f t="shared" si="1"/>
        <v>43931</v>
      </c>
      <c r="W15">
        <f>IFERROR(ROW()/(O15=Lists!$B$2),1000)</f>
        <v>1000</v>
      </c>
    </row>
    <row r="16" spans="1:31" x14ac:dyDescent="0.3">
      <c r="A16" s="41" t="s">
        <v>83</v>
      </c>
      <c r="B16" s="42" t="s">
        <v>118</v>
      </c>
      <c r="C16" s="43" t="str">
        <f>VLOOKUP(B16,Tasks!$AD$2:$AE$8,2,0)</f>
        <v>Civil</v>
      </c>
      <c r="D16" s="43">
        <f>D15+13</f>
        <v>43934</v>
      </c>
      <c r="E16" s="44">
        <v>26</v>
      </c>
      <c r="F16" s="45">
        <f>IF(OR(ISBLANK(Tasks!$D16),ISBLANK(Tasks!$E16)),"",WORKDAY.INTL(Tasks!$D16,Tasks!$E16,7,Table4[Holidays]))</f>
        <v>43970</v>
      </c>
      <c r="G16" s="46">
        <f>Tasks!$F16-Tasks!$D16</f>
        <v>36</v>
      </c>
      <c r="H16" s="43">
        <v>43935</v>
      </c>
      <c r="I16" s="44">
        <v>26</v>
      </c>
      <c r="J16" s="45">
        <f>IF(OR(ISBLANK(Tasks!$H16),ISBLANK(Tasks!$I16)),"",WORKDAY.INTL(Tasks!$H16,Tasks!$I16,7,Table4[Holidays]))</f>
        <v>43971</v>
      </c>
      <c r="K16" s="46">
        <f>Tasks!$J16-Tasks!$H16</f>
        <v>36</v>
      </c>
      <c r="L16" s="47">
        <v>0.1</v>
      </c>
      <c r="M16" s="50">
        <f>Tasks!$L16*Tasks!$K16</f>
        <v>3.6</v>
      </c>
      <c r="N16" s="46">
        <f>$M$1-Tasks!$H16</f>
        <v>-4</v>
      </c>
      <c r="O16" s="42" t="str">
        <f>IF(Tasks!$L16=1,"Done",IF(Tasks!$N16&gt;Tasks!$M16,"Delayed",IF(Tasks!$H16&gt;$M$1,"Not Started","In Progress")))</f>
        <v>Not Started</v>
      </c>
      <c r="P16" s="42"/>
      <c r="Q16" s="48"/>
      <c r="R16" s="48"/>
      <c r="S16" s="48">
        <f>Tasks!$R16*Tasks!$L16</f>
        <v>0</v>
      </c>
      <c r="T16" s="42"/>
      <c r="U16" s="42">
        <f t="shared" si="0"/>
        <v>7</v>
      </c>
      <c r="V16" s="49">
        <f t="shared" si="1"/>
        <v>43931</v>
      </c>
      <c r="W16">
        <f>IFERROR(ROW()/(O16=Lists!$B$2),1000)</f>
        <v>1000</v>
      </c>
    </row>
    <row r="17" spans="1:23" x14ac:dyDescent="0.3">
      <c r="A17" s="41" t="s">
        <v>84</v>
      </c>
      <c r="B17" s="42" t="s">
        <v>113</v>
      </c>
      <c r="C17" s="43" t="str">
        <f>VLOOKUP(B17,Tasks!$AD$2:$AE$8,2,0)</f>
        <v>Civil</v>
      </c>
      <c r="D17" s="43">
        <f>D16+5</f>
        <v>43939</v>
      </c>
      <c r="E17" s="44">
        <v>24</v>
      </c>
      <c r="F17" s="45">
        <f>IF(OR(ISBLANK(Tasks!$D17),ISBLANK(Tasks!$E17)),"",WORKDAY.INTL(Tasks!$D17,Tasks!$E17,7,Table4[Holidays]))</f>
        <v>43971</v>
      </c>
      <c r="G17" s="46">
        <f>Tasks!$F17-Tasks!$D17</f>
        <v>32</v>
      </c>
      <c r="H17" s="43">
        <v>43940</v>
      </c>
      <c r="I17" s="44">
        <v>24</v>
      </c>
      <c r="J17" s="45">
        <f>IF(OR(ISBLANK(Tasks!$H17),ISBLANK(Tasks!$I17)),"",WORKDAY.INTL(Tasks!$H17,Tasks!$I17,7,Table4[Holidays]))</f>
        <v>43972</v>
      </c>
      <c r="K17" s="46">
        <f>Tasks!$J17-Tasks!$H17</f>
        <v>32</v>
      </c>
      <c r="L17" s="47"/>
      <c r="M17" s="50">
        <f>Tasks!$L17*Tasks!$K17</f>
        <v>0</v>
      </c>
      <c r="N17" s="46">
        <f>$M$1-Tasks!$H17</f>
        <v>-9</v>
      </c>
      <c r="O17" s="42" t="str">
        <f>IF(Tasks!$L17=1,"Done",IF(Tasks!$N17&gt;Tasks!$M17,"Delayed",IF(Tasks!$H17&gt;$M$1,"Not Started","In Progress")))</f>
        <v>Not Started</v>
      </c>
      <c r="P17" s="42"/>
      <c r="Q17" s="48"/>
      <c r="R17" s="48"/>
      <c r="S17" s="48">
        <f>Tasks!$R17*Tasks!$L17</f>
        <v>0</v>
      </c>
      <c r="T17" s="42"/>
      <c r="U17" s="42">
        <f t="shared" si="0"/>
        <v>6</v>
      </c>
      <c r="V17" s="49">
        <f t="shared" si="1"/>
        <v>43931</v>
      </c>
      <c r="W17">
        <f>IFERROR(ROW()/(O17=Lists!$B$2),1000)</f>
        <v>1000</v>
      </c>
    </row>
    <row r="18" spans="1:23" x14ac:dyDescent="0.3">
      <c r="A18" s="41" t="s">
        <v>85</v>
      </c>
      <c r="B18" s="42" t="s">
        <v>118</v>
      </c>
      <c r="C18" s="43" t="str">
        <f>VLOOKUP(B18,Tasks!$AD$2:$AE$8,2,0)</f>
        <v>Civil</v>
      </c>
      <c r="D18" s="43">
        <f>D17+15</f>
        <v>43954</v>
      </c>
      <c r="E18" s="44">
        <v>24</v>
      </c>
      <c r="F18" s="45">
        <f>IF(OR(ISBLANK(Tasks!$D18),ISBLANK(Tasks!$E18)),"",WORKDAY.INTL(Tasks!$D18,Tasks!$E18,7,Table4[Holidays]))</f>
        <v>43986</v>
      </c>
      <c r="G18" s="46">
        <f>Tasks!$F18-Tasks!$D18</f>
        <v>32</v>
      </c>
      <c r="H18" s="43">
        <v>43955</v>
      </c>
      <c r="I18" s="44">
        <v>24</v>
      </c>
      <c r="J18" s="45">
        <f>IF(OR(ISBLANK(Tasks!$H18),ISBLANK(Tasks!$I18)),"",WORKDAY.INTL(Tasks!$H18,Tasks!$I18,7,Table4[Holidays]))</f>
        <v>43989</v>
      </c>
      <c r="K18" s="46">
        <f>Tasks!$J18-Tasks!$H18</f>
        <v>34</v>
      </c>
      <c r="L18" s="47"/>
      <c r="M18" s="50">
        <f>Tasks!$L18*Tasks!$K18</f>
        <v>0</v>
      </c>
      <c r="N18" s="46">
        <f>$M$1-Tasks!$H18</f>
        <v>-24</v>
      </c>
      <c r="O18" s="42" t="str">
        <f>IF(Tasks!$L18=1,"Done",IF(Tasks!$N18&gt;Tasks!$M18,"Delayed",IF(Tasks!$H18&gt;$M$1,"Not Started","In Progress")))</f>
        <v>Not Started</v>
      </c>
      <c r="P18" s="42"/>
      <c r="Q18" s="48"/>
      <c r="R18" s="48"/>
      <c r="S18" s="48">
        <f>Tasks!$R18*Tasks!$L18</f>
        <v>0</v>
      </c>
      <c r="T18" s="42"/>
      <c r="U18" s="42">
        <f t="shared" si="0"/>
        <v>5</v>
      </c>
      <c r="V18" s="49">
        <f t="shared" si="1"/>
        <v>43931</v>
      </c>
      <c r="W18">
        <f>IFERROR(ROW()/(O18=Lists!$B$2),1000)</f>
        <v>1000</v>
      </c>
    </row>
    <row r="19" spans="1:23" x14ac:dyDescent="0.3">
      <c r="A19" s="41" t="s">
        <v>86</v>
      </c>
      <c r="B19" s="42" t="s">
        <v>115</v>
      </c>
      <c r="C19" s="43" t="str">
        <f>VLOOKUP(B19,Tasks!$AD$2:$AE$8,2,0)</f>
        <v>Acrhitict</v>
      </c>
      <c r="D19" s="43">
        <f>D18+24</f>
        <v>43978</v>
      </c>
      <c r="E19" s="44">
        <v>19</v>
      </c>
      <c r="F19" s="45">
        <f>IF(OR(ISBLANK(Tasks!$D19),ISBLANK(Tasks!$E19)),"",WORKDAY.INTL(Tasks!$D19,Tasks!$E19,7,Table4[Holidays]))</f>
        <v>44005</v>
      </c>
      <c r="G19" s="46">
        <f>Tasks!$F19-Tasks!$D19</f>
        <v>27</v>
      </c>
      <c r="H19" s="43">
        <v>43979</v>
      </c>
      <c r="I19" s="44">
        <v>19</v>
      </c>
      <c r="J19" s="45">
        <f>IF(OR(ISBLANK(Tasks!$H19),ISBLANK(Tasks!$I19)),"",WORKDAY.INTL(Tasks!$H19,Tasks!$I19,7,Table4[Holidays]))</f>
        <v>44006</v>
      </c>
      <c r="K19" s="46">
        <f>Tasks!$J19-Tasks!$H19</f>
        <v>27</v>
      </c>
      <c r="L19" s="47"/>
      <c r="M19" s="50">
        <f>Tasks!$L19*Tasks!$K19</f>
        <v>0</v>
      </c>
      <c r="N19" s="46">
        <f>$M$1-Tasks!$H19</f>
        <v>-48</v>
      </c>
      <c r="O19" s="42" t="str">
        <f>IF(Tasks!$L19=1,"Done",IF(Tasks!$N19&gt;Tasks!$M19,"Delayed",IF(Tasks!$H19&gt;$M$1,"Not Started","In Progress")))</f>
        <v>Not Started</v>
      </c>
      <c r="P19" s="42"/>
      <c r="Q19" s="48"/>
      <c r="R19" s="48"/>
      <c r="S19" s="48">
        <f>Tasks!$R19*Tasks!$L19</f>
        <v>0</v>
      </c>
      <c r="T19" s="42"/>
      <c r="U19" s="42">
        <f t="shared" si="0"/>
        <v>4</v>
      </c>
      <c r="V19" s="49">
        <f t="shared" si="1"/>
        <v>43931</v>
      </c>
      <c r="W19">
        <f>IFERROR(ROW()/(O19=Lists!$B$2),1000)</f>
        <v>1000</v>
      </c>
    </row>
    <row r="20" spans="1:23" x14ac:dyDescent="0.3">
      <c r="A20" s="41" t="s">
        <v>87</v>
      </c>
      <c r="B20" s="42" t="s">
        <v>118</v>
      </c>
      <c r="C20" s="43" t="str">
        <f>VLOOKUP(B20,Tasks!$AD$2:$AE$8,2,0)</f>
        <v>Civil</v>
      </c>
      <c r="D20" s="43">
        <f>D19+15</f>
        <v>43993</v>
      </c>
      <c r="E20" s="44">
        <v>13</v>
      </c>
      <c r="F20" s="45">
        <f>IF(OR(ISBLANK(Tasks!$D20),ISBLANK(Tasks!$E20)),"",WORKDAY.INTL(Tasks!$D20,Tasks!$E20,7,Table4[Holidays]))</f>
        <v>44012</v>
      </c>
      <c r="G20" s="46">
        <f>Tasks!$F20-Tasks!$D20</f>
        <v>19</v>
      </c>
      <c r="H20" s="43">
        <v>43994</v>
      </c>
      <c r="I20" s="44">
        <v>13</v>
      </c>
      <c r="J20" s="45">
        <f>IF(OR(ISBLANK(Tasks!$H20),ISBLANK(Tasks!$I20)),"",WORKDAY.INTL(Tasks!$H20,Tasks!$I20,7,Table4[Holidays]))</f>
        <v>44012</v>
      </c>
      <c r="K20" s="46">
        <f>Tasks!$J20-Tasks!$H20</f>
        <v>18</v>
      </c>
      <c r="L20" s="47"/>
      <c r="M20" s="50">
        <f>Tasks!$L20*Tasks!$K20</f>
        <v>0</v>
      </c>
      <c r="N20" s="46">
        <f>$M$1-Tasks!$H20</f>
        <v>-63</v>
      </c>
      <c r="O20" s="42" t="str">
        <f>IF(Tasks!$L20=1,"Done",IF(Tasks!$N20&gt;Tasks!$M20,"Delayed",IF(Tasks!$H20&gt;$M$1,"Not Started","In Progress")))</f>
        <v>Not Started</v>
      </c>
      <c r="P20" s="42"/>
      <c r="Q20" s="48"/>
      <c r="R20" s="48"/>
      <c r="S20" s="48">
        <f>Tasks!$R20*Tasks!$L20</f>
        <v>0</v>
      </c>
      <c r="T20" s="42"/>
      <c r="U20" s="42">
        <f t="shared" si="0"/>
        <v>3</v>
      </c>
      <c r="V20" s="49">
        <f t="shared" si="1"/>
        <v>43931</v>
      </c>
      <c r="W20">
        <f>IFERROR(ROW()/(O20=Lists!$B$2),1000)</f>
        <v>1000</v>
      </c>
    </row>
    <row r="21" spans="1:23" x14ac:dyDescent="0.3">
      <c r="A21" s="41" t="s">
        <v>88</v>
      </c>
      <c r="B21" s="42" t="s">
        <v>115</v>
      </c>
      <c r="C21" s="43" t="str">
        <f>VLOOKUP(B21,Tasks!$AD$2:$AE$8,2,0)</f>
        <v>Acrhitict</v>
      </c>
      <c r="D21" s="43">
        <f>D20+2</f>
        <v>43995</v>
      </c>
      <c r="E21" s="44">
        <v>14</v>
      </c>
      <c r="F21" s="45">
        <f>IF(OR(ISBLANK(Tasks!$D21),ISBLANK(Tasks!$E21)),"",WORKDAY.INTL(Tasks!$D21,Tasks!$E21,7,Table4[Holidays]))</f>
        <v>44013</v>
      </c>
      <c r="G21" s="46">
        <f>Tasks!$F21-Tasks!$D21</f>
        <v>18</v>
      </c>
      <c r="H21" s="43">
        <v>43996</v>
      </c>
      <c r="I21" s="44">
        <v>14</v>
      </c>
      <c r="J21" s="45">
        <f>IF(OR(ISBLANK(Tasks!$H21),ISBLANK(Tasks!$I21)),"",WORKDAY.INTL(Tasks!$H21,Tasks!$I21,7,Table4[Holidays]))</f>
        <v>44014</v>
      </c>
      <c r="K21" s="46">
        <f>Tasks!$J21-Tasks!$H21</f>
        <v>18</v>
      </c>
      <c r="L21" s="47"/>
      <c r="M21" s="50">
        <f>Tasks!$L21*Tasks!$K21</f>
        <v>0</v>
      </c>
      <c r="N21" s="46">
        <f>$M$1-Tasks!$H21</f>
        <v>-65</v>
      </c>
      <c r="O21" s="42" t="str">
        <f>IF(Tasks!$L21=1,"Done",IF(Tasks!$N21&gt;Tasks!$M21,"Delayed",IF(Tasks!$H21&gt;$M$1,"Not Started","In Progress")))</f>
        <v>Not Started</v>
      </c>
      <c r="P21" s="42"/>
      <c r="Q21" s="48"/>
      <c r="R21" s="48"/>
      <c r="S21" s="48">
        <f>Tasks!$R21*Tasks!$L21</f>
        <v>0</v>
      </c>
      <c r="T21" s="42"/>
      <c r="U21" s="42">
        <f t="shared" si="0"/>
        <v>2</v>
      </c>
      <c r="V21" s="49">
        <f t="shared" si="1"/>
        <v>43931</v>
      </c>
      <c r="W21">
        <f>IFERROR(ROW()/(O21=Lists!$B$2),1000)</f>
        <v>1000</v>
      </c>
    </row>
    <row r="22" spans="1:23" x14ac:dyDescent="0.3">
      <c r="A22" s="41" t="s">
        <v>89</v>
      </c>
      <c r="B22" s="42" t="s">
        <v>114</v>
      </c>
      <c r="C22" s="43" t="str">
        <f>VLOOKUP(B22,Tasks!$AD$2:$AE$8,2,0)</f>
        <v>Electrical</v>
      </c>
      <c r="D22" s="43">
        <f>D21+3</f>
        <v>43998</v>
      </c>
      <c r="E22" s="44">
        <v>22</v>
      </c>
      <c r="F22" s="45">
        <f>IF(OR(ISBLANK(Tasks!$D22),ISBLANK(Tasks!$E22)),"",WORKDAY.INTL(Tasks!$D22,Tasks!$E22,7,Table4[Holidays]))</f>
        <v>44028</v>
      </c>
      <c r="G22" s="46">
        <f>Tasks!$F22-Tasks!$D22</f>
        <v>30</v>
      </c>
      <c r="H22" s="43">
        <v>43999</v>
      </c>
      <c r="I22" s="44">
        <v>22</v>
      </c>
      <c r="J22" s="45">
        <f>IF(OR(ISBLANK(Tasks!$H22),ISBLANK(Tasks!$I22)),"",WORKDAY.INTL(Tasks!$H22,Tasks!$I22,7,Table4[Holidays]))</f>
        <v>44031</v>
      </c>
      <c r="K22" s="46">
        <f>Tasks!$J22-Tasks!$H22</f>
        <v>32</v>
      </c>
      <c r="L22" s="47"/>
      <c r="M22" s="50">
        <f>Tasks!$L22*Tasks!$K22</f>
        <v>0</v>
      </c>
      <c r="N22" s="46">
        <f>$M$1-Tasks!$H22</f>
        <v>-68</v>
      </c>
      <c r="O22" s="42" t="str">
        <f>IF(Tasks!$L22=1,"Done",IF(Tasks!$N22&gt;Tasks!$M22,"Delayed",IF(Tasks!$H22&gt;$M$1,"Not Started","In Progress")))</f>
        <v>Not Started</v>
      </c>
      <c r="P22" s="42"/>
      <c r="Q22" s="48"/>
      <c r="R22" s="48"/>
      <c r="S22" s="48">
        <f>Tasks!$R22*Tasks!$L22</f>
        <v>0</v>
      </c>
      <c r="T22" s="42"/>
      <c r="U22" s="42">
        <f>U23+1</f>
        <v>1</v>
      </c>
      <c r="V22" s="49">
        <f t="shared" si="1"/>
        <v>43931</v>
      </c>
      <c r="W22">
        <f>IFERROR(ROW()/(O22=Lists!$B$2),1000)</f>
        <v>1000</v>
      </c>
    </row>
    <row r="23" spans="1:23" x14ac:dyDescent="0.3">
      <c r="A23" s="51" t="s">
        <v>90</v>
      </c>
      <c r="B23" s="52" t="s">
        <v>114</v>
      </c>
      <c r="C23" s="43" t="str">
        <f>VLOOKUP(B23,Tasks!$AD$2:$AE$8,2,0)</f>
        <v>Electrical</v>
      </c>
      <c r="D23" s="53">
        <f>D22+5</f>
        <v>44003</v>
      </c>
      <c r="E23" s="54">
        <v>6</v>
      </c>
      <c r="F23" s="55">
        <f>IF(OR(ISBLANK(Tasks!$D23),ISBLANK(Tasks!$E23)),"",WORKDAY.INTL(Tasks!$D23,Tasks!$E23,7,Table4[Holidays]))</f>
        <v>44011</v>
      </c>
      <c r="G23" s="56">
        <f>Tasks!$F23-Tasks!$D23</f>
        <v>8</v>
      </c>
      <c r="H23" s="53">
        <v>44004</v>
      </c>
      <c r="I23" s="54">
        <v>6</v>
      </c>
      <c r="J23" s="55">
        <f>IF(OR(ISBLANK(Tasks!$H23),ISBLANK(Tasks!$I23)),"",WORKDAY.INTL(Tasks!$H23,Tasks!$I23,7,Table4[Holidays]))</f>
        <v>44012</v>
      </c>
      <c r="K23" s="56">
        <f>Tasks!$J23-Tasks!$H23</f>
        <v>8</v>
      </c>
      <c r="L23" s="57"/>
      <c r="M23" s="56">
        <f>Tasks!$L23*Tasks!$K23</f>
        <v>0</v>
      </c>
      <c r="N23" s="56">
        <f>$M$1-Tasks!$H23</f>
        <v>-73</v>
      </c>
      <c r="O23" s="42" t="str">
        <f>IF(Tasks!$L23=1,"Done",IF(Tasks!$N23&gt;Tasks!$M23,"Delayed",IF(Tasks!$H23&gt;$M$1,"Not Started","In Progress")))</f>
        <v>Not Started</v>
      </c>
      <c r="P23" s="52"/>
      <c r="Q23" s="58">
        <v>3213</v>
      </c>
      <c r="R23" s="58">
        <v>3213</v>
      </c>
      <c r="S23" s="58">
        <f>Tasks!$R23*Tasks!$L23</f>
        <v>0</v>
      </c>
      <c r="T23" s="52"/>
      <c r="U23" s="52">
        <v>0</v>
      </c>
      <c r="V23" s="59">
        <f t="shared" si="1"/>
        <v>43931</v>
      </c>
      <c r="W23">
        <f>IFERROR(ROW()/(O23=Lists!$B$2),1000)</f>
        <v>1000</v>
      </c>
    </row>
    <row r="24" spans="1:23" x14ac:dyDescent="0.3">
      <c r="L24" s="75">
        <f>AVERAGE(L3:L23)</f>
        <v>0.8571428571428571</v>
      </c>
    </row>
  </sheetData>
  <phoneticPr fontId="1" type="noConversion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croll Bar 1">
              <controlPr defaultSize="0" autoPict="0">
                <anchor moveWithCells="1">
                  <from>
                    <xdr:col>12</xdr:col>
                    <xdr:colOff>845820</xdr:colOff>
                    <xdr:row>0</xdr:row>
                    <xdr:rowOff>15240</xdr:rowOff>
                  </from>
                  <to>
                    <xdr:col>13</xdr:col>
                    <xdr:colOff>274320</xdr:colOff>
                    <xdr:row>0</xdr:row>
                    <xdr:rowOff>563880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E2959-3A9C-4D05-9C2C-C33E06202CAB}">
  <dimension ref="A1:K23"/>
  <sheetViews>
    <sheetView showGridLines="0" workbookViewId="0">
      <selection activeCell="C10" sqref="C10"/>
    </sheetView>
  </sheetViews>
  <sheetFormatPr defaultColWidth="14.77734375" defaultRowHeight="14.4" x14ac:dyDescent="0.3"/>
  <cols>
    <col min="1" max="1" width="10.5546875" bestFit="1" customWidth="1"/>
    <col min="2" max="2" width="10.88671875" bestFit="1" customWidth="1"/>
    <col min="3" max="3" width="14.44140625" bestFit="1" customWidth="1"/>
    <col min="4" max="4" width="14.21875" bestFit="1" customWidth="1"/>
    <col min="5" max="6" width="11.44140625" bestFit="1" customWidth="1"/>
    <col min="7" max="7" width="12" bestFit="1" customWidth="1"/>
    <col min="8" max="10" width="11.44140625" bestFit="1" customWidth="1"/>
    <col min="20" max="20" width="9.88671875" bestFit="1" customWidth="1"/>
  </cols>
  <sheetData>
    <row r="1" spans="1:11" x14ac:dyDescent="0.3">
      <c r="A1" t="s">
        <v>63</v>
      </c>
      <c r="B1" s="10" t="b">
        <v>1</v>
      </c>
      <c r="C1" s="11"/>
      <c r="D1" s="11" t="s">
        <v>126</v>
      </c>
      <c r="E1" s="15">
        <f>DATE(YEAR(Tasks!M1),MONTH(Tasks!M1),1)</f>
        <v>43922</v>
      </c>
      <c r="F1" s="11"/>
      <c r="G1" s="9" t="s">
        <v>125</v>
      </c>
      <c r="H1" s="11">
        <f>INDEX($C$8:$J$8,1,MATCH(E1,$C$12:$J$12))</f>
        <v>2085000</v>
      </c>
      <c r="I1" s="11"/>
      <c r="J1" s="11"/>
    </row>
    <row r="2" spans="1:11" x14ac:dyDescent="0.3">
      <c r="A2" t="s">
        <v>64</v>
      </c>
      <c r="B2" s="10" t="b">
        <v>1</v>
      </c>
      <c r="G2" s="9" t="s">
        <v>128</v>
      </c>
      <c r="H2" s="11">
        <f>INDEX($C$9:$J$9,1,MATCH(E1,$C$12:$J$12))</f>
        <v>1855000</v>
      </c>
    </row>
    <row r="3" spans="1:11" x14ac:dyDescent="0.3">
      <c r="B3" s="10"/>
      <c r="H3" s="11"/>
    </row>
    <row r="4" spans="1:11" x14ac:dyDescent="0.3">
      <c r="A4" s="8" t="s">
        <v>76</v>
      </c>
      <c r="B4" s="9" t="s">
        <v>74</v>
      </c>
      <c r="C4" s="9" t="s">
        <v>62</v>
      </c>
      <c r="D4" s="15">
        <v>43831</v>
      </c>
      <c r="E4" s="15">
        <v>43862</v>
      </c>
      <c r="F4" s="15">
        <v>43891</v>
      </c>
      <c r="G4" s="15">
        <v>43922</v>
      </c>
      <c r="H4" s="15">
        <v>43952</v>
      </c>
      <c r="I4" s="15">
        <v>43983</v>
      </c>
      <c r="J4" s="15">
        <v>44013</v>
      </c>
    </row>
    <row r="5" spans="1:11" x14ac:dyDescent="0.3">
      <c r="A5" s="69" t="str">
        <f>Lists!$O$4</f>
        <v>Total</v>
      </c>
      <c r="B5" s="69" t="s">
        <v>63</v>
      </c>
      <c r="C5" s="70">
        <f>SUMIFS(C$10:C$20,$A$10:$A$20,$A5,$B$10:$B$20,$B5)</f>
        <v>2900000</v>
      </c>
      <c r="D5" s="70">
        <f>IF($B1,SUMIFS(D$10:D$20,$A$10:$A$20,$A5,$B$10:$B$20,$B5),NA())</f>
        <v>620000</v>
      </c>
      <c r="E5" s="70">
        <f t="shared" ref="E5:J6" si="0">IF($B1,IF(SUMIFS(E$10:E$20,$A$10:$A$20,$A5,$B$10:$B$20,$B5)=0,NA(),SUMIFS(E$10:E$20,$A$10:$A$20,$A5,$B$10:$B$20,$B5)+D5),NA())</f>
        <v>1160000</v>
      </c>
      <c r="F5" s="70">
        <f t="shared" si="0"/>
        <v>1660000</v>
      </c>
      <c r="G5" s="70">
        <f t="shared" si="0"/>
        <v>2085000</v>
      </c>
      <c r="H5" s="70">
        <f t="shared" si="0"/>
        <v>2430000</v>
      </c>
      <c r="I5" s="70">
        <f t="shared" si="0"/>
        <v>2685000</v>
      </c>
      <c r="J5" s="70">
        <f t="shared" si="0"/>
        <v>2900000</v>
      </c>
    </row>
    <row r="6" spans="1:11" x14ac:dyDescent="0.3">
      <c r="A6" s="69" t="str">
        <f>Lists!$O$4</f>
        <v>Total</v>
      </c>
      <c r="B6" s="69" t="s">
        <v>64</v>
      </c>
      <c r="C6" s="70">
        <f>SUMIFS(C$10:C$20,$A$10:$A$20,$A6,$B$10:$B$20,$B6)</f>
        <v>0</v>
      </c>
      <c r="D6" s="70">
        <f>IF($B2,SUMIFS(D$10:D$20,$A$10:$A$20,$A6,$B$10:$B$20,$B6),NA())</f>
        <v>640000</v>
      </c>
      <c r="E6" s="70">
        <f t="shared" si="0"/>
        <v>1165000</v>
      </c>
      <c r="F6" s="70">
        <f t="shared" si="0"/>
        <v>1690000</v>
      </c>
      <c r="G6" s="70">
        <f t="shared" si="0"/>
        <v>1855000</v>
      </c>
      <c r="H6" s="70" t="e">
        <f t="shared" si="0"/>
        <v>#N/A</v>
      </c>
      <c r="I6" s="70" t="e">
        <f t="shared" si="0"/>
        <v>#N/A</v>
      </c>
      <c r="J6" s="70" t="e">
        <f t="shared" si="0"/>
        <v>#N/A</v>
      </c>
    </row>
    <row r="7" spans="1:11" x14ac:dyDescent="0.3">
      <c r="A7" s="10"/>
      <c r="B7" s="10"/>
      <c r="C7" s="11"/>
      <c r="D7" s="11"/>
      <c r="E7" s="11"/>
      <c r="F7" s="11"/>
      <c r="G7" s="11"/>
      <c r="H7" s="11"/>
      <c r="I7" s="11"/>
      <c r="J7" s="11"/>
    </row>
    <row r="8" spans="1:11" x14ac:dyDescent="0.3">
      <c r="A8" s="73" t="s">
        <v>127</v>
      </c>
      <c r="B8" s="73" t="s">
        <v>63</v>
      </c>
      <c r="C8" s="74">
        <f>SUMIFS(C$13:C$20,$B$13:$B$20,$B8)</f>
        <v>2900000</v>
      </c>
      <c r="D8" s="74">
        <f>D10</f>
        <v>620000</v>
      </c>
      <c r="E8" s="74">
        <f>E10+D8</f>
        <v>1160000</v>
      </c>
      <c r="F8" s="74">
        <f t="shared" ref="F8:J8" si="1">F10+E8</f>
        <v>1660000</v>
      </c>
      <c r="G8" s="74">
        <f t="shared" si="1"/>
        <v>2085000</v>
      </c>
      <c r="H8" s="74">
        <f t="shared" si="1"/>
        <v>2430000</v>
      </c>
      <c r="I8" s="74">
        <f t="shared" si="1"/>
        <v>2685000</v>
      </c>
      <c r="J8" s="74">
        <f t="shared" si="1"/>
        <v>2900000</v>
      </c>
    </row>
    <row r="9" spans="1:11" x14ac:dyDescent="0.3">
      <c r="A9" s="73" t="s">
        <v>127</v>
      </c>
      <c r="B9" s="73" t="s">
        <v>64</v>
      </c>
      <c r="C9" s="74">
        <f>SUMIFS(C$13:C$20,$B$13:$B$20,$B9)</f>
        <v>0</v>
      </c>
      <c r="D9" s="74">
        <f>D11</f>
        <v>640000</v>
      </c>
      <c r="E9" s="74">
        <f t="shared" ref="E9:J9" si="2">E11+D9</f>
        <v>1165000</v>
      </c>
      <c r="F9" s="74">
        <f t="shared" si="2"/>
        <v>1690000</v>
      </c>
      <c r="G9" s="74">
        <f t="shared" si="2"/>
        <v>1855000</v>
      </c>
      <c r="H9" s="74">
        <f t="shared" si="2"/>
        <v>1855000</v>
      </c>
      <c r="I9" s="74">
        <f t="shared" si="2"/>
        <v>1855000</v>
      </c>
      <c r="J9" s="74">
        <f t="shared" si="2"/>
        <v>1855000</v>
      </c>
    </row>
    <row r="10" spans="1:11" x14ac:dyDescent="0.3">
      <c r="A10" s="69" t="s">
        <v>77</v>
      </c>
      <c r="B10" s="69" t="s">
        <v>63</v>
      </c>
      <c r="C10" s="70">
        <f>SUMIFS(C$13:C$20,$B$13:$B$20,$B10)</f>
        <v>2900000</v>
      </c>
      <c r="D10" s="70">
        <f t="shared" ref="D10:J11" si="3">SUMIFS(D$13:D$20,$B$13:$B$20,$B10)</f>
        <v>620000</v>
      </c>
      <c r="E10" s="70">
        <f t="shared" si="3"/>
        <v>540000</v>
      </c>
      <c r="F10" s="70">
        <f t="shared" si="3"/>
        <v>500000</v>
      </c>
      <c r="G10" s="70">
        <f t="shared" si="3"/>
        <v>425000</v>
      </c>
      <c r="H10" s="70">
        <f t="shared" si="3"/>
        <v>345000</v>
      </c>
      <c r="I10" s="70">
        <f t="shared" si="3"/>
        <v>255000</v>
      </c>
      <c r="J10" s="70">
        <f t="shared" si="3"/>
        <v>215000</v>
      </c>
    </row>
    <row r="11" spans="1:11" x14ac:dyDescent="0.3">
      <c r="A11" s="69" t="s">
        <v>77</v>
      </c>
      <c r="B11" s="69" t="s">
        <v>64</v>
      </c>
      <c r="C11" s="70">
        <f>SUMIFS(C$13:C$20,$B$13:$B$20,$B11)</f>
        <v>0</v>
      </c>
      <c r="D11" s="70">
        <f t="shared" si="3"/>
        <v>640000</v>
      </c>
      <c r="E11" s="70">
        <f t="shared" si="3"/>
        <v>525000</v>
      </c>
      <c r="F11" s="70">
        <f t="shared" si="3"/>
        <v>525000</v>
      </c>
      <c r="G11" s="70">
        <f t="shared" si="3"/>
        <v>165000</v>
      </c>
      <c r="H11" s="70">
        <f t="shared" si="3"/>
        <v>0</v>
      </c>
      <c r="I11" s="70">
        <f t="shared" si="3"/>
        <v>0</v>
      </c>
      <c r="J11" s="70">
        <f t="shared" si="3"/>
        <v>0</v>
      </c>
    </row>
    <row r="12" spans="1:11" x14ac:dyDescent="0.3">
      <c r="A12" s="66" t="s">
        <v>76</v>
      </c>
      <c r="B12" s="66" t="s">
        <v>74</v>
      </c>
      <c r="C12" s="66" t="s">
        <v>62</v>
      </c>
      <c r="D12" s="15">
        <v>43831</v>
      </c>
      <c r="E12" s="15">
        <v>43862</v>
      </c>
      <c r="F12" s="15">
        <v>43891</v>
      </c>
      <c r="G12" s="15">
        <v>43922</v>
      </c>
      <c r="H12" s="15">
        <v>43952</v>
      </c>
      <c r="I12" s="15">
        <v>43983</v>
      </c>
      <c r="J12" s="15">
        <v>44013</v>
      </c>
      <c r="K12" t="s">
        <v>124</v>
      </c>
    </row>
    <row r="13" spans="1:11" x14ac:dyDescent="0.3">
      <c r="A13" s="67" t="s">
        <v>72</v>
      </c>
      <c r="B13" s="67" t="s">
        <v>63</v>
      </c>
      <c r="C13" s="68">
        <v>200000</v>
      </c>
      <c r="D13" s="68">
        <v>50000</v>
      </c>
      <c r="E13" s="68">
        <v>50000</v>
      </c>
      <c r="F13" s="68">
        <v>30000</v>
      </c>
      <c r="G13" s="68">
        <v>30000</v>
      </c>
      <c r="H13" s="68">
        <v>20000</v>
      </c>
      <c r="I13" s="68">
        <v>10000</v>
      </c>
      <c r="J13" s="68">
        <v>10000</v>
      </c>
      <c r="K13" s="71">
        <f>C13-SUM(D13:J13)</f>
        <v>0</v>
      </c>
    </row>
    <row r="14" spans="1:11" x14ac:dyDescent="0.3">
      <c r="A14" s="67" t="s">
        <v>72</v>
      </c>
      <c r="B14" s="67" t="s">
        <v>64</v>
      </c>
      <c r="C14" s="68"/>
      <c r="D14" s="68">
        <v>40000</v>
      </c>
      <c r="E14" s="68">
        <v>30000</v>
      </c>
      <c r="F14" s="68">
        <v>60000</v>
      </c>
      <c r="G14" s="68">
        <v>25000</v>
      </c>
      <c r="H14" s="68"/>
      <c r="I14" s="68"/>
      <c r="J14" s="68"/>
      <c r="K14" s="71"/>
    </row>
    <row r="15" spans="1:11" x14ac:dyDescent="0.3">
      <c r="A15" s="67" t="s">
        <v>31</v>
      </c>
      <c r="B15" s="67" t="s">
        <v>63</v>
      </c>
      <c r="C15" s="68">
        <v>2000000</v>
      </c>
      <c r="D15" s="68">
        <v>450000</v>
      </c>
      <c r="E15" s="68">
        <v>370000</v>
      </c>
      <c r="F15" s="68">
        <v>350000</v>
      </c>
      <c r="G15" s="68">
        <v>270000</v>
      </c>
      <c r="H15" s="68">
        <v>230000</v>
      </c>
      <c r="I15" s="68">
        <v>180000</v>
      </c>
      <c r="J15" s="68">
        <v>150000</v>
      </c>
      <c r="K15" s="71">
        <f>C15-SUM(D15:J15)</f>
        <v>0</v>
      </c>
    </row>
    <row r="16" spans="1:11" x14ac:dyDescent="0.3">
      <c r="A16" s="67" t="s">
        <v>31</v>
      </c>
      <c r="B16" s="67" t="s">
        <v>64</v>
      </c>
      <c r="C16" s="68"/>
      <c r="D16" s="68">
        <v>500000</v>
      </c>
      <c r="E16" s="68">
        <v>390000</v>
      </c>
      <c r="F16" s="68">
        <v>340000</v>
      </c>
      <c r="G16" s="68">
        <v>20000</v>
      </c>
      <c r="H16" s="68"/>
      <c r="I16" s="68"/>
      <c r="J16" s="68"/>
      <c r="K16" s="71"/>
    </row>
    <row r="17" spans="1:11" x14ac:dyDescent="0.3">
      <c r="A17" s="67" t="s">
        <v>73</v>
      </c>
      <c r="B17" s="67" t="s">
        <v>63</v>
      </c>
      <c r="C17" s="68">
        <v>500000</v>
      </c>
      <c r="D17" s="68">
        <v>75000</v>
      </c>
      <c r="E17" s="68">
        <v>75000</v>
      </c>
      <c r="F17" s="68">
        <v>85000</v>
      </c>
      <c r="G17" s="68">
        <v>90000</v>
      </c>
      <c r="H17" s="68">
        <v>75000</v>
      </c>
      <c r="I17" s="68">
        <v>55000</v>
      </c>
      <c r="J17" s="68">
        <v>45000</v>
      </c>
      <c r="K17" s="71">
        <f>C17-SUM(D17:J17)</f>
        <v>0</v>
      </c>
    </row>
    <row r="18" spans="1:11" x14ac:dyDescent="0.3">
      <c r="A18" s="67" t="s">
        <v>73</v>
      </c>
      <c r="B18" s="67" t="s">
        <v>64</v>
      </c>
      <c r="C18" s="68"/>
      <c r="D18" s="68">
        <v>70000</v>
      </c>
      <c r="E18" s="68">
        <v>70000</v>
      </c>
      <c r="F18" s="68">
        <v>75000</v>
      </c>
      <c r="G18" s="68">
        <v>80000</v>
      </c>
      <c r="H18" s="68"/>
      <c r="I18" s="68"/>
      <c r="J18" s="68"/>
      <c r="K18" s="71"/>
    </row>
    <row r="19" spans="1:11" x14ac:dyDescent="0.3">
      <c r="A19" s="67" t="s">
        <v>75</v>
      </c>
      <c r="B19" s="67" t="s">
        <v>63</v>
      </c>
      <c r="C19" s="68">
        <v>200000</v>
      </c>
      <c r="D19" s="68">
        <v>45000</v>
      </c>
      <c r="E19" s="68">
        <v>45000</v>
      </c>
      <c r="F19" s="68">
        <v>35000</v>
      </c>
      <c r="G19" s="68">
        <v>35000</v>
      </c>
      <c r="H19" s="68">
        <v>20000</v>
      </c>
      <c r="I19" s="68">
        <v>10000</v>
      </c>
      <c r="J19" s="68">
        <v>10000</v>
      </c>
      <c r="K19" s="71">
        <f>C19-SUM(D19:J19)</f>
        <v>0</v>
      </c>
    </row>
    <row r="20" spans="1:11" x14ac:dyDescent="0.3">
      <c r="A20" s="67" t="s">
        <v>75</v>
      </c>
      <c r="B20" s="67" t="s">
        <v>64</v>
      </c>
      <c r="C20" s="68"/>
      <c r="D20" s="68">
        <v>30000</v>
      </c>
      <c r="E20" s="68">
        <v>35000</v>
      </c>
      <c r="F20" s="68">
        <v>50000</v>
      </c>
      <c r="G20" s="68">
        <v>40000</v>
      </c>
      <c r="H20" s="68"/>
      <c r="I20" s="68"/>
      <c r="J20" s="68"/>
      <c r="K20" s="71"/>
    </row>
    <row r="23" spans="1:11" x14ac:dyDescent="0.3">
      <c r="A23" s="10"/>
      <c r="B23" s="10"/>
      <c r="C23" s="11"/>
      <c r="D23" s="11"/>
      <c r="E23" s="11"/>
      <c r="F23" s="11"/>
      <c r="G23" s="11"/>
      <c r="H23" s="11"/>
      <c r="I23" s="11"/>
      <c r="J23" s="11"/>
    </row>
  </sheetData>
  <phoneticPr fontId="1" type="noConversion"/>
  <conditionalFormatting sqref="D5:J11 D13:J20">
    <cfRule type="expression" dxfId="0" priority="1">
      <formula>D$4=$E$1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053B-4436-4FE9-8EE6-1591B915000C}">
  <dimension ref="A1:O19"/>
  <sheetViews>
    <sheetView showGridLines="0" workbookViewId="0">
      <selection activeCell="K6" sqref="K6"/>
    </sheetView>
  </sheetViews>
  <sheetFormatPr defaultRowHeight="14.4" x14ac:dyDescent="0.3"/>
  <cols>
    <col min="1" max="1" width="13.44140625" bestFit="1" customWidth="1"/>
    <col min="2" max="2" width="8.109375" bestFit="1" customWidth="1"/>
    <col min="3" max="3" width="10.77734375" bestFit="1" customWidth="1"/>
    <col min="4" max="4" width="18.77734375" bestFit="1" customWidth="1"/>
    <col min="5" max="5" width="10.77734375" customWidth="1"/>
    <col min="6" max="7" width="9" customWidth="1"/>
    <col min="8" max="8" width="12.109375" bestFit="1" customWidth="1"/>
    <col min="9" max="9" width="12" bestFit="1" customWidth="1"/>
    <col min="10" max="10" width="28.33203125" bestFit="1" customWidth="1"/>
    <col min="11" max="11" width="12" customWidth="1"/>
    <col min="13" max="13" width="7.88671875" bestFit="1" customWidth="1"/>
    <col min="14" max="14" width="9.33203125" bestFit="1" customWidth="1"/>
    <col min="15" max="15" width="13.77734375" bestFit="1" customWidth="1"/>
    <col min="16" max="16" width="9" customWidth="1"/>
    <col min="17" max="17" width="13.44140625" customWidth="1"/>
  </cols>
  <sheetData>
    <row r="1" spans="1:15" ht="18" x14ac:dyDescent="0.35">
      <c r="A1" s="34" t="s">
        <v>95</v>
      </c>
      <c r="M1" s="35">
        <f>Lists!AE1</f>
        <v>2</v>
      </c>
      <c r="N1" s="35" t="str">
        <f>INDEX(Issues!$N$4:$N$6,M1)</f>
        <v>Medium</v>
      </c>
    </row>
    <row r="2" spans="1:15" x14ac:dyDescent="0.3">
      <c r="D2" s="32" t="s">
        <v>30</v>
      </c>
      <c r="E2" s="33">
        <f>SUBTOTAL(109,Issues!$E$4:$E$19)</f>
        <v>26855.300000000003</v>
      </c>
    </row>
    <row r="3" spans="1:15" x14ac:dyDescent="0.3">
      <c r="A3" s="8" t="s">
        <v>1</v>
      </c>
      <c r="B3" s="9" t="s">
        <v>2</v>
      </c>
      <c r="C3" s="9" t="s">
        <v>27</v>
      </c>
      <c r="D3" s="31" t="s">
        <v>28</v>
      </c>
      <c r="E3" s="31" t="s">
        <v>29</v>
      </c>
      <c r="F3" s="9" t="s">
        <v>3</v>
      </c>
      <c r="G3" s="9" t="s">
        <v>26</v>
      </c>
      <c r="H3" s="9" t="s">
        <v>4</v>
      </c>
      <c r="I3" s="9" t="s">
        <v>5</v>
      </c>
      <c r="J3" s="9" t="s">
        <v>6</v>
      </c>
      <c r="K3" s="25" t="s">
        <v>78</v>
      </c>
      <c r="M3" s="16" t="s">
        <v>29</v>
      </c>
      <c r="N3" s="17" t="s">
        <v>3</v>
      </c>
      <c r="O3" s="18" t="s">
        <v>92</v>
      </c>
    </row>
    <row r="4" spans="1:15" x14ac:dyDescent="0.3">
      <c r="A4" s="26">
        <v>1</v>
      </c>
      <c r="B4" s="27" t="s">
        <v>10</v>
      </c>
      <c r="C4" s="28">
        <v>0.46</v>
      </c>
      <c r="D4" s="27">
        <v>1353</v>
      </c>
      <c r="E4" s="29">
        <f>Issues!$C4*Issues!$D4</f>
        <v>622.38</v>
      </c>
      <c r="F4" s="27" t="str">
        <f>VLOOKUP(Issues!$E4,Issues!$M$4:$N$6,2,1)</f>
        <v>Low</v>
      </c>
      <c r="G4" s="27" t="s">
        <v>99</v>
      </c>
      <c r="H4" s="27"/>
      <c r="I4" s="27"/>
      <c r="J4" s="27" t="s">
        <v>107</v>
      </c>
      <c r="K4" s="30" t="s">
        <v>93</v>
      </c>
      <c r="L4">
        <f>IFERROR(ROW()/(($N$1=F4)*(K4="Open")),10000)</f>
        <v>10000</v>
      </c>
      <c r="M4" s="19">
        <v>0</v>
      </c>
      <c r="N4" s="20" t="s">
        <v>8</v>
      </c>
      <c r="O4" s="21">
        <f>COUNTIFS(Issues!$F$4:$F$19,N4,$K$4:$K$19,"Open")</f>
        <v>4</v>
      </c>
    </row>
    <row r="5" spans="1:15" x14ac:dyDescent="0.3">
      <c r="A5" s="26">
        <v>2</v>
      </c>
      <c r="B5" s="27" t="s">
        <v>16</v>
      </c>
      <c r="C5" s="28">
        <v>0.23</v>
      </c>
      <c r="D5" s="27">
        <v>8703</v>
      </c>
      <c r="E5" s="29">
        <f>Issues!$C5*Issues!$D5</f>
        <v>2001.69</v>
      </c>
      <c r="F5" s="27" t="str">
        <f>VLOOKUP(Issues!$E5,Issues!$M$4:$N$6,2,1)</f>
        <v>Medium</v>
      </c>
      <c r="G5" s="27" t="s">
        <v>100</v>
      </c>
      <c r="H5" s="27"/>
      <c r="I5" s="27"/>
      <c r="J5" s="27" t="s">
        <v>102</v>
      </c>
      <c r="K5" s="30" t="s">
        <v>94</v>
      </c>
      <c r="L5">
        <f t="shared" ref="L5:L19" si="0">IFERROR(ROW()/(($N$1=F5)*(K5="Open")),10000)</f>
        <v>10000</v>
      </c>
      <c r="M5" s="19">
        <v>2000</v>
      </c>
      <c r="N5" s="20" t="s">
        <v>9</v>
      </c>
      <c r="O5" s="21">
        <f>COUNTIFS(Issues!$F$4:$F$19,N5,$K$4:$K$19,"Open")</f>
        <v>2</v>
      </c>
    </row>
    <row r="6" spans="1:15" x14ac:dyDescent="0.3">
      <c r="A6" s="26">
        <v>3</v>
      </c>
      <c r="B6" s="27" t="s">
        <v>17</v>
      </c>
      <c r="C6" s="28">
        <v>0.33</v>
      </c>
      <c r="D6" s="27">
        <v>2127</v>
      </c>
      <c r="E6" s="29">
        <f>Issues!$C6*Issues!$D6</f>
        <v>701.91000000000008</v>
      </c>
      <c r="F6" s="27" t="str">
        <f>VLOOKUP(Issues!$E6,Issues!$M$4:$N$6,2,1)</f>
        <v>Low</v>
      </c>
      <c r="G6" s="27" t="s">
        <v>100</v>
      </c>
      <c r="H6" s="27"/>
      <c r="I6" s="27"/>
      <c r="J6" s="27" t="s">
        <v>106</v>
      </c>
      <c r="K6" s="30" t="s">
        <v>94</v>
      </c>
      <c r="L6">
        <f t="shared" si="0"/>
        <v>10000</v>
      </c>
      <c r="M6" s="22">
        <v>4000</v>
      </c>
      <c r="N6" s="23" t="s">
        <v>7</v>
      </c>
      <c r="O6" s="24">
        <f>COUNTIFS(Issues!$F$4:$F$19,N6,$K$4:$K$19,"Open")</f>
        <v>1</v>
      </c>
    </row>
    <row r="7" spans="1:15" x14ac:dyDescent="0.3">
      <c r="A7" s="26">
        <v>4</v>
      </c>
      <c r="B7" s="27" t="s">
        <v>18</v>
      </c>
      <c r="C7" s="28">
        <v>0.53</v>
      </c>
      <c r="D7" s="27">
        <v>3019</v>
      </c>
      <c r="E7" s="29">
        <f>Issues!$C7*Issues!$D7</f>
        <v>1600.0700000000002</v>
      </c>
      <c r="F7" s="27" t="str">
        <f>VLOOKUP(Issues!$E7,Issues!$M$4:$N$6,2,1)</f>
        <v>Low</v>
      </c>
      <c r="G7" s="27" t="s">
        <v>100</v>
      </c>
      <c r="H7" s="27"/>
      <c r="I7" s="27"/>
      <c r="J7" s="27" t="s">
        <v>106</v>
      </c>
      <c r="K7" s="30" t="s">
        <v>94</v>
      </c>
      <c r="L7">
        <f t="shared" si="0"/>
        <v>10000</v>
      </c>
    </row>
    <row r="8" spans="1:15" x14ac:dyDescent="0.3">
      <c r="A8" s="26">
        <v>5</v>
      </c>
      <c r="B8" s="27" t="s">
        <v>11</v>
      </c>
      <c r="C8" s="28">
        <v>0.9</v>
      </c>
      <c r="D8" s="27">
        <v>4004</v>
      </c>
      <c r="E8" s="29">
        <f>Issues!$C8*Issues!$D8</f>
        <v>3603.6</v>
      </c>
      <c r="F8" s="27" t="str">
        <f>VLOOKUP(Issues!$E8,Issues!$M$4:$N$6,2,1)</f>
        <v>Medium</v>
      </c>
      <c r="G8" s="27" t="s">
        <v>98</v>
      </c>
      <c r="H8" s="27"/>
      <c r="I8" s="27"/>
      <c r="J8" s="27" t="s">
        <v>108</v>
      </c>
      <c r="K8" s="30" t="s">
        <v>93</v>
      </c>
      <c r="L8">
        <f t="shared" si="0"/>
        <v>8</v>
      </c>
    </row>
    <row r="9" spans="1:15" x14ac:dyDescent="0.3">
      <c r="A9" s="26">
        <v>6</v>
      </c>
      <c r="B9" s="27" t="s">
        <v>12</v>
      </c>
      <c r="C9" s="28">
        <v>0.09</v>
      </c>
      <c r="D9" s="27">
        <v>4436</v>
      </c>
      <c r="E9" s="29">
        <f>Issues!$C9*Issues!$D9</f>
        <v>399.24</v>
      </c>
      <c r="F9" s="27" t="str">
        <f>VLOOKUP(Issues!$E9,Issues!$M$4:$N$6,2,1)</f>
        <v>Low</v>
      </c>
      <c r="G9" s="27" t="s">
        <v>100</v>
      </c>
      <c r="H9" s="27"/>
      <c r="I9" s="27"/>
      <c r="J9" s="27" t="s">
        <v>112</v>
      </c>
      <c r="K9" s="30" t="s">
        <v>93</v>
      </c>
      <c r="L9">
        <f t="shared" si="0"/>
        <v>10000</v>
      </c>
    </row>
    <row r="10" spans="1:15" x14ac:dyDescent="0.3">
      <c r="A10" s="26">
        <v>7</v>
      </c>
      <c r="B10" s="27" t="s">
        <v>13</v>
      </c>
      <c r="C10" s="28">
        <v>0.04</v>
      </c>
      <c r="D10" s="27">
        <v>1206</v>
      </c>
      <c r="E10" s="29">
        <f>Issues!$C10*Issues!$D10</f>
        <v>48.24</v>
      </c>
      <c r="F10" s="27" t="str">
        <f>VLOOKUP(Issues!$E10,Issues!$M$4:$N$6,2,1)</f>
        <v>Low</v>
      </c>
      <c r="G10" s="27" t="s">
        <v>98</v>
      </c>
      <c r="H10" s="27"/>
      <c r="I10" s="27"/>
      <c r="J10" s="27" t="s">
        <v>106</v>
      </c>
      <c r="K10" s="30" t="s">
        <v>94</v>
      </c>
      <c r="L10">
        <f t="shared" si="0"/>
        <v>10000</v>
      </c>
    </row>
    <row r="11" spans="1:15" x14ac:dyDescent="0.3">
      <c r="A11" s="26">
        <v>8</v>
      </c>
      <c r="B11" s="27" t="s">
        <v>14</v>
      </c>
      <c r="C11" s="28">
        <v>0.46</v>
      </c>
      <c r="D11" s="27">
        <v>1318</v>
      </c>
      <c r="E11" s="29">
        <f>Issues!$C11*Issues!$D11</f>
        <v>606.28</v>
      </c>
      <c r="F11" s="27" t="str">
        <f>VLOOKUP(Issues!$E11,Issues!$M$4:$N$6,2,1)</f>
        <v>Low</v>
      </c>
      <c r="G11" s="27" t="s">
        <v>99</v>
      </c>
      <c r="H11" s="27"/>
      <c r="I11" s="27"/>
      <c r="J11" s="27" t="s">
        <v>106</v>
      </c>
      <c r="K11" s="30" t="s">
        <v>94</v>
      </c>
      <c r="L11">
        <f t="shared" si="0"/>
        <v>10000</v>
      </c>
    </row>
    <row r="12" spans="1:15" x14ac:dyDescent="0.3">
      <c r="A12" s="26">
        <v>9</v>
      </c>
      <c r="B12" s="27" t="s">
        <v>15</v>
      </c>
      <c r="C12" s="28">
        <v>0.17</v>
      </c>
      <c r="D12" s="27">
        <v>3187</v>
      </c>
      <c r="E12" s="29">
        <f>Issues!$C12*Issues!$D12</f>
        <v>541.79000000000008</v>
      </c>
      <c r="F12" s="27" t="str">
        <f>VLOOKUP(Issues!$E12,Issues!$M$4:$N$6,2,1)</f>
        <v>Low</v>
      </c>
      <c r="G12" s="27" t="s">
        <v>98</v>
      </c>
      <c r="H12" s="27"/>
      <c r="I12" s="27"/>
      <c r="J12" s="27" t="s">
        <v>112</v>
      </c>
      <c r="K12" s="30" t="s">
        <v>93</v>
      </c>
      <c r="L12">
        <f t="shared" si="0"/>
        <v>10000</v>
      </c>
    </row>
    <row r="13" spans="1:15" x14ac:dyDescent="0.3">
      <c r="A13" s="26">
        <v>10</v>
      </c>
      <c r="B13" s="27" t="s">
        <v>19</v>
      </c>
      <c r="C13" s="28">
        <v>0.12</v>
      </c>
      <c r="D13" s="27">
        <v>9007</v>
      </c>
      <c r="E13" s="29">
        <f>Issues!$C13*Issues!$D13</f>
        <v>1080.8399999999999</v>
      </c>
      <c r="F13" s="27" t="str">
        <f>VLOOKUP(Issues!$E13,Issues!$M$4:$N$6,2,1)</f>
        <v>Low</v>
      </c>
      <c r="G13" s="27" t="s">
        <v>98</v>
      </c>
      <c r="H13" s="27"/>
      <c r="I13" s="27"/>
      <c r="J13" s="27" t="s">
        <v>106</v>
      </c>
      <c r="K13" s="30" t="s">
        <v>94</v>
      </c>
      <c r="L13">
        <f t="shared" si="0"/>
        <v>10000</v>
      </c>
    </row>
    <row r="14" spans="1:15" x14ac:dyDescent="0.3">
      <c r="A14" s="26">
        <v>11</v>
      </c>
      <c r="B14" s="27" t="s">
        <v>20</v>
      </c>
      <c r="C14" s="28">
        <v>0.62</v>
      </c>
      <c r="D14" s="27">
        <v>9771</v>
      </c>
      <c r="E14" s="29">
        <f>Issues!$C14*Issues!$D14</f>
        <v>6058.0199999999995</v>
      </c>
      <c r="F14" s="27" t="str">
        <f>VLOOKUP(Issues!$E14,Issues!$M$4:$N$6,2,1)</f>
        <v>High</v>
      </c>
      <c r="G14" s="27" t="s">
        <v>99</v>
      </c>
      <c r="H14" s="27"/>
      <c r="I14" s="27"/>
      <c r="J14" s="27" t="s">
        <v>111</v>
      </c>
      <c r="K14" s="30" t="s">
        <v>93</v>
      </c>
      <c r="L14">
        <f t="shared" si="0"/>
        <v>10000</v>
      </c>
    </row>
    <row r="15" spans="1:15" x14ac:dyDescent="0.3">
      <c r="A15" s="26">
        <v>12</v>
      </c>
      <c r="B15" s="27" t="s">
        <v>21</v>
      </c>
      <c r="C15" s="28">
        <v>0.47</v>
      </c>
      <c r="D15" s="27">
        <v>9044</v>
      </c>
      <c r="E15" s="29">
        <f>Issues!$C15*Issues!$D15</f>
        <v>4250.6799999999994</v>
      </c>
      <c r="F15" s="27" t="str">
        <f>VLOOKUP(Issues!$E15,Issues!$M$4:$N$6,2,1)</f>
        <v>High</v>
      </c>
      <c r="G15" s="27" t="s">
        <v>99</v>
      </c>
      <c r="H15" s="27"/>
      <c r="I15" s="27"/>
      <c r="J15" s="27" t="s">
        <v>103</v>
      </c>
      <c r="K15" s="30" t="s">
        <v>94</v>
      </c>
      <c r="L15">
        <f t="shared" si="0"/>
        <v>10000</v>
      </c>
    </row>
    <row r="16" spans="1:15" x14ac:dyDescent="0.3">
      <c r="A16" s="26">
        <v>13</v>
      </c>
      <c r="B16" s="27" t="s">
        <v>22</v>
      </c>
      <c r="C16" s="28">
        <v>0.26</v>
      </c>
      <c r="D16" s="27">
        <v>8632</v>
      </c>
      <c r="E16" s="29">
        <f>Issues!$C16*Issues!$D16</f>
        <v>2244.3200000000002</v>
      </c>
      <c r="F16" s="27" t="str">
        <f>VLOOKUP(Issues!$E16,Issues!$M$4:$N$6,2,1)</f>
        <v>Medium</v>
      </c>
      <c r="G16" s="27" t="s">
        <v>98</v>
      </c>
      <c r="H16" s="27"/>
      <c r="I16" s="27"/>
      <c r="J16" s="27" t="s">
        <v>109</v>
      </c>
      <c r="K16" s="30" t="s">
        <v>93</v>
      </c>
      <c r="L16">
        <f t="shared" si="0"/>
        <v>16</v>
      </c>
    </row>
    <row r="17" spans="1:12" x14ac:dyDescent="0.3">
      <c r="A17" s="26">
        <v>14</v>
      </c>
      <c r="B17" s="27" t="s">
        <v>23</v>
      </c>
      <c r="C17" s="28">
        <v>0.35</v>
      </c>
      <c r="D17" s="27">
        <v>3232</v>
      </c>
      <c r="E17" s="29">
        <f>Issues!$C17*Issues!$D17</f>
        <v>1131.1999999999998</v>
      </c>
      <c r="F17" s="27" t="str">
        <f>VLOOKUP(Issues!$E17,Issues!$M$4:$N$6,2,1)</f>
        <v>Low</v>
      </c>
      <c r="G17" s="27" t="s">
        <v>100</v>
      </c>
      <c r="H17" s="27"/>
      <c r="I17" s="27"/>
      <c r="J17" s="27" t="s">
        <v>104</v>
      </c>
      <c r="K17" s="30" t="s">
        <v>94</v>
      </c>
      <c r="L17">
        <f t="shared" si="0"/>
        <v>10000</v>
      </c>
    </row>
    <row r="18" spans="1:12" x14ac:dyDescent="0.3">
      <c r="A18" s="26">
        <v>15</v>
      </c>
      <c r="B18" s="27" t="s">
        <v>24</v>
      </c>
      <c r="C18" s="28">
        <v>0.56000000000000005</v>
      </c>
      <c r="D18" s="27">
        <v>2006</v>
      </c>
      <c r="E18" s="29">
        <f>Issues!$C18*Issues!$D18</f>
        <v>1123.3600000000001</v>
      </c>
      <c r="F18" s="27" t="str">
        <f>VLOOKUP(Issues!$E18,Issues!$M$4:$N$6,2,1)</f>
        <v>Low</v>
      </c>
      <c r="G18" s="27" t="s">
        <v>100</v>
      </c>
      <c r="H18" s="27"/>
      <c r="I18" s="27"/>
      <c r="J18" s="27" t="s">
        <v>110</v>
      </c>
      <c r="K18" s="30" t="s">
        <v>93</v>
      </c>
      <c r="L18">
        <f t="shared" si="0"/>
        <v>10000</v>
      </c>
    </row>
    <row r="19" spans="1:12" x14ac:dyDescent="0.3">
      <c r="A19" s="26">
        <v>16</v>
      </c>
      <c r="B19" s="27" t="s">
        <v>25</v>
      </c>
      <c r="C19" s="28">
        <v>0.21</v>
      </c>
      <c r="D19" s="27">
        <v>4008</v>
      </c>
      <c r="E19" s="29">
        <f>Issues!$C19*Issues!$D19</f>
        <v>841.68</v>
      </c>
      <c r="F19" s="27" t="str">
        <f>VLOOKUP(Issues!$E19,Issues!$M$4:$N$6,2,1)</f>
        <v>Low</v>
      </c>
      <c r="G19" s="27" t="s">
        <v>99</v>
      </c>
      <c r="H19" s="27"/>
      <c r="I19" s="27"/>
      <c r="J19" s="27" t="s">
        <v>105</v>
      </c>
      <c r="K19" s="30" t="s">
        <v>94</v>
      </c>
      <c r="L19">
        <f t="shared" si="0"/>
        <v>10000</v>
      </c>
    </row>
  </sheetData>
  <autoFilter ref="A3:K19" xr:uid="{B581D144-AF07-433E-B001-98B558AD6BEF}"/>
  <phoneticPr fontId="1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DFC114E-C2E9-4C44-9673-1515B62A481C}">
            <x14:iconSet custom="1">
              <x14:cfvo type="percent">
                <xm:f>0</xm:f>
              </x14:cfvo>
              <x14:cfvo type="num">
                <xm:f>$M$5</xm:f>
              </x14:cfvo>
              <x14:cfvo type="num">
                <xm:f>$M$6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E4:E19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DFF7-0C26-4366-8AFF-5010ED4C789A}">
  <dimension ref="A1:AY47"/>
  <sheetViews>
    <sheetView workbookViewId="0">
      <selection activeCell="H10" sqref="H10"/>
    </sheetView>
  </sheetViews>
  <sheetFormatPr defaultRowHeight="14.4" x14ac:dyDescent="0.3"/>
  <cols>
    <col min="1" max="1" width="3.21875" bestFit="1" customWidth="1"/>
    <col min="2" max="2" width="15.21875" bestFit="1" customWidth="1"/>
    <col min="3" max="3" width="6.109375" bestFit="1" customWidth="1"/>
    <col min="4" max="4" width="10.6640625" bestFit="1" customWidth="1"/>
    <col min="5" max="5" width="12.6640625" bestFit="1" customWidth="1"/>
    <col min="6" max="6" width="6.21875" bestFit="1" customWidth="1"/>
    <col min="7" max="7" width="12.6640625" bestFit="1" customWidth="1"/>
    <col min="8" max="8" width="10.88671875" bestFit="1" customWidth="1"/>
    <col min="9" max="9" width="12.6640625" bestFit="1" customWidth="1"/>
    <col min="10" max="10" width="6.21875" bestFit="1" customWidth="1"/>
    <col min="11" max="11" width="12.33203125" bestFit="1" customWidth="1"/>
    <col min="12" max="12" width="6.6640625" bestFit="1" customWidth="1"/>
    <col min="13" max="13" width="6" bestFit="1" customWidth="1"/>
    <col min="14" max="14" width="7.21875" bestFit="1" customWidth="1"/>
    <col min="15" max="15" width="12.109375" bestFit="1" customWidth="1"/>
    <col min="16" max="16" width="14.6640625" bestFit="1" customWidth="1"/>
    <col min="17" max="17" width="9.6640625" bestFit="1" customWidth="1"/>
    <col min="18" max="20" width="8.109375" bestFit="1" customWidth="1"/>
    <col min="21" max="21" width="12.77734375" bestFit="1" customWidth="1"/>
    <col min="22" max="22" width="4.109375" bestFit="1" customWidth="1"/>
    <col min="23" max="23" width="10.77734375" bestFit="1" customWidth="1"/>
    <col min="31" max="31" width="10.44140625" bestFit="1" customWidth="1"/>
    <col min="32" max="32" width="11.33203125" customWidth="1"/>
  </cols>
  <sheetData>
    <row r="1" spans="1:51" x14ac:dyDescent="0.3">
      <c r="B1" s="7">
        <v>4</v>
      </c>
      <c r="AE1">
        <v>2</v>
      </c>
    </row>
    <row r="2" spans="1:51" x14ac:dyDescent="0.3">
      <c r="B2" s="7" t="str">
        <f>INDEX(Lists!$B$5:$B$8,B1)</f>
        <v>Done</v>
      </c>
      <c r="C2" t="str">
        <f>B2&amp;" 
Tasks"</f>
        <v>Done 
Tasks</v>
      </c>
      <c r="AE2" t="str">
        <f>INDEX($AE$5:$AE$7,AE1)</f>
        <v>Medium</v>
      </c>
      <c r="AF2" t="str">
        <f>AE2&amp;" Priotity 
Issues"</f>
        <v>Medium Priotity 
Issues</v>
      </c>
    </row>
    <row r="3" spans="1:51" x14ac:dyDescent="0.3">
      <c r="B3" t="s">
        <v>101</v>
      </c>
      <c r="C3">
        <v>1</v>
      </c>
      <c r="O3" s="10">
        <v>5</v>
      </c>
      <c r="AE3" t="s">
        <v>101</v>
      </c>
      <c r="AF3">
        <v>1</v>
      </c>
    </row>
    <row r="4" spans="1:51" x14ac:dyDescent="0.3">
      <c r="B4" s="12" t="s">
        <v>71</v>
      </c>
      <c r="C4" s="12" t="s">
        <v>96</v>
      </c>
      <c r="O4" t="str">
        <f>INDEX($O$6:$O$10,O3)</f>
        <v>Total</v>
      </c>
      <c r="AE4" s="17" t="s">
        <v>3</v>
      </c>
      <c r="AF4" s="18" t="s">
        <v>92</v>
      </c>
    </row>
    <row r="5" spans="1:51" x14ac:dyDescent="0.3">
      <c r="B5" s="64" t="s">
        <v>70</v>
      </c>
      <c r="C5" s="64">
        <f>COUNTIFS(Tasks!$O$3:$O$23,Lists!$B5)</f>
        <v>8</v>
      </c>
      <c r="O5" s="8" t="s">
        <v>76</v>
      </c>
      <c r="AE5" s="20" t="s">
        <v>8</v>
      </c>
      <c r="AF5" s="21">
        <f>COUNTIFS(Issues!$F$4:$F$19,AE5,Issues!$K$4:$K$19,"Open")</f>
        <v>4</v>
      </c>
    </row>
    <row r="6" spans="1:51" x14ac:dyDescent="0.3">
      <c r="B6" s="64" t="s">
        <v>68</v>
      </c>
      <c r="C6" s="65">
        <f>COUNTIFS(Tasks!$O$3:$O$23,Lists!$B6)</f>
        <v>6</v>
      </c>
      <c r="O6" t="s">
        <v>72</v>
      </c>
      <c r="AE6" s="20" t="s">
        <v>9</v>
      </c>
      <c r="AF6" s="21">
        <f>COUNTIFS(Issues!$F$4:$F$19,AE6,Issues!$K$4:$K$19,"Open")</f>
        <v>2</v>
      </c>
    </row>
    <row r="7" spans="1:51" x14ac:dyDescent="0.3">
      <c r="B7" s="64" t="s">
        <v>69</v>
      </c>
      <c r="C7" s="65">
        <f>COUNTIFS(Tasks!$O$3:$O$23,Lists!$B7)</f>
        <v>3</v>
      </c>
      <c r="O7" t="s">
        <v>31</v>
      </c>
      <c r="AE7" s="23" t="s">
        <v>7</v>
      </c>
      <c r="AF7" s="21">
        <f>COUNTIFS(Issues!$F$4:$F$19,AE7,Issues!$K$4:$K$19,"Open")</f>
        <v>1</v>
      </c>
    </row>
    <row r="8" spans="1:51" x14ac:dyDescent="0.3">
      <c r="B8" s="13" t="s">
        <v>67</v>
      </c>
      <c r="C8" s="14">
        <f>COUNTIFS(Tasks!$O$3:$O$23,Lists!$B8)</f>
        <v>4</v>
      </c>
      <c r="O8" t="s">
        <v>73</v>
      </c>
    </row>
    <row r="9" spans="1:51" x14ac:dyDescent="0.3">
      <c r="O9" t="s">
        <v>75</v>
      </c>
    </row>
    <row r="10" spans="1:51" x14ac:dyDescent="0.3">
      <c r="O10" t="s">
        <v>77</v>
      </c>
    </row>
    <row r="16" spans="1:51" ht="55.2" x14ac:dyDescent="0.3">
      <c r="A16">
        <f>INDEX($C$5:$C$8,B1)</f>
        <v>4</v>
      </c>
      <c r="B16" s="37" t="s">
        <v>0</v>
      </c>
      <c r="C16" s="38" t="s">
        <v>35</v>
      </c>
      <c r="D16" s="38" t="s">
        <v>34</v>
      </c>
      <c r="E16" s="38" t="s">
        <v>36</v>
      </c>
      <c r="F16" s="39" t="s">
        <v>51</v>
      </c>
      <c r="G16" s="38" t="s">
        <v>37</v>
      </c>
      <c r="H16" s="38" t="s">
        <v>53</v>
      </c>
      <c r="I16" s="38" t="s">
        <v>38</v>
      </c>
      <c r="J16" s="39" t="s">
        <v>52</v>
      </c>
      <c r="K16" s="38" t="s">
        <v>39</v>
      </c>
      <c r="L16" s="38" t="s">
        <v>54</v>
      </c>
      <c r="M16" s="38" t="s">
        <v>65</v>
      </c>
      <c r="N16" s="38" t="s">
        <v>55</v>
      </c>
      <c r="O16" s="39" t="s">
        <v>60</v>
      </c>
      <c r="P16" s="38" t="s">
        <v>32</v>
      </c>
      <c r="Q16" s="38" t="s">
        <v>66</v>
      </c>
      <c r="R16" s="38" t="s">
        <v>49</v>
      </c>
      <c r="S16" s="38" t="s">
        <v>50</v>
      </c>
      <c r="T16" s="38" t="s">
        <v>61</v>
      </c>
      <c r="U16" s="38" t="s">
        <v>33</v>
      </c>
      <c r="V16" s="38" t="s">
        <v>56</v>
      </c>
      <c r="W16" s="40" t="s">
        <v>57</v>
      </c>
      <c r="AE16" s="41">
        <f>INDEX($AF$5:$AF$7,AE1)</f>
        <v>2</v>
      </c>
      <c r="AF16" s="8" t="s">
        <v>1</v>
      </c>
      <c r="AG16" s="9" t="s">
        <v>2</v>
      </c>
      <c r="AH16" s="9" t="s">
        <v>27</v>
      </c>
      <c r="AI16" s="31" t="s">
        <v>28</v>
      </c>
      <c r="AJ16" s="31" t="s">
        <v>29</v>
      </c>
      <c r="AK16" s="9" t="s">
        <v>3</v>
      </c>
      <c r="AL16" s="9" t="s">
        <v>26</v>
      </c>
      <c r="AM16" s="9" t="s">
        <v>4</v>
      </c>
      <c r="AN16" s="9" t="s">
        <v>5</v>
      </c>
      <c r="AO16" s="9" t="s">
        <v>6</v>
      </c>
      <c r="AP16" s="25" t="s">
        <v>78</v>
      </c>
      <c r="AY16" s="75"/>
    </row>
    <row r="17" spans="1:51" x14ac:dyDescent="0.3">
      <c r="A17" s="41">
        <f>IF(ROWS($A$16:A17)-1&lt;=$A$16,ROWS($A$16:A17)-1,0)</f>
        <v>1</v>
      </c>
      <c r="B17" s="41" t="str">
        <f>IF($A17&lt;&gt;0,INDEX(Tasks!$A$3:$V$23,MATCH(SMALL(Tasks!$W$3:$W$23,Lists!$A17),Tasks!$W$3:$W$23,0),MATCH(B$16,Tasks!$A$2:$V$2,0)),"")</f>
        <v>Activity 01</v>
      </c>
      <c r="C17" s="42" t="str">
        <f>IF($A17&lt;&gt;0,INDEX(Tasks!$A$3:$V$23,MATCH(SMALL(Tasks!$W$3:$W$23,Lists!$A17),Tasks!$W$3:$W$23,0),MATCH(C$16,Tasks!$A$2:$V$2,0)),"")</f>
        <v>BTS</v>
      </c>
      <c r="D17" s="42" t="str">
        <f>IF($A17&lt;&gt;0,INDEX(Tasks!$A$3:$V$23,MATCH(SMALL(Tasks!$W$3:$W$23,Lists!$A17),Tasks!$W$3:$W$23,0),MATCH(D$16,Tasks!$A$2:$V$2,0)),"")</f>
        <v>Civil</v>
      </c>
      <c r="E17" s="43">
        <f>IF($A17&lt;&gt;0,INDEX(Tasks!$A$3:$V$23,MATCH(SMALL(Tasks!$W$3:$W$23,Lists!$A17),Tasks!$W$3:$W$23,0),MATCH(E$16,Tasks!$A$2:$V$2,0)),"")</f>
        <v>43831</v>
      </c>
      <c r="F17" s="44">
        <f>IF($A17&lt;&gt;0,INDEX(Tasks!$A$3:$V$23,MATCH(SMALL(Tasks!$W$3:$W$23,Lists!$A17),Tasks!$W$3:$W$23,0),MATCH(F$16,Tasks!$A$2:$V$2,0)),"")</f>
        <v>10</v>
      </c>
      <c r="G17" s="45">
        <f>IF($A17&lt;&gt;0,INDEX(Tasks!$A$3:$V$23,MATCH(SMALL(Tasks!$W$3:$W$23,Lists!$A17),Tasks!$W$3:$W$23,0),MATCH(G$16,Tasks!$A$2:$V$2,0)),"")</f>
        <v>43845</v>
      </c>
      <c r="H17" s="46">
        <f>IF($A17&lt;&gt;0,INDEX(Tasks!$A$3:$V$23,MATCH(SMALL(Tasks!$W$3:$W$23,Lists!$A17),Tasks!$W$3:$W$23,0),MATCH(H$16,Tasks!$A$2:$V$2,0)),"")</f>
        <v>14</v>
      </c>
      <c r="I17" s="43">
        <f>IF($A17&lt;&gt;0,INDEX(Tasks!$A$3:$V$23,MATCH(SMALL(Tasks!$W$3:$W$23,Lists!$A17),Tasks!$W$3:$W$23,0),MATCH(I$16,Tasks!$A$2:$V$2,0)),"")</f>
        <v>43831</v>
      </c>
      <c r="J17" s="44">
        <f>IF($A17&lt;&gt;0,INDEX(Tasks!$A$3:$V$23,MATCH(SMALL(Tasks!$W$3:$W$23,Lists!$A17),Tasks!$W$3:$W$23,0),MATCH(J$16,Tasks!$A$2:$V$2,0)),"")</f>
        <v>10</v>
      </c>
      <c r="K17" s="45">
        <f>IF($A17&lt;&gt;0,INDEX(Tasks!$A$3:$V$23,MATCH(SMALL(Tasks!$W$3:$W$23,Lists!$A17),Tasks!$W$3:$W$23,0),MATCH(K$16,Tasks!$A$2:$V$2,0)),"")</f>
        <v>43845</v>
      </c>
      <c r="L17" s="46">
        <f>IF($A17&lt;&gt;0,INDEX(Tasks!$A$3:$V$23,MATCH(SMALL(Tasks!$W$3:$W$23,Lists!$A17),Tasks!$W$3:$W$23,0),MATCH(L$16,Tasks!$A$2:$V$2,0)),"")</f>
        <v>14</v>
      </c>
      <c r="M17" s="47">
        <f>IF($A17&lt;&gt;0,INDEX(Tasks!$A$3:$V$23,MATCH(SMALL(Tasks!$W$3:$W$23,Lists!$A17),Tasks!$W$3:$W$23,0),MATCH(M$16,Tasks!$A$2:$V$2,0)),"")</f>
        <v>1</v>
      </c>
      <c r="N17" s="46">
        <f>IF($A17&lt;&gt;0,INDEX(Tasks!$A$3:$V$23,MATCH(SMALL(Tasks!$W$3:$W$23,Lists!$A17),Tasks!$W$3:$W$23,0),MATCH(N$16,Tasks!$A$2:$V$2,0)),"")</f>
        <v>14</v>
      </c>
      <c r="O17" s="46">
        <f>IF($A17&lt;&gt;0,INDEX(Tasks!$A$3:$V$23,MATCH(SMALL(Tasks!$W$3:$W$23,Lists!$A17),Tasks!$W$3:$W$23,0),MATCH(O$16,Tasks!$A$2:$V$2,0)),"")</f>
        <v>100</v>
      </c>
      <c r="P17" s="42" t="str">
        <f>IF($A17&lt;&gt;0,INDEX(Tasks!$A$3:$V$23,MATCH(SMALL(Tasks!$W$3:$W$23,Lists!$A17),Tasks!$W$3:$W$23,0),MATCH(P$16,Tasks!$A$2:$V$2,0)),"")</f>
        <v>Done</v>
      </c>
      <c r="Q17" s="42">
        <f>IF($A17&lt;&gt;0,INDEX(Tasks!$A$3:$V$23,MATCH(SMALL(Tasks!$W$3:$W$23,Lists!$A17),Tasks!$W$3:$W$23,0),MATCH(Q$16,Tasks!$A$2:$V$2,0)),"")</f>
        <v>0</v>
      </c>
      <c r="R17" s="48">
        <f>IF($A17&lt;&gt;0,INDEX(Tasks!$A$3:$V$23,MATCH(SMALL(Tasks!$W$3:$W$23,Lists!$A17),Tasks!$W$3:$W$23,0),MATCH(R$16,Tasks!$A$2:$V$2,0)),"")</f>
        <v>4308</v>
      </c>
      <c r="S17" s="48">
        <f>IF($A17&lt;&gt;0,INDEX(Tasks!$A$3:$V$23,MATCH(SMALL(Tasks!$W$3:$W$23,Lists!$A17),Tasks!$W$3:$W$23,0),MATCH(S$16,Tasks!$A$2:$V$2,0)),"")</f>
        <v>4308</v>
      </c>
      <c r="T17" s="48">
        <f>IF($A17&lt;&gt;0,INDEX(Tasks!$A$3:$V$23,MATCH(SMALL(Tasks!$W$3:$W$23,Lists!$A17),Tasks!$W$3:$W$23,0),MATCH(T$16,Tasks!$A$2:$V$2,0)),"")</f>
        <v>4308</v>
      </c>
      <c r="U17" s="42">
        <f>IF($A17&lt;&gt;0,INDEX(Tasks!$A$3:$V$23,MATCH(SMALL(Tasks!$W$3:$W$23,Lists!$A17),Tasks!$W$3:$W$23,0),MATCH(U$16,Tasks!$A$2:$V$2,0)),"")</f>
        <v>0</v>
      </c>
      <c r="V17" s="42">
        <f>IF($A17&lt;&gt;0,INDEX(Tasks!$A$3:$V$23,MATCH(SMALL(Tasks!$W$3:$W$23,Lists!$A17),Tasks!$W$3:$W$23,0),MATCH(V$16,Tasks!$A$2:$V$2,0)),"")</f>
        <v>20</v>
      </c>
      <c r="W17" s="49">
        <f>IF($A17&lt;&gt;0,INDEX(Tasks!$A$3:$V$23,MATCH(SMALL(Tasks!$W$3:$W$23,Lists!$A17),Tasks!$W$3:$W$23,0),MATCH(W$16,Tasks!$A$2:$V$2,0)),"")</f>
        <v>43931</v>
      </c>
      <c r="AE17" s="41">
        <f>IF(ROWS($AE$16:$AE17)-1&lt;=$AE$16,ROWS($AE$16:$AE17)-1,0)</f>
        <v>1</v>
      </c>
      <c r="AF17" s="41">
        <f>IF($AE17&lt;&gt;0,INDEX(Issues!$A$4:$K$19,MATCH(SMALL(Issues!$L$4:$L$19,Lists!$AE17),Issues!$L$4:$L$19,0),MATCH(Lists!AF$16,Issues!$A$3:$K$3,0)),"")</f>
        <v>5</v>
      </c>
      <c r="AG17" s="41" t="str">
        <f>IF($AE17&lt;&gt;0,INDEX(Issues!$A$4:$K$19,MATCH(SMALL(Issues!$L$4:$L$19,Lists!$AE17),Issues!$L$4:$L$19,0),MATCH(Lists!AG$16,Issues!$A$3:$K$3,0)),"")</f>
        <v>Issue#5</v>
      </c>
      <c r="AH17" s="41">
        <f>IF($AE17&lt;&gt;0,INDEX(Issues!$A$4:$K$19,MATCH(SMALL(Issues!$L$4:$L$19,Lists!$AE17),Issues!$L$4:$L$19,0),MATCH(Lists!AH$16,Issues!$A$3:$K$3,0)),"")</f>
        <v>0.9</v>
      </c>
      <c r="AI17" s="41">
        <f>IF($AE17&lt;&gt;0,INDEX(Issues!$A$4:$K$19,MATCH(SMALL(Issues!$L$4:$L$19,Lists!$AE17),Issues!$L$4:$L$19,0),MATCH(Lists!AI$16,Issues!$A$3:$K$3,0)),"")</f>
        <v>4004</v>
      </c>
      <c r="AJ17" s="41">
        <f>IF($AE17&lt;&gt;0,INDEX(Issues!$A$4:$K$19,MATCH(SMALL(Issues!$L$4:$L$19,Lists!$AE17),Issues!$L$4:$L$19,0),MATCH(Lists!AJ$16,Issues!$A$3:$K$3,0)),"")</f>
        <v>3603.6</v>
      </c>
      <c r="AK17" s="41" t="str">
        <f>IF($AE17&lt;&gt;0,INDEX(Issues!$A$4:$K$19,MATCH(SMALL(Issues!$L$4:$L$19,Lists!$AE17),Issues!$L$4:$L$19,0),MATCH(Lists!AK$16,Issues!$A$3:$K$3,0)),"")</f>
        <v>Medium</v>
      </c>
      <c r="AL17" s="41" t="str">
        <f>IF($AE17&lt;&gt;0,INDEX(Issues!$A$4:$K$19,MATCH(SMALL(Issues!$L$4:$L$19,Lists!$AE17),Issues!$L$4:$L$19,0),MATCH(Lists!AL$16,Issues!$A$3:$K$3,0)),"")</f>
        <v>Ahmad</v>
      </c>
      <c r="AM17" s="41">
        <f>IF($AE17&lt;&gt;0,INDEX(Issues!$A$4:$K$19,MATCH(SMALL(Issues!$L$4:$L$19,Lists!$AE17),Issues!$L$4:$L$19,0),MATCH(Lists!AM$16,Issues!$A$3:$K$3,0)),"")</f>
        <v>0</v>
      </c>
      <c r="AN17" s="41">
        <f>IF($AE17&lt;&gt;0,INDEX(Issues!$A$4:$K$19,MATCH(SMALL(Issues!$L$4:$L$19,Lists!$AE17),Issues!$L$4:$L$19,0),MATCH(Lists!AN$16,Issues!$A$3:$K$3,0)),"")</f>
        <v>0</v>
      </c>
      <c r="AO17" s="41" t="str">
        <f>IF($AE17&lt;&gt;0,INDEX(Issues!$A$4:$K$19,MATCH(SMALL(Issues!$L$4:$L$19,Lists!$AE17),Issues!$L$4:$L$19,0),MATCH(Lists!AO$16,Issues!$A$3:$K$3,0)),"")</f>
        <v>No response from the contractor</v>
      </c>
      <c r="AP17" s="41" t="str">
        <f>IF($AE17&lt;&gt;0,INDEX(Issues!$A$4:$K$19,MATCH(SMALL(Issues!$L$4:$L$19,Lists!$AE17),Issues!$L$4:$L$19,0),MATCH(Lists!AP$16,Issues!$A$3:$K$3,0)),"")</f>
        <v>Open</v>
      </c>
      <c r="AY17" s="75"/>
    </row>
    <row r="18" spans="1:51" x14ac:dyDescent="0.3">
      <c r="A18" s="41">
        <f>IF(ROWS($A$16:A18)-1&lt;=$A$16,ROWS($A$16:A18)-1,0)</f>
        <v>2</v>
      </c>
      <c r="B18" s="41" t="str">
        <f>IF($A18&lt;&gt;0,INDEX(Tasks!$A$3:$V$23,MATCH(SMALL(Tasks!$W$3:$W$23,Lists!$A18),Tasks!$W$3:$W$23,0),MATCH(B$16,Tasks!$A$2:$V$2,0)),"")</f>
        <v>Activity 04</v>
      </c>
      <c r="C18" s="42" t="str">
        <f>IF($A18&lt;&gt;0,INDEX(Tasks!$A$3:$V$23,MATCH(SMALL(Tasks!$W$3:$W$23,Lists!$A18),Tasks!$W$3:$W$23,0),MATCH(C$16,Tasks!$A$2:$V$2,0)),"")</f>
        <v>CFA</v>
      </c>
      <c r="D18" s="42" t="str">
        <f>IF($A18&lt;&gt;0,INDEX(Tasks!$A$3:$V$23,MATCH(SMALL(Tasks!$W$3:$W$23,Lists!$A18),Tasks!$W$3:$W$23,0),MATCH(D$16,Tasks!$A$2:$V$2,0)),"")</f>
        <v>Acrhitict</v>
      </c>
      <c r="E18" s="43">
        <f>IF($A18&lt;&gt;0,INDEX(Tasks!$A$3:$V$23,MATCH(SMALL(Tasks!$W$3:$W$23,Lists!$A18),Tasks!$W$3:$W$23,0),MATCH(E$16,Tasks!$A$2:$V$2,0)),"")</f>
        <v>43867</v>
      </c>
      <c r="F18" s="44">
        <f>IF($A18&lt;&gt;0,INDEX(Tasks!$A$3:$V$23,MATCH(SMALL(Tasks!$W$3:$W$23,Lists!$A18),Tasks!$W$3:$W$23,0),MATCH(F$16,Tasks!$A$2:$V$2,0)),"")</f>
        <v>15</v>
      </c>
      <c r="G18" s="45">
        <f>IF($A18&lt;&gt;0,INDEX(Tasks!$A$3:$V$23,MATCH(SMALL(Tasks!$W$3:$W$23,Lists!$A18),Tasks!$W$3:$W$23,0),MATCH(G$16,Tasks!$A$2:$V$2,0)),"")</f>
        <v>43888</v>
      </c>
      <c r="H18" s="46">
        <f>IF($A18&lt;&gt;0,INDEX(Tasks!$A$3:$V$23,MATCH(SMALL(Tasks!$W$3:$W$23,Lists!$A18),Tasks!$W$3:$W$23,0),MATCH(H$16,Tasks!$A$2:$V$2,0)),"")</f>
        <v>21</v>
      </c>
      <c r="I18" s="43">
        <f>IF($A18&lt;&gt;0,INDEX(Tasks!$A$3:$V$23,MATCH(SMALL(Tasks!$W$3:$W$23,Lists!$A18),Tasks!$W$3:$W$23,0),MATCH(I$16,Tasks!$A$2:$V$2,0)),"")</f>
        <v>43867</v>
      </c>
      <c r="J18" s="44">
        <f>IF($A18&lt;&gt;0,INDEX(Tasks!$A$3:$V$23,MATCH(SMALL(Tasks!$W$3:$W$23,Lists!$A18),Tasks!$W$3:$W$23,0),MATCH(J$16,Tasks!$A$2:$V$2,0)),"")</f>
        <v>15</v>
      </c>
      <c r="K18" s="45">
        <f>IF($A18&lt;&gt;0,INDEX(Tasks!$A$3:$V$23,MATCH(SMALL(Tasks!$W$3:$W$23,Lists!$A18),Tasks!$W$3:$W$23,0),MATCH(K$16,Tasks!$A$2:$V$2,0)),"")</f>
        <v>43888</v>
      </c>
      <c r="L18" s="46">
        <f>IF($A18&lt;&gt;0,INDEX(Tasks!$A$3:$V$23,MATCH(SMALL(Tasks!$W$3:$W$23,Lists!$A18),Tasks!$W$3:$W$23,0),MATCH(L$16,Tasks!$A$2:$V$2,0)),"")</f>
        <v>21</v>
      </c>
      <c r="M18" s="47">
        <f>IF($A18&lt;&gt;0,INDEX(Tasks!$A$3:$V$23,MATCH(SMALL(Tasks!$W$3:$W$23,Lists!$A18),Tasks!$W$3:$W$23,0),MATCH(M$16,Tasks!$A$2:$V$2,0)),"")</f>
        <v>1</v>
      </c>
      <c r="N18" s="46">
        <f>IF($A18&lt;&gt;0,INDEX(Tasks!$A$3:$V$23,MATCH(SMALL(Tasks!$W$3:$W$23,Lists!$A18),Tasks!$W$3:$W$23,0),MATCH(N$16,Tasks!$A$2:$V$2,0)),"")</f>
        <v>21</v>
      </c>
      <c r="O18" s="46">
        <f>IF($A18&lt;&gt;0,INDEX(Tasks!$A$3:$V$23,MATCH(SMALL(Tasks!$W$3:$W$23,Lists!$A18),Tasks!$W$3:$W$23,0),MATCH(O$16,Tasks!$A$2:$V$2,0)),"")</f>
        <v>64</v>
      </c>
      <c r="P18" s="42" t="str">
        <f>IF($A18&lt;&gt;0,INDEX(Tasks!$A$3:$V$23,MATCH(SMALL(Tasks!$W$3:$W$23,Lists!$A18),Tasks!$W$3:$W$23,0),MATCH(P$16,Tasks!$A$2:$V$2,0)),"")</f>
        <v>Done</v>
      </c>
      <c r="Q18" s="42">
        <f>IF($A18&lt;&gt;0,INDEX(Tasks!$A$3:$V$23,MATCH(SMALL(Tasks!$W$3:$W$23,Lists!$A18),Tasks!$W$3:$W$23,0),MATCH(Q$16,Tasks!$A$2:$V$2,0)),"")</f>
        <v>0</v>
      </c>
      <c r="R18" s="48">
        <f>IF($A18&lt;&gt;0,INDEX(Tasks!$A$3:$V$23,MATCH(SMALL(Tasks!$W$3:$W$23,Lists!$A18),Tasks!$W$3:$W$23,0),MATCH(R$16,Tasks!$A$2:$V$2,0)),"")</f>
        <v>2758</v>
      </c>
      <c r="S18" s="48">
        <f>IF($A18&lt;&gt;0,INDEX(Tasks!$A$3:$V$23,MATCH(SMALL(Tasks!$W$3:$W$23,Lists!$A18),Tasks!$W$3:$W$23,0),MATCH(S$16,Tasks!$A$2:$V$2,0)),"")</f>
        <v>2758</v>
      </c>
      <c r="T18" s="48">
        <f>IF($A18&lt;&gt;0,INDEX(Tasks!$A$3:$V$23,MATCH(SMALL(Tasks!$W$3:$W$23,Lists!$A18),Tasks!$W$3:$W$23,0),MATCH(T$16,Tasks!$A$2:$V$2,0)),"")</f>
        <v>2758</v>
      </c>
      <c r="U18" s="42">
        <f>IF($A18&lt;&gt;0,INDEX(Tasks!$A$3:$V$23,MATCH(SMALL(Tasks!$W$3:$W$23,Lists!$A18),Tasks!$W$3:$W$23,0),MATCH(U$16,Tasks!$A$2:$V$2,0)),"")</f>
        <v>0</v>
      </c>
      <c r="V18" s="42">
        <f>IF($A18&lt;&gt;0,INDEX(Tasks!$A$3:$V$23,MATCH(SMALL(Tasks!$W$3:$W$23,Lists!$A18),Tasks!$W$3:$W$23,0),MATCH(V$16,Tasks!$A$2:$V$2,0)),"")</f>
        <v>17</v>
      </c>
      <c r="W18" s="49">
        <f>IF($A18&lt;&gt;0,INDEX(Tasks!$A$3:$V$23,MATCH(SMALL(Tasks!$W$3:$W$23,Lists!$A18),Tasks!$W$3:$W$23,0),MATCH(W$16,Tasks!$A$2:$V$2,0)),"")</f>
        <v>43931</v>
      </c>
      <c r="AE18" s="41">
        <f>IF(ROWS($AE$16:$AE18)-1&lt;=$AE$16,ROWS($AE$16:$AE18)-1,0)</f>
        <v>2</v>
      </c>
      <c r="AF18" s="41">
        <f>IF($AE18&lt;&gt;0,INDEX(Issues!$A$4:$K$19,MATCH(SMALL(Issues!$L$4:$L$19,Lists!$AE18),Issues!$L$4:$L$19,0),MATCH(Lists!AF$16,Issues!$A$3:$K$3,0)),"")</f>
        <v>13</v>
      </c>
      <c r="AG18" s="41" t="str">
        <f>IF($AE18&lt;&gt;0,INDEX(Issues!$A$4:$K$19,MATCH(SMALL(Issues!$L$4:$L$19,Lists!$AE18),Issues!$L$4:$L$19,0),MATCH(Lists!AG$16,Issues!$A$3:$K$3,0)),"")</f>
        <v>Issue#13</v>
      </c>
      <c r="AH18" s="41">
        <f>IF($AE18&lt;&gt;0,INDEX(Issues!$A$4:$K$19,MATCH(SMALL(Issues!$L$4:$L$19,Lists!$AE18),Issues!$L$4:$L$19,0),MATCH(Lists!AH$16,Issues!$A$3:$K$3,0)),"")</f>
        <v>0.26</v>
      </c>
      <c r="AI18" s="41">
        <f>IF($AE18&lt;&gt;0,INDEX(Issues!$A$4:$K$19,MATCH(SMALL(Issues!$L$4:$L$19,Lists!$AE18),Issues!$L$4:$L$19,0),MATCH(Lists!AI$16,Issues!$A$3:$K$3,0)),"")</f>
        <v>8632</v>
      </c>
      <c r="AJ18" s="41">
        <f>IF($AE18&lt;&gt;0,INDEX(Issues!$A$4:$K$19,MATCH(SMALL(Issues!$L$4:$L$19,Lists!$AE18),Issues!$L$4:$L$19,0),MATCH(Lists!AJ$16,Issues!$A$3:$K$3,0)),"")</f>
        <v>2244.3200000000002</v>
      </c>
      <c r="AK18" s="41" t="str">
        <f>IF($AE18&lt;&gt;0,INDEX(Issues!$A$4:$K$19,MATCH(SMALL(Issues!$L$4:$L$19,Lists!$AE18),Issues!$L$4:$L$19,0),MATCH(Lists!AK$16,Issues!$A$3:$K$3,0)),"")</f>
        <v>Medium</v>
      </c>
      <c r="AL18" s="41" t="str">
        <f>IF($AE18&lt;&gt;0,INDEX(Issues!$A$4:$K$19,MATCH(SMALL(Issues!$L$4:$L$19,Lists!$AE18),Issues!$L$4:$L$19,0),MATCH(Lists!AL$16,Issues!$A$3:$K$3,0)),"")</f>
        <v>Ahmad</v>
      </c>
      <c r="AM18" s="41">
        <f>IF($AE18&lt;&gt;0,INDEX(Issues!$A$4:$K$19,MATCH(SMALL(Issues!$L$4:$L$19,Lists!$AE18),Issues!$L$4:$L$19,0),MATCH(Lists!AM$16,Issues!$A$3:$K$3,0)),"")</f>
        <v>0</v>
      </c>
      <c r="AN18" s="41">
        <f>IF($AE18&lt;&gt;0,INDEX(Issues!$A$4:$K$19,MATCH(SMALL(Issues!$L$4:$L$19,Lists!$AE18),Issues!$L$4:$L$19,0),MATCH(Lists!AN$16,Issues!$A$3:$K$3,0)),"")</f>
        <v>0</v>
      </c>
      <c r="AO18" s="41" t="str">
        <f>IF($AE18&lt;&gt;0,INDEX(Issues!$A$4:$K$19,MATCH(SMALL(Issues!$L$4:$L$19,Lists!$AE18),Issues!$L$4:$L$19,0),MATCH(Lists!AO$16,Issues!$A$3:$K$3,0)),"")</f>
        <v>Next week meeting</v>
      </c>
      <c r="AP18" s="41" t="str">
        <f>IF($AE18&lt;&gt;0,INDEX(Issues!$A$4:$K$19,MATCH(SMALL(Issues!$L$4:$L$19,Lists!$AE18),Issues!$L$4:$L$19,0),MATCH(Lists!AP$16,Issues!$A$3:$K$3,0)),"")</f>
        <v>Open</v>
      </c>
      <c r="AY18" s="75"/>
    </row>
    <row r="19" spans="1:51" x14ac:dyDescent="0.3">
      <c r="A19" s="41">
        <f>IF(ROWS($A$16:A19)-1&lt;=$A$16,ROWS($A$16:A19)-1,0)</f>
        <v>3</v>
      </c>
      <c r="B19" s="41" t="str">
        <f>IF($A19&lt;&gt;0,INDEX(Tasks!$A$3:$V$23,MATCH(SMALL(Tasks!$W$3:$W$23,Lists!$A19),Tasks!$W$3:$W$23,0),MATCH(B$16,Tasks!$A$2:$V$2,0)),"")</f>
        <v>Activity 07</v>
      </c>
      <c r="C19" s="42" t="str">
        <f>IF($A19&lt;&gt;0,INDEX(Tasks!$A$3:$V$23,MATCH(SMALL(Tasks!$W$3:$W$23,Lists!$A19),Tasks!$W$3:$W$23,0),MATCH(C$16,Tasks!$A$2:$V$2,0)),"")</f>
        <v>BTS</v>
      </c>
      <c r="D19" s="42" t="str">
        <f>IF($A19&lt;&gt;0,INDEX(Tasks!$A$3:$V$23,MATCH(SMALL(Tasks!$W$3:$W$23,Lists!$A19),Tasks!$W$3:$W$23,0),MATCH(D$16,Tasks!$A$2:$V$2,0)),"")</f>
        <v>Civil</v>
      </c>
      <c r="E19" s="43">
        <f>IF($A19&lt;&gt;0,INDEX(Tasks!$A$3:$V$23,MATCH(SMALL(Tasks!$W$3:$W$23,Lists!$A19),Tasks!$W$3:$W$23,0),MATCH(E$16,Tasks!$A$2:$V$2,0)),"")</f>
        <v>43878</v>
      </c>
      <c r="F19" s="44">
        <f>IF($A19&lt;&gt;0,INDEX(Tasks!$A$3:$V$23,MATCH(SMALL(Tasks!$W$3:$W$23,Lists!$A19),Tasks!$W$3:$W$23,0),MATCH(F$16,Tasks!$A$2:$V$2,0)),"")</f>
        <v>13</v>
      </c>
      <c r="G19" s="45">
        <f>IF($A19&lt;&gt;0,INDEX(Tasks!$A$3:$V$23,MATCH(SMALL(Tasks!$W$3:$W$23,Lists!$A19),Tasks!$W$3:$W$23,0),MATCH(G$16,Tasks!$A$2:$V$2,0)),"")</f>
        <v>43895</v>
      </c>
      <c r="H19" s="46">
        <f>IF($A19&lt;&gt;0,INDEX(Tasks!$A$3:$V$23,MATCH(SMALL(Tasks!$W$3:$W$23,Lists!$A19),Tasks!$W$3:$W$23,0),MATCH(H$16,Tasks!$A$2:$V$2,0)),"")</f>
        <v>17</v>
      </c>
      <c r="I19" s="43">
        <f>IF($A19&lt;&gt;0,INDEX(Tasks!$A$3:$V$23,MATCH(SMALL(Tasks!$W$3:$W$23,Lists!$A19),Tasks!$W$3:$W$23,0),MATCH(I$16,Tasks!$A$2:$V$2,0)),"")</f>
        <v>43878</v>
      </c>
      <c r="J19" s="44">
        <f>IF($A19&lt;&gt;0,INDEX(Tasks!$A$3:$V$23,MATCH(SMALL(Tasks!$W$3:$W$23,Lists!$A19),Tasks!$W$3:$W$23,0),MATCH(J$16,Tasks!$A$2:$V$2,0)),"")</f>
        <v>13</v>
      </c>
      <c r="K19" s="45">
        <f>IF($A19&lt;&gt;0,INDEX(Tasks!$A$3:$V$23,MATCH(SMALL(Tasks!$W$3:$W$23,Lists!$A19),Tasks!$W$3:$W$23,0),MATCH(K$16,Tasks!$A$2:$V$2,0)),"")</f>
        <v>43895</v>
      </c>
      <c r="L19" s="46">
        <f>IF($A19&lt;&gt;0,INDEX(Tasks!$A$3:$V$23,MATCH(SMALL(Tasks!$W$3:$W$23,Lists!$A19),Tasks!$W$3:$W$23,0),MATCH(L$16,Tasks!$A$2:$V$2,0)),"")</f>
        <v>17</v>
      </c>
      <c r="M19" s="47">
        <f>IF($A19&lt;&gt;0,INDEX(Tasks!$A$3:$V$23,MATCH(SMALL(Tasks!$W$3:$W$23,Lists!$A19),Tasks!$W$3:$W$23,0),MATCH(M$16,Tasks!$A$2:$V$2,0)),"")</f>
        <v>1</v>
      </c>
      <c r="N19" s="46">
        <f>IF($A19&lt;&gt;0,INDEX(Tasks!$A$3:$V$23,MATCH(SMALL(Tasks!$W$3:$W$23,Lists!$A19),Tasks!$W$3:$W$23,0),MATCH(N$16,Tasks!$A$2:$V$2,0)),"")</f>
        <v>17</v>
      </c>
      <c r="O19" s="46">
        <f>IF($A19&lt;&gt;0,INDEX(Tasks!$A$3:$V$23,MATCH(SMALL(Tasks!$W$3:$W$23,Lists!$A19),Tasks!$W$3:$W$23,0),MATCH(O$16,Tasks!$A$2:$V$2,0)),"")</f>
        <v>53</v>
      </c>
      <c r="P19" s="42" t="str">
        <f>IF($A19&lt;&gt;0,INDEX(Tasks!$A$3:$V$23,MATCH(SMALL(Tasks!$W$3:$W$23,Lists!$A19),Tasks!$W$3:$W$23,0),MATCH(P$16,Tasks!$A$2:$V$2,0)),"")</f>
        <v>Done</v>
      </c>
      <c r="Q19" s="42">
        <f>IF($A19&lt;&gt;0,INDEX(Tasks!$A$3:$V$23,MATCH(SMALL(Tasks!$W$3:$W$23,Lists!$A19),Tasks!$W$3:$W$23,0),MATCH(Q$16,Tasks!$A$2:$V$2,0)),"")</f>
        <v>0</v>
      </c>
      <c r="R19" s="48">
        <f>IF($A19&lt;&gt;0,INDEX(Tasks!$A$3:$V$23,MATCH(SMALL(Tasks!$W$3:$W$23,Lists!$A19),Tasks!$W$3:$W$23,0),MATCH(R$16,Tasks!$A$2:$V$2,0)),"")</f>
        <v>4662</v>
      </c>
      <c r="S19" s="48">
        <f>IF($A19&lt;&gt;0,INDEX(Tasks!$A$3:$V$23,MATCH(SMALL(Tasks!$W$3:$W$23,Lists!$A19),Tasks!$W$3:$W$23,0),MATCH(S$16,Tasks!$A$2:$V$2,0)),"")</f>
        <v>4662</v>
      </c>
      <c r="T19" s="48">
        <f>IF($A19&lt;&gt;0,INDEX(Tasks!$A$3:$V$23,MATCH(SMALL(Tasks!$W$3:$W$23,Lists!$A19),Tasks!$W$3:$W$23,0),MATCH(T$16,Tasks!$A$2:$V$2,0)),"")</f>
        <v>4662</v>
      </c>
      <c r="U19" s="42">
        <f>IF($A19&lt;&gt;0,INDEX(Tasks!$A$3:$V$23,MATCH(SMALL(Tasks!$W$3:$W$23,Lists!$A19),Tasks!$W$3:$W$23,0),MATCH(U$16,Tasks!$A$2:$V$2,0)),"")</f>
        <v>0</v>
      </c>
      <c r="V19" s="42">
        <f>IF($A19&lt;&gt;0,INDEX(Tasks!$A$3:$V$23,MATCH(SMALL(Tasks!$W$3:$W$23,Lists!$A19),Tasks!$W$3:$W$23,0),MATCH(V$16,Tasks!$A$2:$V$2,0)),"")</f>
        <v>14</v>
      </c>
      <c r="W19" s="49">
        <f>IF($A19&lt;&gt;0,INDEX(Tasks!$A$3:$V$23,MATCH(SMALL(Tasks!$W$3:$W$23,Lists!$A19),Tasks!$W$3:$W$23,0),MATCH(W$16,Tasks!$A$2:$V$2,0)),"")</f>
        <v>43931</v>
      </c>
      <c r="AE19" s="41">
        <f>IF(ROWS($AE$16:$AE19)-1&lt;=$AE$16,ROWS($AE$16:$AE19)-1,0)</f>
        <v>0</v>
      </c>
      <c r="AF19" s="41" t="str">
        <f>IF($AE19&lt;&gt;0,INDEX(Issues!$A$4:$K$19,MATCH(SMALL(Issues!$L$4:$L$19,Lists!$AE19),Issues!$L$4:$L$19,0),MATCH(Lists!AF$16,Issues!$A$3:$K$3,0)),"")</f>
        <v/>
      </c>
      <c r="AG19" s="41" t="str">
        <f>IF($AE19&lt;&gt;0,INDEX(Issues!$A$4:$K$19,MATCH(SMALL(Issues!$L$4:$L$19,Lists!$AE19),Issues!$L$4:$L$19,0),MATCH(Lists!AG$16,Issues!$A$3:$K$3,0)),"")</f>
        <v/>
      </c>
      <c r="AH19" s="41" t="str">
        <f>IF($AE19&lt;&gt;0,INDEX(Issues!$A$4:$K$19,MATCH(SMALL(Issues!$L$4:$L$19,Lists!$AE19),Issues!$L$4:$L$19,0),MATCH(Lists!AH$16,Issues!$A$3:$K$3,0)),"")</f>
        <v/>
      </c>
      <c r="AI19" s="41" t="str">
        <f>IF($AE19&lt;&gt;0,INDEX(Issues!$A$4:$K$19,MATCH(SMALL(Issues!$L$4:$L$19,Lists!$AE19),Issues!$L$4:$L$19,0),MATCH(Lists!AI$16,Issues!$A$3:$K$3,0)),"")</f>
        <v/>
      </c>
      <c r="AJ19" s="41" t="str">
        <f>IF($AE19&lt;&gt;0,INDEX(Issues!$A$4:$K$19,MATCH(SMALL(Issues!$L$4:$L$19,Lists!$AE19),Issues!$L$4:$L$19,0),MATCH(Lists!AJ$16,Issues!$A$3:$K$3,0)),"")</f>
        <v/>
      </c>
      <c r="AK19" s="41" t="str">
        <f>IF($AE19&lt;&gt;0,INDEX(Issues!$A$4:$K$19,MATCH(SMALL(Issues!$L$4:$L$19,Lists!$AE19),Issues!$L$4:$L$19,0),MATCH(Lists!AK$16,Issues!$A$3:$K$3,0)),"")</f>
        <v/>
      </c>
      <c r="AL19" s="41" t="str">
        <f>IF($AE19&lt;&gt;0,INDEX(Issues!$A$4:$K$19,MATCH(SMALL(Issues!$L$4:$L$19,Lists!$AE19),Issues!$L$4:$L$19,0),MATCH(Lists!AL$16,Issues!$A$3:$K$3,0)),"")</f>
        <v/>
      </c>
      <c r="AM19" s="41" t="str">
        <f>IF($AE19&lt;&gt;0,INDEX(Issues!$A$4:$K$19,MATCH(SMALL(Issues!$L$4:$L$19,Lists!$AE19),Issues!$L$4:$L$19,0),MATCH(Lists!AM$16,Issues!$A$3:$K$3,0)),"")</f>
        <v/>
      </c>
      <c r="AN19" s="41" t="str">
        <f>IF($AE19&lt;&gt;0,INDEX(Issues!$A$4:$K$19,MATCH(SMALL(Issues!$L$4:$L$19,Lists!$AE19),Issues!$L$4:$L$19,0),MATCH(Lists!AN$16,Issues!$A$3:$K$3,0)),"")</f>
        <v/>
      </c>
      <c r="AO19" s="41" t="str">
        <f>IF($AE19&lt;&gt;0,INDEX(Issues!$A$4:$K$19,MATCH(SMALL(Issues!$L$4:$L$19,Lists!$AE19),Issues!$L$4:$L$19,0),MATCH(Lists!AO$16,Issues!$A$3:$K$3,0)),"")</f>
        <v/>
      </c>
      <c r="AP19" s="41" t="str">
        <f>IF($AE19&lt;&gt;0,INDEX(Issues!$A$4:$K$19,MATCH(SMALL(Issues!$L$4:$L$19,Lists!$AE19),Issues!$L$4:$L$19,0),MATCH(Lists!AP$16,Issues!$A$3:$K$3,0)),"")</f>
        <v/>
      </c>
    </row>
    <row r="20" spans="1:51" x14ac:dyDescent="0.3">
      <c r="A20" s="41">
        <f>IF(ROWS($A$16:A20)-1&lt;=$A$16,ROWS($A$16:A20)-1,0)</f>
        <v>4</v>
      </c>
      <c r="B20" s="41" t="str">
        <f>IF($A20&lt;&gt;0,INDEX(Tasks!$A$3:$V$23,MATCH(SMALL(Tasks!$W$3:$W$23,Lists!$A20),Tasks!$W$3:$W$23,0),MATCH(B$16,Tasks!$A$2:$V$2,0)),"")</f>
        <v>Activity 08</v>
      </c>
      <c r="C20" s="42" t="str">
        <f>IF($A20&lt;&gt;0,INDEX(Tasks!$A$3:$V$23,MATCH(SMALL(Tasks!$W$3:$W$23,Lists!$A20),Tasks!$W$3:$W$23,0),MATCH(C$16,Tasks!$A$2:$V$2,0)),"")</f>
        <v>ELC</v>
      </c>
      <c r="D20" s="42" t="str">
        <f>IF($A20&lt;&gt;0,INDEX(Tasks!$A$3:$V$23,MATCH(SMALL(Tasks!$W$3:$W$23,Lists!$A20),Tasks!$W$3:$W$23,0),MATCH(D$16,Tasks!$A$2:$V$2,0)),"")</f>
        <v>Electrical</v>
      </c>
      <c r="E20" s="43">
        <f>IF($A20&lt;&gt;0,INDEX(Tasks!$A$3:$V$23,MATCH(SMALL(Tasks!$W$3:$W$23,Lists!$A20),Tasks!$W$3:$W$23,0),MATCH(E$16,Tasks!$A$2:$V$2,0)),"")</f>
        <v>43892</v>
      </c>
      <c r="F20" s="44">
        <f>IF($A20&lt;&gt;0,INDEX(Tasks!$A$3:$V$23,MATCH(SMALL(Tasks!$W$3:$W$23,Lists!$A20),Tasks!$W$3:$W$23,0),MATCH(F$16,Tasks!$A$2:$V$2,0)),"")</f>
        <v>9</v>
      </c>
      <c r="G20" s="45">
        <f>IF($A20&lt;&gt;0,INDEX(Tasks!$A$3:$V$23,MATCH(SMALL(Tasks!$W$3:$W$23,Lists!$A20),Tasks!$W$3:$W$23,0),MATCH(G$16,Tasks!$A$2:$V$2,0)),"")</f>
        <v>43905</v>
      </c>
      <c r="H20" s="46">
        <f>IF($A20&lt;&gt;0,INDEX(Tasks!$A$3:$V$23,MATCH(SMALL(Tasks!$W$3:$W$23,Lists!$A20),Tasks!$W$3:$W$23,0),MATCH(H$16,Tasks!$A$2:$V$2,0)),"")</f>
        <v>13</v>
      </c>
      <c r="I20" s="43">
        <f>IF($A20&lt;&gt;0,INDEX(Tasks!$A$3:$V$23,MATCH(SMALL(Tasks!$W$3:$W$23,Lists!$A20),Tasks!$W$3:$W$23,0),MATCH(I$16,Tasks!$A$2:$V$2,0)),"")</f>
        <v>43893</v>
      </c>
      <c r="J20" s="44">
        <f>IF($A20&lt;&gt;0,INDEX(Tasks!$A$3:$V$23,MATCH(SMALL(Tasks!$W$3:$W$23,Lists!$A20),Tasks!$W$3:$W$23,0),MATCH(J$16,Tasks!$A$2:$V$2,0)),"")</f>
        <v>9</v>
      </c>
      <c r="K20" s="45">
        <f>IF($A20&lt;&gt;0,INDEX(Tasks!$A$3:$V$23,MATCH(SMALL(Tasks!$W$3:$W$23,Lists!$A20),Tasks!$W$3:$W$23,0),MATCH(K$16,Tasks!$A$2:$V$2,0)),"")</f>
        <v>43906</v>
      </c>
      <c r="L20" s="46">
        <f>IF($A20&lt;&gt;0,INDEX(Tasks!$A$3:$V$23,MATCH(SMALL(Tasks!$W$3:$W$23,Lists!$A20),Tasks!$W$3:$W$23,0),MATCH(L$16,Tasks!$A$2:$V$2,0)),"")</f>
        <v>13</v>
      </c>
      <c r="M20" s="47">
        <f>IF($A20&lt;&gt;0,INDEX(Tasks!$A$3:$V$23,MATCH(SMALL(Tasks!$W$3:$W$23,Lists!$A20),Tasks!$W$3:$W$23,0),MATCH(M$16,Tasks!$A$2:$V$2,0)),"")</f>
        <v>1</v>
      </c>
      <c r="N20" s="46">
        <f>IF($A20&lt;&gt;0,INDEX(Tasks!$A$3:$V$23,MATCH(SMALL(Tasks!$W$3:$W$23,Lists!$A20),Tasks!$W$3:$W$23,0),MATCH(N$16,Tasks!$A$2:$V$2,0)),"")</f>
        <v>13</v>
      </c>
      <c r="O20" s="46">
        <f>IF($A20&lt;&gt;0,INDEX(Tasks!$A$3:$V$23,MATCH(SMALL(Tasks!$W$3:$W$23,Lists!$A20),Tasks!$W$3:$W$23,0),MATCH(O$16,Tasks!$A$2:$V$2,0)),"")</f>
        <v>38</v>
      </c>
      <c r="P20" s="42" t="str">
        <f>IF($A20&lt;&gt;0,INDEX(Tasks!$A$3:$V$23,MATCH(SMALL(Tasks!$W$3:$W$23,Lists!$A20),Tasks!$W$3:$W$23,0),MATCH(P$16,Tasks!$A$2:$V$2,0)),"")</f>
        <v>Done</v>
      </c>
      <c r="Q20" s="42">
        <f>IF($A20&lt;&gt;0,INDEX(Tasks!$A$3:$V$23,MATCH(SMALL(Tasks!$W$3:$W$23,Lists!$A20),Tasks!$W$3:$W$23,0),MATCH(Q$16,Tasks!$A$2:$V$2,0)),"")</f>
        <v>0</v>
      </c>
      <c r="R20" s="48">
        <f>IF($A20&lt;&gt;0,INDEX(Tasks!$A$3:$V$23,MATCH(SMALL(Tasks!$W$3:$W$23,Lists!$A20),Tasks!$W$3:$W$23,0),MATCH(R$16,Tasks!$A$2:$V$2,0)),"")</f>
        <v>2010</v>
      </c>
      <c r="S20" s="48">
        <f>IF($A20&lt;&gt;0,INDEX(Tasks!$A$3:$V$23,MATCH(SMALL(Tasks!$W$3:$W$23,Lists!$A20),Tasks!$W$3:$W$23,0),MATCH(S$16,Tasks!$A$2:$V$2,0)),"")</f>
        <v>2010</v>
      </c>
      <c r="T20" s="48">
        <f>IF($A20&lt;&gt;0,INDEX(Tasks!$A$3:$V$23,MATCH(SMALL(Tasks!$W$3:$W$23,Lists!$A20),Tasks!$W$3:$W$23,0),MATCH(T$16,Tasks!$A$2:$V$2,0)),"")</f>
        <v>2010</v>
      </c>
      <c r="U20" s="42">
        <f>IF($A20&lt;&gt;0,INDEX(Tasks!$A$3:$V$23,MATCH(SMALL(Tasks!$W$3:$W$23,Lists!$A20),Tasks!$W$3:$W$23,0),MATCH(U$16,Tasks!$A$2:$V$2,0)),"")</f>
        <v>0</v>
      </c>
      <c r="V20" s="42">
        <f>IF($A20&lt;&gt;0,INDEX(Tasks!$A$3:$V$23,MATCH(SMALL(Tasks!$W$3:$W$23,Lists!$A20),Tasks!$W$3:$W$23,0),MATCH(V$16,Tasks!$A$2:$V$2,0)),"")</f>
        <v>13</v>
      </c>
      <c r="W20" s="49">
        <f>IF($A20&lt;&gt;0,INDEX(Tasks!$A$3:$V$23,MATCH(SMALL(Tasks!$W$3:$W$23,Lists!$A20),Tasks!$W$3:$W$23,0),MATCH(W$16,Tasks!$A$2:$V$2,0)),"")</f>
        <v>43931</v>
      </c>
      <c r="AE20" s="41">
        <f>IF(ROWS($AE$16:$AE20)-1&lt;=$AE$16,ROWS($AE$16:$AE20)-1,0)</f>
        <v>0</v>
      </c>
      <c r="AF20" s="41" t="str">
        <f>IF($AE20&lt;&gt;0,INDEX(Issues!$A$4:$K$19,MATCH(SMALL(Issues!$L$4:$L$19,Lists!$AE20),Issues!$L$4:$L$19,0),MATCH(Lists!AF$16,Issues!$A$3:$K$3,0)),"")</f>
        <v/>
      </c>
      <c r="AG20" s="41" t="str">
        <f>IF($AE20&lt;&gt;0,INDEX(Issues!$A$4:$K$19,MATCH(SMALL(Issues!$L$4:$L$19,Lists!$AE20),Issues!$L$4:$L$19,0),MATCH(Lists!AG$16,Issues!$A$3:$K$3,0)),"")</f>
        <v/>
      </c>
      <c r="AH20" s="41" t="str">
        <f>IF($AE20&lt;&gt;0,INDEX(Issues!$A$4:$K$19,MATCH(SMALL(Issues!$L$4:$L$19,Lists!$AE20),Issues!$L$4:$L$19,0),MATCH(Lists!AH$16,Issues!$A$3:$K$3,0)),"")</f>
        <v/>
      </c>
      <c r="AI20" s="41" t="str">
        <f>IF($AE20&lt;&gt;0,INDEX(Issues!$A$4:$K$19,MATCH(SMALL(Issues!$L$4:$L$19,Lists!$AE20),Issues!$L$4:$L$19,0),MATCH(Lists!AI$16,Issues!$A$3:$K$3,0)),"")</f>
        <v/>
      </c>
      <c r="AJ20" s="41" t="str">
        <f>IF($AE20&lt;&gt;0,INDEX(Issues!$A$4:$K$19,MATCH(SMALL(Issues!$L$4:$L$19,Lists!$AE20),Issues!$L$4:$L$19,0),MATCH(Lists!AJ$16,Issues!$A$3:$K$3,0)),"")</f>
        <v/>
      </c>
      <c r="AK20" s="41" t="str">
        <f>IF($AE20&lt;&gt;0,INDEX(Issues!$A$4:$K$19,MATCH(SMALL(Issues!$L$4:$L$19,Lists!$AE20),Issues!$L$4:$L$19,0),MATCH(Lists!AK$16,Issues!$A$3:$K$3,0)),"")</f>
        <v/>
      </c>
      <c r="AL20" s="41" t="str">
        <f>IF($AE20&lt;&gt;0,INDEX(Issues!$A$4:$K$19,MATCH(SMALL(Issues!$L$4:$L$19,Lists!$AE20),Issues!$L$4:$L$19,0),MATCH(Lists!AL$16,Issues!$A$3:$K$3,0)),"")</f>
        <v/>
      </c>
      <c r="AM20" s="41" t="str">
        <f>IF($AE20&lt;&gt;0,INDEX(Issues!$A$4:$K$19,MATCH(SMALL(Issues!$L$4:$L$19,Lists!$AE20),Issues!$L$4:$L$19,0),MATCH(Lists!AM$16,Issues!$A$3:$K$3,0)),"")</f>
        <v/>
      </c>
      <c r="AN20" s="41" t="str">
        <f>IF($AE20&lt;&gt;0,INDEX(Issues!$A$4:$K$19,MATCH(SMALL(Issues!$L$4:$L$19,Lists!$AE20),Issues!$L$4:$L$19,0),MATCH(Lists!AN$16,Issues!$A$3:$K$3,0)),"")</f>
        <v/>
      </c>
      <c r="AO20" s="41" t="str">
        <f>IF($AE20&lt;&gt;0,INDEX(Issues!$A$4:$K$19,MATCH(SMALL(Issues!$L$4:$L$19,Lists!$AE20),Issues!$L$4:$L$19,0),MATCH(Lists!AO$16,Issues!$A$3:$K$3,0)),"")</f>
        <v/>
      </c>
      <c r="AP20" s="41" t="str">
        <f>IF($AE20&lt;&gt;0,INDEX(Issues!$A$4:$K$19,MATCH(SMALL(Issues!$L$4:$L$19,Lists!$AE20),Issues!$L$4:$L$19,0),MATCH(Lists!AP$16,Issues!$A$3:$K$3,0)),"")</f>
        <v/>
      </c>
    </row>
    <row r="21" spans="1:51" x14ac:dyDescent="0.3">
      <c r="A21" s="41">
        <f>IF(ROWS($A$16:A21)-1&lt;=$A$16,ROWS($A$16:A21)-1,0)</f>
        <v>0</v>
      </c>
      <c r="B21" s="41" t="str">
        <f>IF($A21&lt;&gt;0,INDEX(Tasks!$A$3:$V$23,MATCH(SMALL(Tasks!$W$3:$W$23,Lists!$A21),Tasks!$W$3:$W$23,0),MATCH(B$16,Tasks!$A$2:$V$2,0)),"")</f>
        <v/>
      </c>
      <c r="C21" s="42" t="str">
        <f>IF($A21&lt;&gt;0,INDEX(Tasks!$A$3:$V$23,MATCH(SMALL(Tasks!$W$3:$W$23,Lists!$A21),Tasks!$W$3:$W$23,0),MATCH(C$16,Tasks!$A$2:$V$2,0)),"")</f>
        <v/>
      </c>
      <c r="D21" s="42" t="str">
        <f>IF($A21&lt;&gt;0,INDEX(Tasks!$A$3:$V$23,MATCH(SMALL(Tasks!$W$3:$W$23,Lists!$A21),Tasks!$W$3:$W$23,0),MATCH(D$16,Tasks!$A$2:$V$2,0)),"")</f>
        <v/>
      </c>
      <c r="E21" s="43" t="str">
        <f>IF($A21&lt;&gt;0,INDEX(Tasks!$A$3:$V$23,MATCH(SMALL(Tasks!$W$3:$W$23,Lists!$A21),Tasks!$W$3:$W$23,0),MATCH(E$16,Tasks!$A$2:$V$2,0)),"")</f>
        <v/>
      </c>
      <c r="F21" s="44" t="str">
        <f>IF($A21&lt;&gt;0,INDEX(Tasks!$A$3:$V$23,MATCH(SMALL(Tasks!$W$3:$W$23,Lists!$A21),Tasks!$W$3:$W$23,0),MATCH(F$16,Tasks!$A$2:$V$2,0)),"")</f>
        <v/>
      </c>
      <c r="G21" s="45" t="str">
        <f>IF($A21&lt;&gt;0,INDEX(Tasks!$A$3:$V$23,MATCH(SMALL(Tasks!$W$3:$W$23,Lists!$A21),Tasks!$W$3:$W$23,0),MATCH(G$16,Tasks!$A$2:$V$2,0)),"")</f>
        <v/>
      </c>
      <c r="H21" s="46" t="str">
        <f>IF($A21&lt;&gt;0,INDEX(Tasks!$A$3:$V$23,MATCH(SMALL(Tasks!$W$3:$W$23,Lists!$A21),Tasks!$W$3:$W$23,0),MATCH(H$16,Tasks!$A$2:$V$2,0)),"")</f>
        <v/>
      </c>
      <c r="I21" s="43" t="str">
        <f>IF($A21&lt;&gt;0,INDEX(Tasks!$A$3:$V$23,MATCH(SMALL(Tasks!$W$3:$W$23,Lists!$A21),Tasks!$W$3:$W$23,0),MATCH(I$16,Tasks!$A$2:$V$2,0)),"")</f>
        <v/>
      </c>
      <c r="J21" s="44" t="str">
        <f>IF($A21&lt;&gt;0,INDEX(Tasks!$A$3:$V$23,MATCH(SMALL(Tasks!$W$3:$W$23,Lists!$A21),Tasks!$W$3:$W$23,0),MATCH(J$16,Tasks!$A$2:$V$2,0)),"")</f>
        <v/>
      </c>
      <c r="K21" s="45" t="str">
        <f>IF($A21&lt;&gt;0,INDEX(Tasks!$A$3:$V$23,MATCH(SMALL(Tasks!$W$3:$W$23,Lists!$A21),Tasks!$W$3:$W$23,0),MATCH(K$16,Tasks!$A$2:$V$2,0)),"")</f>
        <v/>
      </c>
      <c r="L21" s="46" t="str">
        <f>IF($A21&lt;&gt;0,INDEX(Tasks!$A$3:$V$23,MATCH(SMALL(Tasks!$W$3:$W$23,Lists!$A21),Tasks!$W$3:$W$23,0),MATCH(L$16,Tasks!$A$2:$V$2,0)),"")</f>
        <v/>
      </c>
      <c r="M21" s="47" t="str">
        <f>IF($A21&lt;&gt;0,INDEX(Tasks!$A$3:$V$23,MATCH(SMALL(Tasks!$W$3:$W$23,Lists!$A21),Tasks!$W$3:$W$23,0),MATCH(M$16,Tasks!$A$2:$V$2,0)),"")</f>
        <v/>
      </c>
      <c r="N21" s="46" t="str">
        <f>IF($A21&lt;&gt;0,INDEX(Tasks!$A$3:$V$23,MATCH(SMALL(Tasks!$W$3:$W$23,Lists!$A21),Tasks!$W$3:$W$23,0),MATCH(N$16,Tasks!$A$2:$V$2,0)),"")</f>
        <v/>
      </c>
      <c r="O21" s="46" t="str">
        <f>IF($A21&lt;&gt;0,INDEX(Tasks!$A$3:$V$23,MATCH(SMALL(Tasks!$W$3:$W$23,Lists!$A21),Tasks!$W$3:$W$23,0),MATCH(O$16,Tasks!$A$2:$V$2,0)),"")</f>
        <v/>
      </c>
      <c r="P21" s="42" t="str">
        <f>IF($A21&lt;&gt;0,INDEX(Tasks!$A$3:$V$23,MATCH(SMALL(Tasks!$W$3:$W$23,Lists!$A21),Tasks!$W$3:$W$23,0),MATCH(P$16,Tasks!$A$2:$V$2,0)),"")</f>
        <v/>
      </c>
      <c r="Q21" s="42" t="str">
        <f>IF($A21&lt;&gt;0,INDEX(Tasks!$A$3:$V$23,MATCH(SMALL(Tasks!$W$3:$W$23,Lists!$A21),Tasks!$W$3:$W$23,0),MATCH(Q$16,Tasks!$A$2:$V$2,0)),"")</f>
        <v/>
      </c>
      <c r="R21" s="48" t="str">
        <f>IF($A21&lt;&gt;0,INDEX(Tasks!$A$3:$V$23,MATCH(SMALL(Tasks!$W$3:$W$23,Lists!$A21),Tasks!$W$3:$W$23,0),MATCH(R$16,Tasks!$A$2:$V$2,0)),"")</f>
        <v/>
      </c>
      <c r="S21" s="48" t="str">
        <f>IF($A21&lt;&gt;0,INDEX(Tasks!$A$3:$V$23,MATCH(SMALL(Tasks!$W$3:$W$23,Lists!$A21),Tasks!$W$3:$W$23,0),MATCH(S$16,Tasks!$A$2:$V$2,0)),"")</f>
        <v/>
      </c>
      <c r="T21" s="48" t="str">
        <f>IF($A21&lt;&gt;0,INDEX(Tasks!$A$3:$V$23,MATCH(SMALL(Tasks!$W$3:$W$23,Lists!$A21),Tasks!$W$3:$W$23,0),MATCH(T$16,Tasks!$A$2:$V$2,0)),"")</f>
        <v/>
      </c>
      <c r="U21" s="42" t="str">
        <f>IF($A21&lt;&gt;0,INDEX(Tasks!$A$3:$V$23,MATCH(SMALL(Tasks!$W$3:$W$23,Lists!$A21),Tasks!$W$3:$W$23,0),MATCH(U$16,Tasks!$A$2:$V$2,0)),"")</f>
        <v/>
      </c>
      <c r="V21" s="42" t="str">
        <f>IF($A21&lt;&gt;0,INDEX(Tasks!$A$3:$V$23,MATCH(SMALL(Tasks!$W$3:$W$23,Lists!$A21),Tasks!$W$3:$W$23,0),MATCH(V$16,Tasks!$A$2:$V$2,0)),"")</f>
        <v/>
      </c>
      <c r="W21" s="49" t="str">
        <f>IF($A21&lt;&gt;0,INDEX(Tasks!$A$3:$V$23,MATCH(SMALL(Tasks!$W$3:$W$23,Lists!$A21),Tasks!$W$3:$W$23,0),MATCH(W$16,Tasks!$A$2:$V$2,0)),"")</f>
        <v/>
      </c>
      <c r="AE21" s="41">
        <f>IF(ROWS($AE$16:$AE21)-1&lt;=$AE$16,ROWS($AE$16:$AE21)-1,0)</f>
        <v>0</v>
      </c>
      <c r="AF21" s="41" t="str">
        <f>IF($AE21&lt;&gt;0,INDEX(Issues!$A$4:$K$19,MATCH(SMALL(Issues!$L$4:$L$19,Lists!$AE21),Issues!$L$4:$L$19,0),MATCH(Lists!AF$16,Issues!$A$3:$K$3,0)),"")</f>
        <v/>
      </c>
      <c r="AG21" s="41" t="str">
        <f>IF($AE21&lt;&gt;0,INDEX(Issues!$A$4:$K$19,MATCH(SMALL(Issues!$L$4:$L$19,Lists!$AE21),Issues!$L$4:$L$19,0),MATCH(Lists!AG$16,Issues!$A$3:$K$3,0)),"")</f>
        <v/>
      </c>
      <c r="AH21" s="41" t="str">
        <f>IF($AE21&lt;&gt;0,INDEX(Issues!$A$4:$K$19,MATCH(SMALL(Issues!$L$4:$L$19,Lists!$AE21),Issues!$L$4:$L$19,0),MATCH(Lists!AH$16,Issues!$A$3:$K$3,0)),"")</f>
        <v/>
      </c>
      <c r="AI21" s="41" t="str">
        <f>IF($AE21&lt;&gt;0,INDEX(Issues!$A$4:$K$19,MATCH(SMALL(Issues!$L$4:$L$19,Lists!$AE21),Issues!$L$4:$L$19,0),MATCH(Lists!AI$16,Issues!$A$3:$K$3,0)),"")</f>
        <v/>
      </c>
      <c r="AJ21" s="41" t="str">
        <f>IF($AE21&lt;&gt;0,INDEX(Issues!$A$4:$K$19,MATCH(SMALL(Issues!$L$4:$L$19,Lists!$AE21),Issues!$L$4:$L$19,0),MATCH(Lists!AJ$16,Issues!$A$3:$K$3,0)),"")</f>
        <v/>
      </c>
      <c r="AK21" s="41" t="str">
        <f>IF($AE21&lt;&gt;0,INDEX(Issues!$A$4:$K$19,MATCH(SMALL(Issues!$L$4:$L$19,Lists!$AE21),Issues!$L$4:$L$19,0),MATCH(Lists!AK$16,Issues!$A$3:$K$3,0)),"")</f>
        <v/>
      </c>
      <c r="AL21" s="41" t="str">
        <f>IF($AE21&lt;&gt;0,INDEX(Issues!$A$4:$K$19,MATCH(SMALL(Issues!$L$4:$L$19,Lists!$AE21),Issues!$L$4:$L$19,0),MATCH(Lists!AL$16,Issues!$A$3:$K$3,0)),"")</f>
        <v/>
      </c>
      <c r="AM21" s="41" t="str">
        <f>IF($AE21&lt;&gt;0,INDEX(Issues!$A$4:$K$19,MATCH(SMALL(Issues!$L$4:$L$19,Lists!$AE21),Issues!$L$4:$L$19,0),MATCH(Lists!AM$16,Issues!$A$3:$K$3,0)),"")</f>
        <v/>
      </c>
      <c r="AN21" s="41" t="str">
        <f>IF($AE21&lt;&gt;0,INDEX(Issues!$A$4:$K$19,MATCH(SMALL(Issues!$L$4:$L$19,Lists!$AE21),Issues!$L$4:$L$19,0),MATCH(Lists!AN$16,Issues!$A$3:$K$3,0)),"")</f>
        <v/>
      </c>
      <c r="AO21" s="41" t="str">
        <f>IF($AE21&lt;&gt;0,INDEX(Issues!$A$4:$K$19,MATCH(SMALL(Issues!$L$4:$L$19,Lists!$AE21),Issues!$L$4:$L$19,0),MATCH(Lists!AO$16,Issues!$A$3:$K$3,0)),"")</f>
        <v/>
      </c>
      <c r="AP21" s="41" t="str">
        <f>IF($AE21&lt;&gt;0,INDEX(Issues!$A$4:$K$19,MATCH(SMALL(Issues!$L$4:$L$19,Lists!$AE21),Issues!$L$4:$L$19,0),MATCH(Lists!AP$16,Issues!$A$3:$K$3,0)),"")</f>
        <v/>
      </c>
    </row>
    <row r="22" spans="1:51" x14ac:dyDescent="0.3">
      <c r="A22" s="41">
        <f>IF(ROWS($A$16:A22)-1&lt;=$A$16,ROWS($A$16:A22)-1,0)</f>
        <v>0</v>
      </c>
      <c r="B22" s="41" t="str">
        <f>IF($A22&lt;&gt;0,INDEX(Tasks!$A$3:$V$23,MATCH(SMALL(Tasks!$W$3:$W$23,Lists!$A22),Tasks!$W$3:$W$23,0),MATCH(B$16,Tasks!$A$2:$V$2,0)),"")</f>
        <v/>
      </c>
      <c r="C22" s="42" t="str">
        <f>IF($A22&lt;&gt;0,INDEX(Tasks!$A$3:$V$23,MATCH(SMALL(Tasks!$W$3:$W$23,Lists!$A22),Tasks!$W$3:$W$23,0),MATCH(C$16,Tasks!$A$2:$V$2,0)),"")</f>
        <v/>
      </c>
      <c r="D22" s="42" t="str">
        <f>IF($A22&lt;&gt;0,INDEX(Tasks!$A$3:$V$23,MATCH(SMALL(Tasks!$W$3:$W$23,Lists!$A22),Tasks!$W$3:$W$23,0),MATCH(D$16,Tasks!$A$2:$V$2,0)),"")</f>
        <v/>
      </c>
      <c r="E22" s="43" t="str">
        <f>IF($A22&lt;&gt;0,INDEX(Tasks!$A$3:$V$23,MATCH(SMALL(Tasks!$W$3:$W$23,Lists!$A22),Tasks!$W$3:$W$23,0),MATCH(E$16,Tasks!$A$2:$V$2,0)),"")</f>
        <v/>
      </c>
      <c r="F22" s="44" t="str">
        <f>IF($A22&lt;&gt;0,INDEX(Tasks!$A$3:$V$23,MATCH(SMALL(Tasks!$W$3:$W$23,Lists!$A22),Tasks!$W$3:$W$23,0),MATCH(F$16,Tasks!$A$2:$V$2,0)),"")</f>
        <v/>
      </c>
      <c r="G22" s="45" t="str">
        <f>IF($A22&lt;&gt;0,INDEX(Tasks!$A$3:$V$23,MATCH(SMALL(Tasks!$W$3:$W$23,Lists!$A22),Tasks!$W$3:$W$23,0),MATCH(G$16,Tasks!$A$2:$V$2,0)),"")</f>
        <v/>
      </c>
      <c r="H22" s="46" t="str">
        <f>IF($A22&lt;&gt;0,INDEX(Tasks!$A$3:$V$23,MATCH(SMALL(Tasks!$W$3:$W$23,Lists!$A22),Tasks!$W$3:$W$23,0),MATCH(H$16,Tasks!$A$2:$V$2,0)),"")</f>
        <v/>
      </c>
      <c r="I22" s="43" t="str">
        <f>IF($A22&lt;&gt;0,INDEX(Tasks!$A$3:$V$23,MATCH(SMALL(Tasks!$W$3:$W$23,Lists!$A22),Tasks!$W$3:$W$23,0),MATCH(I$16,Tasks!$A$2:$V$2,0)),"")</f>
        <v/>
      </c>
      <c r="J22" s="44" t="str">
        <f>IF($A22&lt;&gt;0,INDEX(Tasks!$A$3:$V$23,MATCH(SMALL(Tasks!$W$3:$W$23,Lists!$A22),Tasks!$W$3:$W$23,0),MATCH(J$16,Tasks!$A$2:$V$2,0)),"")</f>
        <v/>
      </c>
      <c r="K22" s="45" t="str">
        <f>IF($A22&lt;&gt;0,INDEX(Tasks!$A$3:$V$23,MATCH(SMALL(Tasks!$W$3:$W$23,Lists!$A22),Tasks!$W$3:$W$23,0),MATCH(K$16,Tasks!$A$2:$V$2,0)),"")</f>
        <v/>
      </c>
      <c r="L22" s="46" t="str">
        <f>IF($A22&lt;&gt;0,INDEX(Tasks!$A$3:$V$23,MATCH(SMALL(Tasks!$W$3:$W$23,Lists!$A22),Tasks!$W$3:$W$23,0),MATCH(L$16,Tasks!$A$2:$V$2,0)),"")</f>
        <v/>
      </c>
      <c r="M22" s="47" t="str">
        <f>IF($A22&lt;&gt;0,INDEX(Tasks!$A$3:$V$23,MATCH(SMALL(Tasks!$W$3:$W$23,Lists!$A22),Tasks!$W$3:$W$23,0),MATCH(M$16,Tasks!$A$2:$V$2,0)),"")</f>
        <v/>
      </c>
      <c r="N22" s="46" t="str">
        <f>IF($A22&lt;&gt;0,INDEX(Tasks!$A$3:$V$23,MATCH(SMALL(Tasks!$W$3:$W$23,Lists!$A22),Tasks!$W$3:$W$23,0),MATCH(N$16,Tasks!$A$2:$V$2,0)),"")</f>
        <v/>
      </c>
      <c r="O22" s="46" t="str">
        <f>IF($A22&lt;&gt;0,INDEX(Tasks!$A$3:$V$23,MATCH(SMALL(Tasks!$W$3:$W$23,Lists!$A22),Tasks!$W$3:$W$23,0),MATCH(O$16,Tasks!$A$2:$V$2,0)),"")</f>
        <v/>
      </c>
      <c r="P22" s="42" t="str">
        <f>IF($A22&lt;&gt;0,INDEX(Tasks!$A$3:$V$23,MATCH(SMALL(Tasks!$W$3:$W$23,Lists!$A22),Tasks!$W$3:$W$23,0),MATCH(P$16,Tasks!$A$2:$V$2,0)),"")</f>
        <v/>
      </c>
      <c r="Q22" s="42" t="str">
        <f>IF($A22&lt;&gt;0,INDEX(Tasks!$A$3:$V$23,MATCH(SMALL(Tasks!$W$3:$W$23,Lists!$A22),Tasks!$W$3:$W$23,0),MATCH(Q$16,Tasks!$A$2:$V$2,0)),"")</f>
        <v/>
      </c>
      <c r="R22" s="48" t="str">
        <f>IF($A22&lt;&gt;0,INDEX(Tasks!$A$3:$V$23,MATCH(SMALL(Tasks!$W$3:$W$23,Lists!$A22),Tasks!$W$3:$W$23,0),MATCH(R$16,Tasks!$A$2:$V$2,0)),"")</f>
        <v/>
      </c>
      <c r="S22" s="48" t="str">
        <f>IF($A22&lt;&gt;0,INDEX(Tasks!$A$3:$V$23,MATCH(SMALL(Tasks!$W$3:$W$23,Lists!$A22),Tasks!$W$3:$W$23,0),MATCH(S$16,Tasks!$A$2:$V$2,0)),"")</f>
        <v/>
      </c>
      <c r="T22" s="48" t="str">
        <f>IF($A22&lt;&gt;0,INDEX(Tasks!$A$3:$V$23,MATCH(SMALL(Tasks!$W$3:$W$23,Lists!$A22),Tasks!$W$3:$W$23,0),MATCH(T$16,Tasks!$A$2:$V$2,0)),"")</f>
        <v/>
      </c>
      <c r="U22" s="42" t="str">
        <f>IF($A22&lt;&gt;0,INDEX(Tasks!$A$3:$V$23,MATCH(SMALL(Tasks!$W$3:$W$23,Lists!$A22),Tasks!$W$3:$W$23,0),MATCH(U$16,Tasks!$A$2:$V$2,0)),"")</f>
        <v/>
      </c>
      <c r="V22" s="42" t="str">
        <f>IF($A22&lt;&gt;0,INDEX(Tasks!$A$3:$V$23,MATCH(SMALL(Tasks!$W$3:$W$23,Lists!$A22),Tasks!$W$3:$W$23,0),MATCH(V$16,Tasks!$A$2:$V$2,0)),"")</f>
        <v/>
      </c>
      <c r="W22" s="49" t="str">
        <f>IF($A22&lt;&gt;0,INDEX(Tasks!$A$3:$V$23,MATCH(SMALL(Tasks!$W$3:$W$23,Lists!$A22),Tasks!$W$3:$W$23,0),MATCH(W$16,Tasks!$A$2:$V$2,0)),"")</f>
        <v/>
      </c>
      <c r="AE22" s="41">
        <f>IF(ROWS($AE$16:$AE22)-1&lt;=$AE$16,ROWS($AE$16:$AE22)-1,0)</f>
        <v>0</v>
      </c>
      <c r="AF22" s="41" t="str">
        <f>IF($AE22&lt;&gt;0,INDEX(Issues!$A$4:$K$19,MATCH(SMALL(Issues!$L$4:$L$19,Lists!$AE22),Issues!$L$4:$L$19,0),MATCH(Lists!AF$16,Issues!$A$3:$K$3,0)),"")</f>
        <v/>
      </c>
      <c r="AG22" s="41" t="str">
        <f>IF($AE22&lt;&gt;0,INDEX(Issues!$A$4:$K$19,MATCH(SMALL(Issues!$L$4:$L$19,Lists!$AE22),Issues!$L$4:$L$19,0),MATCH(Lists!AG$16,Issues!$A$3:$K$3,0)),"")</f>
        <v/>
      </c>
      <c r="AH22" s="41" t="str">
        <f>IF($AE22&lt;&gt;0,INDEX(Issues!$A$4:$K$19,MATCH(SMALL(Issues!$L$4:$L$19,Lists!$AE22),Issues!$L$4:$L$19,0),MATCH(Lists!AH$16,Issues!$A$3:$K$3,0)),"")</f>
        <v/>
      </c>
      <c r="AI22" s="41" t="str">
        <f>IF($AE22&lt;&gt;0,INDEX(Issues!$A$4:$K$19,MATCH(SMALL(Issues!$L$4:$L$19,Lists!$AE22),Issues!$L$4:$L$19,0),MATCH(Lists!AI$16,Issues!$A$3:$K$3,0)),"")</f>
        <v/>
      </c>
      <c r="AJ22" s="41" t="str">
        <f>IF($AE22&lt;&gt;0,INDEX(Issues!$A$4:$K$19,MATCH(SMALL(Issues!$L$4:$L$19,Lists!$AE22),Issues!$L$4:$L$19,0),MATCH(Lists!AJ$16,Issues!$A$3:$K$3,0)),"")</f>
        <v/>
      </c>
      <c r="AK22" s="41" t="str">
        <f>IF($AE22&lt;&gt;0,INDEX(Issues!$A$4:$K$19,MATCH(SMALL(Issues!$L$4:$L$19,Lists!$AE22),Issues!$L$4:$L$19,0),MATCH(Lists!AK$16,Issues!$A$3:$K$3,0)),"")</f>
        <v/>
      </c>
      <c r="AL22" s="41" t="str">
        <f>IF($AE22&lt;&gt;0,INDEX(Issues!$A$4:$K$19,MATCH(SMALL(Issues!$L$4:$L$19,Lists!$AE22),Issues!$L$4:$L$19,0),MATCH(Lists!AL$16,Issues!$A$3:$K$3,0)),"")</f>
        <v/>
      </c>
      <c r="AM22" s="41" t="str">
        <f>IF($AE22&lt;&gt;0,INDEX(Issues!$A$4:$K$19,MATCH(SMALL(Issues!$L$4:$L$19,Lists!$AE22),Issues!$L$4:$L$19,0),MATCH(Lists!AM$16,Issues!$A$3:$K$3,0)),"")</f>
        <v/>
      </c>
      <c r="AN22" s="41" t="str">
        <f>IF($AE22&lt;&gt;0,INDEX(Issues!$A$4:$K$19,MATCH(SMALL(Issues!$L$4:$L$19,Lists!$AE22),Issues!$L$4:$L$19,0),MATCH(Lists!AN$16,Issues!$A$3:$K$3,0)),"")</f>
        <v/>
      </c>
      <c r="AO22" s="41" t="str">
        <f>IF($AE22&lt;&gt;0,INDEX(Issues!$A$4:$K$19,MATCH(SMALL(Issues!$L$4:$L$19,Lists!$AE22),Issues!$L$4:$L$19,0),MATCH(Lists!AO$16,Issues!$A$3:$K$3,0)),"")</f>
        <v/>
      </c>
      <c r="AP22" s="41" t="str">
        <f>IF($AE22&lt;&gt;0,INDEX(Issues!$A$4:$K$19,MATCH(SMALL(Issues!$L$4:$L$19,Lists!$AE22),Issues!$L$4:$L$19,0),MATCH(Lists!AP$16,Issues!$A$3:$K$3,0)),"")</f>
        <v/>
      </c>
    </row>
    <row r="23" spans="1:51" x14ac:dyDescent="0.3">
      <c r="A23" s="41">
        <f>IF(ROWS($A$16:A23)-1&lt;=$A$16,ROWS($A$16:A23)-1,0)</f>
        <v>0</v>
      </c>
      <c r="B23" s="41" t="str">
        <f>IF($A23&lt;&gt;0,INDEX(Tasks!$A$3:$V$23,MATCH(SMALL(Tasks!$W$3:$W$23,Lists!$A23),Tasks!$W$3:$W$23,0),MATCH(B$16,Tasks!$A$2:$V$2,0)),"")</f>
        <v/>
      </c>
      <c r="C23" s="42" t="str">
        <f>IF($A23&lt;&gt;0,INDEX(Tasks!$A$3:$V$23,MATCH(SMALL(Tasks!$W$3:$W$23,Lists!$A23),Tasks!$W$3:$W$23,0),MATCH(C$16,Tasks!$A$2:$V$2,0)),"")</f>
        <v/>
      </c>
      <c r="D23" s="42" t="str">
        <f>IF($A23&lt;&gt;0,INDEX(Tasks!$A$3:$V$23,MATCH(SMALL(Tasks!$W$3:$W$23,Lists!$A23),Tasks!$W$3:$W$23,0),MATCH(D$16,Tasks!$A$2:$V$2,0)),"")</f>
        <v/>
      </c>
      <c r="E23" s="43" t="str">
        <f>IF($A23&lt;&gt;0,INDEX(Tasks!$A$3:$V$23,MATCH(SMALL(Tasks!$W$3:$W$23,Lists!$A23),Tasks!$W$3:$W$23,0),MATCH(E$16,Tasks!$A$2:$V$2,0)),"")</f>
        <v/>
      </c>
      <c r="F23" s="44" t="str">
        <f>IF($A23&lt;&gt;0,INDEX(Tasks!$A$3:$V$23,MATCH(SMALL(Tasks!$W$3:$W$23,Lists!$A23),Tasks!$W$3:$W$23,0),MATCH(F$16,Tasks!$A$2:$V$2,0)),"")</f>
        <v/>
      </c>
      <c r="G23" s="45" t="str">
        <f>IF($A23&lt;&gt;0,INDEX(Tasks!$A$3:$V$23,MATCH(SMALL(Tasks!$W$3:$W$23,Lists!$A23),Tasks!$W$3:$W$23,0),MATCH(G$16,Tasks!$A$2:$V$2,0)),"")</f>
        <v/>
      </c>
      <c r="H23" s="46" t="str">
        <f>IF($A23&lt;&gt;0,INDEX(Tasks!$A$3:$V$23,MATCH(SMALL(Tasks!$W$3:$W$23,Lists!$A23),Tasks!$W$3:$W$23,0),MATCH(H$16,Tasks!$A$2:$V$2,0)),"")</f>
        <v/>
      </c>
      <c r="I23" s="43" t="str">
        <f>IF($A23&lt;&gt;0,INDEX(Tasks!$A$3:$V$23,MATCH(SMALL(Tasks!$W$3:$W$23,Lists!$A23),Tasks!$W$3:$W$23,0),MATCH(I$16,Tasks!$A$2:$V$2,0)),"")</f>
        <v/>
      </c>
      <c r="J23" s="44" t="str">
        <f>IF($A23&lt;&gt;0,INDEX(Tasks!$A$3:$V$23,MATCH(SMALL(Tasks!$W$3:$W$23,Lists!$A23),Tasks!$W$3:$W$23,0),MATCH(J$16,Tasks!$A$2:$V$2,0)),"")</f>
        <v/>
      </c>
      <c r="K23" s="45" t="str">
        <f>IF($A23&lt;&gt;0,INDEX(Tasks!$A$3:$V$23,MATCH(SMALL(Tasks!$W$3:$W$23,Lists!$A23),Tasks!$W$3:$W$23,0),MATCH(K$16,Tasks!$A$2:$V$2,0)),"")</f>
        <v/>
      </c>
      <c r="L23" s="46" t="str">
        <f>IF($A23&lt;&gt;0,INDEX(Tasks!$A$3:$V$23,MATCH(SMALL(Tasks!$W$3:$W$23,Lists!$A23),Tasks!$W$3:$W$23,0),MATCH(L$16,Tasks!$A$2:$V$2,0)),"")</f>
        <v/>
      </c>
      <c r="M23" s="47" t="str">
        <f>IF($A23&lt;&gt;0,INDEX(Tasks!$A$3:$V$23,MATCH(SMALL(Tasks!$W$3:$W$23,Lists!$A23),Tasks!$W$3:$W$23,0),MATCH(M$16,Tasks!$A$2:$V$2,0)),"")</f>
        <v/>
      </c>
      <c r="N23" s="46" t="str">
        <f>IF($A23&lt;&gt;0,INDEX(Tasks!$A$3:$V$23,MATCH(SMALL(Tasks!$W$3:$W$23,Lists!$A23),Tasks!$W$3:$W$23,0),MATCH(N$16,Tasks!$A$2:$V$2,0)),"")</f>
        <v/>
      </c>
      <c r="O23" s="46" t="str">
        <f>IF($A23&lt;&gt;0,INDEX(Tasks!$A$3:$V$23,MATCH(SMALL(Tasks!$W$3:$W$23,Lists!$A23),Tasks!$W$3:$W$23,0),MATCH(O$16,Tasks!$A$2:$V$2,0)),"")</f>
        <v/>
      </c>
      <c r="P23" s="42" t="str">
        <f>IF($A23&lt;&gt;0,INDEX(Tasks!$A$3:$V$23,MATCH(SMALL(Tasks!$W$3:$W$23,Lists!$A23),Tasks!$W$3:$W$23,0),MATCH(P$16,Tasks!$A$2:$V$2,0)),"")</f>
        <v/>
      </c>
      <c r="Q23" s="42" t="str">
        <f>IF($A23&lt;&gt;0,INDEX(Tasks!$A$3:$V$23,MATCH(SMALL(Tasks!$W$3:$W$23,Lists!$A23),Tasks!$W$3:$W$23,0),MATCH(Q$16,Tasks!$A$2:$V$2,0)),"")</f>
        <v/>
      </c>
      <c r="R23" s="48" t="str">
        <f>IF($A23&lt;&gt;0,INDEX(Tasks!$A$3:$V$23,MATCH(SMALL(Tasks!$W$3:$W$23,Lists!$A23),Tasks!$W$3:$W$23,0),MATCH(R$16,Tasks!$A$2:$V$2,0)),"")</f>
        <v/>
      </c>
      <c r="S23" s="48" t="str">
        <f>IF($A23&lt;&gt;0,INDEX(Tasks!$A$3:$V$23,MATCH(SMALL(Tasks!$W$3:$W$23,Lists!$A23),Tasks!$W$3:$W$23,0),MATCH(S$16,Tasks!$A$2:$V$2,0)),"")</f>
        <v/>
      </c>
      <c r="T23" s="48" t="str">
        <f>IF($A23&lt;&gt;0,INDEX(Tasks!$A$3:$V$23,MATCH(SMALL(Tasks!$W$3:$W$23,Lists!$A23),Tasks!$W$3:$W$23,0),MATCH(T$16,Tasks!$A$2:$V$2,0)),"")</f>
        <v/>
      </c>
      <c r="U23" s="42" t="str">
        <f>IF($A23&lt;&gt;0,INDEX(Tasks!$A$3:$V$23,MATCH(SMALL(Tasks!$W$3:$W$23,Lists!$A23),Tasks!$W$3:$W$23,0),MATCH(U$16,Tasks!$A$2:$V$2,0)),"")</f>
        <v/>
      </c>
      <c r="V23" s="42" t="str">
        <f>IF($A23&lt;&gt;0,INDEX(Tasks!$A$3:$V$23,MATCH(SMALL(Tasks!$W$3:$W$23,Lists!$A23),Tasks!$W$3:$W$23,0),MATCH(V$16,Tasks!$A$2:$V$2,0)),"")</f>
        <v/>
      </c>
      <c r="W23" s="49" t="str">
        <f>IF($A23&lt;&gt;0,INDEX(Tasks!$A$3:$V$23,MATCH(SMALL(Tasks!$W$3:$W$23,Lists!$A23),Tasks!$W$3:$W$23,0),MATCH(W$16,Tasks!$A$2:$V$2,0)),"")</f>
        <v/>
      </c>
      <c r="AE23" s="41">
        <f>IF(ROWS($AE$16:$AE23)-1&lt;=$AE$16,ROWS($AE$16:$AE23)-1,0)</f>
        <v>0</v>
      </c>
      <c r="AF23" s="41" t="str">
        <f>IF($AE23&lt;&gt;0,INDEX(Issues!$A$4:$K$19,MATCH(SMALL(Issues!$L$4:$L$19,Lists!$AE23),Issues!$L$4:$L$19,0),MATCH(Lists!AF$16,Issues!$A$3:$K$3,0)),"")</f>
        <v/>
      </c>
      <c r="AG23" s="41" t="str">
        <f>IF($AE23&lt;&gt;0,INDEX(Issues!$A$4:$K$19,MATCH(SMALL(Issues!$L$4:$L$19,Lists!$AE23),Issues!$L$4:$L$19,0),MATCH(Lists!AG$16,Issues!$A$3:$K$3,0)),"")</f>
        <v/>
      </c>
      <c r="AH23" s="41" t="str">
        <f>IF($AE23&lt;&gt;0,INDEX(Issues!$A$4:$K$19,MATCH(SMALL(Issues!$L$4:$L$19,Lists!$AE23),Issues!$L$4:$L$19,0),MATCH(Lists!AH$16,Issues!$A$3:$K$3,0)),"")</f>
        <v/>
      </c>
      <c r="AI23" s="41" t="str">
        <f>IF($AE23&lt;&gt;0,INDEX(Issues!$A$4:$K$19,MATCH(SMALL(Issues!$L$4:$L$19,Lists!$AE23),Issues!$L$4:$L$19,0),MATCH(Lists!AI$16,Issues!$A$3:$K$3,0)),"")</f>
        <v/>
      </c>
      <c r="AJ23" s="41" t="str">
        <f>IF($AE23&lt;&gt;0,INDEX(Issues!$A$4:$K$19,MATCH(SMALL(Issues!$L$4:$L$19,Lists!$AE23),Issues!$L$4:$L$19,0),MATCH(Lists!AJ$16,Issues!$A$3:$K$3,0)),"")</f>
        <v/>
      </c>
      <c r="AK23" s="41" t="str">
        <f>IF($AE23&lt;&gt;0,INDEX(Issues!$A$4:$K$19,MATCH(SMALL(Issues!$L$4:$L$19,Lists!$AE23),Issues!$L$4:$L$19,0),MATCH(Lists!AK$16,Issues!$A$3:$K$3,0)),"")</f>
        <v/>
      </c>
      <c r="AL23" s="41" t="str">
        <f>IF($AE23&lt;&gt;0,INDEX(Issues!$A$4:$K$19,MATCH(SMALL(Issues!$L$4:$L$19,Lists!$AE23),Issues!$L$4:$L$19,0),MATCH(Lists!AL$16,Issues!$A$3:$K$3,0)),"")</f>
        <v/>
      </c>
      <c r="AM23" s="41" t="str">
        <f>IF($AE23&lt;&gt;0,INDEX(Issues!$A$4:$K$19,MATCH(SMALL(Issues!$L$4:$L$19,Lists!$AE23),Issues!$L$4:$L$19,0),MATCH(Lists!AM$16,Issues!$A$3:$K$3,0)),"")</f>
        <v/>
      </c>
      <c r="AN23" s="41" t="str">
        <f>IF($AE23&lt;&gt;0,INDEX(Issues!$A$4:$K$19,MATCH(SMALL(Issues!$L$4:$L$19,Lists!$AE23),Issues!$L$4:$L$19,0),MATCH(Lists!AN$16,Issues!$A$3:$K$3,0)),"")</f>
        <v/>
      </c>
      <c r="AO23" s="41" t="str">
        <f>IF($AE23&lt;&gt;0,INDEX(Issues!$A$4:$K$19,MATCH(SMALL(Issues!$L$4:$L$19,Lists!$AE23),Issues!$L$4:$L$19,0),MATCH(Lists!AO$16,Issues!$A$3:$K$3,0)),"")</f>
        <v/>
      </c>
      <c r="AP23" s="41" t="str">
        <f>IF($AE23&lt;&gt;0,INDEX(Issues!$A$4:$K$19,MATCH(SMALL(Issues!$L$4:$L$19,Lists!$AE23),Issues!$L$4:$L$19,0),MATCH(Lists!AP$16,Issues!$A$3:$K$3,0)),"")</f>
        <v/>
      </c>
    </row>
    <row r="24" spans="1:51" x14ac:dyDescent="0.3">
      <c r="A24" s="41">
        <f>IF(ROWS($A$16:A24)-1&lt;=$A$16,ROWS($A$16:A24)-1,0)</f>
        <v>0</v>
      </c>
      <c r="B24" s="41" t="str">
        <f>IF($A24&lt;&gt;0,INDEX(Tasks!$A$3:$V$23,MATCH(SMALL(Tasks!$W$3:$W$23,Lists!$A24),Tasks!$W$3:$W$23,0),MATCH(B$16,Tasks!$A$2:$V$2,0)),"")</f>
        <v/>
      </c>
      <c r="C24" s="42" t="str">
        <f>IF($A24&lt;&gt;0,INDEX(Tasks!$A$3:$V$23,MATCH(SMALL(Tasks!$W$3:$W$23,Lists!$A24),Tasks!$W$3:$W$23,0),MATCH(C$16,Tasks!$A$2:$V$2,0)),"")</f>
        <v/>
      </c>
      <c r="D24" s="42" t="str">
        <f>IF($A24&lt;&gt;0,INDEX(Tasks!$A$3:$V$23,MATCH(SMALL(Tasks!$W$3:$W$23,Lists!$A24),Tasks!$W$3:$W$23,0),MATCH(D$16,Tasks!$A$2:$V$2,0)),"")</f>
        <v/>
      </c>
      <c r="E24" s="43" t="str">
        <f>IF($A24&lt;&gt;0,INDEX(Tasks!$A$3:$V$23,MATCH(SMALL(Tasks!$W$3:$W$23,Lists!$A24),Tasks!$W$3:$W$23,0),MATCH(E$16,Tasks!$A$2:$V$2,0)),"")</f>
        <v/>
      </c>
      <c r="F24" s="44" t="str">
        <f>IF($A24&lt;&gt;0,INDEX(Tasks!$A$3:$V$23,MATCH(SMALL(Tasks!$W$3:$W$23,Lists!$A24),Tasks!$W$3:$W$23,0),MATCH(F$16,Tasks!$A$2:$V$2,0)),"")</f>
        <v/>
      </c>
      <c r="G24" s="45" t="str">
        <f>IF($A24&lt;&gt;0,INDEX(Tasks!$A$3:$V$23,MATCH(SMALL(Tasks!$W$3:$W$23,Lists!$A24),Tasks!$W$3:$W$23,0),MATCH(G$16,Tasks!$A$2:$V$2,0)),"")</f>
        <v/>
      </c>
      <c r="H24" s="46" t="str">
        <f>IF($A24&lt;&gt;0,INDEX(Tasks!$A$3:$V$23,MATCH(SMALL(Tasks!$W$3:$W$23,Lists!$A24),Tasks!$W$3:$W$23,0),MATCH(H$16,Tasks!$A$2:$V$2,0)),"")</f>
        <v/>
      </c>
      <c r="I24" s="43" t="str">
        <f>IF($A24&lt;&gt;0,INDEX(Tasks!$A$3:$V$23,MATCH(SMALL(Tasks!$W$3:$W$23,Lists!$A24),Tasks!$W$3:$W$23,0),MATCH(I$16,Tasks!$A$2:$V$2,0)),"")</f>
        <v/>
      </c>
      <c r="J24" s="44" t="str">
        <f>IF($A24&lt;&gt;0,INDEX(Tasks!$A$3:$V$23,MATCH(SMALL(Tasks!$W$3:$W$23,Lists!$A24),Tasks!$W$3:$W$23,0),MATCH(J$16,Tasks!$A$2:$V$2,0)),"")</f>
        <v/>
      </c>
      <c r="K24" s="45" t="str">
        <f>IF($A24&lt;&gt;0,INDEX(Tasks!$A$3:$V$23,MATCH(SMALL(Tasks!$W$3:$W$23,Lists!$A24),Tasks!$W$3:$W$23,0),MATCH(K$16,Tasks!$A$2:$V$2,0)),"")</f>
        <v/>
      </c>
      <c r="L24" s="46" t="str">
        <f>IF($A24&lt;&gt;0,INDEX(Tasks!$A$3:$V$23,MATCH(SMALL(Tasks!$W$3:$W$23,Lists!$A24),Tasks!$W$3:$W$23,0),MATCH(L$16,Tasks!$A$2:$V$2,0)),"")</f>
        <v/>
      </c>
      <c r="M24" s="47" t="str">
        <f>IF($A24&lt;&gt;0,INDEX(Tasks!$A$3:$V$23,MATCH(SMALL(Tasks!$W$3:$W$23,Lists!$A24),Tasks!$W$3:$W$23,0),MATCH(M$16,Tasks!$A$2:$V$2,0)),"")</f>
        <v/>
      </c>
      <c r="N24" s="46" t="str">
        <f>IF($A24&lt;&gt;0,INDEX(Tasks!$A$3:$V$23,MATCH(SMALL(Tasks!$W$3:$W$23,Lists!$A24),Tasks!$W$3:$W$23,0),MATCH(N$16,Tasks!$A$2:$V$2,0)),"")</f>
        <v/>
      </c>
      <c r="O24" s="46" t="str">
        <f>IF($A24&lt;&gt;0,INDEX(Tasks!$A$3:$V$23,MATCH(SMALL(Tasks!$W$3:$W$23,Lists!$A24),Tasks!$W$3:$W$23,0),MATCH(O$16,Tasks!$A$2:$V$2,0)),"")</f>
        <v/>
      </c>
      <c r="P24" s="42" t="str">
        <f>IF($A24&lt;&gt;0,INDEX(Tasks!$A$3:$V$23,MATCH(SMALL(Tasks!$W$3:$W$23,Lists!$A24),Tasks!$W$3:$W$23,0),MATCH(P$16,Tasks!$A$2:$V$2,0)),"")</f>
        <v/>
      </c>
      <c r="Q24" s="42" t="str">
        <f>IF($A24&lt;&gt;0,INDEX(Tasks!$A$3:$V$23,MATCH(SMALL(Tasks!$W$3:$W$23,Lists!$A24),Tasks!$W$3:$W$23,0),MATCH(Q$16,Tasks!$A$2:$V$2,0)),"")</f>
        <v/>
      </c>
      <c r="R24" s="48" t="str">
        <f>IF($A24&lt;&gt;0,INDEX(Tasks!$A$3:$V$23,MATCH(SMALL(Tasks!$W$3:$W$23,Lists!$A24),Tasks!$W$3:$W$23,0),MATCH(R$16,Tasks!$A$2:$V$2,0)),"")</f>
        <v/>
      </c>
      <c r="S24" s="48" t="str">
        <f>IF($A24&lt;&gt;0,INDEX(Tasks!$A$3:$V$23,MATCH(SMALL(Tasks!$W$3:$W$23,Lists!$A24),Tasks!$W$3:$W$23,0),MATCH(S$16,Tasks!$A$2:$V$2,0)),"")</f>
        <v/>
      </c>
      <c r="T24" s="48" t="str">
        <f>IF($A24&lt;&gt;0,INDEX(Tasks!$A$3:$V$23,MATCH(SMALL(Tasks!$W$3:$W$23,Lists!$A24),Tasks!$W$3:$W$23,0),MATCH(T$16,Tasks!$A$2:$V$2,0)),"")</f>
        <v/>
      </c>
      <c r="U24" s="42" t="str">
        <f>IF($A24&lt;&gt;0,INDEX(Tasks!$A$3:$V$23,MATCH(SMALL(Tasks!$W$3:$W$23,Lists!$A24),Tasks!$W$3:$W$23,0),MATCH(U$16,Tasks!$A$2:$V$2,0)),"")</f>
        <v/>
      </c>
      <c r="V24" s="42" t="str">
        <f>IF($A24&lt;&gt;0,INDEX(Tasks!$A$3:$V$23,MATCH(SMALL(Tasks!$W$3:$W$23,Lists!$A24),Tasks!$W$3:$W$23,0),MATCH(V$16,Tasks!$A$2:$V$2,0)),"")</f>
        <v/>
      </c>
      <c r="W24" s="49" t="str">
        <f>IF($A24&lt;&gt;0,INDEX(Tasks!$A$3:$V$23,MATCH(SMALL(Tasks!$W$3:$W$23,Lists!$A24),Tasks!$W$3:$W$23,0),MATCH(W$16,Tasks!$A$2:$V$2,0)),"")</f>
        <v/>
      </c>
      <c r="AE24" s="41">
        <f>IF(ROWS($AE$16:$AE24)-1&lt;=$AE$16,ROWS($AE$16:$AE24)-1,0)</f>
        <v>0</v>
      </c>
      <c r="AF24" s="41" t="str">
        <f>IF($AE24&lt;&gt;0,INDEX(Issues!$A$4:$K$19,MATCH(SMALL(Issues!$L$4:$L$19,Lists!$AE24),Issues!$L$4:$L$19,0),MATCH(Lists!AF$16,Issues!$A$3:$K$3,0)),"")</f>
        <v/>
      </c>
      <c r="AG24" s="41" t="str">
        <f>IF($AE24&lt;&gt;0,INDEX(Issues!$A$4:$K$19,MATCH(SMALL(Issues!$L$4:$L$19,Lists!$AE24),Issues!$L$4:$L$19,0),MATCH(Lists!AG$16,Issues!$A$3:$K$3,0)),"")</f>
        <v/>
      </c>
      <c r="AH24" s="41" t="str">
        <f>IF($AE24&lt;&gt;0,INDEX(Issues!$A$4:$K$19,MATCH(SMALL(Issues!$L$4:$L$19,Lists!$AE24),Issues!$L$4:$L$19,0),MATCH(Lists!AH$16,Issues!$A$3:$K$3,0)),"")</f>
        <v/>
      </c>
      <c r="AI24" s="41" t="str">
        <f>IF($AE24&lt;&gt;0,INDEX(Issues!$A$4:$K$19,MATCH(SMALL(Issues!$L$4:$L$19,Lists!$AE24),Issues!$L$4:$L$19,0),MATCH(Lists!AI$16,Issues!$A$3:$K$3,0)),"")</f>
        <v/>
      </c>
      <c r="AJ24" s="41" t="str">
        <f>IF($AE24&lt;&gt;0,INDEX(Issues!$A$4:$K$19,MATCH(SMALL(Issues!$L$4:$L$19,Lists!$AE24),Issues!$L$4:$L$19,0),MATCH(Lists!AJ$16,Issues!$A$3:$K$3,0)),"")</f>
        <v/>
      </c>
      <c r="AK24" s="41" t="str">
        <f>IF($AE24&lt;&gt;0,INDEX(Issues!$A$4:$K$19,MATCH(SMALL(Issues!$L$4:$L$19,Lists!$AE24),Issues!$L$4:$L$19,0),MATCH(Lists!AK$16,Issues!$A$3:$K$3,0)),"")</f>
        <v/>
      </c>
      <c r="AL24" s="41" t="str">
        <f>IF($AE24&lt;&gt;0,INDEX(Issues!$A$4:$K$19,MATCH(SMALL(Issues!$L$4:$L$19,Lists!$AE24),Issues!$L$4:$L$19,0),MATCH(Lists!AL$16,Issues!$A$3:$K$3,0)),"")</f>
        <v/>
      </c>
      <c r="AM24" s="41" t="str">
        <f>IF($AE24&lt;&gt;0,INDEX(Issues!$A$4:$K$19,MATCH(SMALL(Issues!$L$4:$L$19,Lists!$AE24),Issues!$L$4:$L$19,0),MATCH(Lists!AM$16,Issues!$A$3:$K$3,0)),"")</f>
        <v/>
      </c>
      <c r="AN24" s="41" t="str">
        <f>IF($AE24&lt;&gt;0,INDEX(Issues!$A$4:$K$19,MATCH(SMALL(Issues!$L$4:$L$19,Lists!$AE24),Issues!$L$4:$L$19,0),MATCH(Lists!AN$16,Issues!$A$3:$K$3,0)),"")</f>
        <v/>
      </c>
      <c r="AO24" s="41" t="str">
        <f>IF($AE24&lt;&gt;0,INDEX(Issues!$A$4:$K$19,MATCH(SMALL(Issues!$L$4:$L$19,Lists!$AE24),Issues!$L$4:$L$19,0),MATCH(Lists!AO$16,Issues!$A$3:$K$3,0)),"")</f>
        <v/>
      </c>
      <c r="AP24" s="41" t="str">
        <f>IF($AE24&lt;&gt;0,INDEX(Issues!$A$4:$K$19,MATCH(SMALL(Issues!$L$4:$L$19,Lists!$AE24),Issues!$L$4:$L$19,0),MATCH(Lists!AP$16,Issues!$A$3:$K$3,0)),"")</f>
        <v/>
      </c>
    </row>
    <row r="25" spans="1:51" x14ac:dyDescent="0.3">
      <c r="A25" s="41">
        <f>IF(ROWS($A$16:A25)-1&lt;=$A$16,ROWS($A$16:A25)-1,0)</f>
        <v>0</v>
      </c>
      <c r="B25" s="41" t="str">
        <f>IF($A25&lt;&gt;0,INDEX(Tasks!$A$3:$V$23,MATCH(SMALL(Tasks!$W$3:$W$23,Lists!$A25),Tasks!$W$3:$W$23,0),MATCH(B$16,Tasks!$A$2:$V$2,0)),"")</f>
        <v/>
      </c>
      <c r="C25" s="42" t="str">
        <f>IF($A25&lt;&gt;0,INDEX(Tasks!$A$3:$V$23,MATCH(SMALL(Tasks!$W$3:$W$23,Lists!$A25),Tasks!$W$3:$W$23,0),MATCH(C$16,Tasks!$A$2:$V$2,0)),"")</f>
        <v/>
      </c>
      <c r="D25" s="42" t="str">
        <f>IF($A25&lt;&gt;0,INDEX(Tasks!$A$3:$V$23,MATCH(SMALL(Tasks!$W$3:$W$23,Lists!$A25),Tasks!$W$3:$W$23,0),MATCH(D$16,Tasks!$A$2:$V$2,0)),"")</f>
        <v/>
      </c>
      <c r="E25" s="43" t="str">
        <f>IF($A25&lt;&gt;0,INDEX(Tasks!$A$3:$V$23,MATCH(SMALL(Tasks!$W$3:$W$23,Lists!$A25),Tasks!$W$3:$W$23,0),MATCH(E$16,Tasks!$A$2:$V$2,0)),"")</f>
        <v/>
      </c>
      <c r="F25" s="44" t="str">
        <f>IF($A25&lt;&gt;0,INDEX(Tasks!$A$3:$V$23,MATCH(SMALL(Tasks!$W$3:$W$23,Lists!$A25),Tasks!$W$3:$W$23,0),MATCH(F$16,Tasks!$A$2:$V$2,0)),"")</f>
        <v/>
      </c>
      <c r="G25" s="45" t="str">
        <f>IF($A25&lt;&gt;0,INDEX(Tasks!$A$3:$V$23,MATCH(SMALL(Tasks!$W$3:$W$23,Lists!$A25),Tasks!$W$3:$W$23,0),MATCH(G$16,Tasks!$A$2:$V$2,0)),"")</f>
        <v/>
      </c>
      <c r="H25" s="46" t="str">
        <f>IF($A25&lt;&gt;0,INDEX(Tasks!$A$3:$V$23,MATCH(SMALL(Tasks!$W$3:$W$23,Lists!$A25),Tasks!$W$3:$W$23,0),MATCH(H$16,Tasks!$A$2:$V$2,0)),"")</f>
        <v/>
      </c>
      <c r="I25" s="43" t="str">
        <f>IF($A25&lt;&gt;0,INDEX(Tasks!$A$3:$V$23,MATCH(SMALL(Tasks!$W$3:$W$23,Lists!$A25),Tasks!$W$3:$W$23,0),MATCH(I$16,Tasks!$A$2:$V$2,0)),"")</f>
        <v/>
      </c>
      <c r="J25" s="44" t="str">
        <f>IF($A25&lt;&gt;0,INDEX(Tasks!$A$3:$V$23,MATCH(SMALL(Tasks!$W$3:$W$23,Lists!$A25),Tasks!$W$3:$W$23,0),MATCH(J$16,Tasks!$A$2:$V$2,0)),"")</f>
        <v/>
      </c>
      <c r="K25" s="45" t="str">
        <f>IF($A25&lt;&gt;0,INDEX(Tasks!$A$3:$V$23,MATCH(SMALL(Tasks!$W$3:$W$23,Lists!$A25),Tasks!$W$3:$W$23,0),MATCH(K$16,Tasks!$A$2:$V$2,0)),"")</f>
        <v/>
      </c>
      <c r="L25" s="46" t="str">
        <f>IF($A25&lt;&gt;0,INDEX(Tasks!$A$3:$V$23,MATCH(SMALL(Tasks!$W$3:$W$23,Lists!$A25),Tasks!$W$3:$W$23,0),MATCH(L$16,Tasks!$A$2:$V$2,0)),"")</f>
        <v/>
      </c>
      <c r="M25" s="47" t="str">
        <f>IF($A25&lt;&gt;0,INDEX(Tasks!$A$3:$V$23,MATCH(SMALL(Tasks!$W$3:$W$23,Lists!$A25),Tasks!$W$3:$W$23,0),MATCH(M$16,Tasks!$A$2:$V$2,0)),"")</f>
        <v/>
      </c>
      <c r="N25" s="46" t="str">
        <f>IF($A25&lt;&gt;0,INDEX(Tasks!$A$3:$V$23,MATCH(SMALL(Tasks!$W$3:$W$23,Lists!$A25),Tasks!$W$3:$W$23,0),MATCH(N$16,Tasks!$A$2:$V$2,0)),"")</f>
        <v/>
      </c>
      <c r="O25" s="46" t="str">
        <f>IF($A25&lt;&gt;0,INDEX(Tasks!$A$3:$V$23,MATCH(SMALL(Tasks!$W$3:$W$23,Lists!$A25),Tasks!$W$3:$W$23,0),MATCH(O$16,Tasks!$A$2:$V$2,0)),"")</f>
        <v/>
      </c>
      <c r="P25" s="42" t="str">
        <f>IF($A25&lt;&gt;0,INDEX(Tasks!$A$3:$V$23,MATCH(SMALL(Tasks!$W$3:$W$23,Lists!$A25),Tasks!$W$3:$W$23,0),MATCH(P$16,Tasks!$A$2:$V$2,0)),"")</f>
        <v/>
      </c>
      <c r="Q25" s="42" t="str">
        <f>IF($A25&lt;&gt;0,INDEX(Tasks!$A$3:$V$23,MATCH(SMALL(Tasks!$W$3:$W$23,Lists!$A25),Tasks!$W$3:$W$23,0),MATCH(Q$16,Tasks!$A$2:$V$2,0)),"")</f>
        <v/>
      </c>
      <c r="R25" s="48" t="str">
        <f>IF($A25&lt;&gt;0,INDEX(Tasks!$A$3:$V$23,MATCH(SMALL(Tasks!$W$3:$W$23,Lists!$A25),Tasks!$W$3:$W$23,0),MATCH(R$16,Tasks!$A$2:$V$2,0)),"")</f>
        <v/>
      </c>
      <c r="S25" s="48" t="str">
        <f>IF($A25&lt;&gt;0,INDEX(Tasks!$A$3:$V$23,MATCH(SMALL(Tasks!$W$3:$W$23,Lists!$A25),Tasks!$W$3:$W$23,0),MATCH(S$16,Tasks!$A$2:$V$2,0)),"")</f>
        <v/>
      </c>
      <c r="T25" s="48" t="str">
        <f>IF($A25&lt;&gt;0,INDEX(Tasks!$A$3:$V$23,MATCH(SMALL(Tasks!$W$3:$W$23,Lists!$A25),Tasks!$W$3:$W$23,0),MATCH(T$16,Tasks!$A$2:$V$2,0)),"")</f>
        <v/>
      </c>
      <c r="U25" s="42" t="str">
        <f>IF($A25&lt;&gt;0,INDEX(Tasks!$A$3:$V$23,MATCH(SMALL(Tasks!$W$3:$W$23,Lists!$A25),Tasks!$W$3:$W$23,0),MATCH(U$16,Tasks!$A$2:$V$2,0)),"")</f>
        <v/>
      </c>
      <c r="V25" s="42" t="str">
        <f>IF($A25&lt;&gt;0,INDEX(Tasks!$A$3:$V$23,MATCH(SMALL(Tasks!$W$3:$W$23,Lists!$A25),Tasks!$W$3:$W$23,0),MATCH(V$16,Tasks!$A$2:$V$2,0)),"")</f>
        <v/>
      </c>
      <c r="W25" s="49" t="str">
        <f>IF($A25&lt;&gt;0,INDEX(Tasks!$A$3:$V$23,MATCH(SMALL(Tasks!$W$3:$W$23,Lists!$A25),Tasks!$W$3:$W$23,0),MATCH(W$16,Tasks!$A$2:$V$2,0)),"")</f>
        <v/>
      </c>
      <c r="AE25" s="41">
        <f>IF(ROWS($AE$16:$AE25)-1&lt;=$AE$16,ROWS($AE$16:$AE25)-1,0)</f>
        <v>0</v>
      </c>
      <c r="AF25" s="41" t="str">
        <f>IF($AE25&lt;&gt;0,INDEX(Issues!$A$4:$K$19,MATCH(SMALL(Issues!$L$4:$L$19,Lists!$AE25),Issues!$L$4:$L$19,0),MATCH(Lists!AF$16,Issues!$A$3:$K$3,0)),"")</f>
        <v/>
      </c>
      <c r="AG25" s="41" t="str">
        <f>IF($AE25&lt;&gt;0,INDEX(Issues!$A$4:$K$19,MATCH(SMALL(Issues!$L$4:$L$19,Lists!$AE25),Issues!$L$4:$L$19,0),MATCH(Lists!AG$16,Issues!$A$3:$K$3,0)),"")</f>
        <v/>
      </c>
      <c r="AH25" s="41" t="str">
        <f>IF($AE25&lt;&gt;0,INDEX(Issues!$A$4:$K$19,MATCH(SMALL(Issues!$L$4:$L$19,Lists!$AE25),Issues!$L$4:$L$19,0),MATCH(Lists!AH$16,Issues!$A$3:$K$3,0)),"")</f>
        <v/>
      </c>
      <c r="AI25" s="41" t="str">
        <f>IF($AE25&lt;&gt;0,INDEX(Issues!$A$4:$K$19,MATCH(SMALL(Issues!$L$4:$L$19,Lists!$AE25),Issues!$L$4:$L$19,0),MATCH(Lists!AI$16,Issues!$A$3:$K$3,0)),"")</f>
        <v/>
      </c>
      <c r="AJ25" s="41" t="str">
        <f>IF($AE25&lt;&gt;0,INDEX(Issues!$A$4:$K$19,MATCH(SMALL(Issues!$L$4:$L$19,Lists!$AE25),Issues!$L$4:$L$19,0),MATCH(Lists!AJ$16,Issues!$A$3:$K$3,0)),"")</f>
        <v/>
      </c>
      <c r="AK25" s="41" t="str">
        <f>IF($AE25&lt;&gt;0,INDEX(Issues!$A$4:$K$19,MATCH(SMALL(Issues!$L$4:$L$19,Lists!$AE25),Issues!$L$4:$L$19,0),MATCH(Lists!AK$16,Issues!$A$3:$K$3,0)),"")</f>
        <v/>
      </c>
      <c r="AL25" s="41" t="str">
        <f>IF($AE25&lt;&gt;0,INDEX(Issues!$A$4:$K$19,MATCH(SMALL(Issues!$L$4:$L$19,Lists!$AE25),Issues!$L$4:$L$19,0),MATCH(Lists!AL$16,Issues!$A$3:$K$3,0)),"")</f>
        <v/>
      </c>
      <c r="AM25" s="41" t="str">
        <f>IF($AE25&lt;&gt;0,INDEX(Issues!$A$4:$K$19,MATCH(SMALL(Issues!$L$4:$L$19,Lists!$AE25),Issues!$L$4:$L$19,0),MATCH(Lists!AM$16,Issues!$A$3:$K$3,0)),"")</f>
        <v/>
      </c>
      <c r="AN25" s="41" t="str">
        <f>IF($AE25&lt;&gt;0,INDEX(Issues!$A$4:$K$19,MATCH(SMALL(Issues!$L$4:$L$19,Lists!$AE25),Issues!$L$4:$L$19,0),MATCH(Lists!AN$16,Issues!$A$3:$K$3,0)),"")</f>
        <v/>
      </c>
      <c r="AO25" s="41" t="str">
        <f>IF($AE25&lt;&gt;0,INDEX(Issues!$A$4:$K$19,MATCH(SMALL(Issues!$L$4:$L$19,Lists!$AE25),Issues!$L$4:$L$19,0),MATCH(Lists!AO$16,Issues!$A$3:$K$3,0)),"")</f>
        <v/>
      </c>
      <c r="AP25" s="41" t="str">
        <f>IF($AE25&lt;&gt;0,INDEX(Issues!$A$4:$K$19,MATCH(SMALL(Issues!$L$4:$L$19,Lists!$AE25),Issues!$L$4:$L$19,0),MATCH(Lists!AP$16,Issues!$A$3:$K$3,0)),"")</f>
        <v/>
      </c>
    </row>
    <row r="26" spans="1:51" x14ac:dyDescent="0.3">
      <c r="A26" s="41">
        <f>IF(ROWS($A$16:A26)-1&lt;=$A$16,ROWS($A$16:A26)-1,0)</f>
        <v>0</v>
      </c>
      <c r="B26" s="41" t="str">
        <f>IF($A26&lt;&gt;0,INDEX(Tasks!$A$3:$V$23,MATCH(SMALL(Tasks!$W$3:$W$23,Lists!$A26),Tasks!$W$3:$W$23,0),MATCH(B$16,Tasks!$A$2:$V$2,0)),"")</f>
        <v/>
      </c>
      <c r="C26" s="42" t="str">
        <f>IF($A26&lt;&gt;0,INDEX(Tasks!$A$3:$V$23,MATCH(SMALL(Tasks!$W$3:$W$23,Lists!$A26),Tasks!$W$3:$W$23,0),MATCH(C$16,Tasks!$A$2:$V$2,0)),"")</f>
        <v/>
      </c>
      <c r="D26" s="42" t="str">
        <f>IF($A26&lt;&gt;0,INDEX(Tasks!$A$3:$V$23,MATCH(SMALL(Tasks!$W$3:$W$23,Lists!$A26),Tasks!$W$3:$W$23,0),MATCH(D$16,Tasks!$A$2:$V$2,0)),"")</f>
        <v/>
      </c>
      <c r="E26" s="43" t="str">
        <f>IF($A26&lt;&gt;0,INDEX(Tasks!$A$3:$V$23,MATCH(SMALL(Tasks!$W$3:$W$23,Lists!$A26),Tasks!$W$3:$W$23,0),MATCH(E$16,Tasks!$A$2:$V$2,0)),"")</f>
        <v/>
      </c>
      <c r="F26" s="44" t="str">
        <f>IF($A26&lt;&gt;0,INDEX(Tasks!$A$3:$V$23,MATCH(SMALL(Tasks!$W$3:$W$23,Lists!$A26),Tasks!$W$3:$W$23,0),MATCH(F$16,Tasks!$A$2:$V$2,0)),"")</f>
        <v/>
      </c>
      <c r="G26" s="45" t="str">
        <f>IF($A26&lt;&gt;0,INDEX(Tasks!$A$3:$V$23,MATCH(SMALL(Tasks!$W$3:$W$23,Lists!$A26),Tasks!$W$3:$W$23,0),MATCH(G$16,Tasks!$A$2:$V$2,0)),"")</f>
        <v/>
      </c>
      <c r="H26" s="46" t="str">
        <f>IF($A26&lt;&gt;0,INDEX(Tasks!$A$3:$V$23,MATCH(SMALL(Tasks!$W$3:$W$23,Lists!$A26),Tasks!$W$3:$W$23,0),MATCH(H$16,Tasks!$A$2:$V$2,0)),"")</f>
        <v/>
      </c>
      <c r="I26" s="43" t="str">
        <f>IF($A26&lt;&gt;0,INDEX(Tasks!$A$3:$V$23,MATCH(SMALL(Tasks!$W$3:$W$23,Lists!$A26),Tasks!$W$3:$W$23,0),MATCH(I$16,Tasks!$A$2:$V$2,0)),"")</f>
        <v/>
      </c>
      <c r="J26" s="44" t="str">
        <f>IF($A26&lt;&gt;0,INDEX(Tasks!$A$3:$V$23,MATCH(SMALL(Tasks!$W$3:$W$23,Lists!$A26),Tasks!$W$3:$W$23,0),MATCH(J$16,Tasks!$A$2:$V$2,0)),"")</f>
        <v/>
      </c>
      <c r="K26" s="45" t="str">
        <f>IF($A26&lt;&gt;0,INDEX(Tasks!$A$3:$V$23,MATCH(SMALL(Tasks!$W$3:$W$23,Lists!$A26),Tasks!$W$3:$W$23,0),MATCH(K$16,Tasks!$A$2:$V$2,0)),"")</f>
        <v/>
      </c>
      <c r="L26" s="46" t="str">
        <f>IF($A26&lt;&gt;0,INDEX(Tasks!$A$3:$V$23,MATCH(SMALL(Tasks!$W$3:$W$23,Lists!$A26),Tasks!$W$3:$W$23,0),MATCH(L$16,Tasks!$A$2:$V$2,0)),"")</f>
        <v/>
      </c>
      <c r="M26" s="47" t="str">
        <f>IF($A26&lt;&gt;0,INDEX(Tasks!$A$3:$V$23,MATCH(SMALL(Tasks!$W$3:$W$23,Lists!$A26),Tasks!$W$3:$W$23,0),MATCH(M$16,Tasks!$A$2:$V$2,0)),"")</f>
        <v/>
      </c>
      <c r="N26" s="46" t="str">
        <f>IF($A26&lt;&gt;0,INDEX(Tasks!$A$3:$V$23,MATCH(SMALL(Tasks!$W$3:$W$23,Lists!$A26),Tasks!$W$3:$W$23,0),MATCH(N$16,Tasks!$A$2:$V$2,0)),"")</f>
        <v/>
      </c>
      <c r="O26" s="46" t="str">
        <f>IF($A26&lt;&gt;0,INDEX(Tasks!$A$3:$V$23,MATCH(SMALL(Tasks!$W$3:$W$23,Lists!$A26),Tasks!$W$3:$W$23,0),MATCH(O$16,Tasks!$A$2:$V$2,0)),"")</f>
        <v/>
      </c>
      <c r="P26" s="42" t="str">
        <f>IF($A26&lt;&gt;0,INDEX(Tasks!$A$3:$V$23,MATCH(SMALL(Tasks!$W$3:$W$23,Lists!$A26),Tasks!$W$3:$W$23,0),MATCH(P$16,Tasks!$A$2:$V$2,0)),"")</f>
        <v/>
      </c>
      <c r="Q26" s="42" t="str">
        <f>IF($A26&lt;&gt;0,INDEX(Tasks!$A$3:$V$23,MATCH(SMALL(Tasks!$W$3:$W$23,Lists!$A26),Tasks!$W$3:$W$23,0),MATCH(Q$16,Tasks!$A$2:$V$2,0)),"")</f>
        <v/>
      </c>
      <c r="R26" s="48" t="str">
        <f>IF($A26&lt;&gt;0,INDEX(Tasks!$A$3:$V$23,MATCH(SMALL(Tasks!$W$3:$W$23,Lists!$A26),Tasks!$W$3:$W$23,0),MATCH(R$16,Tasks!$A$2:$V$2,0)),"")</f>
        <v/>
      </c>
      <c r="S26" s="48" t="str">
        <f>IF($A26&lt;&gt;0,INDEX(Tasks!$A$3:$V$23,MATCH(SMALL(Tasks!$W$3:$W$23,Lists!$A26),Tasks!$W$3:$W$23,0),MATCH(S$16,Tasks!$A$2:$V$2,0)),"")</f>
        <v/>
      </c>
      <c r="T26" s="48" t="str">
        <f>IF($A26&lt;&gt;0,INDEX(Tasks!$A$3:$V$23,MATCH(SMALL(Tasks!$W$3:$W$23,Lists!$A26),Tasks!$W$3:$W$23,0),MATCH(T$16,Tasks!$A$2:$V$2,0)),"")</f>
        <v/>
      </c>
      <c r="U26" s="42" t="str">
        <f>IF($A26&lt;&gt;0,INDEX(Tasks!$A$3:$V$23,MATCH(SMALL(Tasks!$W$3:$W$23,Lists!$A26),Tasks!$W$3:$W$23,0),MATCH(U$16,Tasks!$A$2:$V$2,0)),"")</f>
        <v/>
      </c>
      <c r="V26" s="42" t="str">
        <f>IF($A26&lt;&gt;0,INDEX(Tasks!$A$3:$V$23,MATCH(SMALL(Tasks!$W$3:$W$23,Lists!$A26),Tasks!$W$3:$W$23,0),MATCH(V$16,Tasks!$A$2:$V$2,0)),"")</f>
        <v/>
      </c>
      <c r="W26" s="49" t="str">
        <f>IF($A26&lt;&gt;0,INDEX(Tasks!$A$3:$V$23,MATCH(SMALL(Tasks!$W$3:$W$23,Lists!$A26),Tasks!$W$3:$W$23,0),MATCH(W$16,Tasks!$A$2:$V$2,0)),"")</f>
        <v/>
      </c>
      <c r="AE26" s="41">
        <f>IF(ROWS($AE$16:$AE26)-1&lt;=$AE$16,ROWS($AE$16:$AE26)-1,0)</f>
        <v>0</v>
      </c>
      <c r="AF26" s="41" t="str">
        <f>IF($AE26&lt;&gt;0,INDEX(Issues!$A$4:$K$19,MATCH(SMALL(Issues!$L$4:$L$19,Lists!$AE26),Issues!$L$4:$L$19,0),MATCH(Lists!AF$16,Issues!$A$3:$K$3,0)),"")</f>
        <v/>
      </c>
      <c r="AG26" s="41" t="str">
        <f>IF($AE26&lt;&gt;0,INDEX(Issues!$A$4:$K$19,MATCH(SMALL(Issues!$L$4:$L$19,Lists!$AE26),Issues!$L$4:$L$19,0),MATCH(Lists!AG$16,Issues!$A$3:$K$3,0)),"")</f>
        <v/>
      </c>
      <c r="AH26" s="41" t="str">
        <f>IF($AE26&lt;&gt;0,INDEX(Issues!$A$4:$K$19,MATCH(SMALL(Issues!$L$4:$L$19,Lists!$AE26),Issues!$L$4:$L$19,0),MATCH(Lists!AH$16,Issues!$A$3:$K$3,0)),"")</f>
        <v/>
      </c>
      <c r="AI26" s="41" t="str">
        <f>IF($AE26&lt;&gt;0,INDEX(Issues!$A$4:$K$19,MATCH(SMALL(Issues!$L$4:$L$19,Lists!$AE26),Issues!$L$4:$L$19,0),MATCH(Lists!AI$16,Issues!$A$3:$K$3,0)),"")</f>
        <v/>
      </c>
      <c r="AJ26" s="41" t="str">
        <f>IF($AE26&lt;&gt;0,INDEX(Issues!$A$4:$K$19,MATCH(SMALL(Issues!$L$4:$L$19,Lists!$AE26),Issues!$L$4:$L$19,0),MATCH(Lists!AJ$16,Issues!$A$3:$K$3,0)),"")</f>
        <v/>
      </c>
      <c r="AK26" s="41" t="str">
        <f>IF($AE26&lt;&gt;0,INDEX(Issues!$A$4:$K$19,MATCH(SMALL(Issues!$L$4:$L$19,Lists!$AE26),Issues!$L$4:$L$19,0),MATCH(Lists!AK$16,Issues!$A$3:$K$3,0)),"")</f>
        <v/>
      </c>
      <c r="AL26" s="41" t="str">
        <f>IF($AE26&lt;&gt;0,INDEX(Issues!$A$4:$K$19,MATCH(SMALL(Issues!$L$4:$L$19,Lists!$AE26),Issues!$L$4:$L$19,0),MATCH(Lists!AL$16,Issues!$A$3:$K$3,0)),"")</f>
        <v/>
      </c>
      <c r="AM26" s="41" t="str">
        <f>IF($AE26&lt;&gt;0,INDEX(Issues!$A$4:$K$19,MATCH(SMALL(Issues!$L$4:$L$19,Lists!$AE26),Issues!$L$4:$L$19,0),MATCH(Lists!AM$16,Issues!$A$3:$K$3,0)),"")</f>
        <v/>
      </c>
      <c r="AN26" s="41" t="str">
        <f>IF($AE26&lt;&gt;0,INDEX(Issues!$A$4:$K$19,MATCH(SMALL(Issues!$L$4:$L$19,Lists!$AE26),Issues!$L$4:$L$19,0),MATCH(Lists!AN$16,Issues!$A$3:$K$3,0)),"")</f>
        <v/>
      </c>
      <c r="AO26" s="41" t="str">
        <f>IF($AE26&lt;&gt;0,INDEX(Issues!$A$4:$K$19,MATCH(SMALL(Issues!$L$4:$L$19,Lists!$AE26),Issues!$L$4:$L$19,0),MATCH(Lists!AO$16,Issues!$A$3:$K$3,0)),"")</f>
        <v/>
      </c>
      <c r="AP26" s="41" t="str">
        <f>IF($AE26&lt;&gt;0,INDEX(Issues!$A$4:$K$19,MATCH(SMALL(Issues!$L$4:$L$19,Lists!$AE26),Issues!$L$4:$L$19,0),MATCH(Lists!AP$16,Issues!$A$3:$K$3,0)),"")</f>
        <v/>
      </c>
    </row>
    <row r="27" spans="1:51" x14ac:dyDescent="0.3">
      <c r="A27" s="41">
        <f>IF(ROWS($A$16:A27)-1&lt;=$A$16,ROWS($A$16:A27)-1,0)</f>
        <v>0</v>
      </c>
      <c r="B27" s="41" t="str">
        <f>IF($A27&lt;&gt;0,INDEX(Tasks!$A$3:$V$23,MATCH(SMALL(Tasks!$W$3:$W$23,Lists!$A27),Tasks!$W$3:$W$23,0),MATCH(B$16,Tasks!$A$2:$V$2,0)),"")</f>
        <v/>
      </c>
      <c r="C27" s="42" t="str">
        <f>IF($A27&lt;&gt;0,INDEX(Tasks!$A$3:$V$23,MATCH(SMALL(Tasks!$W$3:$W$23,Lists!$A27),Tasks!$W$3:$W$23,0),MATCH(C$16,Tasks!$A$2:$V$2,0)),"")</f>
        <v/>
      </c>
      <c r="D27" s="42" t="str">
        <f>IF($A27&lt;&gt;0,INDEX(Tasks!$A$3:$V$23,MATCH(SMALL(Tasks!$W$3:$W$23,Lists!$A27),Tasks!$W$3:$W$23,0),MATCH(D$16,Tasks!$A$2:$V$2,0)),"")</f>
        <v/>
      </c>
      <c r="E27" s="43" t="str">
        <f>IF($A27&lt;&gt;0,INDEX(Tasks!$A$3:$V$23,MATCH(SMALL(Tasks!$W$3:$W$23,Lists!$A27),Tasks!$W$3:$W$23,0),MATCH(E$16,Tasks!$A$2:$V$2,0)),"")</f>
        <v/>
      </c>
      <c r="F27" s="44" t="str">
        <f>IF($A27&lt;&gt;0,INDEX(Tasks!$A$3:$V$23,MATCH(SMALL(Tasks!$W$3:$W$23,Lists!$A27),Tasks!$W$3:$W$23,0),MATCH(F$16,Tasks!$A$2:$V$2,0)),"")</f>
        <v/>
      </c>
      <c r="G27" s="45" t="str">
        <f>IF($A27&lt;&gt;0,INDEX(Tasks!$A$3:$V$23,MATCH(SMALL(Tasks!$W$3:$W$23,Lists!$A27),Tasks!$W$3:$W$23,0),MATCH(G$16,Tasks!$A$2:$V$2,0)),"")</f>
        <v/>
      </c>
      <c r="H27" s="46" t="str">
        <f>IF($A27&lt;&gt;0,INDEX(Tasks!$A$3:$V$23,MATCH(SMALL(Tasks!$W$3:$W$23,Lists!$A27),Tasks!$W$3:$W$23,0),MATCH(H$16,Tasks!$A$2:$V$2,0)),"")</f>
        <v/>
      </c>
      <c r="I27" s="43" t="str">
        <f>IF($A27&lt;&gt;0,INDEX(Tasks!$A$3:$V$23,MATCH(SMALL(Tasks!$W$3:$W$23,Lists!$A27),Tasks!$W$3:$W$23,0),MATCH(I$16,Tasks!$A$2:$V$2,0)),"")</f>
        <v/>
      </c>
      <c r="J27" s="44" t="str">
        <f>IF($A27&lt;&gt;0,INDEX(Tasks!$A$3:$V$23,MATCH(SMALL(Tasks!$W$3:$W$23,Lists!$A27),Tasks!$W$3:$W$23,0),MATCH(J$16,Tasks!$A$2:$V$2,0)),"")</f>
        <v/>
      </c>
      <c r="K27" s="45" t="str">
        <f>IF($A27&lt;&gt;0,INDEX(Tasks!$A$3:$V$23,MATCH(SMALL(Tasks!$W$3:$W$23,Lists!$A27),Tasks!$W$3:$W$23,0),MATCH(K$16,Tasks!$A$2:$V$2,0)),"")</f>
        <v/>
      </c>
      <c r="L27" s="46" t="str">
        <f>IF($A27&lt;&gt;0,INDEX(Tasks!$A$3:$V$23,MATCH(SMALL(Tasks!$W$3:$W$23,Lists!$A27),Tasks!$W$3:$W$23,0),MATCH(L$16,Tasks!$A$2:$V$2,0)),"")</f>
        <v/>
      </c>
      <c r="M27" s="47" t="str">
        <f>IF($A27&lt;&gt;0,INDEX(Tasks!$A$3:$V$23,MATCH(SMALL(Tasks!$W$3:$W$23,Lists!$A27),Tasks!$W$3:$W$23,0),MATCH(M$16,Tasks!$A$2:$V$2,0)),"")</f>
        <v/>
      </c>
      <c r="N27" s="46" t="str">
        <f>IF($A27&lt;&gt;0,INDEX(Tasks!$A$3:$V$23,MATCH(SMALL(Tasks!$W$3:$W$23,Lists!$A27),Tasks!$W$3:$W$23,0),MATCH(N$16,Tasks!$A$2:$V$2,0)),"")</f>
        <v/>
      </c>
      <c r="O27" s="46" t="str">
        <f>IF($A27&lt;&gt;0,INDEX(Tasks!$A$3:$V$23,MATCH(SMALL(Tasks!$W$3:$W$23,Lists!$A27),Tasks!$W$3:$W$23,0),MATCH(O$16,Tasks!$A$2:$V$2,0)),"")</f>
        <v/>
      </c>
      <c r="P27" s="42" t="str">
        <f>IF($A27&lt;&gt;0,INDEX(Tasks!$A$3:$V$23,MATCH(SMALL(Tasks!$W$3:$W$23,Lists!$A27),Tasks!$W$3:$W$23,0),MATCH(P$16,Tasks!$A$2:$V$2,0)),"")</f>
        <v/>
      </c>
      <c r="Q27" s="42" t="str">
        <f>IF($A27&lt;&gt;0,INDEX(Tasks!$A$3:$V$23,MATCH(SMALL(Tasks!$W$3:$W$23,Lists!$A27),Tasks!$W$3:$W$23,0),MATCH(Q$16,Tasks!$A$2:$V$2,0)),"")</f>
        <v/>
      </c>
      <c r="R27" s="48" t="str">
        <f>IF($A27&lt;&gt;0,INDEX(Tasks!$A$3:$V$23,MATCH(SMALL(Tasks!$W$3:$W$23,Lists!$A27),Tasks!$W$3:$W$23,0),MATCH(R$16,Tasks!$A$2:$V$2,0)),"")</f>
        <v/>
      </c>
      <c r="S27" s="48" t="str">
        <f>IF($A27&lt;&gt;0,INDEX(Tasks!$A$3:$V$23,MATCH(SMALL(Tasks!$W$3:$W$23,Lists!$A27),Tasks!$W$3:$W$23,0),MATCH(S$16,Tasks!$A$2:$V$2,0)),"")</f>
        <v/>
      </c>
      <c r="T27" s="48" t="str">
        <f>IF($A27&lt;&gt;0,INDEX(Tasks!$A$3:$V$23,MATCH(SMALL(Tasks!$W$3:$W$23,Lists!$A27),Tasks!$W$3:$W$23,0),MATCH(T$16,Tasks!$A$2:$V$2,0)),"")</f>
        <v/>
      </c>
      <c r="U27" s="42" t="str">
        <f>IF($A27&lt;&gt;0,INDEX(Tasks!$A$3:$V$23,MATCH(SMALL(Tasks!$W$3:$W$23,Lists!$A27),Tasks!$W$3:$W$23,0),MATCH(U$16,Tasks!$A$2:$V$2,0)),"")</f>
        <v/>
      </c>
      <c r="V27" s="42" t="str">
        <f>IF($A27&lt;&gt;0,INDEX(Tasks!$A$3:$V$23,MATCH(SMALL(Tasks!$W$3:$W$23,Lists!$A27),Tasks!$W$3:$W$23,0),MATCH(V$16,Tasks!$A$2:$V$2,0)),"")</f>
        <v/>
      </c>
      <c r="W27" s="49" t="str">
        <f>IF($A27&lt;&gt;0,INDEX(Tasks!$A$3:$V$23,MATCH(SMALL(Tasks!$W$3:$W$23,Lists!$A27),Tasks!$W$3:$W$23,0),MATCH(W$16,Tasks!$A$2:$V$2,0)),"")</f>
        <v/>
      </c>
      <c r="AE27" s="41">
        <f>IF(ROWS($AE$16:$AE27)-1&lt;=$AE$16,ROWS($AE$16:$AE27)-1,0)</f>
        <v>0</v>
      </c>
      <c r="AF27" s="41" t="str">
        <f>IF($AE27&lt;&gt;0,INDEX(Issues!$A$4:$K$19,MATCH(SMALL(Issues!$L$4:$L$19,Lists!$AE27),Issues!$L$4:$L$19,0),MATCH(Lists!AF$16,Issues!$A$3:$K$3,0)),"")</f>
        <v/>
      </c>
      <c r="AG27" s="41" t="str">
        <f>IF($AE27&lt;&gt;0,INDEX(Issues!$A$4:$K$19,MATCH(SMALL(Issues!$L$4:$L$19,Lists!$AE27),Issues!$L$4:$L$19,0),MATCH(Lists!AG$16,Issues!$A$3:$K$3,0)),"")</f>
        <v/>
      </c>
      <c r="AH27" s="41" t="str">
        <f>IF($AE27&lt;&gt;0,INDEX(Issues!$A$4:$K$19,MATCH(SMALL(Issues!$L$4:$L$19,Lists!$AE27),Issues!$L$4:$L$19,0),MATCH(Lists!AH$16,Issues!$A$3:$K$3,0)),"")</f>
        <v/>
      </c>
      <c r="AI27" s="41" t="str">
        <f>IF($AE27&lt;&gt;0,INDEX(Issues!$A$4:$K$19,MATCH(SMALL(Issues!$L$4:$L$19,Lists!$AE27),Issues!$L$4:$L$19,0),MATCH(Lists!AI$16,Issues!$A$3:$K$3,0)),"")</f>
        <v/>
      </c>
      <c r="AJ27" s="41" t="str">
        <f>IF($AE27&lt;&gt;0,INDEX(Issues!$A$4:$K$19,MATCH(SMALL(Issues!$L$4:$L$19,Lists!$AE27),Issues!$L$4:$L$19,0),MATCH(Lists!AJ$16,Issues!$A$3:$K$3,0)),"")</f>
        <v/>
      </c>
      <c r="AK27" s="41" t="str">
        <f>IF($AE27&lt;&gt;0,INDEX(Issues!$A$4:$K$19,MATCH(SMALL(Issues!$L$4:$L$19,Lists!$AE27),Issues!$L$4:$L$19,0),MATCH(Lists!AK$16,Issues!$A$3:$K$3,0)),"")</f>
        <v/>
      </c>
      <c r="AL27" s="41" t="str">
        <f>IF($AE27&lt;&gt;0,INDEX(Issues!$A$4:$K$19,MATCH(SMALL(Issues!$L$4:$L$19,Lists!$AE27),Issues!$L$4:$L$19,0),MATCH(Lists!AL$16,Issues!$A$3:$K$3,0)),"")</f>
        <v/>
      </c>
      <c r="AM27" s="41" t="str">
        <f>IF($AE27&lt;&gt;0,INDEX(Issues!$A$4:$K$19,MATCH(SMALL(Issues!$L$4:$L$19,Lists!$AE27),Issues!$L$4:$L$19,0),MATCH(Lists!AM$16,Issues!$A$3:$K$3,0)),"")</f>
        <v/>
      </c>
      <c r="AN27" s="41" t="str">
        <f>IF($AE27&lt;&gt;0,INDEX(Issues!$A$4:$K$19,MATCH(SMALL(Issues!$L$4:$L$19,Lists!$AE27),Issues!$L$4:$L$19,0),MATCH(Lists!AN$16,Issues!$A$3:$K$3,0)),"")</f>
        <v/>
      </c>
      <c r="AO27" s="41" t="str">
        <f>IF($AE27&lt;&gt;0,INDEX(Issues!$A$4:$K$19,MATCH(SMALL(Issues!$L$4:$L$19,Lists!$AE27),Issues!$L$4:$L$19,0),MATCH(Lists!AO$16,Issues!$A$3:$K$3,0)),"")</f>
        <v/>
      </c>
      <c r="AP27" s="41" t="str">
        <f>IF($AE27&lt;&gt;0,INDEX(Issues!$A$4:$K$19,MATCH(SMALL(Issues!$L$4:$L$19,Lists!$AE27),Issues!$L$4:$L$19,0),MATCH(Lists!AP$16,Issues!$A$3:$K$3,0)),"")</f>
        <v/>
      </c>
    </row>
    <row r="28" spans="1:51" x14ac:dyDescent="0.3">
      <c r="A28" s="41">
        <f>IF(ROWS($A$16:A28)-1&lt;=$A$16,ROWS($A$16:A28)-1,0)</f>
        <v>0</v>
      </c>
      <c r="B28" s="41" t="str">
        <f>IF($A28&lt;&gt;0,INDEX(Tasks!$A$3:$V$23,MATCH(SMALL(Tasks!$W$3:$W$23,Lists!$A28),Tasks!$W$3:$W$23,0),MATCH(B$16,Tasks!$A$2:$V$2,0)),"")</f>
        <v/>
      </c>
      <c r="C28" s="42" t="str">
        <f>IF($A28&lt;&gt;0,INDEX(Tasks!$A$3:$V$23,MATCH(SMALL(Tasks!$W$3:$W$23,Lists!$A28),Tasks!$W$3:$W$23,0),MATCH(C$16,Tasks!$A$2:$V$2,0)),"")</f>
        <v/>
      </c>
      <c r="D28" s="42" t="str">
        <f>IF($A28&lt;&gt;0,INDEX(Tasks!$A$3:$V$23,MATCH(SMALL(Tasks!$W$3:$W$23,Lists!$A28),Tasks!$W$3:$W$23,0),MATCH(D$16,Tasks!$A$2:$V$2,0)),"")</f>
        <v/>
      </c>
      <c r="E28" s="43" t="str">
        <f>IF($A28&lt;&gt;0,INDEX(Tasks!$A$3:$V$23,MATCH(SMALL(Tasks!$W$3:$W$23,Lists!$A28),Tasks!$W$3:$W$23,0),MATCH(E$16,Tasks!$A$2:$V$2,0)),"")</f>
        <v/>
      </c>
      <c r="F28" s="44" t="str">
        <f>IF($A28&lt;&gt;0,INDEX(Tasks!$A$3:$V$23,MATCH(SMALL(Tasks!$W$3:$W$23,Lists!$A28),Tasks!$W$3:$W$23,0),MATCH(F$16,Tasks!$A$2:$V$2,0)),"")</f>
        <v/>
      </c>
      <c r="G28" s="45" t="str">
        <f>IF($A28&lt;&gt;0,INDEX(Tasks!$A$3:$V$23,MATCH(SMALL(Tasks!$W$3:$W$23,Lists!$A28),Tasks!$W$3:$W$23,0),MATCH(G$16,Tasks!$A$2:$V$2,0)),"")</f>
        <v/>
      </c>
      <c r="H28" s="46" t="str">
        <f>IF($A28&lt;&gt;0,INDEX(Tasks!$A$3:$V$23,MATCH(SMALL(Tasks!$W$3:$W$23,Lists!$A28),Tasks!$W$3:$W$23,0),MATCH(H$16,Tasks!$A$2:$V$2,0)),"")</f>
        <v/>
      </c>
      <c r="I28" s="43" t="str">
        <f>IF($A28&lt;&gt;0,INDEX(Tasks!$A$3:$V$23,MATCH(SMALL(Tasks!$W$3:$W$23,Lists!$A28),Tasks!$W$3:$W$23,0),MATCH(I$16,Tasks!$A$2:$V$2,0)),"")</f>
        <v/>
      </c>
      <c r="J28" s="44" t="str">
        <f>IF($A28&lt;&gt;0,INDEX(Tasks!$A$3:$V$23,MATCH(SMALL(Tasks!$W$3:$W$23,Lists!$A28),Tasks!$W$3:$W$23,0),MATCH(J$16,Tasks!$A$2:$V$2,0)),"")</f>
        <v/>
      </c>
      <c r="K28" s="45" t="str">
        <f>IF($A28&lt;&gt;0,INDEX(Tasks!$A$3:$V$23,MATCH(SMALL(Tasks!$W$3:$W$23,Lists!$A28),Tasks!$W$3:$W$23,0),MATCH(K$16,Tasks!$A$2:$V$2,0)),"")</f>
        <v/>
      </c>
      <c r="L28" s="46" t="str">
        <f>IF($A28&lt;&gt;0,INDEX(Tasks!$A$3:$V$23,MATCH(SMALL(Tasks!$W$3:$W$23,Lists!$A28),Tasks!$W$3:$W$23,0),MATCH(L$16,Tasks!$A$2:$V$2,0)),"")</f>
        <v/>
      </c>
      <c r="M28" s="47" t="str">
        <f>IF($A28&lt;&gt;0,INDEX(Tasks!$A$3:$V$23,MATCH(SMALL(Tasks!$W$3:$W$23,Lists!$A28),Tasks!$W$3:$W$23,0),MATCH(M$16,Tasks!$A$2:$V$2,0)),"")</f>
        <v/>
      </c>
      <c r="N28" s="46" t="str">
        <f>IF($A28&lt;&gt;0,INDEX(Tasks!$A$3:$V$23,MATCH(SMALL(Tasks!$W$3:$W$23,Lists!$A28),Tasks!$W$3:$W$23,0),MATCH(N$16,Tasks!$A$2:$V$2,0)),"")</f>
        <v/>
      </c>
      <c r="O28" s="46" t="str">
        <f>IF($A28&lt;&gt;0,INDEX(Tasks!$A$3:$V$23,MATCH(SMALL(Tasks!$W$3:$W$23,Lists!$A28),Tasks!$W$3:$W$23,0),MATCH(O$16,Tasks!$A$2:$V$2,0)),"")</f>
        <v/>
      </c>
      <c r="P28" s="42" t="str">
        <f>IF($A28&lt;&gt;0,INDEX(Tasks!$A$3:$V$23,MATCH(SMALL(Tasks!$W$3:$W$23,Lists!$A28),Tasks!$W$3:$W$23,0),MATCH(P$16,Tasks!$A$2:$V$2,0)),"")</f>
        <v/>
      </c>
      <c r="Q28" s="42" t="str">
        <f>IF($A28&lt;&gt;0,INDEX(Tasks!$A$3:$V$23,MATCH(SMALL(Tasks!$W$3:$W$23,Lists!$A28),Tasks!$W$3:$W$23,0),MATCH(Q$16,Tasks!$A$2:$V$2,0)),"")</f>
        <v/>
      </c>
      <c r="R28" s="48" t="str">
        <f>IF($A28&lt;&gt;0,INDEX(Tasks!$A$3:$V$23,MATCH(SMALL(Tasks!$W$3:$W$23,Lists!$A28),Tasks!$W$3:$W$23,0),MATCH(R$16,Tasks!$A$2:$V$2,0)),"")</f>
        <v/>
      </c>
      <c r="S28" s="48" t="str">
        <f>IF($A28&lt;&gt;0,INDEX(Tasks!$A$3:$V$23,MATCH(SMALL(Tasks!$W$3:$W$23,Lists!$A28),Tasks!$W$3:$W$23,0),MATCH(S$16,Tasks!$A$2:$V$2,0)),"")</f>
        <v/>
      </c>
      <c r="T28" s="48" t="str">
        <f>IF($A28&lt;&gt;0,INDEX(Tasks!$A$3:$V$23,MATCH(SMALL(Tasks!$W$3:$W$23,Lists!$A28),Tasks!$W$3:$W$23,0),MATCH(T$16,Tasks!$A$2:$V$2,0)),"")</f>
        <v/>
      </c>
      <c r="U28" s="42" t="str">
        <f>IF($A28&lt;&gt;0,INDEX(Tasks!$A$3:$V$23,MATCH(SMALL(Tasks!$W$3:$W$23,Lists!$A28),Tasks!$W$3:$W$23,0),MATCH(U$16,Tasks!$A$2:$V$2,0)),"")</f>
        <v/>
      </c>
      <c r="V28" s="42" t="str">
        <f>IF($A28&lt;&gt;0,INDEX(Tasks!$A$3:$V$23,MATCH(SMALL(Tasks!$W$3:$W$23,Lists!$A28),Tasks!$W$3:$W$23,0),MATCH(V$16,Tasks!$A$2:$V$2,0)),"")</f>
        <v/>
      </c>
      <c r="W28" s="49" t="str">
        <f>IF($A28&lt;&gt;0,INDEX(Tasks!$A$3:$V$23,MATCH(SMALL(Tasks!$W$3:$W$23,Lists!$A28),Tasks!$W$3:$W$23,0),MATCH(W$16,Tasks!$A$2:$V$2,0)),"")</f>
        <v/>
      </c>
      <c r="AE28" s="41">
        <f>IF(ROWS($AE$16:$AE28)-1&lt;=$AE$16,ROWS($AE$16:$AE28)-1,0)</f>
        <v>0</v>
      </c>
      <c r="AF28" s="41" t="str">
        <f>IF($AE28&lt;&gt;0,INDEX(Issues!$A$4:$K$19,MATCH(SMALL(Issues!$L$4:$L$19,Lists!$AE28),Issues!$L$4:$L$19,0),MATCH(Lists!AF$16,Issues!$A$3:$K$3,0)),"")</f>
        <v/>
      </c>
      <c r="AG28" s="41" t="str">
        <f>IF($AE28&lt;&gt;0,INDEX(Issues!$A$4:$K$19,MATCH(SMALL(Issues!$L$4:$L$19,Lists!$AE28),Issues!$L$4:$L$19,0),MATCH(Lists!AG$16,Issues!$A$3:$K$3,0)),"")</f>
        <v/>
      </c>
      <c r="AH28" s="41" t="str">
        <f>IF($AE28&lt;&gt;0,INDEX(Issues!$A$4:$K$19,MATCH(SMALL(Issues!$L$4:$L$19,Lists!$AE28),Issues!$L$4:$L$19,0),MATCH(Lists!AH$16,Issues!$A$3:$K$3,0)),"")</f>
        <v/>
      </c>
      <c r="AI28" s="41" t="str">
        <f>IF($AE28&lt;&gt;0,INDEX(Issues!$A$4:$K$19,MATCH(SMALL(Issues!$L$4:$L$19,Lists!$AE28),Issues!$L$4:$L$19,0),MATCH(Lists!AI$16,Issues!$A$3:$K$3,0)),"")</f>
        <v/>
      </c>
      <c r="AJ28" s="41" t="str">
        <f>IF($AE28&lt;&gt;0,INDEX(Issues!$A$4:$K$19,MATCH(SMALL(Issues!$L$4:$L$19,Lists!$AE28),Issues!$L$4:$L$19,0),MATCH(Lists!AJ$16,Issues!$A$3:$K$3,0)),"")</f>
        <v/>
      </c>
      <c r="AK28" s="41" t="str">
        <f>IF($AE28&lt;&gt;0,INDEX(Issues!$A$4:$K$19,MATCH(SMALL(Issues!$L$4:$L$19,Lists!$AE28),Issues!$L$4:$L$19,0),MATCH(Lists!AK$16,Issues!$A$3:$K$3,0)),"")</f>
        <v/>
      </c>
      <c r="AL28" s="41" t="str">
        <f>IF($AE28&lt;&gt;0,INDEX(Issues!$A$4:$K$19,MATCH(SMALL(Issues!$L$4:$L$19,Lists!$AE28),Issues!$L$4:$L$19,0),MATCH(Lists!AL$16,Issues!$A$3:$K$3,0)),"")</f>
        <v/>
      </c>
      <c r="AM28" s="41" t="str">
        <f>IF($AE28&lt;&gt;0,INDEX(Issues!$A$4:$K$19,MATCH(SMALL(Issues!$L$4:$L$19,Lists!$AE28),Issues!$L$4:$L$19,0),MATCH(Lists!AM$16,Issues!$A$3:$K$3,0)),"")</f>
        <v/>
      </c>
      <c r="AN28" s="41" t="str">
        <f>IF($AE28&lt;&gt;0,INDEX(Issues!$A$4:$K$19,MATCH(SMALL(Issues!$L$4:$L$19,Lists!$AE28),Issues!$L$4:$L$19,0),MATCH(Lists!AN$16,Issues!$A$3:$K$3,0)),"")</f>
        <v/>
      </c>
      <c r="AO28" s="41" t="str">
        <f>IF($AE28&lt;&gt;0,INDEX(Issues!$A$4:$K$19,MATCH(SMALL(Issues!$L$4:$L$19,Lists!$AE28),Issues!$L$4:$L$19,0),MATCH(Lists!AO$16,Issues!$A$3:$K$3,0)),"")</f>
        <v/>
      </c>
      <c r="AP28" s="41" t="str">
        <f>IF($AE28&lt;&gt;0,INDEX(Issues!$A$4:$K$19,MATCH(SMALL(Issues!$L$4:$L$19,Lists!$AE28),Issues!$L$4:$L$19,0),MATCH(Lists!AP$16,Issues!$A$3:$K$3,0)),"")</f>
        <v/>
      </c>
    </row>
    <row r="29" spans="1:51" x14ac:dyDescent="0.3">
      <c r="A29" s="41">
        <f>IF(ROWS($A$16:A29)-1&lt;=$A$16,ROWS($A$16:A29)-1,0)</f>
        <v>0</v>
      </c>
      <c r="B29" s="41" t="str">
        <f>IF($A29&lt;&gt;0,INDEX(Tasks!$A$3:$V$23,MATCH(SMALL(Tasks!$W$3:$W$23,Lists!$A29),Tasks!$W$3:$W$23,0),MATCH(B$16,Tasks!$A$2:$V$2,0)),"")</f>
        <v/>
      </c>
      <c r="C29" s="42" t="str">
        <f>IF($A29&lt;&gt;0,INDEX(Tasks!$A$3:$V$23,MATCH(SMALL(Tasks!$W$3:$W$23,Lists!$A29),Tasks!$W$3:$W$23,0),MATCH(C$16,Tasks!$A$2:$V$2,0)),"")</f>
        <v/>
      </c>
      <c r="D29" s="42" t="str">
        <f>IF($A29&lt;&gt;0,INDEX(Tasks!$A$3:$V$23,MATCH(SMALL(Tasks!$W$3:$W$23,Lists!$A29),Tasks!$W$3:$W$23,0),MATCH(D$16,Tasks!$A$2:$V$2,0)),"")</f>
        <v/>
      </c>
      <c r="E29" s="43" t="str">
        <f>IF($A29&lt;&gt;0,INDEX(Tasks!$A$3:$V$23,MATCH(SMALL(Tasks!$W$3:$W$23,Lists!$A29),Tasks!$W$3:$W$23,0),MATCH(E$16,Tasks!$A$2:$V$2,0)),"")</f>
        <v/>
      </c>
      <c r="F29" s="44" t="str">
        <f>IF($A29&lt;&gt;0,INDEX(Tasks!$A$3:$V$23,MATCH(SMALL(Tasks!$W$3:$W$23,Lists!$A29),Tasks!$W$3:$W$23,0),MATCH(F$16,Tasks!$A$2:$V$2,0)),"")</f>
        <v/>
      </c>
      <c r="G29" s="45" t="str">
        <f>IF($A29&lt;&gt;0,INDEX(Tasks!$A$3:$V$23,MATCH(SMALL(Tasks!$W$3:$W$23,Lists!$A29),Tasks!$W$3:$W$23,0),MATCH(G$16,Tasks!$A$2:$V$2,0)),"")</f>
        <v/>
      </c>
      <c r="H29" s="46" t="str">
        <f>IF($A29&lt;&gt;0,INDEX(Tasks!$A$3:$V$23,MATCH(SMALL(Tasks!$W$3:$W$23,Lists!$A29),Tasks!$W$3:$W$23,0),MATCH(H$16,Tasks!$A$2:$V$2,0)),"")</f>
        <v/>
      </c>
      <c r="I29" s="43" t="str">
        <f>IF($A29&lt;&gt;0,INDEX(Tasks!$A$3:$V$23,MATCH(SMALL(Tasks!$W$3:$W$23,Lists!$A29),Tasks!$W$3:$W$23,0),MATCH(I$16,Tasks!$A$2:$V$2,0)),"")</f>
        <v/>
      </c>
      <c r="J29" s="44" t="str">
        <f>IF($A29&lt;&gt;0,INDEX(Tasks!$A$3:$V$23,MATCH(SMALL(Tasks!$W$3:$W$23,Lists!$A29),Tasks!$W$3:$W$23,0),MATCH(J$16,Tasks!$A$2:$V$2,0)),"")</f>
        <v/>
      </c>
      <c r="K29" s="45" t="str">
        <f>IF($A29&lt;&gt;0,INDEX(Tasks!$A$3:$V$23,MATCH(SMALL(Tasks!$W$3:$W$23,Lists!$A29),Tasks!$W$3:$W$23,0),MATCH(K$16,Tasks!$A$2:$V$2,0)),"")</f>
        <v/>
      </c>
      <c r="L29" s="46" t="str">
        <f>IF($A29&lt;&gt;0,INDEX(Tasks!$A$3:$V$23,MATCH(SMALL(Tasks!$W$3:$W$23,Lists!$A29),Tasks!$W$3:$W$23,0),MATCH(L$16,Tasks!$A$2:$V$2,0)),"")</f>
        <v/>
      </c>
      <c r="M29" s="47" t="str">
        <f>IF($A29&lt;&gt;0,INDEX(Tasks!$A$3:$V$23,MATCH(SMALL(Tasks!$W$3:$W$23,Lists!$A29),Tasks!$W$3:$W$23,0),MATCH(M$16,Tasks!$A$2:$V$2,0)),"")</f>
        <v/>
      </c>
      <c r="N29" s="46" t="str">
        <f>IF($A29&lt;&gt;0,INDEX(Tasks!$A$3:$V$23,MATCH(SMALL(Tasks!$W$3:$W$23,Lists!$A29),Tasks!$W$3:$W$23,0),MATCH(N$16,Tasks!$A$2:$V$2,0)),"")</f>
        <v/>
      </c>
      <c r="O29" s="46" t="str">
        <f>IF($A29&lt;&gt;0,INDEX(Tasks!$A$3:$V$23,MATCH(SMALL(Tasks!$W$3:$W$23,Lists!$A29),Tasks!$W$3:$W$23,0),MATCH(O$16,Tasks!$A$2:$V$2,0)),"")</f>
        <v/>
      </c>
      <c r="P29" s="42" t="str">
        <f>IF($A29&lt;&gt;0,INDEX(Tasks!$A$3:$V$23,MATCH(SMALL(Tasks!$W$3:$W$23,Lists!$A29),Tasks!$W$3:$W$23,0),MATCH(P$16,Tasks!$A$2:$V$2,0)),"")</f>
        <v/>
      </c>
      <c r="Q29" s="42" t="str">
        <f>IF($A29&lt;&gt;0,INDEX(Tasks!$A$3:$V$23,MATCH(SMALL(Tasks!$W$3:$W$23,Lists!$A29),Tasks!$W$3:$W$23,0),MATCH(Q$16,Tasks!$A$2:$V$2,0)),"")</f>
        <v/>
      </c>
      <c r="R29" s="48" t="str">
        <f>IF($A29&lt;&gt;0,INDEX(Tasks!$A$3:$V$23,MATCH(SMALL(Tasks!$W$3:$W$23,Lists!$A29),Tasks!$W$3:$W$23,0),MATCH(R$16,Tasks!$A$2:$V$2,0)),"")</f>
        <v/>
      </c>
      <c r="S29" s="48" t="str">
        <f>IF($A29&lt;&gt;0,INDEX(Tasks!$A$3:$V$23,MATCH(SMALL(Tasks!$W$3:$W$23,Lists!$A29),Tasks!$W$3:$W$23,0),MATCH(S$16,Tasks!$A$2:$V$2,0)),"")</f>
        <v/>
      </c>
      <c r="T29" s="48" t="str">
        <f>IF($A29&lt;&gt;0,INDEX(Tasks!$A$3:$V$23,MATCH(SMALL(Tasks!$W$3:$W$23,Lists!$A29),Tasks!$W$3:$W$23,0),MATCH(T$16,Tasks!$A$2:$V$2,0)),"")</f>
        <v/>
      </c>
      <c r="U29" s="42" t="str">
        <f>IF($A29&lt;&gt;0,INDEX(Tasks!$A$3:$V$23,MATCH(SMALL(Tasks!$W$3:$W$23,Lists!$A29),Tasks!$W$3:$W$23,0),MATCH(U$16,Tasks!$A$2:$V$2,0)),"")</f>
        <v/>
      </c>
      <c r="V29" s="42" t="str">
        <f>IF($A29&lt;&gt;0,INDEX(Tasks!$A$3:$V$23,MATCH(SMALL(Tasks!$W$3:$W$23,Lists!$A29),Tasks!$W$3:$W$23,0),MATCH(V$16,Tasks!$A$2:$V$2,0)),"")</f>
        <v/>
      </c>
      <c r="W29" s="49" t="str">
        <f>IF($A29&lt;&gt;0,INDEX(Tasks!$A$3:$V$23,MATCH(SMALL(Tasks!$W$3:$W$23,Lists!$A29),Tasks!$W$3:$W$23,0),MATCH(W$16,Tasks!$A$2:$V$2,0)),"")</f>
        <v/>
      </c>
      <c r="AE29" s="41">
        <f>IF(ROWS($AE$16:$AE29)-1&lt;=$AE$16,ROWS($AE$16:$AE29)-1,0)</f>
        <v>0</v>
      </c>
      <c r="AF29" s="41" t="str">
        <f>IF($AE29&lt;&gt;0,INDEX(Issues!$A$4:$K$19,MATCH(SMALL(Issues!$L$4:$L$19,Lists!$AE29),Issues!$L$4:$L$19,0),MATCH(Lists!AF$16,Issues!$A$3:$K$3,0)),"")</f>
        <v/>
      </c>
      <c r="AG29" s="41" t="str">
        <f>IF($AE29&lt;&gt;0,INDEX(Issues!$A$4:$K$19,MATCH(SMALL(Issues!$L$4:$L$19,Lists!$AE29),Issues!$L$4:$L$19,0),MATCH(Lists!AG$16,Issues!$A$3:$K$3,0)),"")</f>
        <v/>
      </c>
      <c r="AH29" s="41" t="str">
        <f>IF($AE29&lt;&gt;0,INDEX(Issues!$A$4:$K$19,MATCH(SMALL(Issues!$L$4:$L$19,Lists!$AE29),Issues!$L$4:$L$19,0),MATCH(Lists!AH$16,Issues!$A$3:$K$3,0)),"")</f>
        <v/>
      </c>
      <c r="AI29" s="41" t="str">
        <f>IF($AE29&lt;&gt;0,INDEX(Issues!$A$4:$K$19,MATCH(SMALL(Issues!$L$4:$L$19,Lists!$AE29),Issues!$L$4:$L$19,0),MATCH(Lists!AI$16,Issues!$A$3:$K$3,0)),"")</f>
        <v/>
      </c>
      <c r="AJ29" s="41" t="str">
        <f>IF($AE29&lt;&gt;0,INDEX(Issues!$A$4:$K$19,MATCH(SMALL(Issues!$L$4:$L$19,Lists!$AE29),Issues!$L$4:$L$19,0),MATCH(Lists!AJ$16,Issues!$A$3:$K$3,0)),"")</f>
        <v/>
      </c>
      <c r="AK29" s="41" t="str">
        <f>IF($AE29&lt;&gt;0,INDEX(Issues!$A$4:$K$19,MATCH(SMALL(Issues!$L$4:$L$19,Lists!$AE29),Issues!$L$4:$L$19,0),MATCH(Lists!AK$16,Issues!$A$3:$K$3,0)),"")</f>
        <v/>
      </c>
      <c r="AL29" s="41" t="str">
        <f>IF($AE29&lt;&gt;0,INDEX(Issues!$A$4:$K$19,MATCH(SMALL(Issues!$L$4:$L$19,Lists!$AE29),Issues!$L$4:$L$19,0),MATCH(Lists!AL$16,Issues!$A$3:$K$3,0)),"")</f>
        <v/>
      </c>
      <c r="AM29" s="41" t="str">
        <f>IF($AE29&lt;&gt;0,INDEX(Issues!$A$4:$K$19,MATCH(SMALL(Issues!$L$4:$L$19,Lists!$AE29),Issues!$L$4:$L$19,0),MATCH(Lists!AM$16,Issues!$A$3:$K$3,0)),"")</f>
        <v/>
      </c>
      <c r="AN29" s="41" t="str">
        <f>IF($AE29&lt;&gt;0,INDEX(Issues!$A$4:$K$19,MATCH(SMALL(Issues!$L$4:$L$19,Lists!$AE29),Issues!$L$4:$L$19,0),MATCH(Lists!AN$16,Issues!$A$3:$K$3,0)),"")</f>
        <v/>
      </c>
      <c r="AO29" s="41" t="str">
        <f>IF($AE29&lt;&gt;0,INDEX(Issues!$A$4:$K$19,MATCH(SMALL(Issues!$L$4:$L$19,Lists!$AE29),Issues!$L$4:$L$19,0),MATCH(Lists!AO$16,Issues!$A$3:$K$3,0)),"")</f>
        <v/>
      </c>
      <c r="AP29" s="41" t="str">
        <f>IF($AE29&lt;&gt;0,INDEX(Issues!$A$4:$K$19,MATCH(SMALL(Issues!$L$4:$L$19,Lists!$AE29),Issues!$L$4:$L$19,0),MATCH(Lists!AP$16,Issues!$A$3:$K$3,0)),"")</f>
        <v/>
      </c>
    </row>
    <row r="30" spans="1:51" x14ac:dyDescent="0.3">
      <c r="A30" s="41">
        <f>IF(ROWS($A$16:A30)-1&lt;=$A$16,ROWS($A$16:A30)-1,0)</f>
        <v>0</v>
      </c>
      <c r="B30" s="41" t="str">
        <f>IF($A30&lt;&gt;0,INDEX(Tasks!$A$3:$V$23,MATCH(SMALL(Tasks!$W$3:$W$23,Lists!$A30),Tasks!$W$3:$W$23,0),MATCH(B$16,Tasks!$A$2:$V$2,0)),"")</f>
        <v/>
      </c>
      <c r="C30" s="42" t="str">
        <f>IF($A30&lt;&gt;0,INDEX(Tasks!$A$3:$V$23,MATCH(SMALL(Tasks!$W$3:$W$23,Lists!$A30),Tasks!$W$3:$W$23,0),MATCH(C$16,Tasks!$A$2:$V$2,0)),"")</f>
        <v/>
      </c>
      <c r="D30" s="42" t="str">
        <f>IF($A30&lt;&gt;0,INDEX(Tasks!$A$3:$V$23,MATCH(SMALL(Tasks!$W$3:$W$23,Lists!$A30),Tasks!$W$3:$W$23,0),MATCH(D$16,Tasks!$A$2:$V$2,0)),"")</f>
        <v/>
      </c>
      <c r="E30" s="43" t="str">
        <f>IF($A30&lt;&gt;0,INDEX(Tasks!$A$3:$V$23,MATCH(SMALL(Tasks!$W$3:$W$23,Lists!$A30),Tasks!$W$3:$W$23,0),MATCH(E$16,Tasks!$A$2:$V$2,0)),"")</f>
        <v/>
      </c>
      <c r="F30" s="44" t="str">
        <f>IF($A30&lt;&gt;0,INDEX(Tasks!$A$3:$V$23,MATCH(SMALL(Tasks!$W$3:$W$23,Lists!$A30),Tasks!$W$3:$W$23,0),MATCH(F$16,Tasks!$A$2:$V$2,0)),"")</f>
        <v/>
      </c>
      <c r="G30" s="45" t="str">
        <f>IF($A30&lt;&gt;0,INDEX(Tasks!$A$3:$V$23,MATCH(SMALL(Tasks!$W$3:$W$23,Lists!$A30),Tasks!$W$3:$W$23,0),MATCH(G$16,Tasks!$A$2:$V$2,0)),"")</f>
        <v/>
      </c>
      <c r="H30" s="46" t="str">
        <f>IF($A30&lt;&gt;0,INDEX(Tasks!$A$3:$V$23,MATCH(SMALL(Tasks!$W$3:$W$23,Lists!$A30),Tasks!$W$3:$W$23,0),MATCH(H$16,Tasks!$A$2:$V$2,0)),"")</f>
        <v/>
      </c>
      <c r="I30" s="43" t="str">
        <f>IF($A30&lt;&gt;0,INDEX(Tasks!$A$3:$V$23,MATCH(SMALL(Tasks!$W$3:$W$23,Lists!$A30),Tasks!$W$3:$W$23,0),MATCH(I$16,Tasks!$A$2:$V$2,0)),"")</f>
        <v/>
      </c>
      <c r="J30" s="44" t="str">
        <f>IF($A30&lt;&gt;0,INDEX(Tasks!$A$3:$V$23,MATCH(SMALL(Tasks!$W$3:$W$23,Lists!$A30),Tasks!$W$3:$W$23,0),MATCH(J$16,Tasks!$A$2:$V$2,0)),"")</f>
        <v/>
      </c>
      <c r="K30" s="45" t="str">
        <f>IF($A30&lt;&gt;0,INDEX(Tasks!$A$3:$V$23,MATCH(SMALL(Tasks!$W$3:$W$23,Lists!$A30),Tasks!$W$3:$W$23,0),MATCH(K$16,Tasks!$A$2:$V$2,0)),"")</f>
        <v/>
      </c>
      <c r="L30" s="46" t="str">
        <f>IF($A30&lt;&gt;0,INDEX(Tasks!$A$3:$V$23,MATCH(SMALL(Tasks!$W$3:$W$23,Lists!$A30),Tasks!$W$3:$W$23,0),MATCH(L$16,Tasks!$A$2:$V$2,0)),"")</f>
        <v/>
      </c>
      <c r="M30" s="47" t="str">
        <f>IF($A30&lt;&gt;0,INDEX(Tasks!$A$3:$V$23,MATCH(SMALL(Tasks!$W$3:$W$23,Lists!$A30),Tasks!$W$3:$W$23,0),MATCH(M$16,Tasks!$A$2:$V$2,0)),"")</f>
        <v/>
      </c>
      <c r="N30" s="46" t="str">
        <f>IF($A30&lt;&gt;0,INDEX(Tasks!$A$3:$V$23,MATCH(SMALL(Tasks!$W$3:$W$23,Lists!$A30),Tasks!$W$3:$W$23,0),MATCH(N$16,Tasks!$A$2:$V$2,0)),"")</f>
        <v/>
      </c>
      <c r="O30" s="46" t="str">
        <f>IF($A30&lt;&gt;0,INDEX(Tasks!$A$3:$V$23,MATCH(SMALL(Tasks!$W$3:$W$23,Lists!$A30),Tasks!$W$3:$W$23,0),MATCH(O$16,Tasks!$A$2:$V$2,0)),"")</f>
        <v/>
      </c>
      <c r="P30" s="42" t="str">
        <f>IF($A30&lt;&gt;0,INDEX(Tasks!$A$3:$V$23,MATCH(SMALL(Tasks!$W$3:$W$23,Lists!$A30),Tasks!$W$3:$W$23,0),MATCH(P$16,Tasks!$A$2:$V$2,0)),"")</f>
        <v/>
      </c>
      <c r="Q30" s="42" t="str">
        <f>IF($A30&lt;&gt;0,INDEX(Tasks!$A$3:$V$23,MATCH(SMALL(Tasks!$W$3:$W$23,Lists!$A30),Tasks!$W$3:$W$23,0),MATCH(Q$16,Tasks!$A$2:$V$2,0)),"")</f>
        <v/>
      </c>
      <c r="R30" s="48" t="str">
        <f>IF($A30&lt;&gt;0,INDEX(Tasks!$A$3:$V$23,MATCH(SMALL(Tasks!$W$3:$W$23,Lists!$A30),Tasks!$W$3:$W$23,0),MATCH(R$16,Tasks!$A$2:$V$2,0)),"")</f>
        <v/>
      </c>
      <c r="S30" s="48" t="str">
        <f>IF($A30&lt;&gt;0,INDEX(Tasks!$A$3:$V$23,MATCH(SMALL(Tasks!$W$3:$W$23,Lists!$A30),Tasks!$W$3:$W$23,0),MATCH(S$16,Tasks!$A$2:$V$2,0)),"")</f>
        <v/>
      </c>
      <c r="T30" s="48" t="str">
        <f>IF($A30&lt;&gt;0,INDEX(Tasks!$A$3:$V$23,MATCH(SMALL(Tasks!$W$3:$W$23,Lists!$A30),Tasks!$W$3:$W$23,0),MATCH(T$16,Tasks!$A$2:$V$2,0)),"")</f>
        <v/>
      </c>
      <c r="U30" s="42" t="str">
        <f>IF($A30&lt;&gt;0,INDEX(Tasks!$A$3:$V$23,MATCH(SMALL(Tasks!$W$3:$W$23,Lists!$A30),Tasks!$W$3:$W$23,0),MATCH(U$16,Tasks!$A$2:$V$2,0)),"")</f>
        <v/>
      </c>
      <c r="V30" s="42" t="str">
        <f>IF($A30&lt;&gt;0,INDEX(Tasks!$A$3:$V$23,MATCH(SMALL(Tasks!$W$3:$W$23,Lists!$A30),Tasks!$W$3:$W$23,0),MATCH(V$16,Tasks!$A$2:$V$2,0)),"")</f>
        <v/>
      </c>
      <c r="W30" s="49" t="str">
        <f>IF($A30&lt;&gt;0,INDEX(Tasks!$A$3:$V$23,MATCH(SMALL(Tasks!$W$3:$W$23,Lists!$A30),Tasks!$W$3:$W$23,0),MATCH(W$16,Tasks!$A$2:$V$2,0)),"")</f>
        <v/>
      </c>
      <c r="AE30" s="41">
        <f>IF(ROWS($AE$16:$AE30)-1&lt;=$AE$16,ROWS($AE$16:$AE30)-1,0)</f>
        <v>0</v>
      </c>
      <c r="AF30" s="41" t="str">
        <f>IF($AE30&lt;&gt;0,INDEX(Issues!$A$4:$K$19,MATCH(SMALL(Issues!$L$4:$L$19,Lists!$AE30),Issues!$L$4:$L$19,0),MATCH(Lists!AF$16,Issues!$A$3:$K$3,0)),"")</f>
        <v/>
      </c>
      <c r="AG30" s="41" t="str">
        <f>IF($AE30&lt;&gt;0,INDEX(Issues!$A$4:$K$19,MATCH(SMALL(Issues!$L$4:$L$19,Lists!$AE30),Issues!$L$4:$L$19,0),MATCH(Lists!AG$16,Issues!$A$3:$K$3,0)),"")</f>
        <v/>
      </c>
      <c r="AH30" s="41" t="str">
        <f>IF($AE30&lt;&gt;0,INDEX(Issues!$A$4:$K$19,MATCH(SMALL(Issues!$L$4:$L$19,Lists!$AE30),Issues!$L$4:$L$19,0),MATCH(Lists!AH$16,Issues!$A$3:$K$3,0)),"")</f>
        <v/>
      </c>
      <c r="AI30" s="41" t="str">
        <f>IF($AE30&lt;&gt;0,INDEX(Issues!$A$4:$K$19,MATCH(SMALL(Issues!$L$4:$L$19,Lists!$AE30),Issues!$L$4:$L$19,0),MATCH(Lists!AI$16,Issues!$A$3:$K$3,0)),"")</f>
        <v/>
      </c>
      <c r="AJ30" s="41" t="str">
        <f>IF($AE30&lt;&gt;0,INDEX(Issues!$A$4:$K$19,MATCH(SMALL(Issues!$L$4:$L$19,Lists!$AE30),Issues!$L$4:$L$19,0),MATCH(Lists!AJ$16,Issues!$A$3:$K$3,0)),"")</f>
        <v/>
      </c>
      <c r="AK30" s="41" t="str">
        <f>IF($AE30&lt;&gt;0,INDEX(Issues!$A$4:$K$19,MATCH(SMALL(Issues!$L$4:$L$19,Lists!$AE30),Issues!$L$4:$L$19,0),MATCH(Lists!AK$16,Issues!$A$3:$K$3,0)),"")</f>
        <v/>
      </c>
      <c r="AL30" s="41" t="str">
        <f>IF($AE30&lt;&gt;0,INDEX(Issues!$A$4:$K$19,MATCH(SMALL(Issues!$L$4:$L$19,Lists!$AE30),Issues!$L$4:$L$19,0),MATCH(Lists!AL$16,Issues!$A$3:$K$3,0)),"")</f>
        <v/>
      </c>
      <c r="AM30" s="41" t="str">
        <f>IF($AE30&lt;&gt;0,INDEX(Issues!$A$4:$K$19,MATCH(SMALL(Issues!$L$4:$L$19,Lists!$AE30),Issues!$L$4:$L$19,0),MATCH(Lists!AM$16,Issues!$A$3:$K$3,0)),"")</f>
        <v/>
      </c>
      <c r="AN30" s="41" t="str">
        <f>IF($AE30&lt;&gt;0,INDEX(Issues!$A$4:$K$19,MATCH(SMALL(Issues!$L$4:$L$19,Lists!$AE30),Issues!$L$4:$L$19,0),MATCH(Lists!AN$16,Issues!$A$3:$K$3,0)),"")</f>
        <v/>
      </c>
      <c r="AO30" s="41" t="str">
        <f>IF($AE30&lt;&gt;0,INDEX(Issues!$A$4:$K$19,MATCH(SMALL(Issues!$L$4:$L$19,Lists!$AE30),Issues!$L$4:$L$19,0),MATCH(Lists!AO$16,Issues!$A$3:$K$3,0)),"")</f>
        <v/>
      </c>
      <c r="AP30" s="41" t="str">
        <f>IF($AE30&lt;&gt;0,INDEX(Issues!$A$4:$K$19,MATCH(SMALL(Issues!$L$4:$L$19,Lists!$AE30),Issues!$L$4:$L$19,0),MATCH(Lists!AP$16,Issues!$A$3:$K$3,0)),"")</f>
        <v/>
      </c>
    </row>
    <row r="31" spans="1:51" x14ac:dyDescent="0.3">
      <c r="A31" s="41">
        <f>IF(ROWS($A$16:A31)-1&lt;=$A$16,ROWS($A$16:A31)-1,0)</f>
        <v>0</v>
      </c>
      <c r="B31" s="41" t="str">
        <f>IF($A31&lt;&gt;0,INDEX(Tasks!$A$3:$V$23,MATCH(SMALL(Tasks!$W$3:$W$23,Lists!$A31),Tasks!$W$3:$W$23,0),MATCH(B$16,Tasks!$A$2:$V$2,0)),"")</f>
        <v/>
      </c>
      <c r="C31" s="42" t="str">
        <f>IF($A31&lt;&gt;0,INDEX(Tasks!$A$3:$V$23,MATCH(SMALL(Tasks!$W$3:$W$23,Lists!$A31),Tasks!$W$3:$W$23,0),MATCH(C$16,Tasks!$A$2:$V$2,0)),"")</f>
        <v/>
      </c>
      <c r="D31" s="42" t="str">
        <f>IF($A31&lt;&gt;0,INDEX(Tasks!$A$3:$V$23,MATCH(SMALL(Tasks!$W$3:$W$23,Lists!$A31),Tasks!$W$3:$W$23,0),MATCH(D$16,Tasks!$A$2:$V$2,0)),"")</f>
        <v/>
      </c>
      <c r="E31" s="43" t="str">
        <f>IF($A31&lt;&gt;0,INDEX(Tasks!$A$3:$V$23,MATCH(SMALL(Tasks!$W$3:$W$23,Lists!$A31),Tasks!$W$3:$W$23,0),MATCH(E$16,Tasks!$A$2:$V$2,0)),"")</f>
        <v/>
      </c>
      <c r="F31" s="44" t="str">
        <f>IF($A31&lt;&gt;0,INDEX(Tasks!$A$3:$V$23,MATCH(SMALL(Tasks!$W$3:$W$23,Lists!$A31),Tasks!$W$3:$W$23,0),MATCH(F$16,Tasks!$A$2:$V$2,0)),"")</f>
        <v/>
      </c>
      <c r="G31" s="45" t="str">
        <f>IF($A31&lt;&gt;0,INDEX(Tasks!$A$3:$V$23,MATCH(SMALL(Tasks!$W$3:$W$23,Lists!$A31),Tasks!$W$3:$W$23,0),MATCH(G$16,Tasks!$A$2:$V$2,0)),"")</f>
        <v/>
      </c>
      <c r="H31" s="46" t="str">
        <f>IF($A31&lt;&gt;0,INDEX(Tasks!$A$3:$V$23,MATCH(SMALL(Tasks!$W$3:$W$23,Lists!$A31),Tasks!$W$3:$W$23,0),MATCH(H$16,Tasks!$A$2:$V$2,0)),"")</f>
        <v/>
      </c>
      <c r="I31" s="43" t="str">
        <f>IF($A31&lt;&gt;0,INDEX(Tasks!$A$3:$V$23,MATCH(SMALL(Tasks!$W$3:$W$23,Lists!$A31),Tasks!$W$3:$W$23,0),MATCH(I$16,Tasks!$A$2:$V$2,0)),"")</f>
        <v/>
      </c>
      <c r="J31" s="44" t="str">
        <f>IF($A31&lt;&gt;0,INDEX(Tasks!$A$3:$V$23,MATCH(SMALL(Tasks!$W$3:$W$23,Lists!$A31),Tasks!$W$3:$W$23,0),MATCH(J$16,Tasks!$A$2:$V$2,0)),"")</f>
        <v/>
      </c>
      <c r="K31" s="45" t="str">
        <f>IF($A31&lt;&gt;0,INDEX(Tasks!$A$3:$V$23,MATCH(SMALL(Tasks!$W$3:$W$23,Lists!$A31),Tasks!$W$3:$W$23,0),MATCH(K$16,Tasks!$A$2:$V$2,0)),"")</f>
        <v/>
      </c>
      <c r="L31" s="46" t="str">
        <f>IF($A31&lt;&gt;0,INDEX(Tasks!$A$3:$V$23,MATCH(SMALL(Tasks!$W$3:$W$23,Lists!$A31),Tasks!$W$3:$W$23,0),MATCH(L$16,Tasks!$A$2:$V$2,0)),"")</f>
        <v/>
      </c>
      <c r="M31" s="47" t="str">
        <f>IF($A31&lt;&gt;0,INDEX(Tasks!$A$3:$V$23,MATCH(SMALL(Tasks!$W$3:$W$23,Lists!$A31),Tasks!$W$3:$W$23,0),MATCH(M$16,Tasks!$A$2:$V$2,0)),"")</f>
        <v/>
      </c>
      <c r="N31" s="46" t="str">
        <f>IF($A31&lt;&gt;0,INDEX(Tasks!$A$3:$V$23,MATCH(SMALL(Tasks!$W$3:$W$23,Lists!$A31),Tasks!$W$3:$W$23,0),MATCH(N$16,Tasks!$A$2:$V$2,0)),"")</f>
        <v/>
      </c>
      <c r="O31" s="46" t="str">
        <f>IF($A31&lt;&gt;0,INDEX(Tasks!$A$3:$V$23,MATCH(SMALL(Tasks!$W$3:$W$23,Lists!$A31),Tasks!$W$3:$W$23,0),MATCH(O$16,Tasks!$A$2:$V$2,0)),"")</f>
        <v/>
      </c>
      <c r="P31" s="42" t="str">
        <f>IF($A31&lt;&gt;0,INDEX(Tasks!$A$3:$V$23,MATCH(SMALL(Tasks!$W$3:$W$23,Lists!$A31),Tasks!$W$3:$W$23,0),MATCH(P$16,Tasks!$A$2:$V$2,0)),"")</f>
        <v/>
      </c>
      <c r="Q31" s="42" t="str">
        <f>IF($A31&lt;&gt;0,INDEX(Tasks!$A$3:$V$23,MATCH(SMALL(Tasks!$W$3:$W$23,Lists!$A31),Tasks!$W$3:$W$23,0),MATCH(Q$16,Tasks!$A$2:$V$2,0)),"")</f>
        <v/>
      </c>
      <c r="R31" s="48" t="str">
        <f>IF($A31&lt;&gt;0,INDEX(Tasks!$A$3:$V$23,MATCH(SMALL(Tasks!$W$3:$W$23,Lists!$A31),Tasks!$W$3:$W$23,0),MATCH(R$16,Tasks!$A$2:$V$2,0)),"")</f>
        <v/>
      </c>
      <c r="S31" s="48" t="str">
        <f>IF($A31&lt;&gt;0,INDEX(Tasks!$A$3:$V$23,MATCH(SMALL(Tasks!$W$3:$W$23,Lists!$A31),Tasks!$W$3:$W$23,0),MATCH(S$16,Tasks!$A$2:$V$2,0)),"")</f>
        <v/>
      </c>
      <c r="T31" s="48" t="str">
        <f>IF($A31&lt;&gt;0,INDEX(Tasks!$A$3:$V$23,MATCH(SMALL(Tasks!$W$3:$W$23,Lists!$A31),Tasks!$W$3:$W$23,0),MATCH(T$16,Tasks!$A$2:$V$2,0)),"")</f>
        <v/>
      </c>
      <c r="U31" s="42" t="str">
        <f>IF($A31&lt;&gt;0,INDEX(Tasks!$A$3:$V$23,MATCH(SMALL(Tasks!$W$3:$W$23,Lists!$A31),Tasks!$W$3:$W$23,0),MATCH(U$16,Tasks!$A$2:$V$2,0)),"")</f>
        <v/>
      </c>
      <c r="V31" s="42" t="str">
        <f>IF($A31&lt;&gt;0,INDEX(Tasks!$A$3:$V$23,MATCH(SMALL(Tasks!$W$3:$W$23,Lists!$A31),Tasks!$W$3:$W$23,0),MATCH(V$16,Tasks!$A$2:$V$2,0)),"")</f>
        <v/>
      </c>
      <c r="W31" s="49" t="str">
        <f>IF($A31&lt;&gt;0,INDEX(Tasks!$A$3:$V$23,MATCH(SMALL(Tasks!$W$3:$W$23,Lists!$A31),Tasks!$W$3:$W$23,0),MATCH(W$16,Tasks!$A$2:$V$2,0)),"")</f>
        <v/>
      </c>
      <c r="AE31" s="41">
        <f>IF(ROWS($AE$16:$AE31)-1&lt;=$AE$16,ROWS($AE$16:$AE31)-1,0)</f>
        <v>0</v>
      </c>
      <c r="AF31" s="41" t="str">
        <f>IF($AE31&lt;&gt;0,INDEX(Issues!$A$4:$K$19,MATCH(SMALL(Issues!$L$4:$L$19,Lists!$AE31),Issues!$L$4:$L$19,0),MATCH(Lists!AF$16,Issues!$A$3:$K$3,0)),"")</f>
        <v/>
      </c>
      <c r="AG31" s="41" t="str">
        <f>IF($AE31&lt;&gt;0,INDEX(Issues!$A$4:$K$19,MATCH(SMALL(Issues!$L$4:$L$19,Lists!$AE31),Issues!$L$4:$L$19,0),MATCH(Lists!AG$16,Issues!$A$3:$K$3,0)),"")</f>
        <v/>
      </c>
      <c r="AH31" s="41" t="str">
        <f>IF($AE31&lt;&gt;0,INDEX(Issues!$A$4:$K$19,MATCH(SMALL(Issues!$L$4:$L$19,Lists!$AE31),Issues!$L$4:$L$19,0),MATCH(Lists!AH$16,Issues!$A$3:$K$3,0)),"")</f>
        <v/>
      </c>
      <c r="AI31" s="41" t="str">
        <f>IF($AE31&lt;&gt;0,INDEX(Issues!$A$4:$K$19,MATCH(SMALL(Issues!$L$4:$L$19,Lists!$AE31),Issues!$L$4:$L$19,0),MATCH(Lists!AI$16,Issues!$A$3:$K$3,0)),"")</f>
        <v/>
      </c>
      <c r="AJ31" s="41" t="str">
        <f>IF($AE31&lt;&gt;0,INDEX(Issues!$A$4:$K$19,MATCH(SMALL(Issues!$L$4:$L$19,Lists!$AE31),Issues!$L$4:$L$19,0),MATCH(Lists!AJ$16,Issues!$A$3:$K$3,0)),"")</f>
        <v/>
      </c>
      <c r="AK31" s="41" t="str">
        <f>IF($AE31&lt;&gt;0,INDEX(Issues!$A$4:$K$19,MATCH(SMALL(Issues!$L$4:$L$19,Lists!$AE31),Issues!$L$4:$L$19,0),MATCH(Lists!AK$16,Issues!$A$3:$K$3,0)),"")</f>
        <v/>
      </c>
      <c r="AL31" s="41" t="str">
        <f>IF($AE31&lt;&gt;0,INDEX(Issues!$A$4:$K$19,MATCH(SMALL(Issues!$L$4:$L$19,Lists!$AE31),Issues!$L$4:$L$19,0),MATCH(Lists!AL$16,Issues!$A$3:$K$3,0)),"")</f>
        <v/>
      </c>
      <c r="AM31" s="41" t="str">
        <f>IF($AE31&lt;&gt;0,INDEX(Issues!$A$4:$K$19,MATCH(SMALL(Issues!$L$4:$L$19,Lists!$AE31),Issues!$L$4:$L$19,0),MATCH(Lists!AM$16,Issues!$A$3:$K$3,0)),"")</f>
        <v/>
      </c>
      <c r="AN31" s="41" t="str">
        <f>IF($AE31&lt;&gt;0,INDEX(Issues!$A$4:$K$19,MATCH(SMALL(Issues!$L$4:$L$19,Lists!$AE31),Issues!$L$4:$L$19,0),MATCH(Lists!AN$16,Issues!$A$3:$K$3,0)),"")</f>
        <v/>
      </c>
      <c r="AO31" s="41" t="str">
        <f>IF($AE31&lt;&gt;0,INDEX(Issues!$A$4:$K$19,MATCH(SMALL(Issues!$L$4:$L$19,Lists!$AE31),Issues!$L$4:$L$19,0),MATCH(Lists!AO$16,Issues!$A$3:$K$3,0)),"")</f>
        <v/>
      </c>
      <c r="AP31" s="41" t="str">
        <f>IF($AE31&lt;&gt;0,INDEX(Issues!$A$4:$K$19,MATCH(SMALL(Issues!$L$4:$L$19,Lists!$AE31),Issues!$L$4:$L$19,0),MATCH(Lists!AP$16,Issues!$A$3:$K$3,0)),"")</f>
        <v/>
      </c>
    </row>
    <row r="32" spans="1:51" x14ac:dyDescent="0.3">
      <c r="A32" s="41">
        <f>IF(ROWS($A$16:A32)-1&lt;=$A$16,ROWS($A$16:A32)-1,0)</f>
        <v>0</v>
      </c>
      <c r="B32" s="41" t="str">
        <f>IF($A32&lt;&gt;0,INDEX(Tasks!$A$3:$V$23,MATCH(SMALL(Tasks!$W$3:$W$23,Lists!$A32),Tasks!$W$3:$W$23,0),MATCH(B$16,Tasks!$A$2:$V$2,0)),"")</f>
        <v/>
      </c>
      <c r="C32" s="42" t="str">
        <f>IF($A32&lt;&gt;0,INDEX(Tasks!$A$3:$V$23,MATCH(SMALL(Tasks!$W$3:$W$23,Lists!$A32),Tasks!$W$3:$W$23,0),MATCH(C$16,Tasks!$A$2:$V$2,0)),"")</f>
        <v/>
      </c>
      <c r="D32" s="42" t="str">
        <f>IF($A32&lt;&gt;0,INDEX(Tasks!$A$3:$V$23,MATCH(SMALL(Tasks!$W$3:$W$23,Lists!$A32),Tasks!$W$3:$W$23,0),MATCH(D$16,Tasks!$A$2:$V$2,0)),"")</f>
        <v/>
      </c>
      <c r="E32" s="43" t="str">
        <f>IF($A32&lt;&gt;0,INDEX(Tasks!$A$3:$V$23,MATCH(SMALL(Tasks!$W$3:$W$23,Lists!$A32),Tasks!$W$3:$W$23,0),MATCH(E$16,Tasks!$A$2:$V$2,0)),"")</f>
        <v/>
      </c>
      <c r="F32" s="44" t="str">
        <f>IF($A32&lt;&gt;0,INDEX(Tasks!$A$3:$V$23,MATCH(SMALL(Tasks!$W$3:$W$23,Lists!$A32),Tasks!$W$3:$W$23,0),MATCH(F$16,Tasks!$A$2:$V$2,0)),"")</f>
        <v/>
      </c>
      <c r="G32" s="45" t="str">
        <f>IF($A32&lt;&gt;0,INDEX(Tasks!$A$3:$V$23,MATCH(SMALL(Tasks!$W$3:$W$23,Lists!$A32),Tasks!$W$3:$W$23,0),MATCH(G$16,Tasks!$A$2:$V$2,0)),"")</f>
        <v/>
      </c>
      <c r="H32" s="46" t="str">
        <f>IF($A32&lt;&gt;0,INDEX(Tasks!$A$3:$V$23,MATCH(SMALL(Tasks!$W$3:$W$23,Lists!$A32),Tasks!$W$3:$W$23,0),MATCH(H$16,Tasks!$A$2:$V$2,0)),"")</f>
        <v/>
      </c>
      <c r="I32" s="43" t="str">
        <f>IF($A32&lt;&gt;0,INDEX(Tasks!$A$3:$V$23,MATCH(SMALL(Tasks!$W$3:$W$23,Lists!$A32),Tasks!$W$3:$W$23,0),MATCH(I$16,Tasks!$A$2:$V$2,0)),"")</f>
        <v/>
      </c>
      <c r="J32" s="44" t="str">
        <f>IF($A32&lt;&gt;0,INDEX(Tasks!$A$3:$V$23,MATCH(SMALL(Tasks!$W$3:$W$23,Lists!$A32),Tasks!$W$3:$W$23,0),MATCH(J$16,Tasks!$A$2:$V$2,0)),"")</f>
        <v/>
      </c>
      <c r="K32" s="45" t="str">
        <f>IF($A32&lt;&gt;0,INDEX(Tasks!$A$3:$V$23,MATCH(SMALL(Tasks!$W$3:$W$23,Lists!$A32),Tasks!$W$3:$W$23,0),MATCH(K$16,Tasks!$A$2:$V$2,0)),"")</f>
        <v/>
      </c>
      <c r="L32" s="46" t="str">
        <f>IF($A32&lt;&gt;0,INDEX(Tasks!$A$3:$V$23,MATCH(SMALL(Tasks!$W$3:$W$23,Lists!$A32),Tasks!$W$3:$W$23,0),MATCH(L$16,Tasks!$A$2:$V$2,0)),"")</f>
        <v/>
      </c>
      <c r="M32" s="47" t="str">
        <f>IF($A32&lt;&gt;0,INDEX(Tasks!$A$3:$V$23,MATCH(SMALL(Tasks!$W$3:$W$23,Lists!$A32),Tasks!$W$3:$W$23,0),MATCH(M$16,Tasks!$A$2:$V$2,0)),"")</f>
        <v/>
      </c>
      <c r="N32" s="46" t="str">
        <f>IF($A32&lt;&gt;0,INDEX(Tasks!$A$3:$V$23,MATCH(SMALL(Tasks!$W$3:$W$23,Lists!$A32),Tasks!$W$3:$W$23,0),MATCH(N$16,Tasks!$A$2:$V$2,0)),"")</f>
        <v/>
      </c>
      <c r="O32" s="46" t="str">
        <f>IF($A32&lt;&gt;0,INDEX(Tasks!$A$3:$V$23,MATCH(SMALL(Tasks!$W$3:$W$23,Lists!$A32),Tasks!$W$3:$W$23,0),MATCH(O$16,Tasks!$A$2:$V$2,0)),"")</f>
        <v/>
      </c>
      <c r="P32" s="42" t="str">
        <f>IF($A32&lt;&gt;0,INDEX(Tasks!$A$3:$V$23,MATCH(SMALL(Tasks!$W$3:$W$23,Lists!$A32),Tasks!$W$3:$W$23,0),MATCH(P$16,Tasks!$A$2:$V$2,0)),"")</f>
        <v/>
      </c>
      <c r="Q32" s="42" t="str">
        <f>IF($A32&lt;&gt;0,INDEX(Tasks!$A$3:$V$23,MATCH(SMALL(Tasks!$W$3:$W$23,Lists!$A32),Tasks!$W$3:$W$23,0),MATCH(Q$16,Tasks!$A$2:$V$2,0)),"")</f>
        <v/>
      </c>
      <c r="R32" s="48" t="str">
        <f>IF($A32&lt;&gt;0,INDEX(Tasks!$A$3:$V$23,MATCH(SMALL(Tasks!$W$3:$W$23,Lists!$A32),Tasks!$W$3:$W$23,0),MATCH(R$16,Tasks!$A$2:$V$2,0)),"")</f>
        <v/>
      </c>
      <c r="S32" s="48" t="str">
        <f>IF($A32&lt;&gt;0,INDEX(Tasks!$A$3:$V$23,MATCH(SMALL(Tasks!$W$3:$W$23,Lists!$A32),Tasks!$W$3:$W$23,0),MATCH(S$16,Tasks!$A$2:$V$2,0)),"")</f>
        <v/>
      </c>
      <c r="T32" s="48" t="str">
        <f>IF($A32&lt;&gt;0,INDEX(Tasks!$A$3:$V$23,MATCH(SMALL(Tasks!$W$3:$W$23,Lists!$A32),Tasks!$W$3:$W$23,0),MATCH(T$16,Tasks!$A$2:$V$2,0)),"")</f>
        <v/>
      </c>
      <c r="U32" s="42" t="str">
        <f>IF($A32&lt;&gt;0,INDEX(Tasks!$A$3:$V$23,MATCH(SMALL(Tasks!$W$3:$W$23,Lists!$A32),Tasks!$W$3:$W$23,0),MATCH(U$16,Tasks!$A$2:$V$2,0)),"")</f>
        <v/>
      </c>
      <c r="V32" s="42" t="str">
        <f>IF($A32&lt;&gt;0,INDEX(Tasks!$A$3:$V$23,MATCH(SMALL(Tasks!$W$3:$W$23,Lists!$A32),Tasks!$W$3:$W$23,0),MATCH(V$16,Tasks!$A$2:$V$2,0)),"")</f>
        <v/>
      </c>
      <c r="W32" s="49" t="str">
        <f>IF($A32&lt;&gt;0,INDEX(Tasks!$A$3:$V$23,MATCH(SMALL(Tasks!$W$3:$W$23,Lists!$A32),Tasks!$W$3:$W$23,0),MATCH(W$16,Tasks!$A$2:$V$2,0)),"")</f>
        <v/>
      </c>
      <c r="AE32" s="41">
        <f>IF(ROWS($AE$16:$AE32)-1&lt;=$AE$16,ROWS($AE$16:$AE32)-1,0)</f>
        <v>0</v>
      </c>
      <c r="AF32" s="41" t="str">
        <f>IF($AE32&lt;&gt;0,INDEX(Issues!$A$4:$K$19,MATCH(SMALL(Issues!$L$4:$L$19,Lists!$AE32),Issues!$L$4:$L$19,0),MATCH(Lists!AF$16,Issues!$A$3:$K$3,0)),"")</f>
        <v/>
      </c>
      <c r="AG32" s="41" t="str">
        <f>IF($AE32&lt;&gt;0,INDEX(Issues!$A$4:$K$19,MATCH(SMALL(Issues!$L$4:$L$19,Lists!$AE32),Issues!$L$4:$L$19,0),MATCH(Lists!AG$16,Issues!$A$3:$K$3,0)),"")</f>
        <v/>
      </c>
      <c r="AH32" s="41" t="str">
        <f>IF($AE32&lt;&gt;0,INDEX(Issues!$A$4:$K$19,MATCH(SMALL(Issues!$L$4:$L$19,Lists!$AE32),Issues!$L$4:$L$19,0),MATCH(Lists!AH$16,Issues!$A$3:$K$3,0)),"")</f>
        <v/>
      </c>
      <c r="AI32" s="41" t="str">
        <f>IF($AE32&lt;&gt;0,INDEX(Issues!$A$4:$K$19,MATCH(SMALL(Issues!$L$4:$L$19,Lists!$AE32),Issues!$L$4:$L$19,0),MATCH(Lists!AI$16,Issues!$A$3:$K$3,0)),"")</f>
        <v/>
      </c>
      <c r="AJ32" s="41" t="str">
        <f>IF($AE32&lt;&gt;0,INDEX(Issues!$A$4:$K$19,MATCH(SMALL(Issues!$L$4:$L$19,Lists!$AE32),Issues!$L$4:$L$19,0),MATCH(Lists!AJ$16,Issues!$A$3:$K$3,0)),"")</f>
        <v/>
      </c>
      <c r="AK32" s="41" t="str">
        <f>IF($AE32&lt;&gt;0,INDEX(Issues!$A$4:$K$19,MATCH(SMALL(Issues!$L$4:$L$19,Lists!$AE32),Issues!$L$4:$L$19,0),MATCH(Lists!AK$16,Issues!$A$3:$K$3,0)),"")</f>
        <v/>
      </c>
      <c r="AL32" s="41" t="str">
        <f>IF($AE32&lt;&gt;0,INDEX(Issues!$A$4:$K$19,MATCH(SMALL(Issues!$L$4:$L$19,Lists!$AE32),Issues!$L$4:$L$19,0),MATCH(Lists!AL$16,Issues!$A$3:$K$3,0)),"")</f>
        <v/>
      </c>
      <c r="AM32" s="41" t="str">
        <f>IF($AE32&lt;&gt;0,INDEX(Issues!$A$4:$K$19,MATCH(SMALL(Issues!$L$4:$L$19,Lists!$AE32),Issues!$L$4:$L$19,0),MATCH(Lists!AM$16,Issues!$A$3:$K$3,0)),"")</f>
        <v/>
      </c>
      <c r="AN32" s="41" t="str">
        <f>IF($AE32&lt;&gt;0,INDEX(Issues!$A$4:$K$19,MATCH(SMALL(Issues!$L$4:$L$19,Lists!$AE32),Issues!$L$4:$L$19,0),MATCH(Lists!AN$16,Issues!$A$3:$K$3,0)),"")</f>
        <v/>
      </c>
      <c r="AO32" s="41" t="str">
        <f>IF($AE32&lt;&gt;0,INDEX(Issues!$A$4:$K$19,MATCH(SMALL(Issues!$L$4:$L$19,Lists!$AE32),Issues!$L$4:$L$19,0),MATCH(Lists!AO$16,Issues!$A$3:$K$3,0)),"")</f>
        <v/>
      </c>
      <c r="AP32" s="41" t="str">
        <f>IF($AE32&lt;&gt;0,INDEX(Issues!$A$4:$K$19,MATCH(SMALL(Issues!$L$4:$L$19,Lists!$AE32),Issues!$L$4:$L$19,0),MATCH(Lists!AP$16,Issues!$A$3:$K$3,0)),"")</f>
        <v/>
      </c>
    </row>
    <row r="33" spans="1:42" x14ac:dyDescent="0.3">
      <c r="A33" s="41">
        <f>IF(ROWS($A$16:A33)-1&lt;=$A$16,ROWS($A$16:A33)-1,0)</f>
        <v>0</v>
      </c>
      <c r="B33" s="41" t="str">
        <f>IF($A33&lt;&gt;0,INDEX(Tasks!$A$3:$V$23,MATCH(SMALL(Tasks!$W$3:$W$23,Lists!$A33),Tasks!$W$3:$W$23,0),MATCH(B$16,Tasks!$A$2:$V$2,0)),"")</f>
        <v/>
      </c>
      <c r="C33" s="42" t="str">
        <f>IF($A33&lt;&gt;0,INDEX(Tasks!$A$3:$V$23,MATCH(SMALL(Tasks!$W$3:$W$23,Lists!$A33),Tasks!$W$3:$W$23,0),MATCH(C$16,Tasks!$A$2:$V$2,0)),"")</f>
        <v/>
      </c>
      <c r="D33" s="42" t="str">
        <f>IF($A33&lt;&gt;0,INDEX(Tasks!$A$3:$V$23,MATCH(SMALL(Tasks!$W$3:$W$23,Lists!$A33),Tasks!$W$3:$W$23,0),MATCH(D$16,Tasks!$A$2:$V$2,0)),"")</f>
        <v/>
      </c>
      <c r="E33" s="43" t="str">
        <f>IF($A33&lt;&gt;0,INDEX(Tasks!$A$3:$V$23,MATCH(SMALL(Tasks!$W$3:$W$23,Lists!$A33),Tasks!$W$3:$W$23,0),MATCH(E$16,Tasks!$A$2:$V$2,0)),"")</f>
        <v/>
      </c>
      <c r="F33" s="44" t="str">
        <f>IF($A33&lt;&gt;0,INDEX(Tasks!$A$3:$V$23,MATCH(SMALL(Tasks!$W$3:$W$23,Lists!$A33),Tasks!$W$3:$W$23,0),MATCH(F$16,Tasks!$A$2:$V$2,0)),"")</f>
        <v/>
      </c>
      <c r="G33" s="45" t="str">
        <f>IF($A33&lt;&gt;0,INDEX(Tasks!$A$3:$V$23,MATCH(SMALL(Tasks!$W$3:$W$23,Lists!$A33),Tasks!$W$3:$W$23,0),MATCH(G$16,Tasks!$A$2:$V$2,0)),"")</f>
        <v/>
      </c>
      <c r="H33" s="46" t="str">
        <f>IF($A33&lt;&gt;0,INDEX(Tasks!$A$3:$V$23,MATCH(SMALL(Tasks!$W$3:$W$23,Lists!$A33),Tasks!$W$3:$W$23,0),MATCH(H$16,Tasks!$A$2:$V$2,0)),"")</f>
        <v/>
      </c>
      <c r="I33" s="43" t="str">
        <f>IF($A33&lt;&gt;0,INDEX(Tasks!$A$3:$V$23,MATCH(SMALL(Tasks!$W$3:$W$23,Lists!$A33),Tasks!$W$3:$W$23,0),MATCH(I$16,Tasks!$A$2:$V$2,0)),"")</f>
        <v/>
      </c>
      <c r="J33" s="44" t="str">
        <f>IF($A33&lt;&gt;0,INDEX(Tasks!$A$3:$V$23,MATCH(SMALL(Tasks!$W$3:$W$23,Lists!$A33),Tasks!$W$3:$W$23,0),MATCH(J$16,Tasks!$A$2:$V$2,0)),"")</f>
        <v/>
      </c>
      <c r="K33" s="45" t="str">
        <f>IF($A33&lt;&gt;0,INDEX(Tasks!$A$3:$V$23,MATCH(SMALL(Tasks!$W$3:$W$23,Lists!$A33),Tasks!$W$3:$W$23,0),MATCH(K$16,Tasks!$A$2:$V$2,0)),"")</f>
        <v/>
      </c>
      <c r="L33" s="46" t="str">
        <f>IF($A33&lt;&gt;0,INDEX(Tasks!$A$3:$V$23,MATCH(SMALL(Tasks!$W$3:$W$23,Lists!$A33),Tasks!$W$3:$W$23,0),MATCH(L$16,Tasks!$A$2:$V$2,0)),"")</f>
        <v/>
      </c>
      <c r="M33" s="47" t="str">
        <f>IF($A33&lt;&gt;0,INDEX(Tasks!$A$3:$V$23,MATCH(SMALL(Tasks!$W$3:$W$23,Lists!$A33),Tasks!$W$3:$W$23,0),MATCH(M$16,Tasks!$A$2:$V$2,0)),"")</f>
        <v/>
      </c>
      <c r="N33" s="46" t="str">
        <f>IF($A33&lt;&gt;0,INDEX(Tasks!$A$3:$V$23,MATCH(SMALL(Tasks!$W$3:$W$23,Lists!$A33),Tasks!$W$3:$W$23,0),MATCH(N$16,Tasks!$A$2:$V$2,0)),"")</f>
        <v/>
      </c>
      <c r="O33" s="46" t="str">
        <f>IF($A33&lt;&gt;0,INDEX(Tasks!$A$3:$V$23,MATCH(SMALL(Tasks!$W$3:$W$23,Lists!$A33),Tasks!$W$3:$W$23,0),MATCH(O$16,Tasks!$A$2:$V$2,0)),"")</f>
        <v/>
      </c>
      <c r="P33" s="42" t="str">
        <f>IF($A33&lt;&gt;0,INDEX(Tasks!$A$3:$V$23,MATCH(SMALL(Tasks!$W$3:$W$23,Lists!$A33),Tasks!$W$3:$W$23,0),MATCH(P$16,Tasks!$A$2:$V$2,0)),"")</f>
        <v/>
      </c>
      <c r="Q33" s="42" t="str">
        <f>IF($A33&lt;&gt;0,INDEX(Tasks!$A$3:$V$23,MATCH(SMALL(Tasks!$W$3:$W$23,Lists!$A33),Tasks!$W$3:$W$23,0),MATCH(Q$16,Tasks!$A$2:$V$2,0)),"")</f>
        <v/>
      </c>
      <c r="R33" s="48" t="str">
        <f>IF($A33&lt;&gt;0,INDEX(Tasks!$A$3:$V$23,MATCH(SMALL(Tasks!$W$3:$W$23,Lists!$A33),Tasks!$W$3:$W$23,0),MATCH(R$16,Tasks!$A$2:$V$2,0)),"")</f>
        <v/>
      </c>
      <c r="S33" s="48" t="str">
        <f>IF($A33&lt;&gt;0,INDEX(Tasks!$A$3:$V$23,MATCH(SMALL(Tasks!$W$3:$W$23,Lists!$A33),Tasks!$W$3:$W$23,0),MATCH(S$16,Tasks!$A$2:$V$2,0)),"")</f>
        <v/>
      </c>
      <c r="T33" s="48" t="str">
        <f>IF($A33&lt;&gt;0,INDEX(Tasks!$A$3:$V$23,MATCH(SMALL(Tasks!$W$3:$W$23,Lists!$A33),Tasks!$W$3:$W$23,0),MATCH(T$16,Tasks!$A$2:$V$2,0)),"")</f>
        <v/>
      </c>
      <c r="U33" s="42" t="str">
        <f>IF($A33&lt;&gt;0,INDEX(Tasks!$A$3:$V$23,MATCH(SMALL(Tasks!$W$3:$W$23,Lists!$A33),Tasks!$W$3:$W$23,0),MATCH(U$16,Tasks!$A$2:$V$2,0)),"")</f>
        <v/>
      </c>
      <c r="V33" s="42" t="str">
        <f>IF($A33&lt;&gt;0,INDEX(Tasks!$A$3:$V$23,MATCH(SMALL(Tasks!$W$3:$W$23,Lists!$A33),Tasks!$W$3:$W$23,0),MATCH(V$16,Tasks!$A$2:$V$2,0)),"")</f>
        <v/>
      </c>
      <c r="W33" s="49" t="str">
        <f>IF($A33&lt;&gt;0,INDEX(Tasks!$A$3:$V$23,MATCH(SMALL(Tasks!$W$3:$W$23,Lists!$A33),Tasks!$W$3:$W$23,0),MATCH(W$16,Tasks!$A$2:$V$2,0)),"")</f>
        <v/>
      </c>
      <c r="AE33" s="41">
        <f>IF(ROWS($AE$16:$AE33)-1&lt;=$AE$16,ROWS($AE$16:$AE33)-1,0)</f>
        <v>0</v>
      </c>
      <c r="AF33" s="41" t="str">
        <f>IF($AE33&lt;&gt;0,INDEX(Issues!$A$4:$K$19,MATCH(SMALL(Issues!$L$4:$L$19,Lists!$AE33),Issues!$L$4:$L$19,0),MATCH(Lists!AF$16,Issues!$A$3:$K$3,0)),"")</f>
        <v/>
      </c>
      <c r="AG33" s="41" t="str">
        <f>IF($AE33&lt;&gt;0,INDEX(Issues!$A$4:$K$19,MATCH(SMALL(Issues!$L$4:$L$19,Lists!$AE33),Issues!$L$4:$L$19,0),MATCH(Lists!AG$16,Issues!$A$3:$K$3,0)),"")</f>
        <v/>
      </c>
      <c r="AH33" s="41" t="str">
        <f>IF($AE33&lt;&gt;0,INDEX(Issues!$A$4:$K$19,MATCH(SMALL(Issues!$L$4:$L$19,Lists!$AE33),Issues!$L$4:$L$19,0),MATCH(Lists!AH$16,Issues!$A$3:$K$3,0)),"")</f>
        <v/>
      </c>
      <c r="AI33" s="41" t="str">
        <f>IF($AE33&lt;&gt;0,INDEX(Issues!$A$4:$K$19,MATCH(SMALL(Issues!$L$4:$L$19,Lists!$AE33),Issues!$L$4:$L$19,0),MATCH(Lists!AI$16,Issues!$A$3:$K$3,0)),"")</f>
        <v/>
      </c>
      <c r="AJ33" s="41" t="str">
        <f>IF($AE33&lt;&gt;0,INDEX(Issues!$A$4:$K$19,MATCH(SMALL(Issues!$L$4:$L$19,Lists!$AE33),Issues!$L$4:$L$19,0),MATCH(Lists!AJ$16,Issues!$A$3:$K$3,0)),"")</f>
        <v/>
      </c>
      <c r="AK33" s="41" t="str">
        <f>IF($AE33&lt;&gt;0,INDEX(Issues!$A$4:$K$19,MATCH(SMALL(Issues!$L$4:$L$19,Lists!$AE33),Issues!$L$4:$L$19,0),MATCH(Lists!AK$16,Issues!$A$3:$K$3,0)),"")</f>
        <v/>
      </c>
      <c r="AL33" s="41" t="str">
        <f>IF($AE33&lt;&gt;0,INDEX(Issues!$A$4:$K$19,MATCH(SMALL(Issues!$L$4:$L$19,Lists!$AE33),Issues!$L$4:$L$19,0),MATCH(Lists!AL$16,Issues!$A$3:$K$3,0)),"")</f>
        <v/>
      </c>
      <c r="AM33" s="41" t="str">
        <f>IF($AE33&lt;&gt;0,INDEX(Issues!$A$4:$K$19,MATCH(SMALL(Issues!$L$4:$L$19,Lists!$AE33),Issues!$L$4:$L$19,0),MATCH(Lists!AM$16,Issues!$A$3:$K$3,0)),"")</f>
        <v/>
      </c>
      <c r="AN33" s="41" t="str">
        <f>IF($AE33&lt;&gt;0,INDEX(Issues!$A$4:$K$19,MATCH(SMALL(Issues!$L$4:$L$19,Lists!$AE33),Issues!$L$4:$L$19,0),MATCH(Lists!AN$16,Issues!$A$3:$K$3,0)),"")</f>
        <v/>
      </c>
      <c r="AO33" s="41" t="str">
        <f>IF($AE33&lt;&gt;0,INDEX(Issues!$A$4:$K$19,MATCH(SMALL(Issues!$L$4:$L$19,Lists!$AE33),Issues!$L$4:$L$19,0),MATCH(Lists!AO$16,Issues!$A$3:$K$3,0)),"")</f>
        <v/>
      </c>
      <c r="AP33" s="41" t="str">
        <f>IF($AE33&lt;&gt;0,INDEX(Issues!$A$4:$K$19,MATCH(SMALL(Issues!$L$4:$L$19,Lists!$AE33),Issues!$L$4:$L$19,0),MATCH(Lists!AP$16,Issues!$A$3:$K$3,0)),"")</f>
        <v/>
      </c>
    </row>
    <row r="34" spans="1:42" x14ac:dyDescent="0.3">
      <c r="A34" s="41">
        <f>IF(ROWS($A$16:A34)-1&lt;=$A$16,ROWS($A$16:A34)-1,0)</f>
        <v>0</v>
      </c>
      <c r="B34" s="41" t="str">
        <f>IF($A34&lt;&gt;0,INDEX(Tasks!$A$3:$V$23,MATCH(SMALL(Tasks!$W$3:$W$23,Lists!$A34),Tasks!$W$3:$W$23,0),MATCH(B$16,Tasks!$A$2:$V$2,0)),"")</f>
        <v/>
      </c>
      <c r="C34" s="42" t="str">
        <f>IF($A34&lt;&gt;0,INDEX(Tasks!$A$3:$V$23,MATCH(SMALL(Tasks!$W$3:$W$23,Lists!$A34),Tasks!$W$3:$W$23,0),MATCH(C$16,Tasks!$A$2:$V$2,0)),"")</f>
        <v/>
      </c>
      <c r="D34" s="42" t="str">
        <f>IF($A34&lt;&gt;0,INDEX(Tasks!$A$3:$V$23,MATCH(SMALL(Tasks!$W$3:$W$23,Lists!$A34),Tasks!$W$3:$W$23,0),MATCH(D$16,Tasks!$A$2:$V$2,0)),"")</f>
        <v/>
      </c>
      <c r="E34" s="43" t="str">
        <f>IF($A34&lt;&gt;0,INDEX(Tasks!$A$3:$V$23,MATCH(SMALL(Tasks!$W$3:$W$23,Lists!$A34),Tasks!$W$3:$W$23,0),MATCH(E$16,Tasks!$A$2:$V$2,0)),"")</f>
        <v/>
      </c>
      <c r="F34" s="44" t="str">
        <f>IF($A34&lt;&gt;0,INDEX(Tasks!$A$3:$V$23,MATCH(SMALL(Tasks!$W$3:$W$23,Lists!$A34),Tasks!$W$3:$W$23,0),MATCH(F$16,Tasks!$A$2:$V$2,0)),"")</f>
        <v/>
      </c>
      <c r="G34" s="45" t="str">
        <f>IF($A34&lt;&gt;0,INDEX(Tasks!$A$3:$V$23,MATCH(SMALL(Tasks!$W$3:$W$23,Lists!$A34),Tasks!$W$3:$W$23,0),MATCH(G$16,Tasks!$A$2:$V$2,0)),"")</f>
        <v/>
      </c>
      <c r="H34" s="46" t="str">
        <f>IF($A34&lt;&gt;0,INDEX(Tasks!$A$3:$V$23,MATCH(SMALL(Tasks!$W$3:$W$23,Lists!$A34),Tasks!$W$3:$W$23,0),MATCH(H$16,Tasks!$A$2:$V$2,0)),"")</f>
        <v/>
      </c>
      <c r="I34" s="43" t="str">
        <f>IF($A34&lt;&gt;0,INDEX(Tasks!$A$3:$V$23,MATCH(SMALL(Tasks!$W$3:$W$23,Lists!$A34),Tasks!$W$3:$W$23,0),MATCH(I$16,Tasks!$A$2:$V$2,0)),"")</f>
        <v/>
      </c>
      <c r="J34" s="44" t="str">
        <f>IF($A34&lt;&gt;0,INDEX(Tasks!$A$3:$V$23,MATCH(SMALL(Tasks!$W$3:$W$23,Lists!$A34),Tasks!$W$3:$W$23,0),MATCH(J$16,Tasks!$A$2:$V$2,0)),"")</f>
        <v/>
      </c>
      <c r="K34" s="45" t="str">
        <f>IF($A34&lt;&gt;0,INDEX(Tasks!$A$3:$V$23,MATCH(SMALL(Tasks!$W$3:$W$23,Lists!$A34),Tasks!$W$3:$W$23,0),MATCH(K$16,Tasks!$A$2:$V$2,0)),"")</f>
        <v/>
      </c>
      <c r="L34" s="46" t="str">
        <f>IF($A34&lt;&gt;0,INDEX(Tasks!$A$3:$V$23,MATCH(SMALL(Tasks!$W$3:$W$23,Lists!$A34),Tasks!$W$3:$W$23,0),MATCH(L$16,Tasks!$A$2:$V$2,0)),"")</f>
        <v/>
      </c>
      <c r="M34" s="47" t="str">
        <f>IF($A34&lt;&gt;0,INDEX(Tasks!$A$3:$V$23,MATCH(SMALL(Tasks!$W$3:$W$23,Lists!$A34),Tasks!$W$3:$W$23,0),MATCH(M$16,Tasks!$A$2:$V$2,0)),"")</f>
        <v/>
      </c>
      <c r="N34" s="46" t="str">
        <f>IF($A34&lt;&gt;0,INDEX(Tasks!$A$3:$V$23,MATCH(SMALL(Tasks!$W$3:$W$23,Lists!$A34),Tasks!$W$3:$W$23,0),MATCH(N$16,Tasks!$A$2:$V$2,0)),"")</f>
        <v/>
      </c>
      <c r="O34" s="46" t="str">
        <f>IF($A34&lt;&gt;0,INDEX(Tasks!$A$3:$V$23,MATCH(SMALL(Tasks!$W$3:$W$23,Lists!$A34),Tasks!$W$3:$W$23,0),MATCH(O$16,Tasks!$A$2:$V$2,0)),"")</f>
        <v/>
      </c>
      <c r="P34" s="42" t="str">
        <f>IF($A34&lt;&gt;0,INDEX(Tasks!$A$3:$V$23,MATCH(SMALL(Tasks!$W$3:$W$23,Lists!$A34),Tasks!$W$3:$W$23,0),MATCH(P$16,Tasks!$A$2:$V$2,0)),"")</f>
        <v/>
      </c>
      <c r="Q34" s="42" t="str">
        <f>IF($A34&lt;&gt;0,INDEX(Tasks!$A$3:$V$23,MATCH(SMALL(Tasks!$W$3:$W$23,Lists!$A34),Tasks!$W$3:$W$23,0),MATCH(Q$16,Tasks!$A$2:$V$2,0)),"")</f>
        <v/>
      </c>
      <c r="R34" s="48" t="str">
        <f>IF($A34&lt;&gt;0,INDEX(Tasks!$A$3:$V$23,MATCH(SMALL(Tasks!$W$3:$W$23,Lists!$A34),Tasks!$W$3:$W$23,0),MATCH(R$16,Tasks!$A$2:$V$2,0)),"")</f>
        <v/>
      </c>
      <c r="S34" s="48" t="str">
        <f>IF($A34&lt;&gt;0,INDEX(Tasks!$A$3:$V$23,MATCH(SMALL(Tasks!$W$3:$W$23,Lists!$A34),Tasks!$W$3:$W$23,0),MATCH(S$16,Tasks!$A$2:$V$2,0)),"")</f>
        <v/>
      </c>
      <c r="T34" s="48" t="str">
        <f>IF($A34&lt;&gt;0,INDEX(Tasks!$A$3:$V$23,MATCH(SMALL(Tasks!$W$3:$W$23,Lists!$A34),Tasks!$W$3:$W$23,0),MATCH(T$16,Tasks!$A$2:$V$2,0)),"")</f>
        <v/>
      </c>
      <c r="U34" s="42" t="str">
        <f>IF($A34&lt;&gt;0,INDEX(Tasks!$A$3:$V$23,MATCH(SMALL(Tasks!$W$3:$W$23,Lists!$A34),Tasks!$W$3:$W$23,0),MATCH(U$16,Tasks!$A$2:$V$2,0)),"")</f>
        <v/>
      </c>
      <c r="V34" s="42" t="str">
        <f>IF($A34&lt;&gt;0,INDEX(Tasks!$A$3:$V$23,MATCH(SMALL(Tasks!$W$3:$W$23,Lists!$A34),Tasks!$W$3:$W$23,0),MATCH(V$16,Tasks!$A$2:$V$2,0)),"")</f>
        <v/>
      </c>
      <c r="W34" s="49" t="str">
        <f>IF($A34&lt;&gt;0,INDEX(Tasks!$A$3:$V$23,MATCH(SMALL(Tasks!$W$3:$W$23,Lists!$A34),Tasks!$W$3:$W$23,0),MATCH(W$16,Tasks!$A$2:$V$2,0)),"")</f>
        <v/>
      </c>
      <c r="AE34" s="41">
        <f>IF(ROWS($AE$16:$AE34)-1&lt;=$AE$16,ROWS($AE$16:$AE34)-1,0)</f>
        <v>0</v>
      </c>
      <c r="AF34" s="41" t="str">
        <f>IF($AE34&lt;&gt;0,INDEX(Issues!$A$4:$K$19,MATCH(SMALL(Issues!$L$4:$L$19,Lists!$AE34),Issues!$L$4:$L$19,0),MATCH(Lists!AF$16,Issues!$A$3:$K$3,0)),"")</f>
        <v/>
      </c>
      <c r="AG34" s="41" t="str">
        <f>IF($AE34&lt;&gt;0,INDEX(Issues!$A$4:$K$19,MATCH(SMALL(Issues!$L$4:$L$19,Lists!$AE34),Issues!$L$4:$L$19,0),MATCH(Lists!AG$16,Issues!$A$3:$K$3,0)),"")</f>
        <v/>
      </c>
      <c r="AH34" s="41" t="str">
        <f>IF($AE34&lt;&gt;0,INDEX(Issues!$A$4:$K$19,MATCH(SMALL(Issues!$L$4:$L$19,Lists!$AE34),Issues!$L$4:$L$19,0),MATCH(Lists!AH$16,Issues!$A$3:$K$3,0)),"")</f>
        <v/>
      </c>
      <c r="AI34" s="41" t="str">
        <f>IF($AE34&lt;&gt;0,INDEX(Issues!$A$4:$K$19,MATCH(SMALL(Issues!$L$4:$L$19,Lists!$AE34),Issues!$L$4:$L$19,0),MATCH(Lists!AI$16,Issues!$A$3:$K$3,0)),"")</f>
        <v/>
      </c>
      <c r="AJ34" s="41" t="str">
        <f>IF($AE34&lt;&gt;0,INDEX(Issues!$A$4:$K$19,MATCH(SMALL(Issues!$L$4:$L$19,Lists!$AE34),Issues!$L$4:$L$19,0),MATCH(Lists!AJ$16,Issues!$A$3:$K$3,0)),"")</f>
        <v/>
      </c>
      <c r="AK34" s="41" t="str">
        <f>IF($AE34&lt;&gt;0,INDEX(Issues!$A$4:$K$19,MATCH(SMALL(Issues!$L$4:$L$19,Lists!$AE34),Issues!$L$4:$L$19,0),MATCH(Lists!AK$16,Issues!$A$3:$K$3,0)),"")</f>
        <v/>
      </c>
      <c r="AL34" s="41" t="str">
        <f>IF($AE34&lt;&gt;0,INDEX(Issues!$A$4:$K$19,MATCH(SMALL(Issues!$L$4:$L$19,Lists!$AE34),Issues!$L$4:$L$19,0),MATCH(Lists!AL$16,Issues!$A$3:$K$3,0)),"")</f>
        <v/>
      </c>
      <c r="AM34" s="41" t="str">
        <f>IF($AE34&lt;&gt;0,INDEX(Issues!$A$4:$K$19,MATCH(SMALL(Issues!$L$4:$L$19,Lists!$AE34),Issues!$L$4:$L$19,0),MATCH(Lists!AM$16,Issues!$A$3:$K$3,0)),"")</f>
        <v/>
      </c>
      <c r="AN34" s="41" t="str">
        <f>IF($AE34&lt;&gt;0,INDEX(Issues!$A$4:$K$19,MATCH(SMALL(Issues!$L$4:$L$19,Lists!$AE34),Issues!$L$4:$L$19,0),MATCH(Lists!AN$16,Issues!$A$3:$K$3,0)),"")</f>
        <v/>
      </c>
      <c r="AO34" s="41" t="str">
        <f>IF($AE34&lt;&gt;0,INDEX(Issues!$A$4:$K$19,MATCH(SMALL(Issues!$L$4:$L$19,Lists!$AE34),Issues!$L$4:$L$19,0),MATCH(Lists!AO$16,Issues!$A$3:$K$3,0)),"")</f>
        <v/>
      </c>
      <c r="AP34" s="41" t="str">
        <f>IF($AE34&lt;&gt;0,INDEX(Issues!$A$4:$K$19,MATCH(SMALL(Issues!$L$4:$L$19,Lists!$AE34),Issues!$L$4:$L$19,0),MATCH(Lists!AP$16,Issues!$A$3:$K$3,0)),"")</f>
        <v/>
      </c>
    </row>
    <row r="35" spans="1:42" x14ac:dyDescent="0.3">
      <c r="A35" s="41">
        <f>IF(ROWS($A$16:A35)-1&lt;=$A$16,ROWS($A$16:A35)-1,0)</f>
        <v>0</v>
      </c>
      <c r="B35" s="41" t="str">
        <f>IF($A35&lt;&gt;0,INDEX(Tasks!$A$3:$V$23,MATCH(SMALL(Tasks!$W$3:$W$23,Lists!$A35),Tasks!$W$3:$W$23,0),MATCH(B$16,Tasks!$A$2:$V$2,0)),"")</f>
        <v/>
      </c>
      <c r="C35" s="42" t="str">
        <f>IF($A35&lt;&gt;0,INDEX(Tasks!$A$3:$V$23,MATCH(SMALL(Tasks!$W$3:$W$23,Lists!$A35),Tasks!$W$3:$W$23,0),MATCH(C$16,Tasks!$A$2:$V$2,0)),"")</f>
        <v/>
      </c>
      <c r="D35" s="42" t="str">
        <f>IF($A35&lt;&gt;0,INDEX(Tasks!$A$3:$V$23,MATCH(SMALL(Tasks!$W$3:$W$23,Lists!$A35),Tasks!$W$3:$W$23,0),MATCH(D$16,Tasks!$A$2:$V$2,0)),"")</f>
        <v/>
      </c>
      <c r="E35" s="43" t="str">
        <f>IF($A35&lt;&gt;0,INDEX(Tasks!$A$3:$V$23,MATCH(SMALL(Tasks!$W$3:$W$23,Lists!$A35),Tasks!$W$3:$W$23,0),MATCH(E$16,Tasks!$A$2:$V$2,0)),"")</f>
        <v/>
      </c>
      <c r="F35" s="44" t="str">
        <f>IF($A35&lt;&gt;0,INDEX(Tasks!$A$3:$V$23,MATCH(SMALL(Tasks!$W$3:$W$23,Lists!$A35),Tasks!$W$3:$W$23,0),MATCH(F$16,Tasks!$A$2:$V$2,0)),"")</f>
        <v/>
      </c>
      <c r="G35" s="45" t="str">
        <f>IF($A35&lt;&gt;0,INDEX(Tasks!$A$3:$V$23,MATCH(SMALL(Tasks!$W$3:$W$23,Lists!$A35),Tasks!$W$3:$W$23,0),MATCH(G$16,Tasks!$A$2:$V$2,0)),"")</f>
        <v/>
      </c>
      <c r="H35" s="46" t="str">
        <f>IF($A35&lt;&gt;0,INDEX(Tasks!$A$3:$V$23,MATCH(SMALL(Tasks!$W$3:$W$23,Lists!$A35),Tasks!$W$3:$W$23,0),MATCH(H$16,Tasks!$A$2:$V$2,0)),"")</f>
        <v/>
      </c>
      <c r="I35" s="43" t="str">
        <f>IF($A35&lt;&gt;0,INDEX(Tasks!$A$3:$V$23,MATCH(SMALL(Tasks!$W$3:$W$23,Lists!$A35),Tasks!$W$3:$W$23,0),MATCH(I$16,Tasks!$A$2:$V$2,0)),"")</f>
        <v/>
      </c>
      <c r="J35" s="44" t="str">
        <f>IF($A35&lt;&gt;0,INDEX(Tasks!$A$3:$V$23,MATCH(SMALL(Tasks!$W$3:$W$23,Lists!$A35),Tasks!$W$3:$W$23,0),MATCH(J$16,Tasks!$A$2:$V$2,0)),"")</f>
        <v/>
      </c>
      <c r="K35" s="45" t="str">
        <f>IF($A35&lt;&gt;0,INDEX(Tasks!$A$3:$V$23,MATCH(SMALL(Tasks!$W$3:$W$23,Lists!$A35),Tasks!$W$3:$W$23,0),MATCH(K$16,Tasks!$A$2:$V$2,0)),"")</f>
        <v/>
      </c>
      <c r="L35" s="46" t="str">
        <f>IF($A35&lt;&gt;0,INDEX(Tasks!$A$3:$V$23,MATCH(SMALL(Tasks!$W$3:$W$23,Lists!$A35),Tasks!$W$3:$W$23,0),MATCH(L$16,Tasks!$A$2:$V$2,0)),"")</f>
        <v/>
      </c>
      <c r="M35" s="47" t="str">
        <f>IF($A35&lt;&gt;0,INDEX(Tasks!$A$3:$V$23,MATCH(SMALL(Tasks!$W$3:$W$23,Lists!$A35),Tasks!$W$3:$W$23,0),MATCH(M$16,Tasks!$A$2:$V$2,0)),"")</f>
        <v/>
      </c>
      <c r="N35" s="46" t="str">
        <f>IF($A35&lt;&gt;0,INDEX(Tasks!$A$3:$V$23,MATCH(SMALL(Tasks!$W$3:$W$23,Lists!$A35),Tasks!$W$3:$W$23,0),MATCH(N$16,Tasks!$A$2:$V$2,0)),"")</f>
        <v/>
      </c>
      <c r="O35" s="46" t="str">
        <f>IF($A35&lt;&gt;0,INDEX(Tasks!$A$3:$V$23,MATCH(SMALL(Tasks!$W$3:$W$23,Lists!$A35),Tasks!$W$3:$W$23,0),MATCH(O$16,Tasks!$A$2:$V$2,0)),"")</f>
        <v/>
      </c>
      <c r="P35" s="42" t="str">
        <f>IF($A35&lt;&gt;0,INDEX(Tasks!$A$3:$V$23,MATCH(SMALL(Tasks!$W$3:$W$23,Lists!$A35),Tasks!$W$3:$W$23,0),MATCH(P$16,Tasks!$A$2:$V$2,0)),"")</f>
        <v/>
      </c>
      <c r="Q35" s="42" t="str">
        <f>IF($A35&lt;&gt;0,INDEX(Tasks!$A$3:$V$23,MATCH(SMALL(Tasks!$W$3:$W$23,Lists!$A35),Tasks!$W$3:$W$23,0),MATCH(Q$16,Tasks!$A$2:$V$2,0)),"")</f>
        <v/>
      </c>
      <c r="R35" s="48" t="str">
        <f>IF($A35&lt;&gt;0,INDEX(Tasks!$A$3:$V$23,MATCH(SMALL(Tasks!$W$3:$W$23,Lists!$A35),Tasks!$W$3:$W$23,0),MATCH(R$16,Tasks!$A$2:$V$2,0)),"")</f>
        <v/>
      </c>
      <c r="S35" s="48" t="str">
        <f>IF($A35&lt;&gt;0,INDEX(Tasks!$A$3:$V$23,MATCH(SMALL(Tasks!$W$3:$W$23,Lists!$A35),Tasks!$W$3:$W$23,0),MATCH(S$16,Tasks!$A$2:$V$2,0)),"")</f>
        <v/>
      </c>
      <c r="T35" s="48" t="str">
        <f>IF($A35&lt;&gt;0,INDEX(Tasks!$A$3:$V$23,MATCH(SMALL(Tasks!$W$3:$W$23,Lists!$A35),Tasks!$W$3:$W$23,0),MATCH(T$16,Tasks!$A$2:$V$2,0)),"")</f>
        <v/>
      </c>
      <c r="U35" s="42" t="str">
        <f>IF($A35&lt;&gt;0,INDEX(Tasks!$A$3:$V$23,MATCH(SMALL(Tasks!$W$3:$W$23,Lists!$A35),Tasks!$W$3:$W$23,0),MATCH(U$16,Tasks!$A$2:$V$2,0)),"")</f>
        <v/>
      </c>
      <c r="V35" s="42" t="str">
        <f>IF($A35&lt;&gt;0,INDEX(Tasks!$A$3:$V$23,MATCH(SMALL(Tasks!$W$3:$W$23,Lists!$A35),Tasks!$W$3:$W$23,0),MATCH(V$16,Tasks!$A$2:$V$2,0)),"")</f>
        <v/>
      </c>
      <c r="W35" s="49" t="str">
        <f>IF($A35&lt;&gt;0,INDEX(Tasks!$A$3:$V$23,MATCH(SMALL(Tasks!$W$3:$W$23,Lists!$A35),Tasks!$W$3:$W$23,0),MATCH(W$16,Tasks!$A$2:$V$2,0)),"")</f>
        <v/>
      </c>
      <c r="AE35" s="41">
        <f>IF(ROWS($AE$16:$AE35)-1&lt;=$AE$16,ROWS($AE$16:$AE35)-1,0)</f>
        <v>0</v>
      </c>
      <c r="AF35" s="41" t="str">
        <f>IF($AE35&lt;&gt;0,INDEX(Issues!$A$4:$K$19,MATCH(SMALL(Issues!$L$4:$L$19,Lists!$AE35),Issues!$L$4:$L$19,0),MATCH(Lists!AF$16,Issues!$A$3:$K$3,0)),"")</f>
        <v/>
      </c>
      <c r="AG35" s="41" t="str">
        <f>IF($AE35&lt;&gt;0,INDEX(Issues!$A$4:$K$19,MATCH(SMALL(Issues!$L$4:$L$19,Lists!$AE35),Issues!$L$4:$L$19,0),MATCH(Lists!AG$16,Issues!$A$3:$K$3,0)),"")</f>
        <v/>
      </c>
      <c r="AH35" s="41" t="str">
        <f>IF($AE35&lt;&gt;0,INDEX(Issues!$A$4:$K$19,MATCH(SMALL(Issues!$L$4:$L$19,Lists!$AE35),Issues!$L$4:$L$19,0),MATCH(Lists!AH$16,Issues!$A$3:$K$3,0)),"")</f>
        <v/>
      </c>
      <c r="AI35" s="41" t="str">
        <f>IF($AE35&lt;&gt;0,INDEX(Issues!$A$4:$K$19,MATCH(SMALL(Issues!$L$4:$L$19,Lists!$AE35),Issues!$L$4:$L$19,0),MATCH(Lists!AI$16,Issues!$A$3:$K$3,0)),"")</f>
        <v/>
      </c>
      <c r="AJ35" s="41" t="str">
        <f>IF($AE35&lt;&gt;0,INDEX(Issues!$A$4:$K$19,MATCH(SMALL(Issues!$L$4:$L$19,Lists!$AE35),Issues!$L$4:$L$19,0),MATCH(Lists!AJ$16,Issues!$A$3:$K$3,0)),"")</f>
        <v/>
      </c>
      <c r="AK35" s="41" t="str">
        <f>IF($AE35&lt;&gt;0,INDEX(Issues!$A$4:$K$19,MATCH(SMALL(Issues!$L$4:$L$19,Lists!$AE35),Issues!$L$4:$L$19,0),MATCH(Lists!AK$16,Issues!$A$3:$K$3,0)),"")</f>
        <v/>
      </c>
      <c r="AL35" s="41" t="str">
        <f>IF($AE35&lt;&gt;0,INDEX(Issues!$A$4:$K$19,MATCH(SMALL(Issues!$L$4:$L$19,Lists!$AE35),Issues!$L$4:$L$19,0),MATCH(Lists!AL$16,Issues!$A$3:$K$3,0)),"")</f>
        <v/>
      </c>
      <c r="AM35" s="41" t="str">
        <f>IF($AE35&lt;&gt;0,INDEX(Issues!$A$4:$K$19,MATCH(SMALL(Issues!$L$4:$L$19,Lists!$AE35),Issues!$L$4:$L$19,0),MATCH(Lists!AM$16,Issues!$A$3:$K$3,0)),"")</f>
        <v/>
      </c>
      <c r="AN35" s="41" t="str">
        <f>IF($AE35&lt;&gt;0,INDEX(Issues!$A$4:$K$19,MATCH(SMALL(Issues!$L$4:$L$19,Lists!$AE35),Issues!$L$4:$L$19,0),MATCH(Lists!AN$16,Issues!$A$3:$K$3,0)),"")</f>
        <v/>
      </c>
      <c r="AO35" s="41" t="str">
        <f>IF($AE35&lt;&gt;0,INDEX(Issues!$A$4:$K$19,MATCH(SMALL(Issues!$L$4:$L$19,Lists!$AE35),Issues!$L$4:$L$19,0),MATCH(Lists!AO$16,Issues!$A$3:$K$3,0)),"")</f>
        <v/>
      </c>
      <c r="AP35" s="41" t="str">
        <f>IF($AE35&lt;&gt;0,INDEX(Issues!$A$4:$K$19,MATCH(SMALL(Issues!$L$4:$L$19,Lists!$AE35),Issues!$L$4:$L$19,0),MATCH(Lists!AP$16,Issues!$A$3:$K$3,0)),"")</f>
        <v/>
      </c>
    </row>
    <row r="36" spans="1:42" x14ac:dyDescent="0.3">
      <c r="A36" s="41">
        <f>IF(ROWS($A$16:A36)-1&lt;=$A$16,ROWS($A$16:A36)-1,0)</f>
        <v>0</v>
      </c>
      <c r="B36" s="41" t="str">
        <f>IF($A36&lt;&gt;0,INDEX(Tasks!$A$3:$V$23,MATCH(SMALL(Tasks!$W$3:$W$23,Lists!$A36),Tasks!$W$3:$W$23,0),MATCH(B$16,Tasks!$A$2:$V$2,0)),"")</f>
        <v/>
      </c>
      <c r="C36" s="42" t="str">
        <f>IF($A36&lt;&gt;0,INDEX(Tasks!$A$3:$V$23,MATCH(SMALL(Tasks!$W$3:$W$23,Lists!$A36),Tasks!$W$3:$W$23,0),MATCH(C$16,Tasks!$A$2:$V$2,0)),"")</f>
        <v/>
      </c>
      <c r="D36" s="42" t="str">
        <f>IF($A36&lt;&gt;0,INDEX(Tasks!$A$3:$V$23,MATCH(SMALL(Tasks!$W$3:$W$23,Lists!$A36),Tasks!$W$3:$W$23,0),MATCH(D$16,Tasks!$A$2:$V$2,0)),"")</f>
        <v/>
      </c>
      <c r="E36" s="43" t="str">
        <f>IF($A36&lt;&gt;0,INDEX(Tasks!$A$3:$V$23,MATCH(SMALL(Tasks!$W$3:$W$23,Lists!$A36),Tasks!$W$3:$W$23,0),MATCH(E$16,Tasks!$A$2:$V$2,0)),"")</f>
        <v/>
      </c>
      <c r="F36" s="44" t="str">
        <f>IF($A36&lt;&gt;0,INDEX(Tasks!$A$3:$V$23,MATCH(SMALL(Tasks!$W$3:$W$23,Lists!$A36),Tasks!$W$3:$W$23,0),MATCH(F$16,Tasks!$A$2:$V$2,0)),"")</f>
        <v/>
      </c>
      <c r="G36" s="45" t="str">
        <f>IF($A36&lt;&gt;0,INDEX(Tasks!$A$3:$V$23,MATCH(SMALL(Tasks!$W$3:$W$23,Lists!$A36),Tasks!$W$3:$W$23,0),MATCH(G$16,Tasks!$A$2:$V$2,0)),"")</f>
        <v/>
      </c>
      <c r="H36" s="46" t="str">
        <f>IF($A36&lt;&gt;0,INDEX(Tasks!$A$3:$V$23,MATCH(SMALL(Tasks!$W$3:$W$23,Lists!$A36),Tasks!$W$3:$W$23,0),MATCH(H$16,Tasks!$A$2:$V$2,0)),"")</f>
        <v/>
      </c>
      <c r="I36" s="43" t="str">
        <f>IF($A36&lt;&gt;0,INDEX(Tasks!$A$3:$V$23,MATCH(SMALL(Tasks!$W$3:$W$23,Lists!$A36),Tasks!$W$3:$W$23,0),MATCH(I$16,Tasks!$A$2:$V$2,0)),"")</f>
        <v/>
      </c>
      <c r="J36" s="44" t="str">
        <f>IF($A36&lt;&gt;0,INDEX(Tasks!$A$3:$V$23,MATCH(SMALL(Tasks!$W$3:$W$23,Lists!$A36),Tasks!$W$3:$W$23,0),MATCH(J$16,Tasks!$A$2:$V$2,0)),"")</f>
        <v/>
      </c>
      <c r="K36" s="45" t="str">
        <f>IF($A36&lt;&gt;0,INDEX(Tasks!$A$3:$V$23,MATCH(SMALL(Tasks!$W$3:$W$23,Lists!$A36),Tasks!$W$3:$W$23,0),MATCH(K$16,Tasks!$A$2:$V$2,0)),"")</f>
        <v/>
      </c>
      <c r="L36" s="46" t="str">
        <f>IF($A36&lt;&gt;0,INDEX(Tasks!$A$3:$V$23,MATCH(SMALL(Tasks!$W$3:$W$23,Lists!$A36),Tasks!$W$3:$W$23,0),MATCH(L$16,Tasks!$A$2:$V$2,0)),"")</f>
        <v/>
      </c>
      <c r="M36" s="47" t="str">
        <f>IF($A36&lt;&gt;0,INDEX(Tasks!$A$3:$V$23,MATCH(SMALL(Tasks!$W$3:$W$23,Lists!$A36),Tasks!$W$3:$W$23,0),MATCH(M$16,Tasks!$A$2:$V$2,0)),"")</f>
        <v/>
      </c>
      <c r="N36" s="46" t="str">
        <f>IF($A36&lt;&gt;0,INDEX(Tasks!$A$3:$V$23,MATCH(SMALL(Tasks!$W$3:$W$23,Lists!$A36),Tasks!$W$3:$W$23,0),MATCH(N$16,Tasks!$A$2:$V$2,0)),"")</f>
        <v/>
      </c>
      <c r="O36" s="46" t="str">
        <f>IF($A36&lt;&gt;0,INDEX(Tasks!$A$3:$V$23,MATCH(SMALL(Tasks!$W$3:$W$23,Lists!$A36),Tasks!$W$3:$W$23,0),MATCH(O$16,Tasks!$A$2:$V$2,0)),"")</f>
        <v/>
      </c>
      <c r="P36" s="42" t="str">
        <f>IF($A36&lt;&gt;0,INDEX(Tasks!$A$3:$V$23,MATCH(SMALL(Tasks!$W$3:$W$23,Lists!$A36),Tasks!$W$3:$W$23,0),MATCH(P$16,Tasks!$A$2:$V$2,0)),"")</f>
        <v/>
      </c>
      <c r="Q36" s="42" t="str">
        <f>IF($A36&lt;&gt;0,INDEX(Tasks!$A$3:$V$23,MATCH(SMALL(Tasks!$W$3:$W$23,Lists!$A36),Tasks!$W$3:$W$23,0),MATCH(Q$16,Tasks!$A$2:$V$2,0)),"")</f>
        <v/>
      </c>
      <c r="R36" s="48" t="str">
        <f>IF($A36&lt;&gt;0,INDEX(Tasks!$A$3:$V$23,MATCH(SMALL(Tasks!$W$3:$W$23,Lists!$A36),Tasks!$W$3:$W$23,0),MATCH(R$16,Tasks!$A$2:$V$2,0)),"")</f>
        <v/>
      </c>
      <c r="S36" s="48" t="str">
        <f>IF($A36&lt;&gt;0,INDEX(Tasks!$A$3:$V$23,MATCH(SMALL(Tasks!$W$3:$W$23,Lists!$A36),Tasks!$W$3:$W$23,0),MATCH(S$16,Tasks!$A$2:$V$2,0)),"")</f>
        <v/>
      </c>
      <c r="T36" s="48" t="str">
        <f>IF($A36&lt;&gt;0,INDEX(Tasks!$A$3:$V$23,MATCH(SMALL(Tasks!$W$3:$W$23,Lists!$A36),Tasks!$W$3:$W$23,0),MATCH(T$16,Tasks!$A$2:$V$2,0)),"")</f>
        <v/>
      </c>
      <c r="U36" s="42" t="str">
        <f>IF($A36&lt;&gt;0,INDEX(Tasks!$A$3:$V$23,MATCH(SMALL(Tasks!$W$3:$W$23,Lists!$A36),Tasks!$W$3:$W$23,0),MATCH(U$16,Tasks!$A$2:$V$2,0)),"")</f>
        <v/>
      </c>
      <c r="V36" s="42" t="str">
        <f>IF($A36&lt;&gt;0,INDEX(Tasks!$A$3:$V$23,MATCH(SMALL(Tasks!$W$3:$W$23,Lists!$A36),Tasks!$W$3:$W$23,0),MATCH(V$16,Tasks!$A$2:$V$2,0)),"")</f>
        <v/>
      </c>
      <c r="W36" s="49" t="str">
        <f>IF($A36&lt;&gt;0,INDEX(Tasks!$A$3:$V$23,MATCH(SMALL(Tasks!$W$3:$W$23,Lists!$A36),Tasks!$W$3:$W$23,0),MATCH(W$16,Tasks!$A$2:$V$2,0)),"")</f>
        <v/>
      </c>
      <c r="AE36" s="41">
        <f>IF(ROWS($AE$16:$AE36)-1&lt;=$AE$16,ROWS($AE$16:$AE36)-1,0)</f>
        <v>0</v>
      </c>
      <c r="AF36" s="41" t="str">
        <f>IF($AE36&lt;&gt;0,INDEX(Issues!$A$4:$K$19,MATCH(SMALL(Issues!$L$4:$L$19,Lists!$AE36),Issues!$L$4:$L$19,0),MATCH(Lists!AF$16,Issues!$A$3:$K$3,0)),"")</f>
        <v/>
      </c>
      <c r="AG36" s="41" t="str">
        <f>IF($AE36&lt;&gt;0,INDEX(Issues!$A$4:$K$19,MATCH(SMALL(Issues!$L$4:$L$19,Lists!$AE36),Issues!$L$4:$L$19,0),MATCH(Lists!AG$16,Issues!$A$3:$K$3,0)),"")</f>
        <v/>
      </c>
      <c r="AH36" s="41" t="str">
        <f>IF($AE36&lt;&gt;0,INDEX(Issues!$A$4:$K$19,MATCH(SMALL(Issues!$L$4:$L$19,Lists!$AE36),Issues!$L$4:$L$19,0),MATCH(Lists!AH$16,Issues!$A$3:$K$3,0)),"")</f>
        <v/>
      </c>
      <c r="AI36" s="41" t="str">
        <f>IF($AE36&lt;&gt;0,INDEX(Issues!$A$4:$K$19,MATCH(SMALL(Issues!$L$4:$L$19,Lists!$AE36),Issues!$L$4:$L$19,0),MATCH(Lists!AI$16,Issues!$A$3:$K$3,0)),"")</f>
        <v/>
      </c>
      <c r="AJ36" s="41" t="str">
        <f>IF($AE36&lt;&gt;0,INDEX(Issues!$A$4:$K$19,MATCH(SMALL(Issues!$L$4:$L$19,Lists!$AE36),Issues!$L$4:$L$19,0),MATCH(Lists!AJ$16,Issues!$A$3:$K$3,0)),"")</f>
        <v/>
      </c>
      <c r="AK36" s="41" t="str">
        <f>IF($AE36&lt;&gt;0,INDEX(Issues!$A$4:$K$19,MATCH(SMALL(Issues!$L$4:$L$19,Lists!$AE36),Issues!$L$4:$L$19,0),MATCH(Lists!AK$16,Issues!$A$3:$K$3,0)),"")</f>
        <v/>
      </c>
      <c r="AL36" s="41" t="str">
        <f>IF($AE36&lt;&gt;0,INDEX(Issues!$A$4:$K$19,MATCH(SMALL(Issues!$L$4:$L$19,Lists!$AE36),Issues!$L$4:$L$19,0),MATCH(Lists!AL$16,Issues!$A$3:$K$3,0)),"")</f>
        <v/>
      </c>
      <c r="AM36" s="41" t="str">
        <f>IF($AE36&lt;&gt;0,INDEX(Issues!$A$4:$K$19,MATCH(SMALL(Issues!$L$4:$L$19,Lists!$AE36),Issues!$L$4:$L$19,0),MATCH(Lists!AM$16,Issues!$A$3:$K$3,0)),"")</f>
        <v/>
      </c>
      <c r="AN36" s="41" t="str">
        <f>IF($AE36&lt;&gt;0,INDEX(Issues!$A$4:$K$19,MATCH(SMALL(Issues!$L$4:$L$19,Lists!$AE36),Issues!$L$4:$L$19,0),MATCH(Lists!AN$16,Issues!$A$3:$K$3,0)),"")</f>
        <v/>
      </c>
      <c r="AO36" s="41" t="str">
        <f>IF($AE36&lt;&gt;0,INDEX(Issues!$A$4:$K$19,MATCH(SMALL(Issues!$L$4:$L$19,Lists!$AE36),Issues!$L$4:$L$19,0),MATCH(Lists!AO$16,Issues!$A$3:$K$3,0)),"")</f>
        <v/>
      </c>
      <c r="AP36" s="41" t="str">
        <f>IF($AE36&lt;&gt;0,INDEX(Issues!$A$4:$K$19,MATCH(SMALL(Issues!$L$4:$L$19,Lists!$AE36),Issues!$L$4:$L$19,0),MATCH(Lists!AP$16,Issues!$A$3:$K$3,0)),"")</f>
        <v/>
      </c>
    </row>
    <row r="37" spans="1:42" x14ac:dyDescent="0.3">
      <c r="A37" s="41">
        <f>IF(ROWS($A$16:A37)-1&lt;=$A$16,ROWS($A$16:A37)-1,0)</f>
        <v>0</v>
      </c>
      <c r="B37" s="41" t="str">
        <f>IF($A37&lt;&gt;0,INDEX(Tasks!$A$3:$V$23,MATCH(SMALL(Tasks!$W$3:$W$23,Lists!$A37),Tasks!$W$3:$W$23,0),MATCH(B$16,Tasks!$A$2:$V$2,0)),"")</f>
        <v/>
      </c>
      <c r="C37" s="42" t="str">
        <f>IF($A37&lt;&gt;0,INDEX(Tasks!$A$3:$V$23,MATCH(SMALL(Tasks!$W$3:$W$23,Lists!$A37),Tasks!$W$3:$W$23,0),MATCH(C$16,Tasks!$A$2:$V$2,0)),"")</f>
        <v/>
      </c>
      <c r="D37" s="42" t="str">
        <f>IF($A37&lt;&gt;0,INDEX(Tasks!$A$3:$V$23,MATCH(SMALL(Tasks!$W$3:$W$23,Lists!$A37),Tasks!$W$3:$W$23,0),MATCH(D$16,Tasks!$A$2:$V$2,0)),"")</f>
        <v/>
      </c>
      <c r="E37" s="43" t="str">
        <f>IF($A37&lt;&gt;0,INDEX(Tasks!$A$3:$V$23,MATCH(SMALL(Tasks!$W$3:$W$23,Lists!$A37),Tasks!$W$3:$W$23,0),MATCH(E$16,Tasks!$A$2:$V$2,0)),"")</f>
        <v/>
      </c>
      <c r="F37" s="44" t="str">
        <f>IF($A37&lt;&gt;0,INDEX(Tasks!$A$3:$V$23,MATCH(SMALL(Tasks!$W$3:$W$23,Lists!$A37),Tasks!$W$3:$W$23,0),MATCH(F$16,Tasks!$A$2:$V$2,0)),"")</f>
        <v/>
      </c>
      <c r="G37" s="45" t="str">
        <f>IF($A37&lt;&gt;0,INDEX(Tasks!$A$3:$V$23,MATCH(SMALL(Tasks!$W$3:$W$23,Lists!$A37),Tasks!$W$3:$W$23,0),MATCH(G$16,Tasks!$A$2:$V$2,0)),"")</f>
        <v/>
      </c>
      <c r="H37" s="46" t="str">
        <f>IF($A37&lt;&gt;0,INDEX(Tasks!$A$3:$V$23,MATCH(SMALL(Tasks!$W$3:$W$23,Lists!$A37),Tasks!$W$3:$W$23,0),MATCH(H$16,Tasks!$A$2:$V$2,0)),"")</f>
        <v/>
      </c>
      <c r="I37" s="43" t="str">
        <f>IF($A37&lt;&gt;0,INDEX(Tasks!$A$3:$V$23,MATCH(SMALL(Tasks!$W$3:$W$23,Lists!$A37),Tasks!$W$3:$W$23,0),MATCH(I$16,Tasks!$A$2:$V$2,0)),"")</f>
        <v/>
      </c>
      <c r="J37" s="44" t="str">
        <f>IF($A37&lt;&gt;0,INDEX(Tasks!$A$3:$V$23,MATCH(SMALL(Tasks!$W$3:$W$23,Lists!$A37),Tasks!$W$3:$W$23,0),MATCH(J$16,Tasks!$A$2:$V$2,0)),"")</f>
        <v/>
      </c>
      <c r="K37" s="45" t="str">
        <f>IF($A37&lt;&gt;0,INDEX(Tasks!$A$3:$V$23,MATCH(SMALL(Tasks!$W$3:$W$23,Lists!$A37),Tasks!$W$3:$W$23,0),MATCH(K$16,Tasks!$A$2:$V$2,0)),"")</f>
        <v/>
      </c>
      <c r="L37" s="46" t="str">
        <f>IF($A37&lt;&gt;0,INDEX(Tasks!$A$3:$V$23,MATCH(SMALL(Tasks!$W$3:$W$23,Lists!$A37),Tasks!$W$3:$W$23,0),MATCH(L$16,Tasks!$A$2:$V$2,0)),"")</f>
        <v/>
      </c>
      <c r="M37" s="47" t="str">
        <f>IF($A37&lt;&gt;0,INDEX(Tasks!$A$3:$V$23,MATCH(SMALL(Tasks!$W$3:$W$23,Lists!$A37),Tasks!$W$3:$W$23,0),MATCH(M$16,Tasks!$A$2:$V$2,0)),"")</f>
        <v/>
      </c>
      <c r="N37" s="46" t="str">
        <f>IF($A37&lt;&gt;0,INDEX(Tasks!$A$3:$V$23,MATCH(SMALL(Tasks!$W$3:$W$23,Lists!$A37),Tasks!$W$3:$W$23,0),MATCH(N$16,Tasks!$A$2:$V$2,0)),"")</f>
        <v/>
      </c>
      <c r="O37" s="46" t="str">
        <f>IF($A37&lt;&gt;0,INDEX(Tasks!$A$3:$V$23,MATCH(SMALL(Tasks!$W$3:$W$23,Lists!$A37),Tasks!$W$3:$W$23,0),MATCH(O$16,Tasks!$A$2:$V$2,0)),"")</f>
        <v/>
      </c>
      <c r="P37" s="42" t="str">
        <f>IF($A37&lt;&gt;0,INDEX(Tasks!$A$3:$V$23,MATCH(SMALL(Tasks!$W$3:$W$23,Lists!$A37),Tasks!$W$3:$W$23,0),MATCH(P$16,Tasks!$A$2:$V$2,0)),"")</f>
        <v/>
      </c>
      <c r="Q37" s="42" t="str">
        <f>IF($A37&lt;&gt;0,INDEX(Tasks!$A$3:$V$23,MATCH(SMALL(Tasks!$W$3:$W$23,Lists!$A37),Tasks!$W$3:$W$23,0),MATCH(Q$16,Tasks!$A$2:$V$2,0)),"")</f>
        <v/>
      </c>
      <c r="R37" s="48" t="str">
        <f>IF($A37&lt;&gt;0,INDEX(Tasks!$A$3:$V$23,MATCH(SMALL(Tasks!$W$3:$W$23,Lists!$A37),Tasks!$W$3:$W$23,0),MATCH(R$16,Tasks!$A$2:$V$2,0)),"")</f>
        <v/>
      </c>
      <c r="S37" s="48" t="str">
        <f>IF($A37&lt;&gt;0,INDEX(Tasks!$A$3:$V$23,MATCH(SMALL(Tasks!$W$3:$W$23,Lists!$A37),Tasks!$W$3:$W$23,0),MATCH(S$16,Tasks!$A$2:$V$2,0)),"")</f>
        <v/>
      </c>
      <c r="T37" s="48" t="str">
        <f>IF($A37&lt;&gt;0,INDEX(Tasks!$A$3:$V$23,MATCH(SMALL(Tasks!$W$3:$W$23,Lists!$A37),Tasks!$W$3:$W$23,0),MATCH(T$16,Tasks!$A$2:$V$2,0)),"")</f>
        <v/>
      </c>
      <c r="U37" s="42" t="str">
        <f>IF($A37&lt;&gt;0,INDEX(Tasks!$A$3:$V$23,MATCH(SMALL(Tasks!$W$3:$W$23,Lists!$A37),Tasks!$W$3:$W$23,0),MATCH(U$16,Tasks!$A$2:$V$2,0)),"")</f>
        <v/>
      </c>
      <c r="V37" s="42" t="str">
        <f>IF($A37&lt;&gt;0,INDEX(Tasks!$A$3:$V$23,MATCH(SMALL(Tasks!$W$3:$W$23,Lists!$A37),Tasks!$W$3:$W$23,0),MATCH(V$16,Tasks!$A$2:$V$2,0)),"")</f>
        <v/>
      </c>
      <c r="W37" s="49" t="str">
        <f>IF($A37&lt;&gt;0,INDEX(Tasks!$A$3:$V$23,MATCH(SMALL(Tasks!$W$3:$W$23,Lists!$A37),Tasks!$W$3:$W$23,0),MATCH(W$16,Tasks!$A$2:$V$2,0)),"")</f>
        <v/>
      </c>
      <c r="AE37" s="41">
        <f>IF(ROWS($AE$16:$AE37)-1&lt;=$AE$16,ROWS($AE$16:$AE37)-1,0)</f>
        <v>0</v>
      </c>
      <c r="AF37" s="41" t="str">
        <f>IF($AE37&lt;&gt;0,INDEX(Issues!$A$4:$K$19,MATCH(SMALL(Issues!$L$4:$L$19,Lists!$AE37),Issues!$L$4:$L$19,0),MATCH(Lists!AF$16,Issues!$A$3:$K$3,0)),"")</f>
        <v/>
      </c>
      <c r="AG37" s="41" t="str">
        <f>IF($AE37&lt;&gt;0,INDEX(Issues!$A$4:$K$19,MATCH(SMALL(Issues!$L$4:$L$19,Lists!$AE37),Issues!$L$4:$L$19,0),MATCH(Lists!AG$16,Issues!$A$3:$K$3,0)),"")</f>
        <v/>
      </c>
      <c r="AH37" s="41" t="str">
        <f>IF($AE37&lt;&gt;0,INDEX(Issues!$A$4:$K$19,MATCH(SMALL(Issues!$L$4:$L$19,Lists!$AE37),Issues!$L$4:$L$19,0),MATCH(Lists!AH$16,Issues!$A$3:$K$3,0)),"")</f>
        <v/>
      </c>
      <c r="AI37" s="41" t="str">
        <f>IF($AE37&lt;&gt;0,INDEX(Issues!$A$4:$K$19,MATCH(SMALL(Issues!$L$4:$L$19,Lists!$AE37),Issues!$L$4:$L$19,0),MATCH(Lists!AI$16,Issues!$A$3:$K$3,0)),"")</f>
        <v/>
      </c>
      <c r="AJ37" s="41" t="str">
        <f>IF($AE37&lt;&gt;0,INDEX(Issues!$A$4:$K$19,MATCH(SMALL(Issues!$L$4:$L$19,Lists!$AE37),Issues!$L$4:$L$19,0),MATCH(Lists!AJ$16,Issues!$A$3:$K$3,0)),"")</f>
        <v/>
      </c>
      <c r="AK37" s="41" t="str">
        <f>IF($AE37&lt;&gt;0,INDEX(Issues!$A$4:$K$19,MATCH(SMALL(Issues!$L$4:$L$19,Lists!$AE37),Issues!$L$4:$L$19,0),MATCH(Lists!AK$16,Issues!$A$3:$K$3,0)),"")</f>
        <v/>
      </c>
      <c r="AL37" s="41" t="str">
        <f>IF($AE37&lt;&gt;0,INDEX(Issues!$A$4:$K$19,MATCH(SMALL(Issues!$L$4:$L$19,Lists!$AE37),Issues!$L$4:$L$19,0),MATCH(Lists!AL$16,Issues!$A$3:$K$3,0)),"")</f>
        <v/>
      </c>
      <c r="AM37" s="41" t="str">
        <f>IF($AE37&lt;&gt;0,INDEX(Issues!$A$4:$K$19,MATCH(SMALL(Issues!$L$4:$L$19,Lists!$AE37),Issues!$L$4:$L$19,0),MATCH(Lists!AM$16,Issues!$A$3:$K$3,0)),"")</f>
        <v/>
      </c>
      <c r="AN37" s="41" t="str">
        <f>IF($AE37&lt;&gt;0,INDEX(Issues!$A$4:$K$19,MATCH(SMALL(Issues!$L$4:$L$19,Lists!$AE37),Issues!$L$4:$L$19,0),MATCH(Lists!AN$16,Issues!$A$3:$K$3,0)),"")</f>
        <v/>
      </c>
      <c r="AO37" s="41" t="str">
        <f>IF($AE37&lt;&gt;0,INDEX(Issues!$A$4:$K$19,MATCH(SMALL(Issues!$L$4:$L$19,Lists!$AE37),Issues!$L$4:$L$19,0),MATCH(Lists!AO$16,Issues!$A$3:$K$3,0)),"")</f>
        <v/>
      </c>
      <c r="AP37" s="41" t="str">
        <f>IF($AE37&lt;&gt;0,INDEX(Issues!$A$4:$K$19,MATCH(SMALL(Issues!$L$4:$L$19,Lists!$AE37),Issues!$L$4:$L$19,0),MATCH(Lists!AP$16,Issues!$A$3:$K$3,0)),"")</f>
        <v/>
      </c>
    </row>
    <row r="38" spans="1:42" x14ac:dyDescent="0.3">
      <c r="A38" s="41">
        <f>IF(ROWS($A$16:A38)-1&lt;=$A$16,ROWS($A$16:A38)-1,0)</f>
        <v>0</v>
      </c>
      <c r="B38" s="41" t="str">
        <f>IF($A38&lt;&gt;0,INDEX(Tasks!$A$3:$V$23,MATCH(SMALL(Tasks!$W$3:$W$23,Lists!$A38),Tasks!$W$3:$W$23,0),MATCH(B$16,Tasks!$A$2:$V$2,0)),"")</f>
        <v/>
      </c>
      <c r="C38" s="42" t="str">
        <f>IF($A38&lt;&gt;0,INDEX(Tasks!$A$3:$V$23,MATCH(SMALL(Tasks!$W$3:$W$23,Lists!$A38),Tasks!$W$3:$W$23,0),MATCH(C$16,Tasks!$A$2:$V$2,0)),"")</f>
        <v/>
      </c>
      <c r="D38" s="42" t="str">
        <f>IF($A38&lt;&gt;0,INDEX(Tasks!$A$3:$V$23,MATCH(SMALL(Tasks!$W$3:$W$23,Lists!$A38),Tasks!$W$3:$W$23,0),MATCH(D$16,Tasks!$A$2:$V$2,0)),"")</f>
        <v/>
      </c>
      <c r="E38" s="43" t="str">
        <f>IF($A38&lt;&gt;0,INDEX(Tasks!$A$3:$V$23,MATCH(SMALL(Tasks!$W$3:$W$23,Lists!$A38),Tasks!$W$3:$W$23,0),MATCH(E$16,Tasks!$A$2:$V$2,0)),"")</f>
        <v/>
      </c>
      <c r="F38" s="44" t="str">
        <f>IF($A38&lt;&gt;0,INDEX(Tasks!$A$3:$V$23,MATCH(SMALL(Tasks!$W$3:$W$23,Lists!$A38),Tasks!$W$3:$W$23,0),MATCH(F$16,Tasks!$A$2:$V$2,0)),"")</f>
        <v/>
      </c>
      <c r="G38" s="45" t="str">
        <f>IF($A38&lt;&gt;0,INDEX(Tasks!$A$3:$V$23,MATCH(SMALL(Tasks!$W$3:$W$23,Lists!$A38),Tasks!$W$3:$W$23,0),MATCH(G$16,Tasks!$A$2:$V$2,0)),"")</f>
        <v/>
      </c>
      <c r="H38" s="46" t="str">
        <f>IF($A38&lt;&gt;0,INDEX(Tasks!$A$3:$V$23,MATCH(SMALL(Tasks!$W$3:$W$23,Lists!$A38),Tasks!$W$3:$W$23,0),MATCH(H$16,Tasks!$A$2:$V$2,0)),"")</f>
        <v/>
      </c>
      <c r="I38" s="43" t="str">
        <f>IF($A38&lt;&gt;0,INDEX(Tasks!$A$3:$V$23,MATCH(SMALL(Tasks!$W$3:$W$23,Lists!$A38),Tasks!$W$3:$W$23,0),MATCH(I$16,Tasks!$A$2:$V$2,0)),"")</f>
        <v/>
      </c>
      <c r="J38" s="44" t="str">
        <f>IF($A38&lt;&gt;0,INDEX(Tasks!$A$3:$V$23,MATCH(SMALL(Tasks!$W$3:$W$23,Lists!$A38),Tasks!$W$3:$W$23,0),MATCH(J$16,Tasks!$A$2:$V$2,0)),"")</f>
        <v/>
      </c>
      <c r="K38" s="45" t="str">
        <f>IF($A38&lt;&gt;0,INDEX(Tasks!$A$3:$V$23,MATCH(SMALL(Tasks!$W$3:$W$23,Lists!$A38),Tasks!$W$3:$W$23,0),MATCH(K$16,Tasks!$A$2:$V$2,0)),"")</f>
        <v/>
      </c>
      <c r="L38" s="46" t="str">
        <f>IF($A38&lt;&gt;0,INDEX(Tasks!$A$3:$V$23,MATCH(SMALL(Tasks!$W$3:$W$23,Lists!$A38),Tasks!$W$3:$W$23,0),MATCH(L$16,Tasks!$A$2:$V$2,0)),"")</f>
        <v/>
      </c>
      <c r="M38" s="47" t="str">
        <f>IF($A38&lt;&gt;0,INDEX(Tasks!$A$3:$V$23,MATCH(SMALL(Tasks!$W$3:$W$23,Lists!$A38),Tasks!$W$3:$W$23,0),MATCH(M$16,Tasks!$A$2:$V$2,0)),"")</f>
        <v/>
      </c>
      <c r="N38" s="46" t="str">
        <f>IF($A38&lt;&gt;0,INDEX(Tasks!$A$3:$V$23,MATCH(SMALL(Tasks!$W$3:$W$23,Lists!$A38),Tasks!$W$3:$W$23,0),MATCH(N$16,Tasks!$A$2:$V$2,0)),"")</f>
        <v/>
      </c>
      <c r="O38" s="46" t="str">
        <f>IF($A38&lt;&gt;0,INDEX(Tasks!$A$3:$V$23,MATCH(SMALL(Tasks!$W$3:$W$23,Lists!$A38),Tasks!$W$3:$W$23,0),MATCH(O$16,Tasks!$A$2:$V$2,0)),"")</f>
        <v/>
      </c>
      <c r="P38" s="42" t="str">
        <f>IF($A38&lt;&gt;0,INDEX(Tasks!$A$3:$V$23,MATCH(SMALL(Tasks!$W$3:$W$23,Lists!$A38),Tasks!$W$3:$W$23,0),MATCH(P$16,Tasks!$A$2:$V$2,0)),"")</f>
        <v/>
      </c>
      <c r="Q38" s="42" t="str">
        <f>IF($A38&lt;&gt;0,INDEX(Tasks!$A$3:$V$23,MATCH(SMALL(Tasks!$W$3:$W$23,Lists!$A38),Tasks!$W$3:$W$23,0),MATCH(Q$16,Tasks!$A$2:$V$2,0)),"")</f>
        <v/>
      </c>
      <c r="R38" s="48" t="str">
        <f>IF($A38&lt;&gt;0,INDEX(Tasks!$A$3:$V$23,MATCH(SMALL(Tasks!$W$3:$W$23,Lists!$A38),Tasks!$W$3:$W$23,0),MATCH(R$16,Tasks!$A$2:$V$2,0)),"")</f>
        <v/>
      </c>
      <c r="S38" s="48" t="str">
        <f>IF($A38&lt;&gt;0,INDEX(Tasks!$A$3:$V$23,MATCH(SMALL(Tasks!$W$3:$W$23,Lists!$A38),Tasks!$W$3:$W$23,0),MATCH(S$16,Tasks!$A$2:$V$2,0)),"")</f>
        <v/>
      </c>
      <c r="T38" s="48" t="str">
        <f>IF($A38&lt;&gt;0,INDEX(Tasks!$A$3:$V$23,MATCH(SMALL(Tasks!$W$3:$W$23,Lists!$A38),Tasks!$W$3:$W$23,0),MATCH(T$16,Tasks!$A$2:$V$2,0)),"")</f>
        <v/>
      </c>
      <c r="U38" s="42" t="str">
        <f>IF($A38&lt;&gt;0,INDEX(Tasks!$A$3:$V$23,MATCH(SMALL(Tasks!$W$3:$W$23,Lists!$A38),Tasks!$W$3:$W$23,0),MATCH(U$16,Tasks!$A$2:$V$2,0)),"")</f>
        <v/>
      </c>
      <c r="V38" s="42" t="str">
        <f>IF($A38&lt;&gt;0,INDEX(Tasks!$A$3:$V$23,MATCH(SMALL(Tasks!$W$3:$W$23,Lists!$A38),Tasks!$W$3:$W$23,0),MATCH(V$16,Tasks!$A$2:$V$2,0)),"")</f>
        <v/>
      </c>
      <c r="W38" s="49" t="str">
        <f>IF($A38&lt;&gt;0,INDEX(Tasks!$A$3:$V$23,MATCH(SMALL(Tasks!$W$3:$W$23,Lists!$A38),Tasks!$W$3:$W$23,0),MATCH(W$16,Tasks!$A$2:$V$2,0)),"")</f>
        <v/>
      </c>
      <c r="AE38" s="41">
        <f>IF(ROWS($AE$16:$AE38)-1&lt;=$AE$16,ROWS($AE$16:$AE38)-1,0)</f>
        <v>0</v>
      </c>
      <c r="AF38" s="41" t="str">
        <f>IF($AE38&lt;&gt;0,INDEX(Issues!$A$4:$K$19,MATCH(SMALL(Issues!$L$4:$L$19,Lists!$AE38),Issues!$L$4:$L$19,0),MATCH(Lists!AF$16,Issues!$A$3:$K$3,0)),"")</f>
        <v/>
      </c>
      <c r="AG38" s="41" t="str">
        <f>IF($AE38&lt;&gt;0,INDEX(Issues!$A$4:$K$19,MATCH(SMALL(Issues!$L$4:$L$19,Lists!$AE38),Issues!$L$4:$L$19,0),MATCH(Lists!AG$16,Issues!$A$3:$K$3,0)),"")</f>
        <v/>
      </c>
      <c r="AH38" s="41" t="str">
        <f>IF($AE38&lt;&gt;0,INDEX(Issues!$A$4:$K$19,MATCH(SMALL(Issues!$L$4:$L$19,Lists!$AE38),Issues!$L$4:$L$19,0),MATCH(Lists!AH$16,Issues!$A$3:$K$3,0)),"")</f>
        <v/>
      </c>
      <c r="AI38" s="41" t="str">
        <f>IF($AE38&lt;&gt;0,INDEX(Issues!$A$4:$K$19,MATCH(SMALL(Issues!$L$4:$L$19,Lists!$AE38),Issues!$L$4:$L$19,0),MATCH(Lists!AI$16,Issues!$A$3:$K$3,0)),"")</f>
        <v/>
      </c>
      <c r="AJ38" s="41" t="str">
        <f>IF($AE38&lt;&gt;0,INDEX(Issues!$A$4:$K$19,MATCH(SMALL(Issues!$L$4:$L$19,Lists!$AE38),Issues!$L$4:$L$19,0),MATCH(Lists!AJ$16,Issues!$A$3:$K$3,0)),"")</f>
        <v/>
      </c>
      <c r="AK38" s="41" t="str">
        <f>IF($AE38&lt;&gt;0,INDEX(Issues!$A$4:$K$19,MATCH(SMALL(Issues!$L$4:$L$19,Lists!$AE38),Issues!$L$4:$L$19,0),MATCH(Lists!AK$16,Issues!$A$3:$K$3,0)),"")</f>
        <v/>
      </c>
      <c r="AL38" s="41" t="str">
        <f>IF($AE38&lt;&gt;0,INDEX(Issues!$A$4:$K$19,MATCH(SMALL(Issues!$L$4:$L$19,Lists!$AE38),Issues!$L$4:$L$19,0),MATCH(Lists!AL$16,Issues!$A$3:$K$3,0)),"")</f>
        <v/>
      </c>
      <c r="AM38" s="41" t="str">
        <f>IF($AE38&lt;&gt;0,INDEX(Issues!$A$4:$K$19,MATCH(SMALL(Issues!$L$4:$L$19,Lists!$AE38),Issues!$L$4:$L$19,0),MATCH(Lists!AM$16,Issues!$A$3:$K$3,0)),"")</f>
        <v/>
      </c>
      <c r="AN38" s="41" t="str">
        <f>IF($AE38&lt;&gt;0,INDEX(Issues!$A$4:$K$19,MATCH(SMALL(Issues!$L$4:$L$19,Lists!$AE38),Issues!$L$4:$L$19,0),MATCH(Lists!AN$16,Issues!$A$3:$K$3,0)),"")</f>
        <v/>
      </c>
      <c r="AO38" s="41" t="str">
        <f>IF($AE38&lt;&gt;0,INDEX(Issues!$A$4:$K$19,MATCH(SMALL(Issues!$L$4:$L$19,Lists!$AE38),Issues!$L$4:$L$19,0),MATCH(Lists!AO$16,Issues!$A$3:$K$3,0)),"")</f>
        <v/>
      </c>
      <c r="AP38" s="41" t="str">
        <f>IF($AE38&lt;&gt;0,INDEX(Issues!$A$4:$K$19,MATCH(SMALL(Issues!$L$4:$L$19,Lists!$AE38),Issues!$L$4:$L$19,0),MATCH(Lists!AP$16,Issues!$A$3:$K$3,0)),"")</f>
        <v/>
      </c>
    </row>
    <row r="39" spans="1:42" x14ac:dyDescent="0.3">
      <c r="A39" s="41">
        <f>IF(ROWS($A$16:A39)-1&lt;=$A$16,ROWS($A$16:A39)-1,0)</f>
        <v>0</v>
      </c>
      <c r="B39" s="41" t="str">
        <f>IF($A39&lt;&gt;0,INDEX(Tasks!$A$3:$V$23,MATCH(SMALL(Tasks!$W$3:$W$23,Lists!$A39),Tasks!$W$3:$W$23,0),MATCH(B$16,Tasks!$A$2:$V$2,0)),"")</f>
        <v/>
      </c>
      <c r="C39" s="42" t="str">
        <f>IF($A39&lt;&gt;0,INDEX(Tasks!$A$3:$V$23,MATCH(SMALL(Tasks!$W$3:$W$23,Lists!$A39),Tasks!$W$3:$W$23,0),MATCH(C$16,Tasks!$A$2:$V$2,0)),"")</f>
        <v/>
      </c>
      <c r="D39" s="42" t="str">
        <f>IF($A39&lt;&gt;0,INDEX(Tasks!$A$3:$V$23,MATCH(SMALL(Tasks!$W$3:$W$23,Lists!$A39),Tasks!$W$3:$W$23,0),MATCH(D$16,Tasks!$A$2:$V$2,0)),"")</f>
        <v/>
      </c>
      <c r="E39" s="43" t="str">
        <f>IF($A39&lt;&gt;0,INDEX(Tasks!$A$3:$V$23,MATCH(SMALL(Tasks!$W$3:$W$23,Lists!$A39),Tasks!$W$3:$W$23,0),MATCH(E$16,Tasks!$A$2:$V$2,0)),"")</f>
        <v/>
      </c>
      <c r="F39" s="44" t="str">
        <f>IF($A39&lt;&gt;0,INDEX(Tasks!$A$3:$V$23,MATCH(SMALL(Tasks!$W$3:$W$23,Lists!$A39),Tasks!$W$3:$W$23,0),MATCH(F$16,Tasks!$A$2:$V$2,0)),"")</f>
        <v/>
      </c>
      <c r="G39" s="45" t="str">
        <f>IF($A39&lt;&gt;0,INDEX(Tasks!$A$3:$V$23,MATCH(SMALL(Tasks!$W$3:$W$23,Lists!$A39),Tasks!$W$3:$W$23,0),MATCH(G$16,Tasks!$A$2:$V$2,0)),"")</f>
        <v/>
      </c>
      <c r="H39" s="46" t="str">
        <f>IF($A39&lt;&gt;0,INDEX(Tasks!$A$3:$V$23,MATCH(SMALL(Tasks!$W$3:$W$23,Lists!$A39),Tasks!$W$3:$W$23,0),MATCH(H$16,Tasks!$A$2:$V$2,0)),"")</f>
        <v/>
      </c>
      <c r="I39" s="43" t="str">
        <f>IF($A39&lt;&gt;0,INDEX(Tasks!$A$3:$V$23,MATCH(SMALL(Tasks!$W$3:$W$23,Lists!$A39),Tasks!$W$3:$W$23,0),MATCH(I$16,Tasks!$A$2:$V$2,0)),"")</f>
        <v/>
      </c>
      <c r="J39" s="44" t="str">
        <f>IF($A39&lt;&gt;0,INDEX(Tasks!$A$3:$V$23,MATCH(SMALL(Tasks!$W$3:$W$23,Lists!$A39),Tasks!$W$3:$W$23,0),MATCH(J$16,Tasks!$A$2:$V$2,0)),"")</f>
        <v/>
      </c>
      <c r="K39" s="45" t="str">
        <f>IF($A39&lt;&gt;0,INDEX(Tasks!$A$3:$V$23,MATCH(SMALL(Tasks!$W$3:$W$23,Lists!$A39),Tasks!$W$3:$W$23,0),MATCH(K$16,Tasks!$A$2:$V$2,0)),"")</f>
        <v/>
      </c>
      <c r="L39" s="46" t="str">
        <f>IF($A39&lt;&gt;0,INDEX(Tasks!$A$3:$V$23,MATCH(SMALL(Tasks!$W$3:$W$23,Lists!$A39),Tasks!$W$3:$W$23,0),MATCH(L$16,Tasks!$A$2:$V$2,0)),"")</f>
        <v/>
      </c>
      <c r="M39" s="47" t="str">
        <f>IF($A39&lt;&gt;0,INDEX(Tasks!$A$3:$V$23,MATCH(SMALL(Tasks!$W$3:$W$23,Lists!$A39),Tasks!$W$3:$W$23,0),MATCH(M$16,Tasks!$A$2:$V$2,0)),"")</f>
        <v/>
      </c>
      <c r="N39" s="46" t="str">
        <f>IF($A39&lt;&gt;0,INDEX(Tasks!$A$3:$V$23,MATCH(SMALL(Tasks!$W$3:$W$23,Lists!$A39),Tasks!$W$3:$W$23,0),MATCH(N$16,Tasks!$A$2:$V$2,0)),"")</f>
        <v/>
      </c>
      <c r="O39" s="46" t="str">
        <f>IF($A39&lt;&gt;0,INDEX(Tasks!$A$3:$V$23,MATCH(SMALL(Tasks!$W$3:$W$23,Lists!$A39),Tasks!$W$3:$W$23,0),MATCH(O$16,Tasks!$A$2:$V$2,0)),"")</f>
        <v/>
      </c>
      <c r="P39" s="42" t="str">
        <f>IF($A39&lt;&gt;0,INDEX(Tasks!$A$3:$V$23,MATCH(SMALL(Tasks!$W$3:$W$23,Lists!$A39),Tasks!$W$3:$W$23,0),MATCH(P$16,Tasks!$A$2:$V$2,0)),"")</f>
        <v/>
      </c>
      <c r="Q39" s="42" t="str">
        <f>IF($A39&lt;&gt;0,INDEX(Tasks!$A$3:$V$23,MATCH(SMALL(Tasks!$W$3:$W$23,Lists!$A39),Tasks!$W$3:$W$23,0),MATCH(Q$16,Tasks!$A$2:$V$2,0)),"")</f>
        <v/>
      </c>
      <c r="R39" s="48" t="str">
        <f>IF($A39&lt;&gt;0,INDEX(Tasks!$A$3:$V$23,MATCH(SMALL(Tasks!$W$3:$W$23,Lists!$A39),Tasks!$W$3:$W$23,0),MATCH(R$16,Tasks!$A$2:$V$2,0)),"")</f>
        <v/>
      </c>
      <c r="S39" s="48" t="str">
        <f>IF($A39&lt;&gt;0,INDEX(Tasks!$A$3:$V$23,MATCH(SMALL(Tasks!$W$3:$W$23,Lists!$A39),Tasks!$W$3:$W$23,0),MATCH(S$16,Tasks!$A$2:$V$2,0)),"")</f>
        <v/>
      </c>
      <c r="T39" s="48" t="str">
        <f>IF($A39&lt;&gt;0,INDEX(Tasks!$A$3:$V$23,MATCH(SMALL(Tasks!$W$3:$W$23,Lists!$A39),Tasks!$W$3:$W$23,0),MATCH(T$16,Tasks!$A$2:$V$2,0)),"")</f>
        <v/>
      </c>
      <c r="U39" s="42" t="str">
        <f>IF($A39&lt;&gt;0,INDEX(Tasks!$A$3:$V$23,MATCH(SMALL(Tasks!$W$3:$W$23,Lists!$A39),Tasks!$W$3:$W$23,0),MATCH(U$16,Tasks!$A$2:$V$2,0)),"")</f>
        <v/>
      </c>
      <c r="V39" s="42" t="str">
        <f>IF($A39&lt;&gt;0,INDEX(Tasks!$A$3:$V$23,MATCH(SMALL(Tasks!$W$3:$W$23,Lists!$A39),Tasks!$W$3:$W$23,0),MATCH(V$16,Tasks!$A$2:$V$2,0)),"")</f>
        <v/>
      </c>
      <c r="W39" s="49" t="str">
        <f>IF($A39&lt;&gt;0,INDEX(Tasks!$A$3:$V$23,MATCH(SMALL(Tasks!$W$3:$W$23,Lists!$A39),Tasks!$W$3:$W$23,0),MATCH(W$16,Tasks!$A$2:$V$2,0)),"")</f>
        <v/>
      </c>
      <c r="AE39" s="41">
        <f>IF(ROWS($AE$16:$AE39)-1&lt;=$AE$16,ROWS($AE$16:$AE39)-1,0)</f>
        <v>0</v>
      </c>
      <c r="AF39" s="41" t="str">
        <f>IF($AE39&lt;&gt;0,INDEX(Issues!$A$4:$K$19,MATCH(SMALL(Issues!$L$4:$L$19,Lists!$AE39),Issues!$L$4:$L$19,0),MATCH(Lists!AF$16,Issues!$A$3:$K$3,0)),"")</f>
        <v/>
      </c>
      <c r="AG39" s="41" t="str">
        <f>IF($AE39&lt;&gt;0,INDEX(Issues!$A$4:$K$19,MATCH(SMALL(Issues!$L$4:$L$19,Lists!$AE39),Issues!$L$4:$L$19,0),MATCH(Lists!AG$16,Issues!$A$3:$K$3,0)),"")</f>
        <v/>
      </c>
      <c r="AH39" s="41" t="str">
        <f>IF($AE39&lt;&gt;0,INDEX(Issues!$A$4:$K$19,MATCH(SMALL(Issues!$L$4:$L$19,Lists!$AE39),Issues!$L$4:$L$19,0),MATCH(Lists!AH$16,Issues!$A$3:$K$3,0)),"")</f>
        <v/>
      </c>
      <c r="AI39" s="41" t="str">
        <f>IF($AE39&lt;&gt;0,INDEX(Issues!$A$4:$K$19,MATCH(SMALL(Issues!$L$4:$L$19,Lists!$AE39),Issues!$L$4:$L$19,0),MATCH(Lists!AI$16,Issues!$A$3:$K$3,0)),"")</f>
        <v/>
      </c>
      <c r="AJ39" s="41" t="str">
        <f>IF($AE39&lt;&gt;0,INDEX(Issues!$A$4:$K$19,MATCH(SMALL(Issues!$L$4:$L$19,Lists!$AE39),Issues!$L$4:$L$19,0),MATCH(Lists!AJ$16,Issues!$A$3:$K$3,0)),"")</f>
        <v/>
      </c>
      <c r="AK39" s="41" t="str">
        <f>IF($AE39&lt;&gt;0,INDEX(Issues!$A$4:$K$19,MATCH(SMALL(Issues!$L$4:$L$19,Lists!$AE39),Issues!$L$4:$L$19,0),MATCH(Lists!AK$16,Issues!$A$3:$K$3,0)),"")</f>
        <v/>
      </c>
      <c r="AL39" s="41" t="str">
        <f>IF($AE39&lt;&gt;0,INDEX(Issues!$A$4:$K$19,MATCH(SMALL(Issues!$L$4:$L$19,Lists!$AE39),Issues!$L$4:$L$19,0),MATCH(Lists!AL$16,Issues!$A$3:$K$3,0)),"")</f>
        <v/>
      </c>
      <c r="AM39" s="41" t="str">
        <f>IF($AE39&lt;&gt;0,INDEX(Issues!$A$4:$K$19,MATCH(SMALL(Issues!$L$4:$L$19,Lists!$AE39),Issues!$L$4:$L$19,0),MATCH(Lists!AM$16,Issues!$A$3:$K$3,0)),"")</f>
        <v/>
      </c>
      <c r="AN39" s="41" t="str">
        <f>IF($AE39&lt;&gt;0,INDEX(Issues!$A$4:$K$19,MATCH(SMALL(Issues!$L$4:$L$19,Lists!$AE39),Issues!$L$4:$L$19,0),MATCH(Lists!AN$16,Issues!$A$3:$K$3,0)),"")</f>
        <v/>
      </c>
      <c r="AO39" s="41" t="str">
        <f>IF($AE39&lt;&gt;0,INDEX(Issues!$A$4:$K$19,MATCH(SMALL(Issues!$L$4:$L$19,Lists!$AE39),Issues!$L$4:$L$19,0),MATCH(Lists!AO$16,Issues!$A$3:$K$3,0)),"")</f>
        <v/>
      </c>
      <c r="AP39" s="41" t="str">
        <f>IF($AE39&lt;&gt;0,INDEX(Issues!$A$4:$K$19,MATCH(SMALL(Issues!$L$4:$L$19,Lists!$AE39),Issues!$L$4:$L$19,0),MATCH(Lists!AP$16,Issues!$A$3:$K$3,0)),"")</f>
        <v/>
      </c>
    </row>
    <row r="40" spans="1:42" x14ac:dyDescent="0.3">
      <c r="A40" s="41">
        <f>IF(ROWS($A$16:A40)-1&lt;=$A$16,ROWS($A$16:A40)-1,0)</f>
        <v>0</v>
      </c>
      <c r="B40" s="41" t="str">
        <f>IF($A40&lt;&gt;0,INDEX(Tasks!$A$3:$V$23,MATCH(SMALL(Tasks!$W$3:$W$23,Lists!$A40),Tasks!$W$3:$W$23,0),MATCH(B$16,Tasks!$A$2:$V$2,0)),"")</f>
        <v/>
      </c>
      <c r="C40" s="42" t="str">
        <f>IF($A40&lt;&gt;0,INDEX(Tasks!$A$3:$V$23,MATCH(SMALL(Tasks!$W$3:$W$23,Lists!$A40),Tasks!$W$3:$W$23,0),MATCH(C$16,Tasks!$A$2:$V$2,0)),"")</f>
        <v/>
      </c>
      <c r="D40" s="42" t="str">
        <f>IF($A40&lt;&gt;0,INDEX(Tasks!$A$3:$V$23,MATCH(SMALL(Tasks!$W$3:$W$23,Lists!$A40),Tasks!$W$3:$W$23,0),MATCH(D$16,Tasks!$A$2:$V$2,0)),"")</f>
        <v/>
      </c>
      <c r="E40" s="43" t="str">
        <f>IF($A40&lt;&gt;0,INDEX(Tasks!$A$3:$V$23,MATCH(SMALL(Tasks!$W$3:$W$23,Lists!$A40),Tasks!$W$3:$W$23,0),MATCH(E$16,Tasks!$A$2:$V$2,0)),"")</f>
        <v/>
      </c>
      <c r="F40" s="44" t="str">
        <f>IF($A40&lt;&gt;0,INDEX(Tasks!$A$3:$V$23,MATCH(SMALL(Tasks!$W$3:$W$23,Lists!$A40),Tasks!$W$3:$W$23,0),MATCH(F$16,Tasks!$A$2:$V$2,0)),"")</f>
        <v/>
      </c>
      <c r="G40" s="45" t="str">
        <f>IF($A40&lt;&gt;0,INDEX(Tasks!$A$3:$V$23,MATCH(SMALL(Tasks!$W$3:$W$23,Lists!$A40),Tasks!$W$3:$W$23,0),MATCH(G$16,Tasks!$A$2:$V$2,0)),"")</f>
        <v/>
      </c>
      <c r="H40" s="46" t="str">
        <f>IF($A40&lt;&gt;0,INDEX(Tasks!$A$3:$V$23,MATCH(SMALL(Tasks!$W$3:$W$23,Lists!$A40),Tasks!$W$3:$W$23,0),MATCH(H$16,Tasks!$A$2:$V$2,0)),"")</f>
        <v/>
      </c>
      <c r="I40" s="43" t="str">
        <f>IF($A40&lt;&gt;0,INDEX(Tasks!$A$3:$V$23,MATCH(SMALL(Tasks!$W$3:$W$23,Lists!$A40),Tasks!$W$3:$W$23,0),MATCH(I$16,Tasks!$A$2:$V$2,0)),"")</f>
        <v/>
      </c>
      <c r="J40" s="44" t="str">
        <f>IF($A40&lt;&gt;0,INDEX(Tasks!$A$3:$V$23,MATCH(SMALL(Tasks!$W$3:$W$23,Lists!$A40),Tasks!$W$3:$W$23,0),MATCH(J$16,Tasks!$A$2:$V$2,0)),"")</f>
        <v/>
      </c>
      <c r="K40" s="45" t="str">
        <f>IF($A40&lt;&gt;0,INDEX(Tasks!$A$3:$V$23,MATCH(SMALL(Tasks!$W$3:$W$23,Lists!$A40),Tasks!$W$3:$W$23,0),MATCH(K$16,Tasks!$A$2:$V$2,0)),"")</f>
        <v/>
      </c>
      <c r="L40" s="46" t="str">
        <f>IF($A40&lt;&gt;0,INDEX(Tasks!$A$3:$V$23,MATCH(SMALL(Tasks!$W$3:$W$23,Lists!$A40),Tasks!$W$3:$W$23,0),MATCH(L$16,Tasks!$A$2:$V$2,0)),"")</f>
        <v/>
      </c>
      <c r="M40" s="47" t="str">
        <f>IF($A40&lt;&gt;0,INDEX(Tasks!$A$3:$V$23,MATCH(SMALL(Tasks!$W$3:$W$23,Lists!$A40),Tasks!$W$3:$W$23,0),MATCH(M$16,Tasks!$A$2:$V$2,0)),"")</f>
        <v/>
      </c>
      <c r="N40" s="46" t="str">
        <f>IF($A40&lt;&gt;0,INDEX(Tasks!$A$3:$V$23,MATCH(SMALL(Tasks!$W$3:$W$23,Lists!$A40),Tasks!$W$3:$W$23,0),MATCH(N$16,Tasks!$A$2:$V$2,0)),"")</f>
        <v/>
      </c>
      <c r="O40" s="46" t="str">
        <f>IF($A40&lt;&gt;0,INDEX(Tasks!$A$3:$V$23,MATCH(SMALL(Tasks!$W$3:$W$23,Lists!$A40),Tasks!$W$3:$W$23,0),MATCH(O$16,Tasks!$A$2:$V$2,0)),"")</f>
        <v/>
      </c>
      <c r="P40" s="42" t="str">
        <f>IF($A40&lt;&gt;0,INDEX(Tasks!$A$3:$V$23,MATCH(SMALL(Tasks!$W$3:$W$23,Lists!$A40),Tasks!$W$3:$W$23,0),MATCH(P$16,Tasks!$A$2:$V$2,0)),"")</f>
        <v/>
      </c>
      <c r="Q40" s="42" t="str">
        <f>IF($A40&lt;&gt;0,INDEX(Tasks!$A$3:$V$23,MATCH(SMALL(Tasks!$W$3:$W$23,Lists!$A40),Tasks!$W$3:$W$23,0),MATCH(Q$16,Tasks!$A$2:$V$2,0)),"")</f>
        <v/>
      </c>
      <c r="R40" s="48" t="str">
        <f>IF($A40&lt;&gt;0,INDEX(Tasks!$A$3:$V$23,MATCH(SMALL(Tasks!$W$3:$W$23,Lists!$A40),Tasks!$W$3:$W$23,0),MATCH(R$16,Tasks!$A$2:$V$2,0)),"")</f>
        <v/>
      </c>
      <c r="S40" s="48" t="str">
        <f>IF($A40&lt;&gt;0,INDEX(Tasks!$A$3:$V$23,MATCH(SMALL(Tasks!$W$3:$W$23,Lists!$A40),Tasks!$W$3:$W$23,0),MATCH(S$16,Tasks!$A$2:$V$2,0)),"")</f>
        <v/>
      </c>
      <c r="T40" s="48" t="str">
        <f>IF($A40&lt;&gt;0,INDEX(Tasks!$A$3:$V$23,MATCH(SMALL(Tasks!$W$3:$W$23,Lists!$A40),Tasks!$W$3:$W$23,0),MATCH(T$16,Tasks!$A$2:$V$2,0)),"")</f>
        <v/>
      </c>
      <c r="U40" s="42" t="str">
        <f>IF($A40&lt;&gt;0,INDEX(Tasks!$A$3:$V$23,MATCH(SMALL(Tasks!$W$3:$W$23,Lists!$A40),Tasks!$W$3:$W$23,0),MATCH(U$16,Tasks!$A$2:$V$2,0)),"")</f>
        <v/>
      </c>
      <c r="V40" s="42" t="str">
        <f>IF($A40&lt;&gt;0,INDEX(Tasks!$A$3:$V$23,MATCH(SMALL(Tasks!$W$3:$W$23,Lists!$A40),Tasks!$W$3:$W$23,0),MATCH(V$16,Tasks!$A$2:$V$2,0)),"")</f>
        <v/>
      </c>
      <c r="W40" s="49" t="str">
        <f>IF($A40&lt;&gt;0,INDEX(Tasks!$A$3:$V$23,MATCH(SMALL(Tasks!$W$3:$W$23,Lists!$A40),Tasks!$W$3:$W$23,0),MATCH(W$16,Tasks!$A$2:$V$2,0)),"")</f>
        <v/>
      </c>
      <c r="AE40" s="41">
        <f>IF(ROWS($AE$16:$AE40)-1&lt;=$AE$16,ROWS($AE$16:$AE40)-1,0)</f>
        <v>0</v>
      </c>
      <c r="AF40" s="41" t="str">
        <f>IF($AE40&lt;&gt;0,INDEX(Issues!$A$4:$K$19,MATCH(SMALL(Issues!$L$4:$L$19,Lists!$AE40),Issues!$L$4:$L$19,0),MATCH(Lists!AF$16,Issues!$A$3:$K$3,0)),"")</f>
        <v/>
      </c>
      <c r="AG40" s="41" t="str">
        <f>IF($AE40&lt;&gt;0,INDEX(Issues!$A$4:$K$19,MATCH(SMALL(Issues!$L$4:$L$19,Lists!$AE40),Issues!$L$4:$L$19,0),MATCH(Lists!AG$16,Issues!$A$3:$K$3,0)),"")</f>
        <v/>
      </c>
      <c r="AH40" s="41" t="str">
        <f>IF($AE40&lt;&gt;0,INDEX(Issues!$A$4:$K$19,MATCH(SMALL(Issues!$L$4:$L$19,Lists!$AE40),Issues!$L$4:$L$19,0),MATCH(Lists!AH$16,Issues!$A$3:$K$3,0)),"")</f>
        <v/>
      </c>
      <c r="AI40" s="41" t="str">
        <f>IF($AE40&lt;&gt;0,INDEX(Issues!$A$4:$K$19,MATCH(SMALL(Issues!$L$4:$L$19,Lists!$AE40),Issues!$L$4:$L$19,0),MATCH(Lists!AI$16,Issues!$A$3:$K$3,0)),"")</f>
        <v/>
      </c>
      <c r="AJ40" s="41" t="str">
        <f>IF($AE40&lt;&gt;0,INDEX(Issues!$A$4:$K$19,MATCH(SMALL(Issues!$L$4:$L$19,Lists!$AE40),Issues!$L$4:$L$19,0),MATCH(Lists!AJ$16,Issues!$A$3:$K$3,0)),"")</f>
        <v/>
      </c>
      <c r="AK40" s="41" t="str">
        <f>IF($AE40&lt;&gt;0,INDEX(Issues!$A$4:$K$19,MATCH(SMALL(Issues!$L$4:$L$19,Lists!$AE40),Issues!$L$4:$L$19,0),MATCH(Lists!AK$16,Issues!$A$3:$K$3,0)),"")</f>
        <v/>
      </c>
      <c r="AL40" s="41" t="str">
        <f>IF($AE40&lt;&gt;0,INDEX(Issues!$A$4:$K$19,MATCH(SMALL(Issues!$L$4:$L$19,Lists!$AE40),Issues!$L$4:$L$19,0),MATCH(Lists!AL$16,Issues!$A$3:$K$3,0)),"")</f>
        <v/>
      </c>
      <c r="AM40" s="41" t="str">
        <f>IF($AE40&lt;&gt;0,INDEX(Issues!$A$4:$K$19,MATCH(SMALL(Issues!$L$4:$L$19,Lists!$AE40),Issues!$L$4:$L$19,0),MATCH(Lists!AM$16,Issues!$A$3:$K$3,0)),"")</f>
        <v/>
      </c>
      <c r="AN40" s="41" t="str">
        <f>IF($AE40&lt;&gt;0,INDEX(Issues!$A$4:$K$19,MATCH(SMALL(Issues!$L$4:$L$19,Lists!$AE40),Issues!$L$4:$L$19,0),MATCH(Lists!AN$16,Issues!$A$3:$K$3,0)),"")</f>
        <v/>
      </c>
      <c r="AO40" s="41" t="str">
        <f>IF($AE40&lt;&gt;0,INDEX(Issues!$A$4:$K$19,MATCH(SMALL(Issues!$L$4:$L$19,Lists!$AE40),Issues!$L$4:$L$19,0),MATCH(Lists!AO$16,Issues!$A$3:$K$3,0)),"")</f>
        <v/>
      </c>
      <c r="AP40" s="41" t="str">
        <f>IF($AE40&lt;&gt;0,INDEX(Issues!$A$4:$K$19,MATCH(SMALL(Issues!$L$4:$L$19,Lists!$AE40),Issues!$L$4:$L$19,0),MATCH(Lists!AP$16,Issues!$A$3:$K$3,0)),"")</f>
        <v/>
      </c>
    </row>
    <row r="41" spans="1:42" x14ac:dyDescent="0.3">
      <c r="A41" s="41">
        <f>IF(ROWS($A$16:A41)-1&lt;=$A$16,ROWS($A$16:A41)-1,0)</f>
        <v>0</v>
      </c>
      <c r="B41" s="41" t="str">
        <f>IF($A41&lt;&gt;0,INDEX(Tasks!$A$3:$V$23,MATCH(SMALL(Tasks!$W$3:$W$23,Lists!$A41),Tasks!$W$3:$W$23,0),MATCH(B$16,Tasks!$A$2:$V$2,0)),"")</f>
        <v/>
      </c>
      <c r="C41" s="42" t="str">
        <f>IF($A41&lt;&gt;0,INDEX(Tasks!$A$3:$V$23,MATCH(SMALL(Tasks!$W$3:$W$23,Lists!$A41),Tasks!$W$3:$W$23,0),MATCH(C$16,Tasks!$A$2:$V$2,0)),"")</f>
        <v/>
      </c>
      <c r="D41" s="42" t="str">
        <f>IF($A41&lt;&gt;0,INDEX(Tasks!$A$3:$V$23,MATCH(SMALL(Tasks!$W$3:$W$23,Lists!$A41),Tasks!$W$3:$W$23,0),MATCH(D$16,Tasks!$A$2:$V$2,0)),"")</f>
        <v/>
      </c>
      <c r="E41" s="43" t="str">
        <f>IF($A41&lt;&gt;0,INDEX(Tasks!$A$3:$V$23,MATCH(SMALL(Tasks!$W$3:$W$23,Lists!$A41),Tasks!$W$3:$W$23,0),MATCH(E$16,Tasks!$A$2:$V$2,0)),"")</f>
        <v/>
      </c>
      <c r="F41" s="44" t="str">
        <f>IF($A41&lt;&gt;0,INDEX(Tasks!$A$3:$V$23,MATCH(SMALL(Tasks!$W$3:$W$23,Lists!$A41),Tasks!$W$3:$W$23,0),MATCH(F$16,Tasks!$A$2:$V$2,0)),"")</f>
        <v/>
      </c>
      <c r="G41" s="45" t="str">
        <f>IF($A41&lt;&gt;0,INDEX(Tasks!$A$3:$V$23,MATCH(SMALL(Tasks!$W$3:$W$23,Lists!$A41),Tasks!$W$3:$W$23,0),MATCH(G$16,Tasks!$A$2:$V$2,0)),"")</f>
        <v/>
      </c>
      <c r="H41" s="46" t="str">
        <f>IF($A41&lt;&gt;0,INDEX(Tasks!$A$3:$V$23,MATCH(SMALL(Tasks!$W$3:$W$23,Lists!$A41),Tasks!$W$3:$W$23,0),MATCH(H$16,Tasks!$A$2:$V$2,0)),"")</f>
        <v/>
      </c>
      <c r="I41" s="43" t="str">
        <f>IF($A41&lt;&gt;0,INDEX(Tasks!$A$3:$V$23,MATCH(SMALL(Tasks!$W$3:$W$23,Lists!$A41),Tasks!$W$3:$W$23,0),MATCH(I$16,Tasks!$A$2:$V$2,0)),"")</f>
        <v/>
      </c>
      <c r="J41" s="44" t="str">
        <f>IF($A41&lt;&gt;0,INDEX(Tasks!$A$3:$V$23,MATCH(SMALL(Tasks!$W$3:$W$23,Lists!$A41),Tasks!$W$3:$W$23,0),MATCH(J$16,Tasks!$A$2:$V$2,0)),"")</f>
        <v/>
      </c>
      <c r="K41" s="45" t="str">
        <f>IF($A41&lt;&gt;0,INDEX(Tasks!$A$3:$V$23,MATCH(SMALL(Tasks!$W$3:$W$23,Lists!$A41),Tasks!$W$3:$W$23,0),MATCH(K$16,Tasks!$A$2:$V$2,0)),"")</f>
        <v/>
      </c>
      <c r="L41" s="46" t="str">
        <f>IF($A41&lt;&gt;0,INDEX(Tasks!$A$3:$V$23,MATCH(SMALL(Tasks!$W$3:$W$23,Lists!$A41),Tasks!$W$3:$W$23,0),MATCH(L$16,Tasks!$A$2:$V$2,0)),"")</f>
        <v/>
      </c>
      <c r="M41" s="47" t="str">
        <f>IF($A41&lt;&gt;0,INDEX(Tasks!$A$3:$V$23,MATCH(SMALL(Tasks!$W$3:$W$23,Lists!$A41),Tasks!$W$3:$W$23,0),MATCH(M$16,Tasks!$A$2:$V$2,0)),"")</f>
        <v/>
      </c>
      <c r="N41" s="46" t="str">
        <f>IF($A41&lt;&gt;0,INDEX(Tasks!$A$3:$V$23,MATCH(SMALL(Tasks!$W$3:$W$23,Lists!$A41),Tasks!$W$3:$W$23,0),MATCH(N$16,Tasks!$A$2:$V$2,0)),"")</f>
        <v/>
      </c>
      <c r="O41" s="46" t="str">
        <f>IF($A41&lt;&gt;0,INDEX(Tasks!$A$3:$V$23,MATCH(SMALL(Tasks!$W$3:$W$23,Lists!$A41),Tasks!$W$3:$W$23,0),MATCH(O$16,Tasks!$A$2:$V$2,0)),"")</f>
        <v/>
      </c>
      <c r="P41" s="42" t="str">
        <f>IF($A41&lt;&gt;0,INDEX(Tasks!$A$3:$V$23,MATCH(SMALL(Tasks!$W$3:$W$23,Lists!$A41),Tasks!$W$3:$W$23,0),MATCH(P$16,Tasks!$A$2:$V$2,0)),"")</f>
        <v/>
      </c>
      <c r="Q41" s="42" t="str">
        <f>IF($A41&lt;&gt;0,INDEX(Tasks!$A$3:$V$23,MATCH(SMALL(Tasks!$W$3:$W$23,Lists!$A41),Tasks!$W$3:$W$23,0),MATCH(Q$16,Tasks!$A$2:$V$2,0)),"")</f>
        <v/>
      </c>
      <c r="R41" s="48" t="str">
        <f>IF($A41&lt;&gt;0,INDEX(Tasks!$A$3:$V$23,MATCH(SMALL(Tasks!$W$3:$W$23,Lists!$A41),Tasks!$W$3:$W$23,0),MATCH(R$16,Tasks!$A$2:$V$2,0)),"")</f>
        <v/>
      </c>
      <c r="S41" s="48" t="str">
        <f>IF($A41&lt;&gt;0,INDEX(Tasks!$A$3:$V$23,MATCH(SMALL(Tasks!$W$3:$W$23,Lists!$A41),Tasks!$W$3:$W$23,0),MATCH(S$16,Tasks!$A$2:$V$2,0)),"")</f>
        <v/>
      </c>
      <c r="T41" s="48" t="str">
        <f>IF($A41&lt;&gt;0,INDEX(Tasks!$A$3:$V$23,MATCH(SMALL(Tasks!$W$3:$W$23,Lists!$A41),Tasks!$W$3:$W$23,0),MATCH(T$16,Tasks!$A$2:$V$2,0)),"")</f>
        <v/>
      </c>
      <c r="U41" s="42" t="str">
        <f>IF($A41&lt;&gt;0,INDEX(Tasks!$A$3:$V$23,MATCH(SMALL(Tasks!$W$3:$W$23,Lists!$A41),Tasks!$W$3:$W$23,0),MATCH(U$16,Tasks!$A$2:$V$2,0)),"")</f>
        <v/>
      </c>
      <c r="V41" s="42" t="str">
        <f>IF($A41&lt;&gt;0,INDEX(Tasks!$A$3:$V$23,MATCH(SMALL(Tasks!$W$3:$W$23,Lists!$A41),Tasks!$W$3:$W$23,0),MATCH(V$16,Tasks!$A$2:$V$2,0)),"")</f>
        <v/>
      </c>
      <c r="W41" s="49" t="str">
        <f>IF($A41&lt;&gt;0,INDEX(Tasks!$A$3:$V$23,MATCH(SMALL(Tasks!$W$3:$W$23,Lists!$A41),Tasks!$W$3:$W$23,0),MATCH(W$16,Tasks!$A$2:$V$2,0)),"")</f>
        <v/>
      </c>
      <c r="AE41" s="41">
        <f>IF(ROWS($AE$16:$AE41)-1&lt;=$AE$16,ROWS($AE$16:$AE41)-1,0)</f>
        <v>0</v>
      </c>
      <c r="AF41" s="41" t="str">
        <f>IF($AE41&lt;&gt;0,INDEX(Issues!$A$4:$K$19,MATCH(SMALL(Issues!$L$4:$L$19,Lists!$AE41),Issues!$L$4:$L$19,0),MATCH(Lists!AF$16,Issues!$A$3:$K$3,0)),"")</f>
        <v/>
      </c>
      <c r="AG41" s="41" t="str">
        <f>IF($AE41&lt;&gt;0,INDEX(Issues!$A$4:$K$19,MATCH(SMALL(Issues!$L$4:$L$19,Lists!$AE41),Issues!$L$4:$L$19,0),MATCH(Lists!AG$16,Issues!$A$3:$K$3,0)),"")</f>
        <v/>
      </c>
      <c r="AH41" s="41" t="str">
        <f>IF($AE41&lt;&gt;0,INDEX(Issues!$A$4:$K$19,MATCH(SMALL(Issues!$L$4:$L$19,Lists!$AE41),Issues!$L$4:$L$19,0),MATCH(Lists!AH$16,Issues!$A$3:$K$3,0)),"")</f>
        <v/>
      </c>
      <c r="AI41" s="41" t="str">
        <f>IF($AE41&lt;&gt;0,INDEX(Issues!$A$4:$K$19,MATCH(SMALL(Issues!$L$4:$L$19,Lists!$AE41),Issues!$L$4:$L$19,0),MATCH(Lists!AI$16,Issues!$A$3:$K$3,0)),"")</f>
        <v/>
      </c>
      <c r="AJ41" s="41" t="str">
        <f>IF($AE41&lt;&gt;0,INDEX(Issues!$A$4:$K$19,MATCH(SMALL(Issues!$L$4:$L$19,Lists!$AE41),Issues!$L$4:$L$19,0),MATCH(Lists!AJ$16,Issues!$A$3:$K$3,0)),"")</f>
        <v/>
      </c>
      <c r="AK41" s="41" t="str">
        <f>IF($AE41&lt;&gt;0,INDEX(Issues!$A$4:$K$19,MATCH(SMALL(Issues!$L$4:$L$19,Lists!$AE41),Issues!$L$4:$L$19,0),MATCH(Lists!AK$16,Issues!$A$3:$K$3,0)),"")</f>
        <v/>
      </c>
      <c r="AL41" s="41" t="str">
        <f>IF($AE41&lt;&gt;0,INDEX(Issues!$A$4:$K$19,MATCH(SMALL(Issues!$L$4:$L$19,Lists!$AE41),Issues!$L$4:$L$19,0),MATCH(Lists!AL$16,Issues!$A$3:$K$3,0)),"")</f>
        <v/>
      </c>
      <c r="AM41" s="41" t="str">
        <f>IF($AE41&lt;&gt;0,INDEX(Issues!$A$4:$K$19,MATCH(SMALL(Issues!$L$4:$L$19,Lists!$AE41),Issues!$L$4:$L$19,0),MATCH(Lists!AM$16,Issues!$A$3:$K$3,0)),"")</f>
        <v/>
      </c>
      <c r="AN41" s="41" t="str">
        <f>IF($AE41&lt;&gt;0,INDEX(Issues!$A$4:$K$19,MATCH(SMALL(Issues!$L$4:$L$19,Lists!$AE41),Issues!$L$4:$L$19,0),MATCH(Lists!AN$16,Issues!$A$3:$K$3,0)),"")</f>
        <v/>
      </c>
      <c r="AO41" s="41" t="str">
        <f>IF($AE41&lt;&gt;0,INDEX(Issues!$A$4:$K$19,MATCH(SMALL(Issues!$L$4:$L$19,Lists!$AE41),Issues!$L$4:$L$19,0),MATCH(Lists!AO$16,Issues!$A$3:$K$3,0)),"")</f>
        <v/>
      </c>
      <c r="AP41" s="41" t="str">
        <f>IF($AE41&lt;&gt;0,INDEX(Issues!$A$4:$K$19,MATCH(SMALL(Issues!$L$4:$L$19,Lists!$AE41),Issues!$L$4:$L$19,0),MATCH(Lists!AP$16,Issues!$A$3:$K$3,0)),"")</f>
        <v/>
      </c>
    </row>
    <row r="42" spans="1:42" x14ac:dyDescent="0.3">
      <c r="A42" s="41">
        <f>IF(ROWS($A$16:A42)-1&lt;=$A$16,ROWS($A$16:A42)-1,0)</f>
        <v>0</v>
      </c>
      <c r="B42" s="41" t="str">
        <f>IF($A42&lt;&gt;0,INDEX(Tasks!$A$3:$V$23,MATCH(SMALL(Tasks!$W$3:$W$23,Lists!$A42),Tasks!$W$3:$W$23,0),MATCH(B$16,Tasks!$A$2:$V$2,0)),"")</f>
        <v/>
      </c>
      <c r="C42" s="42" t="str">
        <f>IF($A42&lt;&gt;0,INDEX(Tasks!$A$3:$V$23,MATCH(SMALL(Tasks!$W$3:$W$23,Lists!$A42),Tasks!$W$3:$W$23,0),MATCH(C$16,Tasks!$A$2:$V$2,0)),"")</f>
        <v/>
      </c>
      <c r="D42" s="42" t="str">
        <f>IF($A42&lt;&gt;0,INDEX(Tasks!$A$3:$V$23,MATCH(SMALL(Tasks!$W$3:$W$23,Lists!$A42),Tasks!$W$3:$W$23,0),MATCH(D$16,Tasks!$A$2:$V$2,0)),"")</f>
        <v/>
      </c>
      <c r="E42" s="43" t="str">
        <f>IF($A42&lt;&gt;0,INDEX(Tasks!$A$3:$V$23,MATCH(SMALL(Tasks!$W$3:$W$23,Lists!$A42),Tasks!$W$3:$W$23,0),MATCH(E$16,Tasks!$A$2:$V$2,0)),"")</f>
        <v/>
      </c>
      <c r="F42" s="44" t="str">
        <f>IF($A42&lt;&gt;0,INDEX(Tasks!$A$3:$V$23,MATCH(SMALL(Tasks!$W$3:$W$23,Lists!$A42),Tasks!$W$3:$W$23,0),MATCH(F$16,Tasks!$A$2:$V$2,0)),"")</f>
        <v/>
      </c>
      <c r="G42" s="45" t="str">
        <f>IF($A42&lt;&gt;0,INDEX(Tasks!$A$3:$V$23,MATCH(SMALL(Tasks!$W$3:$W$23,Lists!$A42),Tasks!$W$3:$W$23,0),MATCH(G$16,Tasks!$A$2:$V$2,0)),"")</f>
        <v/>
      </c>
      <c r="H42" s="46" t="str">
        <f>IF($A42&lt;&gt;0,INDEX(Tasks!$A$3:$V$23,MATCH(SMALL(Tasks!$W$3:$W$23,Lists!$A42),Tasks!$W$3:$W$23,0),MATCH(H$16,Tasks!$A$2:$V$2,0)),"")</f>
        <v/>
      </c>
      <c r="I42" s="43" t="str">
        <f>IF($A42&lt;&gt;0,INDEX(Tasks!$A$3:$V$23,MATCH(SMALL(Tasks!$W$3:$W$23,Lists!$A42),Tasks!$W$3:$W$23,0),MATCH(I$16,Tasks!$A$2:$V$2,0)),"")</f>
        <v/>
      </c>
      <c r="J42" s="44" t="str">
        <f>IF($A42&lt;&gt;0,INDEX(Tasks!$A$3:$V$23,MATCH(SMALL(Tasks!$W$3:$W$23,Lists!$A42),Tasks!$W$3:$W$23,0),MATCH(J$16,Tasks!$A$2:$V$2,0)),"")</f>
        <v/>
      </c>
      <c r="K42" s="45" t="str">
        <f>IF($A42&lt;&gt;0,INDEX(Tasks!$A$3:$V$23,MATCH(SMALL(Tasks!$W$3:$W$23,Lists!$A42),Tasks!$W$3:$W$23,0),MATCH(K$16,Tasks!$A$2:$V$2,0)),"")</f>
        <v/>
      </c>
      <c r="L42" s="46" t="str">
        <f>IF($A42&lt;&gt;0,INDEX(Tasks!$A$3:$V$23,MATCH(SMALL(Tasks!$W$3:$W$23,Lists!$A42),Tasks!$W$3:$W$23,0),MATCH(L$16,Tasks!$A$2:$V$2,0)),"")</f>
        <v/>
      </c>
      <c r="M42" s="47" t="str">
        <f>IF($A42&lt;&gt;0,INDEX(Tasks!$A$3:$V$23,MATCH(SMALL(Tasks!$W$3:$W$23,Lists!$A42),Tasks!$W$3:$W$23,0),MATCH(M$16,Tasks!$A$2:$V$2,0)),"")</f>
        <v/>
      </c>
      <c r="N42" s="46" t="str">
        <f>IF($A42&lt;&gt;0,INDEX(Tasks!$A$3:$V$23,MATCH(SMALL(Tasks!$W$3:$W$23,Lists!$A42),Tasks!$W$3:$W$23,0),MATCH(N$16,Tasks!$A$2:$V$2,0)),"")</f>
        <v/>
      </c>
      <c r="O42" s="46" t="str">
        <f>IF($A42&lt;&gt;0,INDEX(Tasks!$A$3:$V$23,MATCH(SMALL(Tasks!$W$3:$W$23,Lists!$A42),Tasks!$W$3:$W$23,0),MATCH(O$16,Tasks!$A$2:$V$2,0)),"")</f>
        <v/>
      </c>
      <c r="P42" s="42" t="str">
        <f>IF($A42&lt;&gt;0,INDEX(Tasks!$A$3:$V$23,MATCH(SMALL(Tasks!$W$3:$W$23,Lists!$A42),Tasks!$W$3:$W$23,0),MATCH(P$16,Tasks!$A$2:$V$2,0)),"")</f>
        <v/>
      </c>
      <c r="Q42" s="42" t="str">
        <f>IF($A42&lt;&gt;0,INDEX(Tasks!$A$3:$V$23,MATCH(SMALL(Tasks!$W$3:$W$23,Lists!$A42),Tasks!$W$3:$W$23,0),MATCH(Q$16,Tasks!$A$2:$V$2,0)),"")</f>
        <v/>
      </c>
      <c r="R42" s="48" t="str">
        <f>IF($A42&lt;&gt;0,INDEX(Tasks!$A$3:$V$23,MATCH(SMALL(Tasks!$W$3:$W$23,Lists!$A42),Tasks!$W$3:$W$23,0),MATCH(R$16,Tasks!$A$2:$V$2,0)),"")</f>
        <v/>
      </c>
      <c r="S42" s="48" t="str">
        <f>IF($A42&lt;&gt;0,INDEX(Tasks!$A$3:$V$23,MATCH(SMALL(Tasks!$W$3:$W$23,Lists!$A42),Tasks!$W$3:$W$23,0),MATCH(S$16,Tasks!$A$2:$V$2,0)),"")</f>
        <v/>
      </c>
      <c r="T42" s="48" t="str">
        <f>IF($A42&lt;&gt;0,INDEX(Tasks!$A$3:$V$23,MATCH(SMALL(Tasks!$W$3:$W$23,Lists!$A42),Tasks!$W$3:$W$23,0),MATCH(T$16,Tasks!$A$2:$V$2,0)),"")</f>
        <v/>
      </c>
      <c r="U42" s="42" t="str">
        <f>IF($A42&lt;&gt;0,INDEX(Tasks!$A$3:$V$23,MATCH(SMALL(Tasks!$W$3:$W$23,Lists!$A42),Tasks!$W$3:$W$23,0),MATCH(U$16,Tasks!$A$2:$V$2,0)),"")</f>
        <v/>
      </c>
      <c r="V42" s="42" t="str">
        <f>IF($A42&lt;&gt;0,INDEX(Tasks!$A$3:$V$23,MATCH(SMALL(Tasks!$W$3:$W$23,Lists!$A42),Tasks!$W$3:$W$23,0),MATCH(V$16,Tasks!$A$2:$V$2,0)),"")</f>
        <v/>
      </c>
      <c r="W42" s="49" t="str">
        <f>IF($A42&lt;&gt;0,INDEX(Tasks!$A$3:$V$23,MATCH(SMALL(Tasks!$W$3:$W$23,Lists!$A42),Tasks!$W$3:$W$23,0),MATCH(W$16,Tasks!$A$2:$V$2,0)),"")</f>
        <v/>
      </c>
      <c r="AE42" s="41">
        <f>IF(ROWS($AE$16:$AE42)-1&lt;=$AE$16,ROWS($AE$16:$AE42)-1,0)</f>
        <v>0</v>
      </c>
      <c r="AF42" s="41" t="str">
        <f>IF($AE42&lt;&gt;0,INDEX(Issues!$A$4:$K$19,MATCH(SMALL(Issues!$L$4:$L$19,Lists!$AE42),Issues!$L$4:$L$19,0),MATCH(Lists!AF$16,Issues!$A$3:$K$3,0)),"")</f>
        <v/>
      </c>
      <c r="AG42" s="41" t="str">
        <f>IF($AE42&lt;&gt;0,INDEX(Issues!$A$4:$K$19,MATCH(SMALL(Issues!$L$4:$L$19,Lists!$AE42),Issues!$L$4:$L$19,0),MATCH(Lists!AG$16,Issues!$A$3:$K$3,0)),"")</f>
        <v/>
      </c>
      <c r="AH42" s="41" t="str">
        <f>IF($AE42&lt;&gt;0,INDEX(Issues!$A$4:$K$19,MATCH(SMALL(Issues!$L$4:$L$19,Lists!$AE42),Issues!$L$4:$L$19,0),MATCH(Lists!AH$16,Issues!$A$3:$K$3,0)),"")</f>
        <v/>
      </c>
      <c r="AI42" s="41" t="str">
        <f>IF($AE42&lt;&gt;0,INDEX(Issues!$A$4:$K$19,MATCH(SMALL(Issues!$L$4:$L$19,Lists!$AE42),Issues!$L$4:$L$19,0),MATCH(Lists!AI$16,Issues!$A$3:$K$3,0)),"")</f>
        <v/>
      </c>
      <c r="AJ42" s="41" t="str">
        <f>IF($AE42&lt;&gt;0,INDEX(Issues!$A$4:$K$19,MATCH(SMALL(Issues!$L$4:$L$19,Lists!$AE42),Issues!$L$4:$L$19,0),MATCH(Lists!AJ$16,Issues!$A$3:$K$3,0)),"")</f>
        <v/>
      </c>
      <c r="AK42" s="41" t="str">
        <f>IF($AE42&lt;&gt;0,INDEX(Issues!$A$4:$K$19,MATCH(SMALL(Issues!$L$4:$L$19,Lists!$AE42),Issues!$L$4:$L$19,0),MATCH(Lists!AK$16,Issues!$A$3:$K$3,0)),"")</f>
        <v/>
      </c>
      <c r="AL42" s="41" t="str">
        <f>IF($AE42&lt;&gt;0,INDEX(Issues!$A$4:$K$19,MATCH(SMALL(Issues!$L$4:$L$19,Lists!$AE42),Issues!$L$4:$L$19,0),MATCH(Lists!AL$16,Issues!$A$3:$K$3,0)),"")</f>
        <v/>
      </c>
      <c r="AM42" s="41" t="str">
        <f>IF($AE42&lt;&gt;0,INDEX(Issues!$A$4:$K$19,MATCH(SMALL(Issues!$L$4:$L$19,Lists!$AE42),Issues!$L$4:$L$19,0),MATCH(Lists!AM$16,Issues!$A$3:$K$3,0)),"")</f>
        <v/>
      </c>
      <c r="AN42" s="41" t="str">
        <f>IF($AE42&lt;&gt;0,INDEX(Issues!$A$4:$K$19,MATCH(SMALL(Issues!$L$4:$L$19,Lists!$AE42),Issues!$L$4:$L$19,0),MATCH(Lists!AN$16,Issues!$A$3:$K$3,0)),"")</f>
        <v/>
      </c>
      <c r="AO42" s="41" t="str">
        <f>IF($AE42&lt;&gt;0,INDEX(Issues!$A$4:$K$19,MATCH(SMALL(Issues!$L$4:$L$19,Lists!$AE42),Issues!$L$4:$L$19,0),MATCH(Lists!AO$16,Issues!$A$3:$K$3,0)),"")</f>
        <v/>
      </c>
      <c r="AP42" s="41" t="str">
        <f>IF($AE42&lt;&gt;0,INDEX(Issues!$A$4:$K$19,MATCH(SMALL(Issues!$L$4:$L$19,Lists!$AE42),Issues!$L$4:$L$19,0),MATCH(Lists!AP$16,Issues!$A$3:$K$3,0)),"")</f>
        <v/>
      </c>
    </row>
    <row r="43" spans="1:42" x14ac:dyDescent="0.3">
      <c r="A43" s="41">
        <f>IF(ROWS($A$16:A43)-1&lt;=$A$16,ROWS($A$16:A43)-1,0)</f>
        <v>0</v>
      </c>
      <c r="B43" s="41" t="str">
        <f>IF($A43&lt;&gt;0,INDEX(Tasks!$A$3:$V$23,MATCH(SMALL(Tasks!$W$3:$W$23,Lists!$A43),Tasks!$W$3:$W$23,0),MATCH(B$16,Tasks!$A$2:$V$2,0)),"")</f>
        <v/>
      </c>
      <c r="C43" s="42" t="str">
        <f>IF($A43&lt;&gt;0,INDEX(Tasks!$A$3:$V$23,MATCH(SMALL(Tasks!$W$3:$W$23,Lists!$A43),Tasks!$W$3:$W$23,0),MATCH(C$16,Tasks!$A$2:$V$2,0)),"")</f>
        <v/>
      </c>
      <c r="D43" s="42" t="str">
        <f>IF($A43&lt;&gt;0,INDEX(Tasks!$A$3:$V$23,MATCH(SMALL(Tasks!$W$3:$W$23,Lists!$A43),Tasks!$W$3:$W$23,0),MATCH(D$16,Tasks!$A$2:$V$2,0)),"")</f>
        <v/>
      </c>
      <c r="E43" s="43" t="str">
        <f>IF($A43&lt;&gt;0,INDEX(Tasks!$A$3:$V$23,MATCH(SMALL(Tasks!$W$3:$W$23,Lists!$A43),Tasks!$W$3:$W$23,0),MATCH(E$16,Tasks!$A$2:$V$2,0)),"")</f>
        <v/>
      </c>
      <c r="F43" s="44" t="str">
        <f>IF($A43&lt;&gt;0,INDEX(Tasks!$A$3:$V$23,MATCH(SMALL(Tasks!$W$3:$W$23,Lists!$A43),Tasks!$W$3:$W$23,0),MATCH(F$16,Tasks!$A$2:$V$2,0)),"")</f>
        <v/>
      </c>
      <c r="G43" s="45" t="str">
        <f>IF($A43&lt;&gt;0,INDEX(Tasks!$A$3:$V$23,MATCH(SMALL(Tasks!$W$3:$W$23,Lists!$A43),Tasks!$W$3:$W$23,0),MATCH(G$16,Tasks!$A$2:$V$2,0)),"")</f>
        <v/>
      </c>
      <c r="H43" s="46" t="str">
        <f>IF($A43&lt;&gt;0,INDEX(Tasks!$A$3:$V$23,MATCH(SMALL(Tasks!$W$3:$W$23,Lists!$A43),Tasks!$W$3:$W$23,0),MATCH(H$16,Tasks!$A$2:$V$2,0)),"")</f>
        <v/>
      </c>
      <c r="I43" s="43" t="str">
        <f>IF($A43&lt;&gt;0,INDEX(Tasks!$A$3:$V$23,MATCH(SMALL(Tasks!$W$3:$W$23,Lists!$A43),Tasks!$W$3:$W$23,0),MATCH(I$16,Tasks!$A$2:$V$2,0)),"")</f>
        <v/>
      </c>
      <c r="J43" s="44" t="str">
        <f>IF($A43&lt;&gt;0,INDEX(Tasks!$A$3:$V$23,MATCH(SMALL(Tasks!$W$3:$W$23,Lists!$A43),Tasks!$W$3:$W$23,0),MATCH(J$16,Tasks!$A$2:$V$2,0)),"")</f>
        <v/>
      </c>
      <c r="K43" s="45" t="str">
        <f>IF($A43&lt;&gt;0,INDEX(Tasks!$A$3:$V$23,MATCH(SMALL(Tasks!$W$3:$W$23,Lists!$A43),Tasks!$W$3:$W$23,0),MATCH(K$16,Tasks!$A$2:$V$2,0)),"")</f>
        <v/>
      </c>
      <c r="L43" s="46" t="str">
        <f>IF($A43&lt;&gt;0,INDEX(Tasks!$A$3:$V$23,MATCH(SMALL(Tasks!$W$3:$W$23,Lists!$A43),Tasks!$W$3:$W$23,0),MATCH(L$16,Tasks!$A$2:$V$2,0)),"")</f>
        <v/>
      </c>
      <c r="M43" s="47" t="str">
        <f>IF($A43&lt;&gt;0,INDEX(Tasks!$A$3:$V$23,MATCH(SMALL(Tasks!$W$3:$W$23,Lists!$A43),Tasks!$W$3:$W$23,0),MATCH(M$16,Tasks!$A$2:$V$2,0)),"")</f>
        <v/>
      </c>
      <c r="N43" s="46" t="str">
        <f>IF($A43&lt;&gt;0,INDEX(Tasks!$A$3:$V$23,MATCH(SMALL(Tasks!$W$3:$W$23,Lists!$A43),Tasks!$W$3:$W$23,0),MATCH(N$16,Tasks!$A$2:$V$2,0)),"")</f>
        <v/>
      </c>
      <c r="O43" s="46" t="str">
        <f>IF($A43&lt;&gt;0,INDEX(Tasks!$A$3:$V$23,MATCH(SMALL(Tasks!$W$3:$W$23,Lists!$A43),Tasks!$W$3:$W$23,0),MATCH(O$16,Tasks!$A$2:$V$2,0)),"")</f>
        <v/>
      </c>
      <c r="P43" s="42" t="str">
        <f>IF($A43&lt;&gt;0,INDEX(Tasks!$A$3:$V$23,MATCH(SMALL(Tasks!$W$3:$W$23,Lists!$A43),Tasks!$W$3:$W$23,0),MATCH(P$16,Tasks!$A$2:$V$2,0)),"")</f>
        <v/>
      </c>
      <c r="Q43" s="42" t="str">
        <f>IF($A43&lt;&gt;0,INDEX(Tasks!$A$3:$V$23,MATCH(SMALL(Tasks!$W$3:$W$23,Lists!$A43),Tasks!$W$3:$W$23,0),MATCH(Q$16,Tasks!$A$2:$V$2,0)),"")</f>
        <v/>
      </c>
      <c r="R43" s="48" t="str">
        <f>IF($A43&lt;&gt;0,INDEX(Tasks!$A$3:$V$23,MATCH(SMALL(Tasks!$W$3:$W$23,Lists!$A43),Tasks!$W$3:$W$23,0),MATCH(R$16,Tasks!$A$2:$V$2,0)),"")</f>
        <v/>
      </c>
      <c r="S43" s="48" t="str">
        <f>IF($A43&lt;&gt;0,INDEX(Tasks!$A$3:$V$23,MATCH(SMALL(Tasks!$W$3:$W$23,Lists!$A43),Tasks!$W$3:$W$23,0),MATCH(S$16,Tasks!$A$2:$V$2,0)),"")</f>
        <v/>
      </c>
      <c r="T43" s="48" t="str">
        <f>IF($A43&lt;&gt;0,INDEX(Tasks!$A$3:$V$23,MATCH(SMALL(Tasks!$W$3:$W$23,Lists!$A43),Tasks!$W$3:$W$23,0),MATCH(T$16,Tasks!$A$2:$V$2,0)),"")</f>
        <v/>
      </c>
      <c r="U43" s="42" t="str">
        <f>IF($A43&lt;&gt;0,INDEX(Tasks!$A$3:$V$23,MATCH(SMALL(Tasks!$W$3:$W$23,Lists!$A43),Tasks!$W$3:$W$23,0),MATCH(U$16,Tasks!$A$2:$V$2,0)),"")</f>
        <v/>
      </c>
      <c r="V43" s="42" t="str">
        <f>IF($A43&lt;&gt;0,INDEX(Tasks!$A$3:$V$23,MATCH(SMALL(Tasks!$W$3:$W$23,Lists!$A43),Tasks!$W$3:$W$23,0),MATCH(V$16,Tasks!$A$2:$V$2,0)),"")</f>
        <v/>
      </c>
      <c r="W43" s="49" t="str">
        <f>IF($A43&lt;&gt;0,INDEX(Tasks!$A$3:$V$23,MATCH(SMALL(Tasks!$W$3:$W$23,Lists!$A43),Tasks!$W$3:$W$23,0),MATCH(W$16,Tasks!$A$2:$V$2,0)),"")</f>
        <v/>
      </c>
      <c r="AE43" s="41">
        <f>IF(ROWS($AE$16:$AE43)-1&lt;=$AE$16,ROWS($AE$16:$AE43)-1,0)</f>
        <v>0</v>
      </c>
      <c r="AF43" s="41" t="str">
        <f>IF($AE43&lt;&gt;0,INDEX(Issues!$A$4:$K$19,MATCH(SMALL(Issues!$L$4:$L$19,Lists!$AE43),Issues!$L$4:$L$19,0),MATCH(Lists!AF$16,Issues!$A$3:$K$3,0)),"")</f>
        <v/>
      </c>
      <c r="AG43" s="41" t="str">
        <f>IF($AE43&lt;&gt;0,INDEX(Issues!$A$4:$K$19,MATCH(SMALL(Issues!$L$4:$L$19,Lists!$AE43),Issues!$L$4:$L$19,0),MATCH(Lists!AG$16,Issues!$A$3:$K$3,0)),"")</f>
        <v/>
      </c>
      <c r="AH43" s="41" t="str">
        <f>IF($AE43&lt;&gt;0,INDEX(Issues!$A$4:$K$19,MATCH(SMALL(Issues!$L$4:$L$19,Lists!$AE43),Issues!$L$4:$L$19,0),MATCH(Lists!AH$16,Issues!$A$3:$K$3,0)),"")</f>
        <v/>
      </c>
      <c r="AI43" s="41" t="str">
        <f>IF($AE43&lt;&gt;0,INDEX(Issues!$A$4:$K$19,MATCH(SMALL(Issues!$L$4:$L$19,Lists!$AE43),Issues!$L$4:$L$19,0),MATCH(Lists!AI$16,Issues!$A$3:$K$3,0)),"")</f>
        <v/>
      </c>
      <c r="AJ43" s="41" t="str">
        <f>IF($AE43&lt;&gt;0,INDEX(Issues!$A$4:$K$19,MATCH(SMALL(Issues!$L$4:$L$19,Lists!$AE43),Issues!$L$4:$L$19,0),MATCH(Lists!AJ$16,Issues!$A$3:$K$3,0)),"")</f>
        <v/>
      </c>
      <c r="AK43" s="41" t="str">
        <f>IF($AE43&lt;&gt;0,INDEX(Issues!$A$4:$K$19,MATCH(SMALL(Issues!$L$4:$L$19,Lists!$AE43),Issues!$L$4:$L$19,0),MATCH(Lists!AK$16,Issues!$A$3:$K$3,0)),"")</f>
        <v/>
      </c>
      <c r="AL43" s="41" t="str">
        <f>IF($AE43&lt;&gt;0,INDEX(Issues!$A$4:$K$19,MATCH(SMALL(Issues!$L$4:$L$19,Lists!$AE43),Issues!$L$4:$L$19,0),MATCH(Lists!AL$16,Issues!$A$3:$K$3,0)),"")</f>
        <v/>
      </c>
      <c r="AM43" s="41" t="str">
        <f>IF($AE43&lt;&gt;0,INDEX(Issues!$A$4:$K$19,MATCH(SMALL(Issues!$L$4:$L$19,Lists!$AE43),Issues!$L$4:$L$19,0),MATCH(Lists!AM$16,Issues!$A$3:$K$3,0)),"")</f>
        <v/>
      </c>
      <c r="AN43" s="41" t="str">
        <f>IF($AE43&lt;&gt;0,INDEX(Issues!$A$4:$K$19,MATCH(SMALL(Issues!$L$4:$L$19,Lists!$AE43),Issues!$L$4:$L$19,0),MATCH(Lists!AN$16,Issues!$A$3:$K$3,0)),"")</f>
        <v/>
      </c>
      <c r="AO43" s="41" t="str">
        <f>IF($AE43&lt;&gt;0,INDEX(Issues!$A$4:$K$19,MATCH(SMALL(Issues!$L$4:$L$19,Lists!$AE43),Issues!$L$4:$L$19,0),MATCH(Lists!AO$16,Issues!$A$3:$K$3,0)),"")</f>
        <v/>
      </c>
      <c r="AP43" s="41" t="str">
        <f>IF($AE43&lt;&gt;0,INDEX(Issues!$A$4:$K$19,MATCH(SMALL(Issues!$L$4:$L$19,Lists!$AE43),Issues!$L$4:$L$19,0),MATCH(Lists!AP$16,Issues!$A$3:$K$3,0)),"")</f>
        <v/>
      </c>
    </row>
    <row r="44" spans="1:42" x14ac:dyDescent="0.3">
      <c r="A44" s="41">
        <f>IF(ROWS($A$16:A44)-1&lt;=$A$16,ROWS($A$16:A44)-1,0)</f>
        <v>0</v>
      </c>
      <c r="B44" s="41" t="str">
        <f>IF($A44&lt;&gt;0,INDEX(Tasks!$A$3:$V$23,MATCH(SMALL(Tasks!$W$3:$W$23,Lists!$A44),Tasks!$W$3:$W$23,0),MATCH(B$16,Tasks!$A$2:$V$2,0)),"")</f>
        <v/>
      </c>
      <c r="C44" s="42" t="str">
        <f>IF($A44&lt;&gt;0,INDEX(Tasks!$A$3:$V$23,MATCH(SMALL(Tasks!$W$3:$W$23,Lists!$A44),Tasks!$W$3:$W$23,0),MATCH(C$16,Tasks!$A$2:$V$2,0)),"")</f>
        <v/>
      </c>
      <c r="D44" s="42" t="str">
        <f>IF($A44&lt;&gt;0,INDEX(Tasks!$A$3:$V$23,MATCH(SMALL(Tasks!$W$3:$W$23,Lists!$A44),Tasks!$W$3:$W$23,0),MATCH(D$16,Tasks!$A$2:$V$2,0)),"")</f>
        <v/>
      </c>
      <c r="E44" s="43" t="str">
        <f>IF($A44&lt;&gt;0,INDEX(Tasks!$A$3:$V$23,MATCH(SMALL(Tasks!$W$3:$W$23,Lists!$A44),Tasks!$W$3:$W$23,0),MATCH(E$16,Tasks!$A$2:$V$2,0)),"")</f>
        <v/>
      </c>
      <c r="F44" s="44" t="str">
        <f>IF($A44&lt;&gt;0,INDEX(Tasks!$A$3:$V$23,MATCH(SMALL(Tasks!$W$3:$W$23,Lists!$A44),Tasks!$W$3:$W$23,0),MATCH(F$16,Tasks!$A$2:$V$2,0)),"")</f>
        <v/>
      </c>
      <c r="G44" s="45" t="str">
        <f>IF($A44&lt;&gt;0,INDEX(Tasks!$A$3:$V$23,MATCH(SMALL(Tasks!$W$3:$W$23,Lists!$A44),Tasks!$W$3:$W$23,0),MATCH(G$16,Tasks!$A$2:$V$2,0)),"")</f>
        <v/>
      </c>
      <c r="H44" s="46" t="str">
        <f>IF($A44&lt;&gt;0,INDEX(Tasks!$A$3:$V$23,MATCH(SMALL(Tasks!$W$3:$W$23,Lists!$A44),Tasks!$W$3:$W$23,0),MATCH(H$16,Tasks!$A$2:$V$2,0)),"")</f>
        <v/>
      </c>
      <c r="I44" s="43" t="str">
        <f>IF($A44&lt;&gt;0,INDEX(Tasks!$A$3:$V$23,MATCH(SMALL(Tasks!$W$3:$W$23,Lists!$A44),Tasks!$W$3:$W$23,0),MATCH(I$16,Tasks!$A$2:$V$2,0)),"")</f>
        <v/>
      </c>
      <c r="J44" s="44" t="str">
        <f>IF($A44&lt;&gt;0,INDEX(Tasks!$A$3:$V$23,MATCH(SMALL(Tasks!$W$3:$W$23,Lists!$A44),Tasks!$W$3:$W$23,0),MATCH(J$16,Tasks!$A$2:$V$2,0)),"")</f>
        <v/>
      </c>
      <c r="K44" s="45" t="str">
        <f>IF($A44&lt;&gt;0,INDEX(Tasks!$A$3:$V$23,MATCH(SMALL(Tasks!$W$3:$W$23,Lists!$A44),Tasks!$W$3:$W$23,0),MATCH(K$16,Tasks!$A$2:$V$2,0)),"")</f>
        <v/>
      </c>
      <c r="L44" s="46" t="str">
        <f>IF($A44&lt;&gt;0,INDEX(Tasks!$A$3:$V$23,MATCH(SMALL(Tasks!$W$3:$W$23,Lists!$A44),Tasks!$W$3:$W$23,0),MATCH(L$16,Tasks!$A$2:$V$2,0)),"")</f>
        <v/>
      </c>
      <c r="M44" s="47" t="str">
        <f>IF($A44&lt;&gt;0,INDEX(Tasks!$A$3:$V$23,MATCH(SMALL(Tasks!$W$3:$W$23,Lists!$A44),Tasks!$W$3:$W$23,0),MATCH(M$16,Tasks!$A$2:$V$2,0)),"")</f>
        <v/>
      </c>
      <c r="N44" s="46" t="str">
        <f>IF($A44&lt;&gt;0,INDEX(Tasks!$A$3:$V$23,MATCH(SMALL(Tasks!$W$3:$W$23,Lists!$A44),Tasks!$W$3:$W$23,0),MATCH(N$16,Tasks!$A$2:$V$2,0)),"")</f>
        <v/>
      </c>
      <c r="O44" s="46" t="str">
        <f>IF($A44&lt;&gt;0,INDEX(Tasks!$A$3:$V$23,MATCH(SMALL(Tasks!$W$3:$W$23,Lists!$A44),Tasks!$W$3:$W$23,0),MATCH(O$16,Tasks!$A$2:$V$2,0)),"")</f>
        <v/>
      </c>
      <c r="P44" s="42" t="str">
        <f>IF($A44&lt;&gt;0,INDEX(Tasks!$A$3:$V$23,MATCH(SMALL(Tasks!$W$3:$W$23,Lists!$A44),Tasks!$W$3:$W$23,0),MATCH(P$16,Tasks!$A$2:$V$2,0)),"")</f>
        <v/>
      </c>
      <c r="Q44" s="42" t="str">
        <f>IF($A44&lt;&gt;0,INDEX(Tasks!$A$3:$V$23,MATCH(SMALL(Tasks!$W$3:$W$23,Lists!$A44),Tasks!$W$3:$W$23,0),MATCH(Q$16,Tasks!$A$2:$V$2,0)),"")</f>
        <v/>
      </c>
      <c r="R44" s="48" t="str">
        <f>IF($A44&lt;&gt;0,INDEX(Tasks!$A$3:$V$23,MATCH(SMALL(Tasks!$W$3:$W$23,Lists!$A44),Tasks!$W$3:$W$23,0),MATCH(R$16,Tasks!$A$2:$V$2,0)),"")</f>
        <v/>
      </c>
      <c r="S44" s="48" t="str">
        <f>IF($A44&lt;&gt;0,INDEX(Tasks!$A$3:$V$23,MATCH(SMALL(Tasks!$W$3:$W$23,Lists!$A44),Tasks!$W$3:$W$23,0),MATCH(S$16,Tasks!$A$2:$V$2,0)),"")</f>
        <v/>
      </c>
      <c r="T44" s="48" t="str">
        <f>IF($A44&lt;&gt;0,INDEX(Tasks!$A$3:$V$23,MATCH(SMALL(Tasks!$W$3:$W$23,Lists!$A44),Tasks!$W$3:$W$23,0),MATCH(T$16,Tasks!$A$2:$V$2,0)),"")</f>
        <v/>
      </c>
      <c r="U44" s="42" t="str">
        <f>IF($A44&lt;&gt;0,INDEX(Tasks!$A$3:$V$23,MATCH(SMALL(Tasks!$W$3:$W$23,Lists!$A44),Tasks!$W$3:$W$23,0),MATCH(U$16,Tasks!$A$2:$V$2,0)),"")</f>
        <v/>
      </c>
      <c r="V44" s="42" t="str">
        <f>IF($A44&lt;&gt;0,INDEX(Tasks!$A$3:$V$23,MATCH(SMALL(Tasks!$W$3:$W$23,Lists!$A44),Tasks!$W$3:$W$23,0),MATCH(V$16,Tasks!$A$2:$V$2,0)),"")</f>
        <v/>
      </c>
      <c r="W44" s="49" t="str">
        <f>IF($A44&lt;&gt;0,INDEX(Tasks!$A$3:$V$23,MATCH(SMALL(Tasks!$W$3:$W$23,Lists!$A44),Tasks!$W$3:$W$23,0),MATCH(W$16,Tasks!$A$2:$V$2,0)),"")</f>
        <v/>
      </c>
      <c r="AE44" s="41">
        <f>IF(ROWS($AE$16:$AE44)-1&lt;=$AE$16,ROWS($AE$16:$AE44)-1,0)</f>
        <v>0</v>
      </c>
      <c r="AF44" s="41" t="str">
        <f>IF($AE44&lt;&gt;0,INDEX(Issues!$A$4:$K$19,MATCH(SMALL(Issues!$L$4:$L$19,Lists!$AE44),Issues!$L$4:$L$19,0),MATCH(Lists!AF$16,Issues!$A$3:$K$3,0)),"")</f>
        <v/>
      </c>
      <c r="AG44" s="41" t="str">
        <f>IF($AE44&lt;&gt;0,INDEX(Issues!$A$4:$K$19,MATCH(SMALL(Issues!$L$4:$L$19,Lists!$AE44),Issues!$L$4:$L$19,0),MATCH(Lists!AG$16,Issues!$A$3:$K$3,0)),"")</f>
        <v/>
      </c>
      <c r="AH44" s="41" t="str">
        <f>IF($AE44&lt;&gt;0,INDEX(Issues!$A$4:$K$19,MATCH(SMALL(Issues!$L$4:$L$19,Lists!$AE44),Issues!$L$4:$L$19,0),MATCH(Lists!AH$16,Issues!$A$3:$K$3,0)),"")</f>
        <v/>
      </c>
      <c r="AI44" s="41" t="str">
        <f>IF($AE44&lt;&gt;0,INDEX(Issues!$A$4:$K$19,MATCH(SMALL(Issues!$L$4:$L$19,Lists!$AE44),Issues!$L$4:$L$19,0),MATCH(Lists!AI$16,Issues!$A$3:$K$3,0)),"")</f>
        <v/>
      </c>
      <c r="AJ44" s="41" t="str">
        <f>IF($AE44&lt;&gt;0,INDEX(Issues!$A$4:$K$19,MATCH(SMALL(Issues!$L$4:$L$19,Lists!$AE44),Issues!$L$4:$L$19,0),MATCH(Lists!AJ$16,Issues!$A$3:$K$3,0)),"")</f>
        <v/>
      </c>
      <c r="AK44" s="41" t="str">
        <f>IF($AE44&lt;&gt;0,INDEX(Issues!$A$4:$K$19,MATCH(SMALL(Issues!$L$4:$L$19,Lists!$AE44),Issues!$L$4:$L$19,0),MATCH(Lists!AK$16,Issues!$A$3:$K$3,0)),"")</f>
        <v/>
      </c>
      <c r="AL44" s="41" t="str">
        <f>IF($AE44&lt;&gt;0,INDEX(Issues!$A$4:$K$19,MATCH(SMALL(Issues!$L$4:$L$19,Lists!$AE44),Issues!$L$4:$L$19,0),MATCH(Lists!AL$16,Issues!$A$3:$K$3,0)),"")</f>
        <v/>
      </c>
      <c r="AM44" s="41" t="str">
        <f>IF($AE44&lt;&gt;0,INDEX(Issues!$A$4:$K$19,MATCH(SMALL(Issues!$L$4:$L$19,Lists!$AE44),Issues!$L$4:$L$19,0),MATCH(Lists!AM$16,Issues!$A$3:$K$3,0)),"")</f>
        <v/>
      </c>
      <c r="AN44" s="41" t="str">
        <f>IF($AE44&lt;&gt;0,INDEX(Issues!$A$4:$K$19,MATCH(SMALL(Issues!$L$4:$L$19,Lists!$AE44),Issues!$L$4:$L$19,0),MATCH(Lists!AN$16,Issues!$A$3:$K$3,0)),"")</f>
        <v/>
      </c>
      <c r="AO44" s="41" t="str">
        <f>IF($AE44&lt;&gt;0,INDEX(Issues!$A$4:$K$19,MATCH(SMALL(Issues!$L$4:$L$19,Lists!$AE44),Issues!$L$4:$L$19,0),MATCH(Lists!AO$16,Issues!$A$3:$K$3,0)),"")</f>
        <v/>
      </c>
      <c r="AP44" s="41" t="str">
        <f>IF($AE44&lt;&gt;0,INDEX(Issues!$A$4:$K$19,MATCH(SMALL(Issues!$L$4:$L$19,Lists!$AE44),Issues!$L$4:$L$19,0),MATCH(Lists!AP$16,Issues!$A$3:$K$3,0)),"")</f>
        <v/>
      </c>
    </row>
    <row r="45" spans="1:42" x14ac:dyDescent="0.3">
      <c r="A45" s="41">
        <f>IF(ROWS($A$16:A45)-1&lt;=$A$16,ROWS($A$16:A45)-1,0)</f>
        <v>0</v>
      </c>
      <c r="B45" s="41" t="str">
        <f>IF($A45&lt;&gt;0,INDEX(Tasks!$A$3:$V$23,MATCH(SMALL(Tasks!$W$3:$W$23,Lists!$A45),Tasks!$W$3:$W$23,0),MATCH(B$16,Tasks!$A$2:$V$2,0)),"")</f>
        <v/>
      </c>
      <c r="C45" s="42" t="str">
        <f>IF($A45&lt;&gt;0,INDEX(Tasks!$A$3:$V$23,MATCH(SMALL(Tasks!$W$3:$W$23,Lists!$A45),Tasks!$W$3:$W$23,0),MATCH(C$16,Tasks!$A$2:$V$2,0)),"")</f>
        <v/>
      </c>
      <c r="D45" s="42" t="str">
        <f>IF($A45&lt;&gt;0,INDEX(Tasks!$A$3:$V$23,MATCH(SMALL(Tasks!$W$3:$W$23,Lists!$A45),Tasks!$W$3:$W$23,0),MATCH(D$16,Tasks!$A$2:$V$2,0)),"")</f>
        <v/>
      </c>
      <c r="E45" s="43" t="str">
        <f>IF($A45&lt;&gt;0,INDEX(Tasks!$A$3:$V$23,MATCH(SMALL(Tasks!$W$3:$W$23,Lists!$A45),Tasks!$W$3:$W$23,0),MATCH(E$16,Tasks!$A$2:$V$2,0)),"")</f>
        <v/>
      </c>
      <c r="F45" s="44" t="str">
        <f>IF($A45&lt;&gt;0,INDEX(Tasks!$A$3:$V$23,MATCH(SMALL(Tasks!$W$3:$W$23,Lists!$A45),Tasks!$W$3:$W$23,0),MATCH(F$16,Tasks!$A$2:$V$2,0)),"")</f>
        <v/>
      </c>
      <c r="G45" s="45" t="str">
        <f>IF($A45&lt;&gt;0,INDEX(Tasks!$A$3:$V$23,MATCH(SMALL(Tasks!$W$3:$W$23,Lists!$A45),Tasks!$W$3:$W$23,0),MATCH(G$16,Tasks!$A$2:$V$2,0)),"")</f>
        <v/>
      </c>
      <c r="H45" s="46" t="str">
        <f>IF($A45&lt;&gt;0,INDEX(Tasks!$A$3:$V$23,MATCH(SMALL(Tasks!$W$3:$W$23,Lists!$A45),Tasks!$W$3:$W$23,0),MATCH(H$16,Tasks!$A$2:$V$2,0)),"")</f>
        <v/>
      </c>
      <c r="I45" s="43" t="str">
        <f>IF($A45&lt;&gt;0,INDEX(Tasks!$A$3:$V$23,MATCH(SMALL(Tasks!$W$3:$W$23,Lists!$A45),Tasks!$W$3:$W$23,0),MATCH(I$16,Tasks!$A$2:$V$2,0)),"")</f>
        <v/>
      </c>
      <c r="J45" s="44" t="str">
        <f>IF($A45&lt;&gt;0,INDEX(Tasks!$A$3:$V$23,MATCH(SMALL(Tasks!$W$3:$W$23,Lists!$A45),Tasks!$W$3:$W$23,0),MATCH(J$16,Tasks!$A$2:$V$2,0)),"")</f>
        <v/>
      </c>
      <c r="K45" s="45" t="str">
        <f>IF($A45&lt;&gt;0,INDEX(Tasks!$A$3:$V$23,MATCH(SMALL(Tasks!$W$3:$W$23,Lists!$A45),Tasks!$W$3:$W$23,0),MATCH(K$16,Tasks!$A$2:$V$2,0)),"")</f>
        <v/>
      </c>
      <c r="L45" s="46" t="str">
        <f>IF($A45&lt;&gt;0,INDEX(Tasks!$A$3:$V$23,MATCH(SMALL(Tasks!$W$3:$W$23,Lists!$A45),Tasks!$W$3:$W$23,0),MATCH(L$16,Tasks!$A$2:$V$2,0)),"")</f>
        <v/>
      </c>
      <c r="M45" s="47" t="str">
        <f>IF($A45&lt;&gt;0,INDEX(Tasks!$A$3:$V$23,MATCH(SMALL(Tasks!$W$3:$W$23,Lists!$A45),Tasks!$W$3:$W$23,0),MATCH(M$16,Tasks!$A$2:$V$2,0)),"")</f>
        <v/>
      </c>
      <c r="N45" s="46" t="str">
        <f>IF($A45&lt;&gt;0,INDEX(Tasks!$A$3:$V$23,MATCH(SMALL(Tasks!$W$3:$W$23,Lists!$A45),Tasks!$W$3:$W$23,0),MATCH(N$16,Tasks!$A$2:$V$2,0)),"")</f>
        <v/>
      </c>
      <c r="O45" s="46" t="str">
        <f>IF($A45&lt;&gt;0,INDEX(Tasks!$A$3:$V$23,MATCH(SMALL(Tasks!$W$3:$W$23,Lists!$A45),Tasks!$W$3:$W$23,0),MATCH(O$16,Tasks!$A$2:$V$2,0)),"")</f>
        <v/>
      </c>
      <c r="P45" s="42" t="str">
        <f>IF($A45&lt;&gt;0,INDEX(Tasks!$A$3:$V$23,MATCH(SMALL(Tasks!$W$3:$W$23,Lists!$A45),Tasks!$W$3:$W$23,0),MATCH(P$16,Tasks!$A$2:$V$2,0)),"")</f>
        <v/>
      </c>
      <c r="Q45" s="42" t="str">
        <f>IF($A45&lt;&gt;0,INDEX(Tasks!$A$3:$V$23,MATCH(SMALL(Tasks!$W$3:$W$23,Lists!$A45),Tasks!$W$3:$W$23,0),MATCH(Q$16,Tasks!$A$2:$V$2,0)),"")</f>
        <v/>
      </c>
      <c r="R45" s="48" t="str">
        <f>IF($A45&lt;&gt;0,INDEX(Tasks!$A$3:$V$23,MATCH(SMALL(Tasks!$W$3:$W$23,Lists!$A45),Tasks!$W$3:$W$23,0),MATCH(R$16,Tasks!$A$2:$V$2,0)),"")</f>
        <v/>
      </c>
      <c r="S45" s="48" t="str">
        <f>IF($A45&lt;&gt;0,INDEX(Tasks!$A$3:$V$23,MATCH(SMALL(Tasks!$W$3:$W$23,Lists!$A45),Tasks!$W$3:$W$23,0),MATCH(S$16,Tasks!$A$2:$V$2,0)),"")</f>
        <v/>
      </c>
      <c r="T45" s="48" t="str">
        <f>IF($A45&lt;&gt;0,INDEX(Tasks!$A$3:$V$23,MATCH(SMALL(Tasks!$W$3:$W$23,Lists!$A45),Tasks!$W$3:$W$23,0),MATCH(T$16,Tasks!$A$2:$V$2,0)),"")</f>
        <v/>
      </c>
      <c r="U45" s="42" t="str">
        <f>IF($A45&lt;&gt;0,INDEX(Tasks!$A$3:$V$23,MATCH(SMALL(Tasks!$W$3:$W$23,Lists!$A45),Tasks!$W$3:$W$23,0),MATCH(U$16,Tasks!$A$2:$V$2,0)),"")</f>
        <v/>
      </c>
      <c r="V45" s="42" t="str">
        <f>IF($A45&lt;&gt;0,INDEX(Tasks!$A$3:$V$23,MATCH(SMALL(Tasks!$W$3:$W$23,Lists!$A45),Tasks!$W$3:$W$23,0),MATCH(V$16,Tasks!$A$2:$V$2,0)),"")</f>
        <v/>
      </c>
      <c r="W45" s="49" t="str">
        <f>IF($A45&lt;&gt;0,INDEX(Tasks!$A$3:$V$23,MATCH(SMALL(Tasks!$W$3:$W$23,Lists!$A45),Tasks!$W$3:$W$23,0),MATCH(W$16,Tasks!$A$2:$V$2,0)),"")</f>
        <v/>
      </c>
      <c r="AE45" s="41">
        <f>IF(ROWS($AE$16:$AE45)-1&lt;=$AE$16,ROWS($AE$16:$AE45)-1,0)</f>
        <v>0</v>
      </c>
      <c r="AF45" s="41" t="str">
        <f>IF($AE45&lt;&gt;0,INDEX(Issues!$A$4:$K$19,MATCH(SMALL(Issues!$L$4:$L$19,Lists!$AE45),Issues!$L$4:$L$19,0),MATCH(Lists!AF$16,Issues!$A$3:$K$3,0)),"")</f>
        <v/>
      </c>
      <c r="AG45" s="41" t="str">
        <f>IF($AE45&lt;&gt;0,INDEX(Issues!$A$4:$K$19,MATCH(SMALL(Issues!$L$4:$L$19,Lists!$AE45),Issues!$L$4:$L$19,0),MATCH(Lists!AG$16,Issues!$A$3:$K$3,0)),"")</f>
        <v/>
      </c>
      <c r="AH45" s="41" t="str">
        <f>IF($AE45&lt;&gt;0,INDEX(Issues!$A$4:$K$19,MATCH(SMALL(Issues!$L$4:$L$19,Lists!$AE45),Issues!$L$4:$L$19,0),MATCH(Lists!AH$16,Issues!$A$3:$K$3,0)),"")</f>
        <v/>
      </c>
      <c r="AI45" s="41" t="str">
        <f>IF($AE45&lt;&gt;0,INDEX(Issues!$A$4:$K$19,MATCH(SMALL(Issues!$L$4:$L$19,Lists!$AE45),Issues!$L$4:$L$19,0),MATCH(Lists!AI$16,Issues!$A$3:$K$3,0)),"")</f>
        <v/>
      </c>
      <c r="AJ45" s="41" t="str">
        <f>IF($AE45&lt;&gt;0,INDEX(Issues!$A$4:$K$19,MATCH(SMALL(Issues!$L$4:$L$19,Lists!$AE45),Issues!$L$4:$L$19,0),MATCH(Lists!AJ$16,Issues!$A$3:$K$3,0)),"")</f>
        <v/>
      </c>
      <c r="AK45" s="41" t="str">
        <f>IF($AE45&lt;&gt;0,INDEX(Issues!$A$4:$K$19,MATCH(SMALL(Issues!$L$4:$L$19,Lists!$AE45),Issues!$L$4:$L$19,0),MATCH(Lists!AK$16,Issues!$A$3:$K$3,0)),"")</f>
        <v/>
      </c>
      <c r="AL45" s="41" t="str">
        <f>IF($AE45&lt;&gt;0,INDEX(Issues!$A$4:$K$19,MATCH(SMALL(Issues!$L$4:$L$19,Lists!$AE45),Issues!$L$4:$L$19,0),MATCH(Lists!AL$16,Issues!$A$3:$K$3,0)),"")</f>
        <v/>
      </c>
      <c r="AM45" s="41" t="str">
        <f>IF($AE45&lt;&gt;0,INDEX(Issues!$A$4:$K$19,MATCH(SMALL(Issues!$L$4:$L$19,Lists!$AE45),Issues!$L$4:$L$19,0),MATCH(Lists!AM$16,Issues!$A$3:$K$3,0)),"")</f>
        <v/>
      </c>
      <c r="AN45" s="41" t="str">
        <f>IF($AE45&lt;&gt;0,INDEX(Issues!$A$4:$K$19,MATCH(SMALL(Issues!$L$4:$L$19,Lists!$AE45),Issues!$L$4:$L$19,0),MATCH(Lists!AN$16,Issues!$A$3:$K$3,0)),"")</f>
        <v/>
      </c>
      <c r="AO45" s="41" t="str">
        <f>IF($AE45&lt;&gt;0,INDEX(Issues!$A$4:$K$19,MATCH(SMALL(Issues!$L$4:$L$19,Lists!$AE45),Issues!$L$4:$L$19,0),MATCH(Lists!AO$16,Issues!$A$3:$K$3,0)),"")</f>
        <v/>
      </c>
      <c r="AP45" s="41" t="str">
        <f>IF($AE45&lt;&gt;0,INDEX(Issues!$A$4:$K$19,MATCH(SMALL(Issues!$L$4:$L$19,Lists!$AE45),Issues!$L$4:$L$19,0),MATCH(Lists!AP$16,Issues!$A$3:$K$3,0)),"")</f>
        <v/>
      </c>
    </row>
    <row r="46" spans="1:42" x14ac:dyDescent="0.3">
      <c r="A46" s="41">
        <f>IF(ROWS($A$16:A46)-1&lt;=$A$16,ROWS($A$16:A46)-1,0)</f>
        <v>0</v>
      </c>
      <c r="B46" s="41" t="str">
        <f>IF($A46&lt;&gt;0,INDEX(Tasks!$A$3:$V$23,MATCH(SMALL(Tasks!$W$3:$W$23,Lists!$A46),Tasks!$W$3:$W$23,0),MATCH(B$16,Tasks!$A$2:$V$2,0)),"")</f>
        <v/>
      </c>
      <c r="C46" s="42" t="str">
        <f>IF($A46&lt;&gt;0,INDEX(Tasks!$A$3:$V$23,MATCH(SMALL(Tasks!$W$3:$W$23,Lists!$A46),Tasks!$W$3:$W$23,0),MATCH(C$16,Tasks!$A$2:$V$2,0)),"")</f>
        <v/>
      </c>
      <c r="D46" s="42" t="str">
        <f>IF($A46&lt;&gt;0,INDEX(Tasks!$A$3:$V$23,MATCH(SMALL(Tasks!$W$3:$W$23,Lists!$A46),Tasks!$W$3:$W$23,0),MATCH(D$16,Tasks!$A$2:$V$2,0)),"")</f>
        <v/>
      </c>
      <c r="E46" s="43" t="str">
        <f>IF($A46&lt;&gt;0,INDEX(Tasks!$A$3:$V$23,MATCH(SMALL(Tasks!$W$3:$W$23,Lists!$A46),Tasks!$W$3:$W$23,0),MATCH(E$16,Tasks!$A$2:$V$2,0)),"")</f>
        <v/>
      </c>
      <c r="F46" s="44" t="str">
        <f>IF($A46&lt;&gt;0,INDEX(Tasks!$A$3:$V$23,MATCH(SMALL(Tasks!$W$3:$W$23,Lists!$A46),Tasks!$W$3:$W$23,0),MATCH(F$16,Tasks!$A$2:$V$2,0)),"")</f>
        <v/>
      </c>
      <c r="G46" s="45" t="str">
        <f>IF($A46&lt;&gt;0,INDEX(Tasks!$A$3:$V$23,MATCH(SMALL(Tasks!$W$3:$W$23,Lists!$A46),Tasks!$W$3:$W$23,0),MATCH(G$16,Tasks!$A$2:$V$2,0)),"")</f>
        <v/>
      </c>
      <c r="H46" s="46" t="str">
        <f>IF($A46&lt;&gt;0,INDEX(Tasks!$A$3:$V$23,MATCH(SMALL(Tasks!$W$3:$W$23,Lists!$A46),Tasks!$W$3:$W$23,0),MATCH(H$16,Tasks!$A$2:$V$2,0)),"")</f>
        <v/>
      </c>
      <c r="I46" s="43" t="str">
        <f>IF($A46&lt;&gt;0,INDEX(Tasks!$A$3:$V$23,MATCH(SMALL(Tasks!$W$3:$W$23,Lists!$A46),Tasks!$W$3:$W$23,0),MATCH(I$16,Tasks!$A$2:$V$2,0)),"")</f>
        <v/>
      </c>
      <c r="J46" s="44" t="str">
        <f>IF($A46&lt;&gt;0,INDEX(Tasks!$A$3:$V$23,MATCH(SMALL(Tasks!$W$3:$W$23,Lists!$A46),Tasks!$W$3:$W$23,0),MATCH(J$16,Tasks!$A$2:$V$2,0)),"")</f>
        <v/>
      </c>
      <c r="K46" s="45" t="str">
        <f>IF($A46&lt;&gt;0,INDEX(Tasks!$A$3:$V$23,MATCH(SMALL(Tasks!$W$3:$W$23,Lists!$A46),Tasks!$W$3:$W$23,0),MATCH(K$16,Tasks!$A$2:$V$2,0)),"")</f>
        <v/>
      </c>
      <c r="L46" s="46" t="str">
        <f>IF($A46&lt;&gt;0,INDEX(Tasks!$A$3:$V$23,MATCH(SMALL(Tasks!$W$3:$W$23,Lists!$A46),Tasks!$W$3:$W$23,0),MATCH(L$16,Tasks!$A$2:$V$2,0)),"")</f>
        <v/>
      </c>
      <c r="M46" s="47" t="str">
        <f>IF($A46&lt;&gt;0,INDEX(Tasks!$A$3:$V$23,MATCH(SMALL(Tasks!$W$3:$W$23,Lists!$A46),Tasks!$W$3:$W$23,0),MATCH(M$16,Tasks!$A$2:$V$2,0)),"")</f>
        <v/>
      </c>
      <c r="N46" s="46" t="str">
        <f>IF($A46&lt;&gt;0,INDEX(Tasks!$A$3:$V$23,MATCH(SMALL(Tasks!$W$3:$W$23,Lists!$A46),Tasks!$W$3:$W$23,0),MATCH(N$16,Tasks!$A$2:$V$2,0)),"")</f>
        <v/>
      </c>
      <c r="O46" s="46" t="str">
        <f>IF($A46&lt;&gt;0,INDEX(Tasks!$A$3:$V$23,MATCH(SMALL(Tasks!$W$3:$W$23,Lists!$A46),Tasks!$W$3:$W$23,0),MATCH(O$16,Tasks!$A$2:$V$2,0)),"")</f>
        <v/>
      </c>
      <c r="P46" s="42" t="str">
        <f>IF($A46&lt;&gt;0,INDEX(Tasks!$A$3:$V$23,MATCH(SMALL(Tasks!$W$3:$W$23,Lists!$A46),Tasks!$W$3:$W$23,0),MATCH(P$16,Tasks!$A$2:$V$2,0)),"")</f>
        <v/>
      </c>
      <c r="Q46" s="42" t="str">
        <f>IF($A46&lt;&gt;0,INDEX(Tasks!$A$3:$V$23,MATCH(SMALL(Tasks!$W$3:$W$23,Lists!$A46),Tasks!$W$3:$W$23,0),MATCH(Q$16,Tasks!$A$2:$V$2,0)),"")</f>
        <v/>
      </c>
      <c r="R46" s="48" t="str">
        <f>IF($A46&lt;&gt;0,INDEX(Tasks!$A$3:$V$23,MATCH(SMALL(Tasks!$W$3:$W$23,Lists!$A46),Tasks!$W$3:$W$23,0),MATCH(R$16,Tasks!$A$2:$V$2,0)),"")</f>
        <v/>
      </c>
      <c r="S46" s="48" t="str">
        <f>IF($A46&lt;&gt;0,INDEX(Tasks!$A$3:$V$23,MATCH(SMALL(Tasks!$W$3:$W$23,Lists!$A46),Tasks!$W$3:$W$23,0),MATCH(S$16,Tasks!$A$2:$V$2,0)),"")</f>
        <v/>
      </c>
      <c r="T46" s="48" t="str">
        <f>IF($A46&lt;&gt;0,INDEX(Tasks!$A$3:$V$23,MATCH(SMALL(Tasks!$W$3:$W$23,Lists!$A46),Tasks!$W$3:$W$23,0),MATCH(T$16,Tasks!$A$2:$V$2,0)),"")</f>
        <v/>
      </c>
      <c r="U46" s="42" t="str">
        <f>IF($A46&lt;&gt;0,INDEX(Tasks!$A$3:$V$23,MATCH(SMALL(Tasks!$W$3:$W$23,Lists!$A46),Tasks!$W$3:$W$23,0),MATCH(U$16,Tasks!$A$2:$V$2,0)),"")</f>
        <v/>
      </c>
      <c r="V46" s="42" t="str">
        <f>IF($A46&lt;&gt;0,INDEX(Tasks!$A$3:$V$23,MATCH(SMALL(Tasks!$W$3:$W$23,Lists!$A46),Tasks!$W$3:$W$23,0),MATCH(V$16,Tasks!$A$2:$V$2,0)),"")</f>
        <v/>
      </c>
      <c r="W46" s="49" t="str">
        <f>IF($A46&lt;&gt;0,INDEX(Tasks!$A$3:$V$23,MATCH(SMALL(Tasks!$W$3:$W$23,Lists!$A46),Tasks!$W$3:$W$23,0),MATCH(W$16,Tasks!$A$2:$V$2,0)),"")</f>
        <v/>
      </c>
      <c r="AE46" s="41">
        <f>IF(ROWS($AE$16:$AE46)-1&lt;=$AE$16,ROWS($AE$16:$AE46)-1,0)</f>
        <v>0</v>
      </c>
      <c r="AF46" s="41" t="str">
        <f>IF($AE46&lt;&gt;0,INDEX(Issues!$A$4:$K$19,MATCH(SMALL(Issues!$L$4:$L$19,Lists!$AE46),Issues!$L$4:$L$19,0),MATCH(Lists!AF$16,Issues!$A$3:$K$3,0)),"")</f>
        <v/>
      </c>
      <c r="AG46" s="41" t="str">
        <f>IF($AE46&lt;&gt;0,INDEX(Issues!$A$4:$K$19,MATCH(SMALL(Issues!$L$4:$L$19,Lists!$AE46),Issues!$L$4:$L$19,0),MATCH(Lists!AG$16,Issues!$A$3:$K$3,0)),"")</f>
        <v/>
      </c>
      <c r="AH46" s="41" t="str">
        <f>IF($AE46&lt;&gt;0,INDEX(Issues!$A$4:$K$19,MATCH(SMALL(Issues!$L$4:$L$19,Lists!$AE46),Issues!$L$4:$L$19,0),MATCH(Lists!AH$16,Issues!$A$3:$K$3,0)),"")</f>
        <v/>
      </c>
      <c r="AI46" s="41" t="str">
        <f>IF($AE46&lt;&gt;0,INDEX(Issues!$A$4:$K$19,MATCH(SMALL(Issues!$L$4:$L$19,Lists!$AE46),Issues!$L$4:$L$19,0),MATCH(Lists!AI$16,Issues!$A$3:$K$3,0)),"")</f>
        <v/>
      </c>
      <c r="AJ46" s="41" t="str">
        <f>IF($AE46&lt;&gt;0,INDEX(Issues!$A$4:$K$19,MATCH(SMALL(Issues!$L$4:$L$19,Lists!$AE46),Issues!$L$4:$L$19,0),MATCH(Lists!AJ$16,Issues!$A$3:$K$3,0)),"")</f>
        <v/>
      </c>
      <c r="AK46" s="41" t="str">
        <f>IF($AE46&lt;&gt;0,INDEX(Issues!$A$4:$K$19,MATCH(SMALL(Issues!$L$4:$L$19,Lists!$AE46),Issues!$L$4:$L$19,0),MATCH(Lists!AK$16,Issues!$A$3:$K$3,0)),"")</f>
        <v/>
      </c>
      <c r="AL46" s="41" t="str">
        <f>IF($AE46&lt;&gt;0,INDEX(Issues!$A$4:$K$19,MATCH(SMALL(Issues!$L$4:$L$19,Lists!$AE46),Issues!$L$4:$L$19,0),MATCH(Lists!AL$16,Issues!$A$3:$K$3,0)),"")</f>
        <v/>
      </c>
      <c r="AM46" s="41" t="str">
        <f>IF($AE46&lt;&gt;0,INDEX(Issues!$A$4:$K$19,MATCH(SMALL(Issues!$L$4:$L$19,Lists!$AE46),Issues!$L$4:$L$19,0),MATCH(Lists!AM$16,Issues!$A$3:$K$3,0)),"")</f>
        <v/>
      </c>
      <c r="AN46" s="41" t="str">
        <f>IF($AE46&lt;&gt;0,INDEX(Issues!$A$4:$K$19,MATCH(SMALL(Issues!$L$4:$L$19,Lists!$AE46),Issues!$L$4:$L$19,0),MATCH(Lists!AN$16,Issues!$A$3:$K$3,0)),"")</f>
        <v/>
      </c>
      <c r="AO46" s="41" t="str">
        <f>IF($AE46&lt;&gt;0,INDEX(Issues!$A$4:$K$19,MATCH(SMALL(Issues!$L$4:$L$19,Lists!$AE46),Issues!$L$4:$L$19,0),MATCH(Lists!AO$16,Issues!$A$3:$K$3,0)),"")</f>
        <v/>
      </c>
      <c r="AP46" s="41" t="str">
        <f>IF($AE46&lt;&gt;0,INDEX(Issues!$A$4:$K$19,MATCH(SMALL(Issues!$L$4:$L$19,Lists!$AE46),Issues!$L$4:$L$19,0),MATCH(Lists!AP$16,Issues!$A$3:$K$3,0)),"")</f>
        <v/>
      </c>
    </row>
    <row r="47" spans="1:42" x14ac:dyDescent="0.3">
      <c r="A47" s="41">
        <f>IF(ROWS($A$16:A47)-1&lt;=$A$16,ROWS($A$16:A47)-1,0)</f>
        <v>0</v>
      </c>
      <c r="B47" s="41" t="str">
        <f>IF($A47&lt;&gt;0,INDEX(Tasks!$A$3:$V$23,MATCH(SMALL(Tasks!$W$3:$W$23,Lists!$A47),Tasks!$W$3:$W$23,0),MATCH(B$16,Tasks!$A$2:$V$2,0)),"")</f>
        <v/>
      </c>
      <c r="C47" s="42" t="str">
        <f>IF($A47&lt;&gt;0,INDEX(Tasks!$A$3:$V$23,MATCH(SMALL(Tasks!$W$3:$W$23,Lists!$A47),Tasks!$W$3:$W$23,0),MATCH(C$16,Tasks!$A$2:$V$2,0)),"")</f>
        <v/>
      </c>
      <c r="D47" s="42" t="str">
        <f>IF($A47&lt;&gt;0,INDEX(Tasks!$A$3:$V$23,MATCH(SMALL(Tasks!$W$3:$W$23,Lists!$A47),Tasks!$W$3:$W$23,0),MATCH(D$16,Tasks!$A$2:$V$2,0)),"")</f>
        <v/>
      </c>
      <c r="E47" s="43" t="str">
        <f>IF($A47&lt;&gt;0,INDEX(Tasks!$A$3:$V$23,MATCH(SMALL(Tasks!$W$3:$W$23,Lists!$A47),Tasks!$W$3:$W$23,0),MATCH(E$16,Tasks!$A$2:$V$2,0)),"")</f>
        <v/>
      </c>
      <c r="F47" s="44" t="str">
        <f>IF($A47&lt;&gt;0,INDEX(Tasks!$A$3:$V$23,MATCH(SMALL(Tasks!$W$3:$W$23,Lists!$A47),Tasks!$W$3:$W$23,0),MATCH(F$16,Tasks!$A$2:$V$2,0)),"")</f>
        <v/>
      </c>
      <c r="G47" s="45" t="str">
        <f>IF($A47&lt;&gt;0,INDEX(Tasks!$A$3:$V$23,MATCH(SMALL(Tasks!$W$3:$W$23,Lists!$A47),Tasks!$W$3:$W$23,0),MATCH(G$16,Tasks!$A$2:$V$2,0)),"")</f>
        <v/>
      </c>
      <c r="H47" s="46" t="str">
        <f>IF($A47&lt;&gt;0,INDEX(Tasks!$A$3:$V$23,MATCH(SMALL(Tasks!$W$3:$W$23,Lists!$A47),Tasks!$W$3:$W$23,0),MATCH(H$16,Tasks!$A$2:$V$2,0)),"")</f>
        <v/>
      </c>
      <c r="I47" s="43" t="str">
        <f>IF($A47&lt;&gt;0,INDEX(Tasks!$A$3:$V$23,MATCH(SMALL(Tasks!$W$3:$W$23,Lists!$A47),Tasks!$W$3:$W$23,0),MATCH(I$16,Tasks!$A$2:$V$2,0)),"")</f>
        <v/>
      </c>
      <c r="J47" s="44" t="str">
        <f>IF($A47&lt;&gt;0,INDEX(Tasks!$A$3:$V$23,MATCH(SMALL(Tasks!$W$3:$W$23,Lists!$A47),Tasks!$W$3:$W$23,0),MATCH(J$16,Tasks!$A$2:$V$2,0)),"")</f>
        <v/>
      </c>
      <c r="K47" s="45" t="str">
        <f>IF($A47&lt;&gt;0,INDEX(Tasks!$A$3:$V$23,MATCH(SMALL(Tasks!$W$3:$W$23,Lists!$A47),Tasks!$W$3:$W$23,0),MATCH(K$16,Tasks!$A$2:$V$2,0)),"")</f>
        <v/>
      </c>
      <c r="L47" s="46" t="str">
        <f>IF($A47&lt;&gt;0,INDEX(Tasks!$A$3:$V$23,MATCH(SMALL(Tasks!$W$3:$W$23,Lists!$A47),Tasks!$W$3:$W$23,0),MATCH(L$16,Tasks!$A$2:$V$2,0)),"")</f>
        <v/>
      </c>
      <c r="M47" s="47" t="str">
        <f>IF($A47&lt;&gt;0,INDEX(Tasks!$A$3:$V$23,MATCH(SMALL(Tasks!$W$3:$W$23,Lists!$A47),Tasks!$W$3:$W$23,0),MATCH(M$16,Tasks!$A$2:$V$2,0)),"")</f>
        <v/>
      </c>
      <c r="N47" s="46" t="str">
        <f>IF($A47&lt;&gt;0,INDEX(Tasks!$A$3:$V$23,MATCH(SMALL(Tasks!$W$3:$W$23,Lists!$A47),Tasks!$W$3:$W$23,0),MATCH(N$16,Tasks!$A$2:$V$2,0)),"")</f>
        <v/>
      </c>
      <c r="O47" s="46" t="str">
        <f>IF($A47&lt;&gt;0,INDEX(Tasks!$A$3:$V$23,MATCH(SMALL(Tasks!$W$3:$W$23,Lists!$A47),Tasks!$W$3:$W$23,0),MATCH(O$16,Tasks!$A$2:$V$2,0)),"")</f>
        <v/>
      </c>
      <c r="P47" s="42" t="str">
        <f>IF($A47&lt;&gt;0,INDEX(Tasks!$A$3:$V$23,MATCH(SMALL(Tasks!$W$3:$W$23,Lists!$A47),Tasks!$W$3:$W$23,0),MATCH(P$16,Tasks!$A$2:$V$2,0)),"")</f>
        <v/>
      </c>
      <c r="Q47" s="42" t="str">
        <f>IF($A47&lt;&gt;0,INDEX(Tasks!$A$3:$V$23,MATCH(SMALL(Tasks!$W$3:$W$23,Lists!$A47),Tasks!$W$3:$W$23,0),MATCH(Q$16,Tasks!$A$2:$V$2,0)),"")</f>
        <v/>
      </c>
      <c r="R47" s="48" t="str">
        <f>IF($A47&lt;&gt;0,INDEX(Tasks!$A$3:$V$23,MATCH(SMALL(Tasks!$W$3:$W$23,Lists!$A47),Tasks!$W$3:$W$23,0),MATCH(R$16,Tasks!$A$2:$V$2,0)),"")</f>
        <v/>
      </c>
      <c r="S47" s="48" t="str">
        <f>IF($A47&lt;&gt;0,INDEX(Tasks!$A$3:$V$23,MATCH(SMALL(Tasks!$W$3:$W$23,Lists!$A47),Tasks!$W$3:$W$23,0),MATCH(S$16,Tasks!$A$2:$V$2,0)),"")</f>
        <v/>
      </c>
      <c r="T47" s="48" t="str">
        <f>IF($A47&lt;&gt;0,INDEX(Tasks!$A$3:$V$23,MATCH(SMALL(Tasks!$W$3:$W$23,Lists!$A47),Tasks!$W$3:$W$23,0),MATCH(T$16,Tasks!$A$2:$V$2,0)),"")</f>
        <v/>
      </c>
      <c r="U47" s="42" t="str">
        <f>IF($A47&lt;&gt;0,INDEX(Tasks!$A$3:$V$23,MATCH(SMALL(Tasks!$W$3:$W$23,Lists!$A47),Tasks!$W$3:$W$23,0),MATCH(U$16,Tasks!$A$2:$V$2,0)),"")</f>
        <v/>
      </c>
      <c r="V47" s="42" t="str">
        <f>IF($A47&lt;&gt;0,INDEX(Tasks!$A$3:$V$23,MATCH(SMALL(Tasks!$W$3:$W$23,Lists!$A47),Tasks!$W$3:$W$23,0),MATCH(V$16,Tasks!$A$2:$V$2,0)),"")</f>
        <v/>
      </c>
      <c r="W47" s="49" t="str">
        <f>IF($A47&lt;&gt;0,INDEX(Tasks!$A$3:$V$23,MATCH(SMALL(Tasks!$W$3:$W$23,Lists!$A47),Tasks!$W$3:$W$23,0),MATCH(W$16,Tasks!$A$2:$V$2,0)),"")</f>
        <v/>
      </c>
      <c r="AE47" s="41">
        <f>IF(ROWS($AE$16:$AE47)-1&lt;=$AE$16,ROWS($AE$16:$AE47)-1,0)</f>
        <v>0</v>
      </c>
      <c r="AF47" s="41" t="str">
        <f>IF($AE47&lt;&gt;0,INDEX(Issues!$A$4:$K$19,MATCH(SMALL(Issues!$L$4:$L$19,Lists!$AE47),Issues!$L$4:$L$19,0),MATCH(Lists!AF$16,Issues!$A$3:$K$3,0)),"")</f>
        <v/>
      </c>
      <c r="AG47" s="41" t="str">
        <f>IF($AE47&lt;&gt;0,INDEX(Issues!$A$4:$K$19,MATCH(SMALL(Issues!$L$4:$L$19,Lists!$AE47),Issues!$L$4:$L$19,0),MATCH(Lists!AG$16,Issues!$A$3:$K$3,0)),"")</f>
        <v/>
      </c>
      <c r="AH47" s="41" t="str">
        <f>IF($AE47&lt;&gt;0,INDEX(Issues!$A$4:$K$19,MATCH(SMALL(Issues!$L$4:$L$19,Lists!$AE47),Issues!$L$4:$L$19,0),MATCH(Lists!AH$16,Issues!$A$3:$K$3,0)),"")</f>
        <v/>
      </c>
      <c r="AI47" s="41" t="str">
        <f>IF($AE47&lt;&gt;0,INDEX(Issues!$A$4:$K$19,MATCH(SMALL(Issues!$L$4:$L$19,Lists!$AE47),Issues!$L$4:$L$19,0),MATCH(Lists!AI$16,Issues!$A$3:$K$3,0)),"")</f>
        <v/>
      </c>
      <c r="AJ47" s="41" t="str">
        <f>IF($AE47&lt;&gt;0,INDEX(Issues!$A$4:$K$19,MATCH(SMALL(Issues!$L$4:$L$19,Lists!$AE47),Issues!$L$4:$L$19,0),MATCH(Lists!AJ$16,Issues!$A$3:$K$3,0)),"")</f>
        <v/>
      </c>
      <c r="AK47" s="41" t="str">
        <f>IF($AE47&lt;&gt;0,INDEX(Issues!$A$4:$K$19,MATCH(SMALL(Issues!$L$4:$L$19,Lists!$AE47),Issues!$L$4:$L$19,0),MATCH(Lists!AK$16,Issues!$A$3:$K$3,0)),"")</f>
        <v/>
      </c>
      <c r="AL47" s="41" t="str">
        <f>IF($AE47&lt;&gt;0,INDEX(Issues!$A$4:$K$19,MATCH(SMALL(Issues!$L$4:$L$19,Lists!$AE47),Issues!$L$4:$L$19,0),MATCH(Lists!AL$16,Issues!$A$3:$K$3,0)),"")</f>
        <v/>
      </c>
      <c r="AM47" s="41" t="str">
        <f>IF($AE47&lt;&gt;0,INDEX(Issues!$A$4:$K$19,MATCH(SMALL(Issues!$L$4:$L$19,Lists!$AE47),Issues!$L$4:$L$19,0),MATCH(Lists!AM$16,Issues!$A$3:$K$3,0)),"")</f>
        <v/>
      </c>
      <c r="AN47" s="41" t="str">
        <f>IF($AE47&lt;&gt;0,INDEX(Issues!$A$4:$K$19,MATCH(SMALL(Issues!$L$4:$L$19,Lists!$AE47),Issues!$L$4:$L$19,0),MATCH(Lists!AN$16,Issues!$A$3:$K$3,0)),"")</f>
        <v/>
      </c>
      <c r="AO47" s="41" t="str">
        <f>IF($AE47&lt;&gt;0,INDEX(Issues!$A$4:$K$19,MATCH(SMALL(Issues!$L$4:$L$19,Lists!$AE47),Issues!$L$4:$L$19,0),MATCH(Lists!AO$16,Issues!$A$3:$K$3,0)),"")</f>
        <v/>
      </c>
      <c r="AP47" s="41" t="str">
        <f>IF($AE47&lt;&gt;0,INDEX(Issues!$A$4:$K$19,MATCH(SMALL(Issues!$L$4:$L$19,Lists!$AE47),Issues!$L$4:$L$19,0),MATCH(Lists!AP$16,Issues!$A$3:$K$3,0)),"")</f>
        <v/>
      </c>
    </row>
  </sheetData>
  <dataValidations count="1">
    <dataValidation type="list" allowBlank="1" showInputMessage="1" showErrorMessage="1" sqref="O4" xr:uid="{29BDC779-5485-4F55-BDA1-98E896A37569}">
      <formula1>$Y$5:$Y$9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50C6-BD02-443B-8DC6-0140F56DF7EA}">
  <dimension ref="A2:J26"/>
  <sheetViews>
    <sheetView showGridLines="0" workbookViewId="0">
      <selection activeCell="J3" sqref="J3"/>
    </sheetView>
  </sheetViews>
  <sheetFormatPr defaultRowHeight="13.8" x14ac:dyDescent="0.25"/>
  <cols>
    <col min="1" max="1" width="21" style="76" customWidth="1"/>
    <col min="2" max="4" width="8.88671875" style="76"/>
    <col min="5" max="5" width="21" style="76" customWidth="1"/>
    <col min="6" max="8" width="8.88671875" style="76"/>
    <col min="9" max="9" width="21" style="76" customWidth="1"/>
    <col min="10" max="16384" width="8.88671875" style="76"/>
  </cols>
  <sheetData>
    <row r="2" spans="1:10" s="78" customFormat="1" ht="22.8" customHeight="1" thickBot="1" x14ac:dyDescent="0.35">
      <c r="A2" s="80" t="s">
        <v>133</v>
      </c>
      <c r="B2" s="81"/>
      <c r="E2" s="80" t="s">
        <v>134</v>
      </c>
      <c r="F2" s="81"/>
      <c r="I2" s="80" t="s">
        <v>138</v>
      </c>
      <c r="J2" s="81"/>
    </row>
    <row r="3" spans="1:10" s="78" customFormat="1" ht="22.8" customHeight="1" thickTop="1" thickBot="1" x14ac:dyDescent="0.35">
      <c r="A3" s="82" t="s">
        <v>129</v>
      </c>
      <c r="B3" s="83">
        <f>Tasks!L24</f>
        <v>0.8571428571428571</v>
      </c>
      <c r="E3" s="82" t="s">
        <v>129</v>
      </c>
      <c r="F3" s="83">
        <f>Tasks!P1/Tasks!K1</f>
        <v>0.50761421319796951</v>
      </c>
      <c r="I3" s="82" t="s">
        <v>129</v>
      </c>
      <c r="J3" s="83">
        <f>'Budget Plan'!H2/'Budget Plan'!C8</f>
        <v>0.6396551724137931</v>
      </c>
    </row>
    <row r="4" spans="1:10" s="78" customFormat="1" ht="22.8" customHeight="1" thickTop="1" thickBot="1" x14ac:dyDescent="0.35">
      <c r="A4" s="82" t="s">
        <v>69</v>
      </c>
      <c r="B4" s="88">
        <f>1-B3</f>
        <v>0.1428571428571429</v>
      </c>
      <c r="E4" s="82" t="s">
        <v>69</v>
      </c>
      <c r="F4" s="88">
        <f>1-F3</f>
        <v>0.49238578680203049</v>
      </c>
      <c r="I4" s="82" t="s">
        <v>69</v>
      </c>
      <c r="J4" s="88">
        <f>1-J3</f>
        <v>0.3603448275862069</v>
      </c>
    </row>
    <row r="5" spans="1:10" s="78" customFormat="1" ht="22.8" customHeight="1" thickTop="1" thickBot="1" x14ac:dyDescent="0.35">
      <c r="A5" s="82" t="s">
        <v>77</v>
      </c>
      <c r="B5" s="88">
        <f>SUM(B3:B4)</f>
        <v>1</v>
      </c>
      <c r="E5" s="82" t="s">
        <v>77</v>
      </c>
      <c r="F5" s="88">
        <f>SUM(F3:F4)</f>
        <v>1</v>
      </c>
      <c r="I5" s="82" t="s">
        <v>77</v>
      </c>
      <c r="J5" s="88">
        <f>SUM(J3:J4)</f>
        <v>1</v>
      </c>
    </row>
    <row r="6" spans="1:10" s="78" customFormat="1" ht="22.8" customHeight="1" thickTop="1" x14ac:dyDescent="0.3">
      <c r="A6" s="77"/>
      <c r="B6" s="79"/>
      <c r="E6" s="77"/>
      <c r="F6" s="79"/>
      <c r="I6" s="77"/>
      <c r="J6" s="79"/>
    </row>
    <row r="7" spans="1:10" s="78" customFormat="1" ht="22.8" customHeight="1" thickBot="1" x14ac:dyDescent="0.35">
      <c r="A7" s="80" t="s">
        <v>139</v>
      </c>
      <c r="B7" s="81"/>
      <c r="E7" s="80" t="s">
        <v>139</v>
      </c>
      <c r="F7" s="81"/>
      <c r="I7" s="80" t="s">
        <v>139</v>
      </c>
      <c r="J7" s="81"/>
    </row>
    <row r="8" spans="1:10" s="78" customFormat="1" ht="22.8" customHeight="1" thickTop="1" thickBot="1" x14ac:dyDescent="0.35">
      <c r="A8" s="84" t="s">
        <v>129</v>
      </c>
      <c r="B8" s="87">
        <f>B3</f>
        <v>0.8571428571428571</v>
      </c>
      <c r="E8" s="84" t="s">
        <v>129</v>
      </c>
      <c r="F8" s="87">
        <f>F3</f>
        <v>0.50761421319796951</v>
      </c>
      <c r="I8" s="84" t="s">
        <v>129</v>
      </c>
      <c r="J8" s="87">
        <f>J3</f>
        <v>0.6396551724137931</v>
      </c>
    </row>
    <row r="9" spans="1:10" s="78" customFormat="1" ht="22.8" customHeight="1" thickTop="1" thickBot="1" x14ac:dyDescent="0.35">
      <c r="A9" s="84" t="s">
        <v>130</v>
      </c>
      <c r="B9" s="87">
        <v>0.01</v>
      </c>
      <c r="E9" s="84" t="s">
        <v>130</v>
      </c>
      <c r="F9" s="87">
        <v>0.01</v>
      </c>
      <c r="I9" s="84" t="s">
        <v>130</v>
      </c>
      <c r="J9" s="87">
        <v>0.01</v>
      </c>
    </row>
    <row r="10" spans="1:10" s="78" customFormat="1" ht="22.8" customHeight="1" thickTop="1" thickBot="1" x14ac:dyDescent="0.35">
      <c r="A10" s="84" t="s">
        <v>131</v>
      </c>
      <c r="B10" s="87">
        <f>2-SUM(B8:B9)</f>
        <v>1.132857142857143</v>
      </c>
      <c r="E10" s="84" t="s">
        <v>131</v>
      </c>
      <c r="F10" s="87">
        <f>2-SUM(F8:F9)</f>
        <v>1.4823857868020305</v>
      </c>
      <c r="I10" s="84" t="s">
        <v>131</v>
      </c>
      <c r="J10" s="87">
        <f>2-SUM(J8:J9)</f>
        <v>1.3503448275862069</v>
      </c>
    </row>
    <row r="11" spans="1:10" s="78" customFormat="1" ht="22.8" customHeight="1" thickTop="1" x14ac:dyDescent="0.3">
      <c r="A11" s="77"/>
      <c r="B11" s="79"/>
      <c r="E11" s="77"/>
      <c r="F11" s="79"/>
      <c r="I11" s="77"/>
      <c r="J11" s="79"/>
    </row>
    <row r="12" spans="1:10" s="78" customFormat="1" ht="22.8" customHeight="1" thickBot="1" x14ac:dyDescent="0.35">
      <c r="A12" s="80" t="s">
        <v>132</v>
      </c>
      <c r="B12" s="81"/>
      <c r="E12" s="80" t="s">
        <v>132</v>
      </c>
      <c r="F12" s="81"/>
      <c r="I12" s="80" t="s">
        <v>132</v>
      </c>
      <c r="J12" s="81"/>
    </row>
    <row r="13" spans="1:10" s="78" customFormat="1" ht="22.8" customHeight="1" thickTop="1" thickBot="1" x14ac:dyDescent="0.35">
      <c r="A13" s="85">
        <v>0.2</v>
      </c>
      <c r="B13" s="83">
        <v>0.1</v>
      </c>
      <c r="E13" s="85">
        <v>0.2</v>
      </c>
      <c r="F13" s="83">
        <v>0.1</v>
      </c>
      <c r="I13" s="85">
        <v>0.2</v>
      </c>
      <c r="J13" s="83">
        <v>0.1</v>
      </c>
    </row>
    <row r="14" spans="1:10" s="78" customFormat="1" ht="22.8" customHeight="1" thickTop="1" thickBot="1" x14ac:dyDescent="0.35">
      <c r="A14" s="85">
        <v>0.2</v>
      </c>
      <c r="B14" s="83">
        <v>0.3</v>
      </c>
      <c r="E14" s="85">
        <v>0.2</v>
      </c>
      <c r="F14" s="83">
        <v>0.3</v>
      </c>
      <c r="I14" s="85">
        <v>0.2</v>
      </c>
      <c r="J14" s="83">
        <v>0.3</v>
      </c>
    </row>
    <row r="15" spans="1:10" s="78" customFormat="1" ht="22.8" customHeight="1" thickTop="1" thickBot="1" x14ac:dyDescent="0.35">
      <c r="A15" s="85">
        <v>0.2</v>
      </c>
      <c r="B15" s="83">
        <v>0.5</v>
      </c>
      <c r="E15" s="85">
        <v>0.2</v>
      </c>
      <c r="F15" s="83">
        <v>0.5</v>
      </c>
      <c r="I15" s="85">
        <v>0.2</v>
      </c>
      <c r="J15" s="83">
        <v>0.5</v>
      </c>
    </row>
    <row r="16" spans="1:10" s="78" customFormat="1" ht="22.8" customHeight="1" thickTop="1" thickBot="1" x14ac:dyDescent="0.35">
      <c r="A16" s="85">
        <v>0.2</v>
      </c>
      <c r="B16" s="83">
        <v>0.7</v>
      </c>
      <c r="E16" s="85">
        <v>0.2</v>
      </c>
      <c r="F16" s="83">
        <v>0.7</v>
      </c>
      <c r="I16" s="85">
        <v>0.2</v>
      </c>
      <c r="J16" s="83">
        <v>0.7</v>
      </c>
    </row>
    <row r="17" spans="1:10" s="78" customFormat="1" ht="22.8" customHeight="1" thickTop="1" thickBot="1" x14ac:dyDescent="0.35">
      <c r="A17" s="85">
        <v>0.2</v>
      </c>
      <c r="B17" s="83">
        <v>0.9</v>
      </c>
      <c r="E17" s="85">
        <v>0.2</v>
      </c>
      <c r="F17" s="83">
        <v>0.9</v>
      </c>
      <c r="I17" s="85">
        <v>0.2</v>
      </c>
      <c r="J17" s="83">
        <v>0.9</v>
      </c>
    </row>
    <row r="18" spans="1:10" s="78" customFormat="1" ht="22.8" customHeight="1" thickTop="1" thickBot="1" x14ac:dyDescent="0.35">
      <c r="A18" s="85">
        <v>1</v>
      </c>
      <c r="B18" s="89">
        <v>1</v>
      </c>
      <c r="E18" s="85">
        <v>1</v>
      </c>
      <c r="F18" s="89">
        <v>1</v>
      </c>
      <c r="I18" s="85">
        <v>1</v>
      </c>
      <c r="J18" s="89">
        <v>1</v>
      </c>
    </row>
    <row r="19" spans="1:10" s="78" customFormat="1" ht="22.8" customHeight="1" thickTop="1" x14ac:dyDescent="0.3">
      <c r="A19" s="77"/>
      <c r="B19" s="79"/>
      <c r="E19" s="77"/>
      <c r="F19" s="79"/>
      <c r="I19" s="77"/>
      <c r="J19" s="79"/>
    </row>
    <row r="20" spans="1:10" s="78" customFormat="1" ht="22.8" customHeight="1" x14ac:dyDescent="0.3">
      <c r="A20" s="77"/>
      <c r="B20" s="79"/>
      <c r="E20" s="77"/>
      <c r="F20" s="79"/>
      <c r="I20" s="77"/>
      <c r="J20" s="79"/>
    </row>
    <row r="21" spans="1:10" s="78" customFormat="1" ht="22.8" customHeight="1" x14ac:dyDescent="0.3">
      <c r="A21" s="77"/>
      <c r="B21" s="79"/>
      <c r="E21" s="77"/>
      <c r="F21" s="79"/>
      <c r="I21" s="77"/>
      <c r="J21" s="79"/>
    </row>
    <row r="22" spans="1:10" s="78" customFormat="1" ht="22.8" customHeight="1" x14ac:dyDescent="0.3">
      <c r="A22" s="77"/>
      <c r="B22" s="79"/>
      <c r="E22" s="77"/>
      <c r="F22" s="79"/>
      <c r="I22" s="77"/>
      <c r="J22" s="79"/>
    </row>
    <row r="23" spans="1:10" s="78" customFormat="1" ht="22.8" customHeight="1" x14ac:dyDescent="0.3">
      <c r="B23" s="79"/>
      <c r="F23" s="79"/>
      <c r="J23" s="79"/>
    </row>
    <row r="24" spans="1:10" s="78" customFormat="1" ht="22.8" customHeight="1" x14ac:dyDescent="0.3">
      <c r="B24" s="79"/>
      <c r="F24" s="79"/>
      <c r="J24" s="79"/>
    </row>
    <row r="25" spans="1:10" s="78" customFormat="1" ht="22.8" customHeight="1" x14ac:dyDescent="0.3"/>
    <row r="26" spans="1:10" s="78" customFormat="1" ht="22.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Dashboard</vt:lpstr>
      <vt:lpstr>Tasks</vt:lpstr>
      <vt:lpstr>Budget Plan</vt:lpstr>
      <vt:lpstr>Issues</vt:lpstr>
      <vt:lpstr>Lists</vt:lpstr>
      <vt:lpstr>SpeedoMeters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</dc:creator>
  <cp:lastModifiedBy>akram</cp:lastModifiedBy>
  <dcterms:created xsi:type="dcterms:W3CDTF">2019-10-15T15:25:37Z</dcterms:created>
  <dcterms:modified xsi:type="dcterms:W3CDTF">2020-04-06T14:41:42Z</dcterms:modified>
</cp:coreProperties>
</file>