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360" yWindow="135" windowWidth="11340" windowHeight="6285" tabRatio="951" activeTab="19"/>
  </bookViews>
  <sheets>
    <sheet name="YELLOW" sheetId="27" r:id="rId1"/>
    <sheet name="GREEN" sheetId="87" r:id="rId2"/>
    <sheet name="Dark(1)" sheetId="97" r:id="rId3"/>
    <sheet name="Dark (2)" sheetId="100" r:id="rId4"/>
    <sheet name="RED" sheetId="112" r:id="rId5"/>
    <sheet name="Purple1" sheetId="114" r:id="rId6"/>
    <sheet name="Blue" sheetId="116" r:id="rId7"/>
    <sheet name="Blue (2)" sheetId="118" r:id="rId8"/>
    <sheet name="Blue (3)" sheetId="119" r:id="rId9"/>
    <sheet name="end" sheetId="120" r:id="rId10"/>
    <sheet name="gravel" sheetId="124" r:id="rId11"/>
    <sheet name="Gutter 1" sheetId="101" r:id="rId12"/>
    <sheet name="Gutter2" sheetId="102" r:id="rId13"/>
    <sheet name="Gutter3 " sheetId="111" r:id="rId14"/>
    <sheet name="RED1" sheetId="113" r:id="rId15"/>
    <sheet name="purple" sheetId="115" r:id="rId16"/>
    <sheet name="Blue1" sheetId="117" r:id="rId17"/>
    <sheet name="end11" sheetId="121" r:id="rId18"/>
    <sheet name="trash" sheetId="122" r:id="rId19"/>
    <sheet name="gravel2" sheetId="125" r:id="rId20"/>
  </sheets>
  <definedNames>
    <definedName name="_Order1" hidden="1">0</definedName>
    <definedName name="_Order2" hidden="1">0</definedName>
    <definedName name="_xlnm.Print_Area" localSheetId="6">Blue!$A$1:$V$19</definedName>
    <definedName name="_xlnm.Print_Area" localSheetId="7">'Blue (2)'!$A$1:$V$19</definedName>
    <definedName name="_xlnm.Print_Area" localSheetId="8">'Blue (3)'!$A$1:$V$19</definedName>
    <definedName name="_xlnm.Print_Area" localSheetId="16">Blue1!$A$1:$V$70</definedName>
    <definedName name="_xlnm.Print_Area" localSheetId="3">'Dark (2)'!$A$1:$V$19</definedName>
    <definedName name="_xlnm.Print_Area" localSheetId="2">'Dark(1)'!$A$1:$V$19</definedName>
    <definedName name="_xlnm.Print_Area" localSheetId="9">end!$A$1:$V$19</definedName>
    <definedName name="_xlnm.Print_Area" localSheetId="17">'end11'!$A$1:$V$70</definedName>
    <definedName name="_xlnm.Print_Area" localSheetId="10">gravel!$A$1:$V$19</definedName>
    <definedName name="_xlnm.Print_Area" localSheetId="19">gravel2!$A$1:$V$70</definedName>
    <definedName name="_xlnm.Print_Area" localSheetId="1">GREEN!$A$1:$V$19</definedName>
    <definedName name="_xlnm.Print_Area" localSheetId="11">'Gutter 1'!$A$1:$V$70</definedName>
    <definedName name="_xlnm.Print_Area" localSheetId="12">Gutter2!$A$1:$V$70</definedName>
    <definedName name="_xlnm.Print_Area" localSheetId="13">'Gutter3 '!$A$1:$V$70</definedName>
    <definedName name="_xlnm.Print_Area" localSheetId="15">purple!$A$1:$V$70</definedName>
    <definedName name="_xlnm.Print_Area" localSheetId="5">Purple1!$A$1:$V$19</definedName>
    <definedName name="_xlnm.Print_Area" localSheetId="4">RED!$A$1:$V$19</definedName>
    <definedName name="_xlnm.Print_Area" localSheetId="14">'RED1'!$A$1:$V$70</definedName>
    <definedName name="_xlnm.Print_Area" localSheetId="18">trash!$A$1:$V$70</definedName>
    <definedName name="_xlnm.Print_Area" localSheetId="0">YELLOW!$A$1:$V$19</definedName>
    <definedName name="_xlnm.Print_Titles" localSheetId="6">Blue!$1:$8</definedName>
    <definedName name="_xlnm.Print_Titles" localSheetId="7">'Blue (2)'!$1:$8</definedName>
    <definedName name="_xlnm.Print_Titles" localSheetId="8">'Blue (3)'!$1:$8</definedName>
    <definedName name="_xlnm.Print_Titles" localSheetId="16">Blue1!$1:$8</definedName>
    <definedName name="_xlnm.Print_Titles" localSheetId="3">'Dark (2)'!$1:$8</definedName>
    <definedName name="_xlnm.Print_Titles" localSheetId="2">'Dark(1)'!$1:$8</definedName>
    <definedName name="_xlnm.Print_Titles" localSheetId="9">end!$1:$8</definedName>
    <definedName name="_xlnm.Print_Titles" localSheetId="17">'end11'!$1:$8</definedName>
    <definedName name="_xlnm.Print_Titles" localSheetId="10">gravel!$1:$8</definedName>
    <definedName name="_xlnm.Print_Titles" localSheetId="19">gravel2!$1:$8</definedName>
    <definedName name="_xlnm.Print_Titles" localSheetId="1">GREEN!$1:$8</definedName>
    <definedName name="_xlnm.Print_Titles" localSheetId="11">'Gutter 1'!$1:$8</definedName>
    <definedName name="_xlnm.Print_Titles" localSheetId="12">Gutter2!$1:$8</definedName>
    <definedName name="_xlnm.Print_Titles" localSheetId="13">'Gutter3 '!$1:$8</definedName>
    <definedName name="_xlnm.Print_Titles" localSheetId="15">purple!$1:$8</definedName>
    <definedName name="_xlnm.Print_Titles" localSheetId="5">Purple1!$1:$8</definedName>
    <definedName name="_xlnm.Print_Titles" localSheetId="4">RED!$1:$8</definedName>
    <definedName name="_xlnm.Print_Titles" localSheetId="14">'RED1'!$1:$8</definedName>
    <definedName name="_xlnm.Print_Titles" localSheetId="18">trash!$1:$8</definedName>
    <definedName name="_xlnm.Print_Titles" localSheetId="0">YELLOW!$1:$8</definedName>
  </definedNames>
  <calcPr calcId="125725"/>
</workbook>
</file>

<file path=xl/calcChain.xml><?xml version="1.0" encoding="utf-8"?>
<calcChain xmlns="http://schemas.openxmlformats.org/spreadsheetml/2006/main">
  <c r="Z33" i="125"/>
  <c r="AB33"/>
  <c r="L17"/>
  <c r="M54" s="1"/>
  <c r="AA57"/>
  <c r="AA58" s="1"/>
  <c r="AA56"/>
  <c r="AA48"/>
  <c r="Z44"/>
  <c r="Y44"/>
  <c r="H38"/>
  <c r="N38" s="1"/>
  <c r="M36"/>
  <c r="M60" s="1"/>
  <c r="Z13"/>
  <c r="Y17" i="124"/>
  <c r="L17"/>
  <c r="Z54" i="101"/>
  <c r="I11" i="27"/>
  <c r="L17" i="121"/>
  <c r="AA57" i="122"/>
  <c r="AA58" s="1"/>
  <c r="AA56"/>
  <c r="AA48"/>
  <c r="Z44"/>
  <c r="Y44"/>
  <c r="H38"/>
  <c r="N38" s="1"/>
  <c r="M36"/>
  <c r="M60" s="1"/>
  <c r="Z28"/>
  <c r="Z13"/>
  <c r="Z28" i="121"/>
  <c r="Y17" i="120"/>
  <c r="AA57" i="121"/>
  <c r="AA58" s="1"/>
  <c r="AA56"/>
  <c r="AA48"/>
  <c r="Z44"/>
  <c r="Y44"/>
  <c r="H38"/>
  <c r="N38" s="1"/>
  <c r="M36"/>
  <c r="M60" s="1"/>
  <c r="Z13"/>
  <c r="L17" i="120"/>
  <c r="AE19" i="116"/>
  <c r="L17" i="119"/>
  <c r="L17" i="116"/>
  <c r="L17" i="117" s="1"/>
  <c r="M54" s="1"/>
  <c r="L17" i="118"/>
  <c r="AA57" i="117"/>
  <c r="AA58" s="1"/>
  <c r="AA56"/>
  <c r="AA48"/>
  <c r="Z44"/>
  <c r="Y44"/>
  <c r="H38"/>
  <c r="N38" s="1"/>
  <c r="M36"/>
  <c r="M60" s="1"/>
  <c r="Z13"/>
  <c r="L17" i="115"/>
  <c r="Y44"/>
  <c r="AA57"/>
  <c r="AA58" s="1"/>
  <c r="AA56"/>
  <c r="AA48"/>
  <c r="Z44"/>
  <c r="H38"/>
  <c r="N38" s="1"/>
  <c r="M36"/>
  <c r="M60" s="1"/>
  <c r="M54"/>
  <c r="Z13"/>
  <c r="L17" i="114"/>
  <c r="I11" i="112"/>
  <c r="L17" s="1"/>
  <c r="AA57" i="113"/>
  <c r="AA58" s="1"/>
  <c r="AA56"/>
  <c r="AA48"/>
  <c r="Z44"/>
  <c r="H38"/>
  <c r="N38" s="1"/>
  <c r="M36"/>
  <c r="M60" s="1"/>
  <c r="Z13"/>
  <c r="I11" i="100"/>
  <c r="I11" i="97"/>
  <c r="AA57" i="111"/>
  <c r="AA58" s="1"/>
  <c r="AA56"/>
  <c r="H38"/>
  <c r="N38" s="1"/>
  <c r="M36"/>
  <c r="M60" s="1"/>
  <c r="Z13"/>
  <c r="AA57" i="102"/>
  <c r="AA58" s="1"/>
  <c r="AA56"/>
  <c r="Z44"/>
  <c r="H38"/>
  <c r="N38" s="1"/>
  <c r="M36"/>
  <c r="K40" s="1"/>
  <c r="Z13"/>
  <c r="H38" i="101"/>
  <c r="N38" s="1"/>
  <c r="Y35"/>
  <c r="AA34"/>
  <c r="Y34"/>
  <c r="AA33"/>
  <c r="Y33"/>
  <c r="Y36" s="1"/>
  <c r="P32"/>
  <c r="M36" s="1"/>
  <c r="W31"/>
  <c r="W32" s="1"/>
  <c r="X32" s="1"/>
  <c r="L17" i="100"/>
  <c r="L17" i="97"/>
  <c r="L17" i="111" s="1"/>
  <c r="M54" s="1"/>
  <c r="I11" i="87"/>
  <c r="L17" s="1"/>
  <c r="L17" i="102" s="1"/>
  <c r="L17" i="27"/>
  <c r="L17" i="101" s="1"/>
  <c r="K40" i="125" l="1"/>
  <c r="I42"/>
  <c r="M54" i="102"/>
  <c r="L17" i="122"/>
  <c r="M54" i="121"/>
  <c r="M54" i="122"/>
  <c r="L17" i="113"/>
  <c r="M54" s="1"/>
  <c r="K40" i="122"/>
  <c r="I42"/>
  <c r="K40" i="121"/>
  <c r="I42"/>
  <c r="K40" i="117"/>
  <c r="G58" s="1"/>
  <c r="I42"/>
  <c r="I44" s="1"/>
  <c r="K46" s="1"/>
  <c r="I42" i="115"/>
  <c r="K40"/>
  <c r="I42" i="113"/>
  <c r="K40"/>
  <c r="K40" i="111"/>
  <c r="I42"/>
  <c r="K40" i="101"/>
  <c r="M60"/>
  <c r="I42"/>
  <c r="G58" i="102"/>
  <c r="M54" i="101"/>
  <c r="I42" i="102"/>
  <c r="I44" s="1"/>
  <c r="K46" s="1"/>
  <c r="M60"/>
  <c r="G58" i="125" l="1"/>
  <c r="I44"/>
  <c r="K46" s="1"/>
  <c r="G58" i="122"/>
  <c r="I44"/>
  <c r="K46" s="1"/>
  <c r="G58" i="121"/>
  <c r="I44"/>
  <c r="K46" s="1"/>
  <c r="M58" i="117"/>
  <c r="K52"/>
  <c r="Q54" s="1"/>
  <c r="G60"/>
  <c r="Q60" s="1"/>
  <c r="J48"/>
  <c r="Q48" s="1"/>
  <c r="Q58"/>
  <c r="I44" i="115"/>
  <c r="K46" s="1"/>
  <c r="G58"/>
  <c r="I44" i="113"/>
  <c r="K46" s="1"/>
  <c r="G58"/>
  <c r="G58" i="111"/>
  <c r="I44"/>
  <c r="K46" s="1"/>
  <c r="G60" i="102"/>
  <c r="M58"/>
  <c r="K52"/>
  <c r="Q54" s="1"/>
  <c r="J48"/>
  <c r="Q48" s="1"/>
  <c r="I44" i="101"/>
  <c r="G58"/>
  <c r="K46"/>
  <c r="Q60" i="102"/>
  <c r="Q58"/>
  <c r="M58" i="125" l="1"/>
  <c r="K52"/>
  <c r="Q54" s="1"/>
  <c r="G60"/>
  <c r="Q60" s="1"/>
  <c r="J48"/>
  <c r="Q48" s="1"/>
  <c r="Q58"/>
  <c r="M58" i="122"/>
  <c r="K52"/>
  <c r="Q54" s="1"/>
  <c r="G60"/>
  <c r="Q60" s="1"/>
  <c r="J48"/>
  <c r="Q48" s="1"/>
  <c r="Q58"/>
  <c r="M58" i="121"/>
  <c r="K52"/>
  <c r="Q54" s="1"/>
  <c r="G60"/>
  <c r="Q60" s="1"/>
  <c r="J48"/>
  <c r="Q48" s="1"/>
  <c r="Q58"/>
  <c r="M58" i="115"/>
  <c r="K52"/>
  <c r="Q54" s="1"/>
  <c r="G60"/>
  <c r="Q60" s="1"/>
  <c r="J48"/>
  <c r="Q48" s="1"/>
  <c r="Q58"/>
  <c r="M58" i="113"/>
  <c r="K52"/>
  <c r="Q54" s="1"/>
  <c r="G60"/>
  <c r="Q60" s="1"/>
  <c r="J48"/>
  <c r="Q48" s="1"/>
  <c r="Q58"/>
  <c r="M58" i="111"/>
  <c r="K52"/>
  <c r="Q54" s="1"/>
  <c r="J48"/>
  <c r="Q48" s="1"/>
  <c r="G60"/>
  <c r="Q60" s="1"/>
  <c r="Q58"/>
  <c r="G60" i="101"/>
  <c r="Q60" s="1"/>
  <c r="M58"/>
  <c r="Q58" s="1"/>
  <c r="K52"/>
  <c r="Q54" s="1"/>
  <c r="J48"/>
  <c r="Q48" s="1"/>
</calcChain>
</file>

<file path=xl/sharedStrings.xml><?xml version="1.0" encoding="utf-8"?>
<sst xmlns="http://schemas.openxmlformats.org/spreadsheetml/2006/main" count="1590" uniqueCount="112">
  <si>
    <t>Project</t>
  </si>
  <si>
    <t>Subject</t>
  </si>
  <si>
    <t>Date</t>
  </si>
  <si>
    <t>Project No.</t>
  </si>
  <si>
    <t>Sheet No.</t>
  </si>
  <si>
    <t>Checked by</t>
  </si>
  <si>
    <t>Item</t>
  </si>
  <si>
    <t>Details</t>
  </si>
  <si>
    <t>Reference</t>
  </si>
  <si>
    <t xml:space="preserve"> </t>
  </si>
  <si>
    <t>&gt;</t>
  </si>
  <si>
    <t>Design By</t>
  </si>
  <si>
    <t>Remarks</t>
  </si>
  <si>
    <r>
      <t>m</t>
    </r>
    <r>
      <rPr>
        <vertAlign val="superscript"/>
        <sz val="10"/>
        <rFont val="Times New Roman"/>
        <family val="1"/>
      </rPr>
      <t>2</t>
    </r>
  </si>
  <si>
    <t>Rain Fall Intensity</t>
  </si>
  <si>
    <t>=</t>
  </si>
  <si>
    <t>Drainage Efficiency</t>
  </si>
  <si>
    <t>I =</t>
  </si>
  <si>
    <t>C =</t>
  </si>
  <si>
    <r>
      <t xml:space="preserve">Drainage Capacity Required   Q </t>
    </r>
    <r>
      <rPr>
        <b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 xml:space="preserve">  =  A I C  =</t>
    </r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</si>
  <si>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/hr.</t>
    </r>
  </si>
  <si>
    <t>Drainage Capacity to be Discharge Out</t>
  </si>
  <si>
    <t>Manning Equations :</t>
  </si>
  <si>
    <r>
      <t>Q</t>
    </r>
    <r>
      <rPr>
        <b/>
        <vertAlign val="subscript"/>
        <sz val="10"/>
        <rFont val="Times New Roman"/>
        <family val="1"/>
      </rPr>
      <t>o</t>
    </r>
    <r>
      <rPr>
        <b/>
        <sz val="10"/>
        <rFont val="Times New Roman"/>
        <family val="1"/>
      </rPr>
      <t>=</t>
    </r>
  </si>
  <si>
    <t xml:space="preserve">When : </t>
  </si>
  <si>
    <r>
      <t>h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=</t>
    </r>
  </si>
  <si>
    <r>
      <t>h</t>
    </r>
    <r>
      <rPr>
        <sz val="10"/>
        <color indexed="10"/>
        <rFont val="Times New Roman"/>
        <family val="1"/>
      </rPr>
      <t xml:space="preserve"> </t>
    </r>
    <r>
      <rPr>
        <sz val="10"/>
        <rFont val="Times New Roman"/>
        <family val="1"/>
      </rPr>
      <t>:</t>
    </r>
  </si>
  <si>
    <t>Rougheness  Surface  Coefficient</t>
  </si>
  <si>
    <t xml:space="preserve">0.009 For pvc or glass or plastic </t>
  </si>
  <si>
    <t>0.012 For welded steel and wrought Iron</t>
  </si>
  <si>
    <t>0.015 For cast Iron uncoated pipe</t>
  </si>
  <si>
    <t>0.024 For corrugate metal sheet</t>
  </si>
  <si>
    <t>0.011 For asbestos</t>
  </si>
  <si>
    <t xml:space="preserve">Input </t>
  </si>
  <si>
    <r>
      <t>h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=</t>
    </r>
  </si>
  <si>
    <r>
      <t xml:space="preserve">Pipe Slope  </t>
    </r>
    <r>
      <rPr>
        <b/>
        <sz val="10"/>
        <rFont val="Times New Roman"/>
        <family val="1"/>
      </rPr>
      <t>1 :</t>
    </r>
  </si>
  <si>
    <r>
      <t xml:space="preserve">Assume </t>
    </r>
    <r>
      <rPr>
        <b/>
        <sz val="10"/>
        <rFont val="Times New Roman"/>
        <family val="1"/>
      </rPr>
      <t xml:space="preserve">Q </t>
    </r>
    <r>
      <rPr>
        <b/>
        <vertAlign val="subscript"/>
        <sz val="10"/>
        <rFont val="Times New Roman"/>
        <family val="1"/>
      </rPr>
      <t>max</t>
    </r>
  </si>
  <si>
    <t>Surface Width</t>
  </si>
  <si>
    <t>B =</t>
  </si>
  <si>
    <t>m.</t>
  </si>
  <si>
    <r>
      <t xml:space="preserve"> Wetted Perimeter  </t>
    </r>
    <r>
      <rPr>
        <b/>
        <sz val="10"/>
        <rFont val="Times New Roman"/>
        <family val="1"/>
      </rPr>
      <t>W</t>
    </r>
    <r>
      <rPr>
        <sz val="10"/>
        <rFont val="Times New Roman"/>
        <family val="1"/>
      </rPr>
      <t xml:space="preserve">  =</t>
    </r>
  </si>
  <si>
    <r>
      <t xml:space="preserve">  Hydrualic Radius   </t>
    </r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 =</t>
    </r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</si>
  <si>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/sec.</t>
    </r>
  </si>
  <si>
    <t>m/sec.</t>
  </si>
  <si>
    <t>Safety Factor S.F.=</t>
  </si>
  <si>
    <r>
      <t xml:space="preserve">or  </t>
    </r>
    <r>
      <rPr>
        <b/>
        <sz val="10"/>
        <rFont val="Times New Roman"/>
        <family val="1"/>
      </rPr>
      <t>B  =</t>
    </r>
  </si>
  <si>
    <r>
      <t>Check critical depth for Hydrualic jump Q</t>
    </r>
    <r>
      <rPr>
        <b/>
        <vertAlign val="subscript"/>
        <sz val="10"/>
        <rFont val="Times New Roman"/>
        <family val="1"/>
      </rPr>
      <t>c</t>
    </r>
  </si>
  <si>
    <r>
      <t xml:space="preserve"> from Q</t>
    </r>
    <r>
      <rPr>
        <vertAlign val="subscript"/>
        <sz val="10"/>
        <rFont val="Times New Roman"/>
        <family val="1"/>
      </rPr>
      <t>c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= A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g / B</t>
    </r>
  </si>
  <si>
    <r>
      <t xml:space="preserve">Calculations </t>
    </r>
    <r>
      <rPr>
        <b/>
        <sz val="10"/>
        <rFont val="Times New Roman"/>
        <family val="1"/>
      </rPr>
      <t>Q</t>
    </r>
    <r>
      <rPr>
        <b/>
        <vertAlign val="subscript"/>
        <sz val="10"/>
        <rFont val="Times New Roman"/>
        <family val="1"/>
      </rPr>
      <t xml:space="preserve">c </t>
    </r>
    <r>
      <rPr>
        <b/>
        <sz val="10"/>
        <rFont val="Times New Roman"/>
        <family val="1"/>
      </rPr>
      <t>=</t>
    </r>
  </si>
  <si>
    <r>
      <t>Q</t>
    </r>
    <r>
      <rPr>
        <b/>
        <vertAlign val="subscript"/>
        <sz val="10"/>
        <rFont val="Times New Roman"/>
        <family val="1"/>
      </rPr>
      <t>0</t>
    </r>
    <r>
      <rPr>
        <b/>
        <sz val="10"/>
        <rFont val="Times New Roman"/>
        <family val="1"/>
      </rPr>
      <t>=</t>
    </r>
  </si>
  <si>
    <t>Noted :</t>
  </si>
  <si>
    <r>
      <t xml:space="preserve">Q </t>
    </r>
    <r>
      <rPr>
        <b/>
        <vertAlign val="subscript"/>
        <sz val="10"/>
        <rFont val="Times New Roman"/>
        <family val="1"/>
      </rPr>
      <t>i</t>
    </r>
    <r>
      <rPr>
        <b/>
        <sz val="10"/>
        <rFont val="Times New Roman"/>
        <family val="1"/>
      </rPr>
      <t>=</t>
    </r>
  </si>
  <si>
    <r>
      <t>Q</t>
    </r>
    <r>
      <rPr>
        <b/>
        <vertAlign val="subscript"/>
        <sz val="10"/>
        <rFont val="Times New Roman"/>
        <family val="1"/>
      </rPr>
      <t>0</t>
    </r>
  </si>
  <si>
    <t>Then   Critical-flow</t>
  </si>
  <si>
    <r>
      <t>Q</t>
    </r>
    <r>
      <rPr>
        <b/>
        <vertAlign val="subscript"/>
        <sz val="10"/>
        <rFont val="Times New Roman"/>
        <family val="1"/>
      </rPr>
      <t>c</t>
    </r>
  </si>
  <si>
    <t>&lt;</t>
  </si>
  <si>
    <t>Then   Supper-Critical-flow</t>
  </si>
  <si>
    <t>Then   Sub-Critical-flow</t>
  </si>
  <si>
    <t>"Preferable"</t>
  </si>
  <si>
    <r>
      <t xml:space="preserve">Gutter  Width </t>
    </r>
    <r>
      <rPr>
        <b/>
        <sz val="10"/>
        <rFont val="Times New Roman"/>
        <family val="1"/>
      </rPr>
      <t xml:space="preserve"> b</t>
    </r>
    <r>
      <rPr>
        <sz val="10"/>
        <rFont val="Times New Roman"/>
        <family val="1"/>
      </rPr>
      <t xml:space="preserve"> =</t>
    </r>
  </si>
  <si>
    <t>Gutter  Total  Depth  d =</t>
  </si>
  <si>
    <r>
      <t>then y</t>
    </r>
    <r>
      <rPr>
        <vertAlign val="subscript"/>
        <sz val="10"/>
        <rFont val="Arial"/>
        <family val="2"/>
      </rPr>
      <t>n</t>
    </r>
    <r>
      <rPr>
        <i/>
        <sz val="10"/>
        <rFont val="Times New Roman"/>
        <family val="1"/>
      </rPr>
      <t>=d-50mm.</t>
    </r>
  </si>
  <si>
    <t>free broad=50mm.</t>
  </si>
  <si>
    <r>
      <t xml:space="preserve">Gutter Discharge Cross-Area  </t>
    </r>
    <r>
      <rPr>
        <b/>
        <sz val="10"/>
        <rFont val="Times New Roman"/>
        <family val="1"/>
      </rPr>
      <t xml:space="preserve">A </t>
    </r>
    <r>
      <rPr>
        <sz val="10"/>
        <rFont val="Times New Roman"/>
        <family val="1"/>
      </rPr>
      <t>=</t>
    </r>
  </si>
  <si>
    <r>
      <t xml:space="preserve">when Normal Depth   </t>
    </r>
    <r>
      <rPr>
        <b/>
        <sz val="10"/>
        <rFont val="Times New Roman"/>
        <family val="1"/>
      </rPr>
      <t xml:space="preserve">y </t>
    </r>
    <r>
      <rPr>
        <b/>
        <vertAlign val="subscript"/>
        <sz val="10"/>
        <rFont val="Times New Roman"/>
        <family val="1"/>
      </rPr>
      <t>n</t>
    </r>
  </si>
  <si>
    <r>
      <t>or  y</t>
    </r>
    <r>
      <rPr>
        <vertAlign val="subscript"/>
        <sz val="10"/>
        <rFont val="Times New Roman"/>
        <family val="1"/>
      </rPr>
      <t>c</t>
    </r>
    <r>
      <rPr>
        <sz val="10"/>
        <rFont val="Times New Roman"/>
        <family val="1"/>
      </rPr>
      <t>=(Q</t>
    </r>
    <r>
      <rPr>
        <vertAlign val="subscript"/>
        <sz val="10"/>
        <rFont val="Times New Roman"/>
        <family val="1"/>
      </rPr>
      <t>0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*B/g)^(1/3)/b</t>
    </r>
  </si>
  <si>
    <r>
      <t xml:space="preserve">Calculations  </t>
    </r>
    <r>
      <rPr>
        <b/>
        <sz val="10"/>
        <rFont val="Times New Roman"/>
        <family val="1"/>
      </rPr>
      <t>y</t>
    </r>
    <r>
      <rPr>
        <b/>
        <vertAlign val="subscript"/>
        <sz val="10"/>
        <rFont val="Times New Roman"/>
        <family val="1"/>
      </rPr>
      <t xml:space="preserve">c </t>
    </r>
    <r>
      <rPr>
        <b/>
        <sz val="10"/>
        <rFont val="Times New Roman"/>
        <family val="1"/>
      </rPr>
      <t>=</t>
    </r>
  </si>
  <si>
    <r>
      <t>y</t>
    </r>
    <r>
      <rPr>
        <vertAlign val="subscript"/>
        <sz val="10"/>
        <rFont val="Arial"/>
        <family val="2"/>
      </rPr>
      <t>n</t>
    </r>
    <r>
      <rPr>
        <sz val="10"/>
        <rFont val="Arial"/>
        <family val="2"/>
      </rPr>
      <t>=</t>
    </r>
  </si>
  <si>
    <t>or</t>
  </si>
  <si>
    <r>
      <t>( y</t>
    </r>
    <r>
      <rPr>
        <b/>
        <vertAlign val="subscript"/>
        <sz val="10"/>
        <rFont val="Times New Roman"/>
        <family val="1"/>
      </rPr>
      <t>c</t>
    </r>
  </si>
  <si>
    <r>
      <t>y</t>
    </r>
    <r>
      <rPr>
        <b/>
        <vertAlign val="subscript"/>
        <sz val="10"/>
        <rFont val="Times New Roman"/>
        <family val="1"/>
      </rPr>
      <t xml:space="preserve">n </t>
    </r>
    <r>
      <rPr>
        <b/>
        <sz val="10"/>
        <rFont val="Times New Roman"/>
        <family val="1"/>
      </rPr>
      <t>)</t>
    </r>
  </si>
  <si>
    <r>
      <t>y</t>
    </r>
    <r>
      <rPr>
        <b/>
        <vertAlign val="subscript"/>
        <sz val="10"/>
        <rFont val="Times New Roman"/>
        <family val="1"/>
      </rPr>
      <t>n</t>
    </r>
    <r>
      <rPr>
        <b/>
        <sz val="10"/>
        <rFont val="Times New Roman"/>
        <family val="1"/>
      </rPr>
      <t xml:space="preserve"> )</t>
    </r>
  </si>
  <si>
    <r>
      <t>(1/</t>
    </r>
    <r>
      <rPr>
        <b/>
        <sz val="10"/>
        <rFont val="GreekS"/>
      </rPr>
      <t>h</t>
    </r>
    <r>
      <rPr>
        <b/>
        <sz val="10"/>
        <rFont val="Times New Roman"/>
        <family val="1"/>
      </rPr>
      <t>)AR</t>
    </r>
    <r>
      <rPr>
        <b/>
        <vertAlign val="superscript"/>
        <sz val="10"/>
        <rFont val="Times New Roman"/>
        <family val="1"/>
      </rPr>
      <t>2/3</t>
    </r>
    <r>
      <rPr>
        <b/>
        <sz val="10"/>
        <rFont val="Times New Roman"/>
        <family val="1"/>
      </rPr>
      <t>S</t>
    </r>
    <r>
      <rPr>
        <b/>
        <vertAlign val="superscript"/>
        <sz val="10"/>
        <rFont val="Times New Roman"/>
        <family val="1"/>
      </rPr>
      <t>1/2</t>
    </r>
  </si>
  <si>
    <r>
      <t xml:space="preserve">Gutter Discharge "Net Capacity" Q </t>
    </r>
    <r>
      <rPr>
        <b/>
        <vertAlign val="subscript"/>
        <sz val="10"/>
        <rFont val="Times New Roman"/>
        <family val="1"/>
      </rPr>
      <t>n</t>
    </r>
    <r>
      <rPr>
        <b/>
        <sz val="10"/>
        <rFont val="Times New Roman"/>
        <family val="1"/>
      </rPr>
      <t>=</t>
    </r>
  </si>
  <si>
    <t>Gutter Discharge Capacity Calcalations</t>
  </si>
  <si>
    <t>+</t>
  </si>
  <si>
    <t>0.016 For concrete or asphaltic orcast Iron</t>
  </si>
  <si>
    <t>C1</t>
  </si>
  <si>
    <t>C2</t>
  </si>
  <si>
    <t>C3</t>
  </si>
  <si>
    <t>C4</t>
  </si>
  <si>
    <t xml:space="preserve">C = </t>
  </si>
  <si>
    <t>For Roof</t>
  </si>
  <si>
    <t>For Pavement Road</t>
  </si>
  <si>
    <t>For Lawn</t>
  </si>
  <si>
    <t>Haffale</t>
  </si>
  <si>
    <t>Narate</t>
  </si>
  <si>
    <t>Area roof2 =</t>
  </si>
  <si>
    <t>Area Road2 =</t>
  </si>
  <si>
    <t>Area Road1 =</t>
  </si>
  <si>
    <r>
      <t xml:space="preserve">Surface Drainage Area  </t>
    </r>
    <r>
      <rPr>
        <b/>
        <sz val="10"/>
        <rFont val="Times New Roman"/>
        <family val="1"/>
      </rPr>
      <t xml:space="preserve">A1 </t>
    </r>
    <r>
      <rPr>
        <sz val="10"/>
        <rFont val="Times New Roman"/>
        <family val="1"/>
      </rPr>
      <t>=</t>
    </r>
  </si>
  <si>
    <t>Area roof &amp;Road =</t>
  </si>
  <si>
    <r>
      <t xml:space="preserve"> Discharge Capacity  </t>
    </r>
    <r>
      <rPr>
        <b/>
        <sz val="10"/>
        <rFont val="Times New Roman"/>
        <family val="1"/>
      </rPr>
      <t xml:space="preserve">Q </t>
    </r>
    <r>
      <rPr>
        <b/>
        <vertAlign val="subscript"/>
        <sz val="10"/>
        <rFont val="Times New Roman"/>
        <family val="1"/>
      </rPr>
      <t>0</t>
    </r>
    <r>
      <rPr>
        <vertAlign val="sub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>=</t>
    </r>
  </si>
  <si>
    <r>
      <t xml:space="preserve"> Discharge Velocity  </t>
    </r>
    <r>
      <rPr>
        <b/>
        <sz val="10"/>
        <rFont val="Times New Roman"/>
        <family val="1"/>
      </rPr>
      <t>V</t>
    </r>
    <r>
      <rPr>
        <b/>
        <vertAlign val="subscript"/>
        <sz val="10"/>
        <rFont val="Times New Roman"/>
        <family val="1"/>
      </rPr>
      <t>o</t>
    </r>
    <r>
      <rPr>
        <vertAlign val="sub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>=</t>
    </r>
  </si>
  <si>
    <t>Q1</t>
  </si>
  <si>
    <t>Summary Rectangular Drainage Calculations</t>
  </si>
  <si>
    <t>Feb, 09</t>
  </si>
  <si>
    <t>Jadsada</t>
  </si>
  <si>
    <t>Site Drainage  Routes A5</t>
  </si>
  <si>
    <t>Discharge Calculations Q1</t>
  </si>
  <si>
    <t>Dow uses 80mm/hr</t>
  </si>
  <si>
    <t>Because site is so large</t>
  </si>
  <si>
    <t>Flow efficiency</t>
  </si>
  <si>
    <t>Actual  I= 100mm/hr</t>
  </si>
  <si>
    <t>Narate Meksook</t>
  </si>
  <si>
    <t>GFS</t>
  </si>
  <si>
    <t xml:space="preserve">Discharge Load </t>
  </si>
  <si>
    <t>mm/hr.  Return Peroid 5 years</t>
  </si>
  <si>
    <t xml:space="preserve"> &gt; 0.60 m/s OK</t>
  </si>
  <si>
    <t>GREEN</t>
  </si>
  <si>
    <t>ROOF</t>
  </si>
  <si>
    <t>No free broad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</si>
</sst>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-* #,##0.00_-;\-* #,##0.00_-;_-* &quot;-&quot;??_-;_-@_-"/>
    <numFmt numFmtId="165" formatCode="\t&quot;$&quot;#,##0.00_);[Red]\(\t&quot;$&quot;#,##0.00\)"/>
    <numFmt numFmtId="166" formatCode="dd\ mmmm\ yyyy"/>
    <numFmt numFmtId="167" formatCode="0.0"/>
    <numFmt numFmtId="168" formatCode="#\ &quot;mm&quot;"/>
    <numFmt numFmtId="169" formatCode="0.000"/>
    <numFmt numFmtId="170" formatCode="_(* #,##0_);_(* \(#,##0\);_(* &quot;-&quot;??_);_(@_)"/>
    <numFmt numFmtId="171" formatCode="#\ &quot;Mpa&quot;"/>
  </numFmts>
  <fonts count="33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7"/>
      <name val="Times New Roman"/>
      <family val="1"/>
    </font>
    <font>
      <b/>
      <sz val="10"/>
      <color indexed="12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vertAlign val="subscript"/>
      <sz val="10"/>
      <name val="Times New Roman"/>
      <family val="1"/>
    </font>
    <font>
      <b/>
      <sz val="10"/>
      <name val="GreekS"/>
    </font>
    <font>
      <sz val="10"/>
      <color indexed="10"/>
      <name val="GreekS"/>
    </font>
    <font>
      <b/>
      <sz val="10"/>
      <color indexed="10"/>
      <name val="GreekS"/>
    </font>
    <font>
      <i/>
      <sz val="10"/>
      <name val="Times New Roman"/>
      <family val="1"/>
    </font>
    <font>
      <b/>
      <u/>
      <sz val="10"/>
      <color indexed="10"/>
      <name val="Times New Roman"/>
      <family val="1"/>
    </font>
    <font>
      <b/>
      <u/>
      <sz val="10"/>
      <name val="Times New Roman"/>
      <family val="1"/>
    </font>
    <font>
      <u/>
      <sz val="10"/>
      <color indexed="10"/>
      <name val="Times New Roman"/>
      <family val="1"/>
    </font>
    <font>
      <vertAlign val="subscript"/>
      <sz val="10"/>
      <name val="Arial"/>
      <family val="2"/>
    </font>
    <font>
      <sz val="10"/>
      <name val="Arial"/>
      <family val="2"/>
    </font>
    <font>
      <u/>
      <sz val="10"/>
      <name val="Times New Roman"/>
      <family val="1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color indexed="30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sz val="10"/>
      <color indexed="30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0"/>
      <name val="Arial"/>
    </font>
    <font>
      <sz val="11"/>
      <color theme="1"/>
      <name val="Calibri"/>
      <family val="2"/>
      <charset val="222"/>
      <scheme val="minor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57"/>
        <bgColor indexed="26"/>
      </patternFill>
    </fill>
    <fill>
      <patternFill patternType="solid">
        <fgColor indexed="11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22" fillId="0" borderId="0"/>
    <xf numFmtId="0" fontId="31" fillId="0" borderId="0"/>
    <xf numFmtId="0" fontId="20" fillId="0" borderId="0"/>
  </cellStyleXfs>
  <cellXfs count="152">
    <xf numFmtId="0" fontId="0" fillId="0" borderId="0" xfId="0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1" xfId="0" applyFont="1" applyFill="1" applyBorder="1"/>
    <xf numFmtId="0" fontId="5" fillId="2" borderId="2" xfId="0" applyFont="1" applyFill="1" applyBorder="1"/>
    <xf numFmtId="0" fontId="2" fillId="2" borderId="0" xfId="0" applyFont="1" applyFill="1"/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0" xfId="0" applyFont="1" applyFill="1" applyBorder="1"/>
    <xf numFmtId="0" fontId="5" fillId="2" borderId="5" xfId="0" applyFont="1" applyFill="1" applyBorder="1"/>
    <xf numFmtId="0" fontId="2" fillId="2" borderId="5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0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3" fillId="2" borderId="8" xfId="0" applyFont="1" applyFill="1" applyBorder="1"/>
    <xf numFmtId="0" fontId="2" fillId="2" borderId="10" xfId="0" applyFont="1" applyFill="1" applyBorder="1"/>
    <xf numFmtId="0" fontId="2" fillId="2" borderId="9" xfId="0" applyFont="1" applyFill="1" applyBorder="1"/>
    <xf numFmtId="0" fontId="2" fillId="2" borderId="4" xfId="0" applyFont="1" applyFill="1" applyBorder="1"/>
    <xf numFmtId="167" fontId="3" fillId="2" borderId="8" xfId="0" applyNumberFormat="1" applyFont="1" applyFill="1" applyBorder="1" applyAlignment="1">
      <alignment horizontal="left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3" fillId="2" borderId="11" xfId="0" applyFont="1" applyFill="1" applyBorder="1"/>
    <xf numFmtId="0" fontId="5" fillId="2" borderId="0" xfId="0" applyNumberFormat="1" applyFont="1" applyFill="1" applyBorder="1" applyAlignment="1"/>
    <xf numFmtId="171" fontId="5" fillId="2" borderId="0" xfId="1" applyNumberFormat="1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171" fontId="5" fillId="2" borderId="0" xfId="1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71" fontId="5" fillId="2" borderId="0" xfId="0" applyNumberFormat="1" applyFont="1" applyFill="1" applyBorder="1" applyAlignment="1"/>
    <xf numFmtId="0" fontId="2" fillId="2" borderId="0" xfId="0" applyFont="1" applyFill="1" applyBorder="1" applyAlignment="1">
      <alignment horizontal="right"/>
    </xf>
    <xf numFmtId="9" fontId="5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/>
    <xf numFmtId="0" fontId="2" fillId="2" borderId="12" xfId="0" applyFont="1" applyFill="1" applyBorder="1" applyAlignment="1"/>
    <xf numFmtId="0" fontId="3" fillId="2" borderId="0" xfId="0" applyFont="1" applyFill="1" applyBorder="1" applyAlignment="1"/>
    <xf numFmtId="168" fontId="13" fillId="2" borderId="0" xfId="0" applyNumberFormat="1" applyFont="1" applyFill="1" applyBorder="1" applyAlignment="1">
      <alignment horizontal="right"/>
    </xf>
    <xf numFmtId="168" fontId="2" fillId="2" borderId="0" xfId="0" applyNumberFormat="1" applyFont="1" applyFill="1" applyBorder="1" applyAlignment="1"/>
    <xf numFmtId="168" fontId="3" fillId="2" borderId="0" xfId="0" applyNumberFormat="1" applyFont="1" applyFill="1" applyBorder="1" applyAlignment="1"/>
    <xf numFmtId="0" fontId="2" fillId="2" borderId="0" xfId="0" applyFont="1" applyFill="1" applyAlignment="1"/>
    <xf numFmtId="0" fontId="3" fillId="2" borderId="11" xfId="0" applyFont="1" applyFill="1" applyBorder="1" applyAlignment="1">
      <alignment horizontal="right"/>
    </xf>
    <xf numFmtId="168" fontId="14" fillId="2" borderId="0" xfId="0" applyNumberFormat="1" applyFont="1" applyFill="1" applyBorder="1" applyAlignment="1">
      <alignment horizontal="right"/>
    </xf>
    <xf numFmtId="0" fontId="9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0" xfId="0" applyFont="1" applyFill="1" applyBorder="1"/>
    <xf numFmtId="2" fontId="3" fillId="2" borderId="11" xfId="0" applyNumberFormat="1" applyFont="1" applyFill="1" applyBorder="1" applyAlignment="1">
      <alignment horizontal="right"/>
    </xf>
    <xf numFmtId="2" fontId="3" fillId="2" borderId="11" xfId="0" applyNumberFormat="1" applyFont="1" applyFill="1" applyBorder="1" applyAlignment="1">
      <alignment horizontal="left"/>
    </xf>
    <xf numFmtId="2" fontId="9" fillId="2" borderId="11" xfId="0" applyNumberFormat="1" applyFont="1" applyFill="1" applyBorder="1" applyAlignment="1">
      <alignment horizontal="right"/>
    </xf>
    <xf numFmtId="1" fontId="17" fillId="2" borderId="0" xfId="0" applyNumberFormat="1" applyFont="1" applyFill="1" applyBorder="1" applyAlignment="1"/>
    <xf numFmtId="2" fontId="9" fillId="2" borderId="11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2" fontId="9" fillId="2" borderId="4" xfId="0" applyNumberFormat="1" applyFont="1" applyFill="1" applyBorder="1" applyAlignment="1">
      <alignment horizontal="left"/>
    </xf>
    <xf numFmtId="1" fontId="16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9" fillId="2" borderId="5" xfId="0" applyFont="1" applyFill="1" applyBorder="1"/>
    <xf numFmtId="167" fontId="3" fillId="2" borderId="11" xfId="0" applyNumberFormat="1" applyFont="1" applyFill="1" applyBorder="1" applyAlignment="1">
      <alignment horizontal="left"/>
    </xf>
    <xf numFmtId="0" fontId="9" fillId="2" borderId="11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7" fillId="2" borderId="11" xfId="0" applyFont="1" applyFill="1" applyBorder="1"/>
    <xf numFmtId="0" fontId="17" fillId="2" borderId="0" xfId="0" applyFont="1" applyFill="1" applyBorder="1"/>
    <xf numFmtId="2" fontId="2" fillId="2" borderId="0" xfId="0" applyNumberFormat="1" applyFont="1" applyFill="1" applyAlignment="1"/>
    <xf numFmtId="170" fontId="24" fillId="4" borderId="0" xfId="1" applyNumberFormat="1" applyFont="1" applyFill="1"/>
    <xf numFmtId="2" fontId="24" fillId="5" borderId="0" xfId="0" applyNumberFormat="1" applyFont="1" applyFill="1"/>
    <xf numFmtId="170" fontId="24" fillId="4" borderId="0" xfId="0" applyNumberFormat="1" applyFont="1" applyFill="1"/>
    <xf numFmtId="0" fontId="2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left"/>
    </xf>
    <xf numFmtId="0" fontId="21" fillId="2" borderId="8" xfId="0" applyFont="1" applyFill="1" applyBorder="1"/>
    <xf numFmtId="0" fontId="25" fillId="2" borderId="0" xfId="0" applyFont="1" applyFill="1"/>
    <xf numFmtId="0" fontId="5" fillId="2" borderId="9" xfId="0" applyNumberFormat="1" applyFont="1" applyFill="1" applyBorder="1" applyAlignment="1"/>
    <xf numFmtId="0" fontId="28" fillId="2" borderId="12" xfId="0" applyFont="1" applyFill="1" applyBorder="1"/>
    <xf numFmtId="0" fontId="27" fillId="2" borderId="0" xfId="1" applyNumberFormat="1" applyFont="1" applyFill="1" applyBorder="1"/>
    <xf numFmtId="0" fontId="2" fillId="2" borderId="0" xfId="0" applyNumberFormat="1" applyFont="1" applyFill="1" applyBorder="1" applyAlignment="1">
      <alignment horizontal="right"/>
    </xf>
    <xf numFmtId="170" fontId="2" fillId="2" borderId="0" xfId="0" applyNumberFormat="1" applyFont="1" applyFill="1" applyBorder="1" applyAlignment="1">
      <alignment horizontal="right"/>
    </xf>
    <xf numFmtId="0" fontId="29" fillId="2" borderId="0" xfId="1" applyNumberFormat="1" applyFont="1" applyFill="1" applyBorder="1" applyAlignment="1">
      <alignment horizontal="right"/>
    </xf>
    <xf numFmtId="0" fontId="32" fillId="2" borderId="8" xfId="0" applyFont="1" applyFill="1" applyBorder="1"/>
    <xf numFmtId="9" fontId="5" fillId="2" borderId="9" xfId="0" applyNumberFormat="1" applyFont="1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9" fontId="17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69" fontId="3" fillId="2" borderId="0" xfId="0" applyNumberFormat="1" applyFont="1" applyFill="1" applyBorder="1" applyAlignment="1">
      <alignment horizontal="center"/>
    </xf>
    <xf numFmtId="9" fontId="5" fillId="2" borderId="0" xfId="0" applyNumberFormat="1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9" fontId="5" fillId="2" borderId="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169" fontId="3" fillId="2" borderId="0" xfId="0" applyNumberFormat="1" applyFont="1" applyFill="1" applyBorder="1" applyAlignment="1">
      <alignment horizontal="center"/>
    </xf>
    <xf numFmtId="169" fontId="17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2" fillId="2" borderId="0" xfId="0" applyNumberFormat="1" applyFont="1" applyFill="1"/>
    <xf numFmtId="2" fontId="2" fillId="2" borderId="0" xfId="0" applyNumberFormat="1" applyFont="1" applyFill="1"/>
    <xf numFmtId="9" fontId="5" fillId="2" borderId="0" xfId="0" applyNumberFormat="1" applyFont="1" applyFill="1" applyBorder="1" applyAlignment="1">
      <alignment horizontal="center"/>
    </xf>
    <xf numFmtId="1" fontId="17" fillId="2" borderId="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70" fontId="5" fillId="2" borderId="0" xfId="1" applyNumberFormat="1" applyFont="1" applyFill="1" applyBorder="1" applyAlignment="1">
      <alignment horizontal="left"/>
    </xf>
    <xf numFmtId="0" fontId="5" fillId="2" borderId="0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5" fillId="2" borderId="5" xfId="0" applyNumberFormat="1" applyFont="1" applyFill="1" applyBorder="1" applyAlignment="1">
      <alignment horizontal="center"/>
    </xf>
    <xf numFmtId="166" fontId="5" fillId="2" borderId="6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71" fontId="5" fillId="2" borderId="0" xfId="0" applyNumberFormat="1" applyFont="1" applyFill="1" applyBorder="1" applyAlignment="1">
      <alignment horizontal="center"/>
    </xf>
    <xf numFmtId="169" fontId="17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" fontId="16" fillId="2" borderId="0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69" fontId="3" fillId="2" borderId="0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5" fillId="2" borderId="1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8" fontId="3" fillId="2" borderId="0" xfId="0" applyNumberFormat="1" applyFont="1" applyFill="1" applyBorder="1" applyAlignment="1">
      <alignment horizontal="left"/>
    </xf>
    <xf numFmtId="168" fontId="3" fillId="2" borderId="0" xfId="0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168" fontId="5" fillId="2" borderId="12" xfId="0" applyNumberFormat="1" applyFont="1" applyFill="1" applyBorder="1" applyAlignment="1">
      <alignment horizontal="center"/>
    </xf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105380</xdr:rowOff>
    </xdr:from>
    <xdr:to>
      <xdr:col>19</xdr:col>
      <xdr:colOff>133350</xdr:colOff>
      <xdr:row>38</xdr:row>
      <xdr:rowOff>9986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7245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605</xdr:rowOff>
    </xdr:from>
    <xdr:to>
      <xdr:col>19</xdr:col>
      <xdr:colOff>133350</xdr:colOff>
      <xdr:row>38</xdr:row>
      <xdr:rowOff>67136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605"/>
          <a:ext cx="5143500" cy="2819256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9526</xdr:colOff>
      <xdr:row>38</xdr:row>
      <xdr:rowOff>60215</xdr:rowOff>
    </xdr:from>
    <xdr:to>
      <xdr:col>12</xdr:col>
      <xdr:colOff>247650</xdr:colOff>
      <xdr:row>40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6" y="6241940"/>
          <a:ext cx="2552699" cy="2922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40</xdr:row>
      <xdr:rowOff>133700</xdr:rowOff>
    </xdr:from>
    <xdr:to>
      <xdr:col>14</xdr:col>
      <xdr:colOff>200024</xdr:colOff>
      <xdr:row>42</xdr:row>
      <xdr:rowOff>38099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6639275"/>
          <a:ext cx="3809999" cy="2282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FFC000"/>
  </sheetPr>
  <dimension ref="A1:AJ18"/>
  <sheetViews>
    <sheetView view="pageBreakPreview" zoomScaleSheetLayoutView="100" workbookViewId="0">
      <selection activeCell="I12" sqref="I12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94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f>51*39+15*32</f>
        <v>2469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31"/>
      <c r="I12" s="31"/>
      <c r="J12" s="31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31"/>
      <c r="I14" s="31"/>
      <c r="J14" s="31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5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0.85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37"/>
      <c r="I16" s="37"/>
      <c r="J16" s="37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37"/>
      <c r="I17" s="37"/>
      <c r="J17" s="37"/>
      <c r="K17" s="11"/>
      <c r="L17" s="117">
        <f>I11*H13*H15/1000</f>
        <v>314.79750000000001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S10:V10"/>
    <mergeCell ref="I11:K11"/>
    <mergeCell ref="H13:J13"/>
    <mergeCell ref="I3:K3"/>
    <mergeCell ref="T3:V3"/>
    <mergeCell ref="A5:V5"/>
    <mergeCell ref="F10:H10"/>
    <mergeCell ref="E7:G7"/>
    <mergeCell ref="H15:J15"/>
    <mergeCell ref="L17:N17"/>
    <mergeCell ref="S13:V13"/>
    <mergeCell ref="S12:V12"/>
    <mergeCell ref="S11:V11"/>
  </mergeCells>
  <phoneticPr fontId="26" type="noConversion"/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2060"/>
  </sheetPr>
  <dimension ref="A1:AJ18"/>
  <sheetViews>
    <sheetView view="pageBreakPreview" topLeftCell="A4" zoomScaleSheetLayoutView="100" workbookViewId="0">
      <selection activeCell="I11" sqref="I11:K11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v>2574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104"/>
      <c r="I12" s="104"/>
      <c r="J12" s="104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104"/>
      <c r="I14" s="104"/>
      <c r="J14" s="104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8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0.85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101"/>
      <c r="I16" s="101"/>
      <c r="J16" s="101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101"/>
      <c r="I17" s="101"/>
      <c r="J17" s="101"/>
      <c r="K17" s="11"/>
      <c r="L17" s="117">
        <f>I11*H13*H15/1000</f>
        <v>328.185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>
        <f>347+375</f>
        <v>722</v>
      </c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L17:N17"/>
    <mergeCell ref="I11:K11"/>
    <mergeCell ref="S11:V11"/>
    <mergeCell ref="S12:V12"/>
    <mergeCell ref="H13:J13"/>
    <mergeCell ref="S13:V13"/>
    <mergeCell ref="H15:J15"/>
    <mergeCell ref="I3:K3"/>
    <mergeCell ref="T3:V3"/>
    <mergeCell ref="A5:V5"/>
    <mergeCell ref="E7:G7"/>
    <mergeCell ref="F10:H10"/>
    <mergeCell ref="S10:V10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AJ18"/>
  <sheetViews>
    <sheetView view="pageBreakPreview" zoomScaleSheetLayoutView="100" workbookViewId="0">
      <selection activeCell="H15" sqref="H15:J15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v>5520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104"/>
      <c r="I12" s="104"/>
      <c r="J12" s="104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104"/>
      <c r="I14" s="104"/>
      <c r="J14" s="104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8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0.25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101"/>
      <c r="I16" s="101"/>
      <c r="J16" s="101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101"/>
      <c r="I17" s="101"/>
      <c r="J17" s="101"/>
      <c r="K17" s="11"/>
      <c r="L17" s="117">
        <f>I11*H13*H15/1000</f>
        <v>207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>
        <f>347+375</f>
        <v>722</v>
      </c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L17:N17"/>
    <mergeCell ref="I11:K11"/>
    <mergeCell ref="S11:V11"/>
    <mergeCell ref="S12:V12"/>
    <mergeCell ref="H13:J13"/>
    <mergeCell ref="S13:V13"/>
    <mergeCell ref="H15:J15"/>
    <mergeCell ref="I3:K3"/>
    <mergeCell ref="T3:V3"/>
    <mergeCell ref="A5:V5"/>
    <mergeCell ref="E7:G7"/>
    <mergeCell ref="F10:H10"/>
    <mergeCell ref="S10:V10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AJ69"/>
  <sheetViews>
    <sheetView view="pageBreakPreview" topLeftCell="A41" zoomScaleSheetLayoutView="100" workbookViewId="0">
      <selection activeCell="Z54" sqref="Z54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7" width="3.85546875" style="6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YELLOW!L17</f>
        <v>314.79750000000001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89"/>
      <c r="F23" s="89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89"/>
      <c r="F24" s="89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89"/>
      <c r="F25" s="89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89"/>
      <c r="F26" s="89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89"/>
      <c r="F27" s="89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89"/>
      <c r="F28" s="89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98"/>
      <c r="H29" s="98"/>
      <c r="I29" s="98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W31" s="6">
        <f>2.45+2.2</f>
        <v>4.6500000000000004</v>
      </c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400</v>
      </c>
      <c r="I32" s="150"/>
      <c r="J32" s="150"/>
      <c r="K32" s="11" t="s">
        <v>60</v>
      </c>
      <c r="L32" s="11"/>
      <c r="M32" s="11"/>
      <c r="N32" s="11"/>
      <c r="P32" s="150">
        <f>(400)</f>
        <v>400</v>
      </c>
      <c r="Q32" s="150"/>
      <c r="R32" s="151"/>
      <c r="V32" s="27"/>
      <c r="W32" s="6">
        <f>W31/2</f>
        <v>2.3250000000000002</v>
      </c>
      <c r="X32" s="6">
        <f>W32-1.7</f>
        <v>0.62500000000000022</v>
      </c>
      <c r="AA32" s="46"/>
      <c r="AB32" s="46"/>
      <c r="AC32" s="46"/>
    </row>
    <row r="33" spans="1:27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Y33" s="6">
        <f>-2.3</f>
        <v>-2.2999999999999998</v>
      </c>
      <c r="Z33" s="46"/>
      <c r="AA33" s="6">
        <f>Y34-Y33</f>
        <v>0.59999999999999987</v>
      </c>
    </row>
    <row r="34" spans="1:27">
      <c r="A34" s="47">
        <v>2.2999999999999998</v>
      </c>
      <c r="B34" s="27"/>
      <c r="C34" s="26"/>
      <c r="D34" s="11" t="s">
        <v>35</v>
      </c>
      <c r="E34" s="11"/>
      <c r="F34" s="11"/>
      <c r="G34" s="136">
        <v>500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Y34" s="6">
        <f>-1.7</f>
        <v>-1.7</v>
      </c>
      <c r="Z34" s="46"/>
      <c r="AA34" s="6">
        <f>171/500</f>
        <v>0.34200000000000003</v>
      </c>
    </row>
    <row r="35" spans="1:27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  <c r="Y35" s="6">
        <f>-1.4</f>
        <v>-1.4</v>
      </c>
    </row>
    <row r="36" spans="1:27" ht="17.25" customHeight="1">
      <c r="A36" s="47">
        <v>2.4</v>
      </c>
      <c r="B36" s="27"/>
      <c r="C36" s="26"/>
      <c r="D36" s="11" t="s">
        <v>36</v>
      </c>
      <c r="E36" s="11"/>
      <c r="F36" s="11"/>
      <c r="G36" s="100" t="s">
        <v>64</v>
      </c>
      <c r="H36" s="100"/>
      <c r="I36" s="51"/>
      <c r="J36" s="100"/>
      <c r="K36" s="100"/>
      <c r="L36" s="89" t="s">
        <v>15</v>
      </c>
      <c r="M36" s="148">
        <f>P32-50</f>
        <v>350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  <c r="Y36" s="6">
        <f>Y33-Y35</f>
        <v>-0.89999999999999991</v>
      </c>
    </row>
    <row r="37" spans="1:27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7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400</v>
      </c>
      <c r="I38" s="149"/>
      <c r="J38" s="149"/>
      <c r="K38" s="11"/>
      <c r="L38" s="119" t="s">
        <v>45</v>
      </c>
      <c r="M38" s="119"/>
      <c r="N38" s="141">
        <f>H38/1000</f>
        <v>0.4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7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7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0.14000000000000001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7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7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1.1000000000000001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7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7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0.12727272727272729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</row>
    <row r="45" spans="1:27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7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9.9010203058632673E-2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7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7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0.70721573613309041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</row>
    <row r="49" spans="1:26">
      <c r="A49" s="55"/>
      <c r="B49" s="27"/>
      <c r="C49" s="26"/>
      <c r="D49" s="11"/>
      <c r="E49" s="11"/>
      <c r="F49" s="11"/>
      <c r="G49" s="11"/>
      <c r="H49" s="11"/>
      <c r="I49" s="11"/>
      <c r="J49" s="95"/>
      <c r="K49" s="95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6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95"/>
      <c r="K50" s="95"/>
      <c r="L50" s="11"/>
      <c r="M50" s="11"/>
      <c r="N50" s="11"/>
      <c r="O50" s="11"/>
      <c r="P50" s="53"/>
      <c r="Q50" s="11"/>
      <c r="R50" s="27"/>
      <c r="S50" s="88"/>
      <c r="T50" s="89"/>
      <c r="U50" s="89"/>
      <c r="V50" s="92"/>
    </row>
    <row r="51" spans="1:26">
      <c r="A51" s="55"/>
      <c r="B51" s="27"/>
      <c r="C51" s="26"/>
      <c r="D51" s="11"/>
      <c r="E51" s="11"/>
      <c r="F51" s="11"/>
      <c r="G51" s="11"/>
      <c r="H51" s="11"/>
      <c r="I51" s="11"/>
      <c r="J51" s="95"/>
      <c r="K51" s="95"/>
      <c r="L51" s="11"/>
      <c r="M51" s="11"/>
      <c r="N51" s="11"/>
      <c r="O51" s="11"/>
      <c r="P51" s="53"/>
      <c r="Q51" s="11"/>
      <c r="R51" s="27"/>
      <c r="S51" s="88"/>
      <c r="T51" s="89"/>
      <c r="U51" s="89"/>
      <c r="V51" s="92"/>
    </row>
    <row r="52" spans="1:26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356.4367310110776</v>
      </c>
      <c r="L52" s="139"/>
      <c r="M52" s="11" t="s">
        <v>20</v>
      </c>
      <c r="N52" s="91"/>
      <c r="O52" s="57"/>
      <c r="P52" s="57"/>
      <c r="R52" s="27"/>
      <c r="S52" s="26"/>
      <c r="T52" s="49"/>
      <c r="U52" s="11"/>
      <c r="V52" s="27"/>
    </row>
    <row r="53" spans="1:26">
      <c r="A53" s="58"/>
      <c r="B53" s="27"/>
      <c r="C53" s="11"/>
      <c r="D53" s="11"/>
      <c r="E53" s="11"/>
      <c r="F53" s="11"/>
      <c r="G53" s="11"/>
      <c r="H53" s="11"/>
      <c r="I53" s="11"/>
      <c r="J53" s="93"/>
      <c r="K53" s="93"/>
      <c r="L53" s="11"/>
      <c r="M53" s="11"/>
      <c r="N53" s="59"/>
      <c r="O53" s="97"/>
      <c r="P53" s="97"/>
      <c r="Q53" s="11"/>
      <c r="R53" s="11"/>
      <c r="S53" s="26"/>
      <c r="T53" s="49"/>
      <c r="U53" s="11"/>
      <c r="V53" s="27"/>
    </row>
    <row r="54" spans="1:26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314.79750000000001</v>
      </c>
      <c r="N54" s="140"/>
      <c r="O54" s="13" t="s">
        <v>20</v>
      </c>
      <c r="P54" s="94"/>
      <c r="Q54" s="63" t="str">
        <f>IF(K52&gt;=M54,"ok.","Not ok.")</f>
        <v>ok.</v>
      </c>
      <c r="R54" s="13"/>
      <c r="S54" s="23"/>
      <c r="T54" s="63"/>
      <c r="U54" s="13"/>
      <c r="V54" s="9"/>
      <c r="Z54" s="6">
        <f>29*180</f>
        <v>5220</v>
      </c>
    </row>
    <row r="55" spans="1:26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6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</row>
    <row r="57" spans="1:26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</row>
    <row r="58" spans="1:26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0.2593365381121604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9.9010203058632673E-2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</row>
    <row r="59" spans="1:26">
      <c r="A59" s="65"/>
      <c r="B59" s="11"/>
      <c r="C59" s="88"/>
      <c r="D59" s="89"/>
      <c r="E59" s="89"/>
      <c r="F59" s="89"/>
      <c r="G59" s="90"/>
      <c r="H59" s="90"/>
      <c r="I59" s="11"/>
      <c r="J59" s="11"/>
      <c r="K59" s="66"/>
      <c r="L59" s="53"/>
      <c r="M59" s="90"/>
      <c r="N59" s="90"/>
      <c r="O59" s="11"/>
      <c r="P59" s="11"/>
      <c r="Q59" s="49"/>
      <c r="R59" s="11"/>
      <c r="S59" s="26"/>
      <c r="T59" s="11"/>
      <c r="U59" s="11"/>
      <c r="V59" s="27"/>
    </row>
    <row r="60" spans="1:26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0.18419543911992275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0.35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6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6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6" ht="14.25">
      <c r="A63" s="26"/>
      <c r="B63" s="11"/>
      <c r="C63" s="26"/>
      <c r="D63" s="11"/>
      <c r="E63" s="34" t="s">
        <v>54</v>
      </c>
      <c r="F63" s="9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6" ht="14.25">
      <c r="A64" s="26"/>
      <c r="B64" s="11"/>
      <c r="C64" s="26"/>
      <c r="D64" s="89" t="s">
        <v>68</v>
      </c>
      <c r="E64" s="34" t="s">
        <v>69</v>
      </c>
      <c r="F64" s="9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9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89" t="s">
        <v>68</v>
      </c>
      <c r="E66" s="34" t="s">
        <v>69</v>
      </c>
      <c r="F66" s="9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91"/>
      <c r="P66" s="91"/>
      <c r="Q66" s="9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9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89" t="s">
        <v>68</v>
      </c>
      <c r="E68" s="34" t="s">
        <v>69</v>
      </c>
      <c r="F68" s="9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P32:R32"/>
    <mergeCell ref="I3:K3"/>
    <mergeCell ref="T3:V3"/>
    <mergeCell ref="A5:V5"/>
    <mergeCell ref="F10:H10"/>
    <mergeCell ref="I11:K11"/>
    <mergeCell ref="H13:J13"/>
    <mergeCell ref="H15:J15"/>
    <mergeCell ref="L17:N17"/>
    <mergeCell ref="E22:F22"/>
    <mergeCell ref="G30:I30"/>
    <mergeCell ref="H32:J32"/>
    <mergeCell ref="S48:V48"/>
    <mergeCell ref="G34:H34"/>
    <mergeCell ref="S35:V35"/>
    <mergeCell ref="M36:O36"/>
    <mergeCell ref="S36:V36"/>
    <mergeCell ref="H38:J38"/>
    <mergeCell ref="L38:M38"/>
    <mergeCell ref="N38:O38"/>
    <mergeCell ref="K40:L40"/>
    <mergeCell ref="I42:J42"/>
    <mergeCell ref="I44:J44"/>
    <mergeCell ref="K46:L46"/>
    <mergeCell ref="J48:K48"/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AJ69"/>
  <sheetViews>
    <sheetView view="pageBreakPreview" topLeftCell="A10" zoomScaleSheetLayoutView="100" workbookViewId="0">
      <selection activeCell="S58" sqref="S58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GREEN!L17</f>
        <v>544.67999999999995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89"/>
      <c r="F23" s="89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89"/>
      <c r="F24" s="89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89"/>
      <c r="F25" s="89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89"/>
      <c r="F26" s="89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89"/>
      <c r="F27" s="89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89"/>
      <c r="F28" s="89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98"/>
      <c r="H29" s="98"/>
      <c r="I29" s="98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400</v>
      </c>
      <c r="I32" s="150"/>
      <c r="J32" s="150"/>
      <c r="K32" s="11" t="s">
        <v>60</v>
      </c>
      <c r="L32" s="11"/>
      <c r="M32" s="11"/>
      <c r="N32" s="11"/>
      <c r="P32" s="150">
        <v>650</v>
      </c>
      <c r="Q32" s="150"/>
      <c r="R32" s="151"/>
      <c r="V32" s="27"/>
      <c r="AA32" s="46"/>
      <c r="AB32" s="46"/>
      <c r="AC32" s="46"/>
    </row>
    <row r="33" spans="1:26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6">
      <c r="A34" s="47">
        <v>2.2999999999999998</v>
      </c>
      <c r="B34" s="27"/>
      <c r="C34" s="26"/>
      <c r="D34" s="11" t="s">
        <v>35</v>
      </c>
      <c r="E34" s="11"/>
      <c r="F34" s="11"/>
      <c r="G34" s="136">
        <v>500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6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6" ht="17.25" customHeight="1">
      <c r="A36" s="47">
        <v>2.4</v>
      </c>
      <c r="B36" s="27"/>
      <c r="C36" s="26"/>
      <c r="D36" s="11" t="s">
        <v>36</v>
      </c>
      <c r="E36" s="11"/>
      <c r="F36" s="11"/>
      <c r="G36" s="100" t="s">
        <v>64</v>
      </c>
      <c r="H36" s="100"/>
      <c r="I36" s="51"/>
      <c r="J36" s="100"/>
      <c r="K36" s="100"/>
      <c r="L36" s="89" t="s">
        <v>15</v>
      </c>
      <c r="M36" s="148">
        <f>P32-50</f>
        <v>600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6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6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400</v>
      </c>
      <c r="I38" s="149"/>
      <c r="J38" s="149"/>
      <c r="K38" s="11"/>
      <c r="L38" s="119" t="s">
        <v>45</v>
      </c>
      <c r="M38" s="119"/>
      <c r="N38" s="141">
        <f>H38/1000</f>
        <v>0.4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6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6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0.24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6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6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1.6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6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6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0.15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Z44" s="6">
        <f>101*39+1989</f>
        <v>5928</v>
      </c>
    </row>
    <row r="45" spans="1:26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6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0.18937984768689917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6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6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0.78908269869541325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95"/>
      <c r="K49" s="95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95"/>
      <c r="K50" s="95"/>
      <c r="L50" s="11"/>
      <c r="M50" s="11"/>
      <c r="N50" s="11"/>
      <c r="O50" s="11"/>
      <c r="P50" s="53"/>
      <c r="Q50" s="11"/>
      <c r="R50" s="27"/>
      <c r="S50" s="88"/>
      <c r="T50" s="89"/>
      <c r="U50" s="89"/>
      <c r="V50" s="92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95"/>
      <c r="K51" s="95"/>
      <c r="L51" s="11"/>
      <c r="M51" s="11"/>
      <c r="N51" s="11"/>
      <c r="O51" s="11"/>
      <c r="P51" s="53"/>
      <c r="Q51" s="11"/>
      <c r="R51" s="27"/>
      <c r="S51" s="88"/>
      <c r="T51" s="89"/>
      <c r="U51" s="89"/>
      <c r="V51" s="92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681.76745167283696</v>
      </c>
      <c r="L52" s="139"/>
      <c r="M52" s="11" t="s">
        <v>20</v>
      </c>
      <c r="N52" s="9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93"/>
      <c r="K53" s="93"/>
      <c r="L53" s="11"/>
      <c r="M53" s="11"/>
      <c r="N53" s="59"/>
      <c r="O53" s="97"/>
      <c r="P53" s="97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544.67999999999995</v>
      </c>
      <c r="N54" s="140"/>
      <c r="O54" s="13" t="s">
        <v>20</v>
      </c>
      <c r="P54" s="94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0.58208782842454287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0.18937984768689917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88"/>
      <c r="D59" s="89"/>
      <c r="E59" s="89"/>
      <c r="F59" s="89"/>
      <c r="G59" s="90"/>
      <c r="H59" s="90"/>
      <c r="I59" s="11"/>
      <c r="J59" s="11"/>
      <c r="K59" s="66"/>
      <c r="L59" s="53"/>
      <c r="M59" s="90"/>
      <c r="N59" s="9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0.2838233228336558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0.6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9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89" t="s">
        <v>68</v>
      </c>
      <c r="E64" s="34" t="s">
        <v>69</v>
      </c>
      <c r="F64" s="9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9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89" t="s">
        <v>68</v>
      </c>
      <c r="E66" s="34" t="s">
        <v>69</v>
      </c>
      <c r="F66" s="9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91"/>
      <c r="P66" s="91"/>
      <c r="Q66" s="9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9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89" t="s">
        <v>68</v>
      </c>
      <c r="E68" s="34" t="s">
        <v>69</v>
      </c>
      <c r="F68" s="9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P32:R32"/>
    <mergeCell ref="I3:K3"/>
    <mergeCell ref="T3:V3"/>
    <mergeCell ref="A5:V5"/>
    <mergeCell ref="F10:H10"/>
    <mergeCell ref="I11:K11"/>
    <mergeCell ref="H13:J13"/>
    <mergeCell ref="H15:J15"/>
    <mergeCell ref="L17:N17"/>
    <mergeCell ref="E22:F22"/>
    <mergeCell ref="G30:I30"/>
    <mergeCell ref="H32:J32"/>
    <mergeCell ref="S48:V48"/>
    <mergeCell ref="G34:H34"/>
    <mergeCell ref="S35:V35"/>
    <mergeCell ref="M36:O36"/>
    <mergeCell ref="S36:V36"/>
    <mergeCell ref="H38:J38"/>
    <mergeCell ref="L38:M38"/>
    <mergeCell ref="N38:O38"/>
    <mergeCell ref="K40:L40"/>
    <mergeCell ref="I42:J42"/>
    <mergeCell ref="I44:J44"/>
    <mergeCell ref="K46:L46"/>
    <mergeCell ref="J48:K48"/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J69"/>
  <sheetViews>
    <sheetView view="pageBreakPreview" topLeftCell="A10" zoomScaleSheetLayoutView="100" workbookViewId="0">
      <selection activeCell="Z44" sqref="Z44:AA50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'Dark(1)'!L17:N17+'Dark (2)'!L17:N17</f>
        <v>473.15249999999997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89"/>
      <c r="F23" s="89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89"/>
      <c r="F24" s="89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89"/>
      <c r="F25" s="89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89"/>
      <c r="F26" s="89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89"/>
      <c r="F27" s="89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89"/>
      <c r="F28" s="89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98"/>
      <c r="H29" s="98"/>
      <c r="I29" s="98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400</v>
      </c>
      <c r="I32" s="150"/>
      <c r="J32" s="150"/>
      <c r="K32" s="11" t="s">
        <v>60</v>
      </c>
      <c r="L32" s="11"/>
      <c r="M32" s="11"/>
      <c r="N32" s="11"/>
      <c r="P32" s="150">
        <v>450</v>
      </c>
      <c r="Q32" s="150"/>
      <c r="R32" s="151"/>
      <c r="V32" s="27"/>
      <c r="AA32" s="46"/>
      <c r="AB32" s="46"/>
      <c r="AC32" s="46"/>
    </row>
    <row r="33" spans="1:26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6">
      <c r="A34" s="47">
        <v>2.2999999999999998</v>
      </c>
      <c r="B34" s="27"/>
      <c r="C34" s="26"/>
      <c r="D34" s="11" t="s">
        <v>35</v>
      </c>
      <c r="E34" s="11"/>
      <c r="F34" s="11"/>
      <c r="G34" s="136">
        <v>500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6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6" ht="17.25" customHeight="1">
      <c r="A36" s="47">
        <v>2.4</v>
      </c>
      <c r="B36" s="27"/>
      <c r="C36" s="26"/>
      <c r="D36" s="11" t="s">
        <v>36</v>
      </c>
      <c r="E36" s="11"/>
      <c r="F36" s="11"/>
      <c r="G36" s="100" t="s">
        <v>64</v>
      </c>
      <c r="H36" s="100"/>
      <c r="I36" s="51"/>
      <c r="J36" s="100"/>
      <c r="K36" s="100"/>
      <c r="L36" s="89" t="s">
        <v>15</v>
      </c>
      <c r="M36" s="148">
        <f>P32-50</f>
        <v>400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6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6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400</v>
      </c>
      <c r="I38" s="149"/>
      <c r="J38" s="149"/>
      <c r="K38" s="11"/>
      <c r="L38" s="119" t="s">
        <v>45</v>
      </c>
      <c r="M38" s="119"/>
      <c r="N38" s="141">
        <f>H38/1000</f>
        <v>0.4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6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6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0.16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6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6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1.2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6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6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0.13333333333333333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</row>
    <row r="45" spans="1:26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6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0.11671880224757111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6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6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0.72949251404731941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95"/>
      <c r="K49" s="95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95"/>
      <c r="K50" s="95"/>
      <c r="L50" s="11"/>
      <c r="M50" s="11"/>
      <c r="N50" s="11"/>
      <c r="O50" s="11"/>
      <c r="P50" s="53"/>
      <c r="Q50" s="11"/>
      <c r="R50" s="27"/>
      <c r="S50" s="88"/>
      <c r="T50" s="89"/>
      <c r="U50" s="89"/>
      <c r="V50" s="92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95"/>
      <c r="K51" s="95"/>
      <c r="L51" s="11"/>
      <c r="M51" s="11"/>
      <c r="N51" s="11"/>
      <c r="O51" s="11"/>
      <c r="P51" s="53"/>
      <c r="Q51" s="11"/>
      <c r="R51" s="27"/>
      <c r="S51" s="88"/>
      <c r="T51" s="89"/>
      <c r="U51" s="89"/>
      <c r="V51" s="92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420.18768809125601</v>
      </c>
      <c r="L52" s="139"/>
      <c r="M52" s="11" t="s">
        <v>20</v>
      </c>
      <c r="N52" s="9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93"/>
      <c r="K53" s="93"/>
      <c r="L53" s="11"/>
      <c r="M53" s="11"/>
      <c r="N53" s="59"/>
      <c r="O53" s="97"/>
      <c r="P53" s="97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473.15249999999997</v>
      </c>
      <c r="N54" s="140"/>
      <c r="O54" s="13" t="s">
        <v>20</v>
      </c>
      <c r="P54" s="94"/>
      <c r="Q54" s="63" t="str">
        <f>IF(K52&gt;=M54,"ok.","Not ok.")</f>
        <v>Not 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0.31684848113885605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0.11671880224757111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88"/>
      <c r="D59" s="89"/>
      <c r="E59" s="89"/>
      <c r="F59" s="89"/>
      <c r="G59" s="90"/>
      <c r="H59" s="90"/>
      <c r="I59" s="11"/>
      <c r="J59" s="11"/>
      <c r="K59" s="66"/>
      <c r="L59" s="53"/>
      <c r="M59" s="90"/>
      <c r="N59" s="9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0.20555093332519467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0.4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9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89" t="s">
        <v>68</v>
      </c>
      <c r="E64" s="34" t="s">
        <v>69</v>
      </c>
      <c r="F64" s="9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9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89" t="s">
        <v>68</v>
      </c>
      <c r="E66" s="34" t="s">
        <v>69</v>
      </c>
      <c r="F66" s="9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91"/>
      <c r="P66" s="91"/>
      <c r="Q66" s="9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9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89" t="s">
        <v>68</v>
      </c>
      <c r="E68" s="34" t="s">
        <v>69</v>
      </c>
      <c r="F68" s="9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P32:R32"/>
    <mergeCell ref="I3:K3"/>
    <mergeCell ref="T3:V3"/>
    <mergeCell ref="A5:V5"/>
    <mergeCell ref="F10:H10"/>
    <mergeCell ref="I11:K11"/>
    <mergeCell ref="H13:J13"/>
    <mergeCell ref="H15:J15"/>
    <mergeCell ref="L17:N17"/>
    <mergeCell ref="E22:F22"/>
    <mergeCell ref="G30:I30"/>
    <mergeCell ref="H32:J32"/>
    <mergeCell ref="S48:V48"/>
    <mergeCell ref="G34:H34"/>
    <mergeCell ref="S35:V35"/>
    <mergeCell ref="M36:O36"/>
    <mergeCell ref="S36:V36"/>
    <mergeCell ref="H38:J38"/>
    <mergeCell ref="L38:M38"/>
    <mergeCell ref="N38:O38"/>
    <mergeCell ref="K40:L40"/>
    <mergeCell ref="I42:J42"/>
    <mergeCell ref="I44:J44"/>
    <mergeCell ref="K46:L46"/>
    <mergeCell ref="J48:K48"/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AJ69"/>
  <sheetViews>
    <sheetView view="pageBreakPreview" topLeftCell="A17" zoomScaleSheetLayoutView="100" workbookViewId="0">
      <selection activeCell="R35" sqref="R35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'Dark(1)'!L17:N17+'Dark (2)'!L17:N17+RED!L17</f>
        <v>802.10249999999996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89"/>
      <c r="F23" s="89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89"/>
      <c r="F24" s="89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89"/>
      <c r="F25" s="89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89"/>
      <c r="F26" s="89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89"/>
      <c r="F27" s="89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89"/>
      <c r="F28" s="89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98"/>
      <c r="H29" s="98"/>
      <c r="I29" s="98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400</v>
      </c>
      <c r="I32" s="150"/>
      <c r="J32" s="150"/>
      <c r="K32" s="11" t="s">
        <v>60</v>
      </c>
      <c r="L32" s="11"/>
      <c r="M32" s="11"/>
      <c r="N32" s="11"/>
      <c r="P32" s="150">
        <v>750</v>
      </c>
      <c r="Q32" s="150"/>
      <c r="R32" s="151"/>
      <c r="V32" s="27"/>
      <c r="AA32" s="46"/>
      <c r="AB32" s="46"/>
      <c r="AC32" s="46"/>
    </row>
    <row r="33" spans="1:27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7">
      <c r="A34" s="47">
        <v>2.2999999999999998</v>
      </c>
      <c r="B34" s="27"/>
      <c r="C34" s="26"/>
      <c r="D34" s="11" t="s">
        <v>35</v>
      </c>
      <c r="E34" s="11"/>
      <c r="F34" s="11"/>
      <c r="G34" s="136">
        <v>500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7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7" ht="17.25" customHeight="1">
      <c r="A36" s="47">
        <v>2.4</v>
      </c>
      <c r="B36" s="27"/>
      <c r="C36" s="26"/>
      <c r="D36" s="11" t="s">
        <v>36</v>
      </c>
      <c r="E36" s="11"/>
      <c r="F36" s="11"/>
      <c r="G36" s="100" t="s">
        <v>64</v>
      </c>
      <c r="H36" s="100"/>
      <c r="I36" s="51"/>
      <c r="J36" s="100"/>
      <c r="K36" s="100"/>
      <c r="L36" s="89" t="s">
        <v>15</v>
      </c>
      <c r="M36" s="148">
        <f>P32-50</f>
        <v>700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7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7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400</v>
      </c>
      <c r="I38" s="149"/>
      <c r="J38" s="149"/>
      <c r="K38" s="11"/>
      <c r="L38" s="119" t="s">
        <v>45</v>
      </c>
      <c r="M38" s="119"/>
      <c r="N38" s="141">
        <f>H38/1000</f>
        <v>0.4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7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7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0.28000000000000003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7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7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1.8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7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7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0.15555555555555556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Z44" s="6">
        <f>101*39+1989</f>
        <v>5928</v>
      </c>
    </row>
    <row r="45" spans="1:27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7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0.22636540960449131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7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7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0.80844789144461171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  <c r="AA48" s="6">
        <f>90+30</f>
        <v>120</v>
      </c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95"/>
      <c r="K49" s="95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95"/>
      <c r="K50" s="95"/>
      <c r="L50" s="11"/>
      <c r="M50" s="11"/>
      <c r="N50" s="11"/>
      <c r="O50" s="11"/>
      <c r="P50" s="53"/>
      <c r="Q50" s="11"/>
      <c r="R50" s="27"/>
      <c r="S50" s="88"/>
      <c r="T50" s="89"/>
      <c r="U50" s="89"/>
      <c r="V50" s="92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95"/>
      <c r="K51" s="95"/>
      <c r="L51" s="11"/>
      <c r="M51" s="11"/>
      <c r="N51" s="11"/>
      <c r="O51" s="11"/>
      <c r="P51" s="53"/>
      <c r="Q51" s="11"/>
      <c r="R51" s="27"/>
      <c r="S51" s="88"/>
      <c r="T51" s="89"/>
      <c r="U51" s="89"/>
      <c r="V51" s="92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814.91547457616866</v>
      </c>
      <c r="L52" s="139"/>
      <c r="M52" s="11" t="s">
        <v>20</v>
      </c>
      <c r="N52" s="9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93"/>
      <c r="K53" s="93"/>
      <c r="L53" s="11"/>
      <c r="M53" s="11"/>
      <c r="N53" s="59"/>
      <c r="O53" s="97"/>
      <c r="P53" s="97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802.10249999999996</v>
      </c>
      <c r="N54" s="140"/>
      <c r="O54" s="13" t="s">
        <v>20</v>
      </c>
      <c r="P54" s="94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0.73351449883420849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0.22636540960449131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88"/>
      <c r="D59" s="89"/>
      <c r="E59" s="89"/>
      <c r="F59" s="89"/>
      <c r="G59" s="90"/>
      <c r="H59" s="90"/>
      <c r="I59" s="11"/>
      <c r="J59" s="11"/>
      <c r="K59" s="66"/>
      <c r="L59" s="53"/>
      <c r="M59" s="90"/>
      <c r="N59" s="9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0.31966784079024024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0.7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9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89" t="s">
        <v>68</v>
      </c>
      <c r="E64" s="34" t="s">
        <v>69</v>
      </c>
      <c r="F64" s="9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9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89" t="s">
        <v>68</v>
      </c>
      <c r="E66" s="34" t="s">
        <v>69</v>
      </c>
      <c r="F66" s="9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91"/>
      <c r="P66" s="91"/>
      <c r="Q66" s="9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9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89" t="s">
        <v>68</v>
      </c>
      <c r="E68" s="34" t="s">
        <v>69</v>
      </c>
      <c r="F68" s="9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P32:R32"/>
    <mergeCell ref="I3:K3"/>
    <mergeCell ref="T3:V3"/>
    <mergeCell ref="A5:V5"/>
    <mergeCell ref="F10:H10"/>
    <mergeCell ref="I11:K11"/>
    <mergeCell ref="H13:J13"/>
    <mergeCell ref="H15:J15"/>
    <mergeCell ref="L17:N17"/>
    <mergeCell ref="E22:F22"/>
    <mergeCell ref="G30:I30"/>
    <mergeCell ref="H32:J32"/>
    <mergeCell ref="S48:V48"/>
    <mergeCell ref="G34:H34"/>
    <mergeCell ref="S35:V35"/>
    <mergeCell ref="M36:O36"/>
    <mergeCell ref="S36:V36"/>
    <mergeCell ref="H38:J38"/>
    <mergeCell ref="L38:M38"/>
    <mergeCell ref="N38:O38"/>
    <mergeCell ref="K40:L40"/>
    <mergeCell ref="I42:J42"/>
    <mergeCell ref="I44:J44"/>
    <mergeCell ref="K46:L46"/>
    <mergeCell ref="J48:K48"/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J69"/>
  <sheetViews>
    <sheetView view="pageBreakPreview" zoomScaleSheetLayoutView="100" workbookViewId="0">
      <selection activeCell="L35" sqref="L35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Purple1!L17</f>
        <v>375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89"/>
      <c r="F23" s="89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89"/>
      <c r="F24" s="89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89"/>
      <c r="F25" s="89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89"/>
      <c r="F26" s="89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89"/>
      <c r="F27" s="89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89"/>
      <c r="F28" s="89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98"/>
      <c r="H29" s="98"/>
      <c r="I29" s="98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400</v>
      </c>
      <c r="I32" s="150"/>
      <c r="J32" s="150"/>
      <c r="K32" s="11" t="s">
        <v>60</v>
      </c>
      <c r="L32" s="11"/>
      <c r="M32" s="11"/>
      <c r="N32" s="11"/>
      <c r="P32" s="150">
        <v>425</v>
      </c>
      <c r="Q32" s="150"/>
      <c r="R32" s="151"/>
      <c r="V32" s="27"/>
      <c r="AA32" s="46"/>
      <c r="AB32" s="46"/>
      <c r="AC32" s="46"/>
    </row>
    <row r="33" spans="1:27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7">
      <c r="A34" s="47">
        <v>2.2999999999999998</v>
      </c>
      <c r="B34" s="27"/>
      <c r="C34" s="26"/>
      <c r="D34" s="11" t="s">
        <v>35</v>
      </c>
      <c r="E34" s="11"/>
      <c r="F34" s="11"/>
      <c r="G34" s="136">
        <v>500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7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7" ht="17.25" customHeight="1">
      <c r="A36" s="47">
        <v>2.4</v>
      </c>
      <c r="B36" s="27"/>
      <c r="C36" s="26"/>
      <c r="D36" s="11" t="s">
        <v>36</v>
      </c>
      <c r="E36" s="11"/>
      <c r="F36" s="11"/>
      <c r="G36" s="100" t="s">
        <v>64</v>
      </c>
      <c r="H36" s="100"/>
      <c r="I36" s="51"/>
      <c r="J36" s="100"/>
      <c r="K36" s="100"/>
      <c r="L36" s="89" t="s">
        <v>15</v>
      </c>
      <c r="M36" s="148">
        <f>P32-50</f>
        <v>375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7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7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400</v>
      </c>
      <c r="I38" s="149"/>
      <c r="J38" s="149"/>
      <c r="K38" s="11"/>
      <c r="L38" s="119" t="s">
        <v>45</v>
      </c>
      <c r="M38" s="119"/>
      <c r="N38" s="141">
        <f>H38/1000</f>
        <v>0.4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7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7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0.15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7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7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1.1499999999999999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7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7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0.13043478260869565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Y44" s="114">
        <f>Purple1!L17</f>
        <v>375</v>
      </c>
      <c r="Z44" s="6">
        <f>101*39+1989</f>
        <v>5928</v>
      </c>
    </row>
    <row r="45" spans="1:27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7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0.10783222174065325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7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7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0.71888147827102167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  <c r="AA48" s="6">
        <f>90+30</f>
        <v>120</v>
      </c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95"/>
      <c r="K49" s="95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95"/>
      <c r="K50" s="95"/>
      <c r="L50" s="11"/>
      <c r="M50" s="11"/>
      <c r="N50" s="11"/>
      <c r="O50" s="11"/>
      <c r="P50" s="53"/>
      <c r="Q50" s="11"/>
      <c r="R50" s="27"/>
      <c r="S50" s="88"/>
      <c r="T50" s="89"/>
      <c r="U50" s="89"/>
      <c r="V50" s="92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95"/>
      <c r="K51" s="95"/>
      <c r="L51" s="11"/>
      <c r="M51" s="11"/>
      <c r="N51" s="11"/>
      <c r="O51" s="11"/>
      <c r="P51" s="53"/>
      <c r="Q51" s="11"/>
      <c r="R51" s="27"/>
      <c r="S51" s="88"/>
      <c r="T51" s="89"/>
      <c r="U51" s="89"/>
      <c r="V51" s="92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388.19599826635169</v>
      </c>
      <c r="L52" s="139"/>
      <c r="M52" s="11" t="s">
        <v>20</v>
      </c>
      <c r="N52" s="9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93"/>
      <c r="K53" s="93"/>
      <c r="L53" s="11"/>
      <c r="M53" s="11"/>
      <c r="N53" s="59"/>
      <c r="O53" s="97"/>
      <c r="P53" s="97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375</v>
      </c>
      <c r="N54" s="140"/>
      <c r="O54" s="13" t="s">
        <v>20</v>
      </c>
      <c r="P54" s="94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0.2876130212629463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0.10783222174065325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88"/>
      <c r="D59" s="89"/>
      <c r="E59" s="89"/>
      <c r="F59" s="89"/>
      <c r="G59" s="90"/>
      <c r="H59" s="90"/>
      <c r="I59" s="11"/>
      <c r="J59" s="11"/>
      <c r="K59" s="66"/>
      <c r="L59" s="53"/>
      <c r="M59" s="90"/>
      <c r="N59" s="9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0.19498054224239897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0.375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9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89" t="s">
        <v>68</v>
      </c>
      <c r="E64" s="34" t="s">
        <v>69</v>
      </c>
      <c r="F64" s="9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9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89" t="s">
        <v>68</v>
      </c>
      <c r="E66" s="34" t="s">
        <v>69</v>
      </c>
      <c r="F66" s="9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91"/>
      <c r="P66" s="91"/>
      <c r="Q66" s="9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9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89" t="s">
        <v>68</v>
      </c>
      <c r="E68" s="34" t="s">
        <v>69</v>
      </c>
      <c r="F68" s="9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P32:R32"/>
    <mergeCell ref="I3:K3"/>
    <mergeCell ref="T3:V3"/>
    <mergeCell ref="A5:V5"/>
    <mergeCell ref="F10:H10"/>
    <mergeCell ref="I11:K11"/>
    <mergeCell ref="H13:J13"/>
    <mergeCell ref="H15:J15"/>
    <mergeCell ref="L17:N17"/>
    <mergeCell ref="E22:F22"/>
    <mergeCell ref="G30:I30"/>
    <mergeCell ref="H32:J32"/>
    <mergeCell ref="S48:V48"/>
    <mergeCell ref="G34:H34"/>
    <mergeCell ref="S35:V35"/>
    <mergeCell ref="M36:O36"/>
    <mergeCell ref="S36:V36"/>
    <mergeCell ref="H38:J38"/>
    <mergeCell ref="L38:M38"/>
    <mergeCell ref="N38:O38"/>
    <mergeCell ref="K40:L40"/>
    <mergeCell ref="I42:J42"/>
    <mergeCell ref="I44:J44"/>
    <mergeCell ref="K46:L46"/>
    <mergeCell ref="J48:K48"/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2060"/>
  </sheetPr>
  <dimension ref="A1:AJ69"/>
  <sheetViews>
    <sheetView view="pageBreakPreview" topLeftCell="A4" zoomScaleSheetLayoutView="100" workbookViewId="0">
      <selection activeCell="L17" sqref="L17:N17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Blue!L17+'Blue (2)'!L17:N17+'Blue (3)'!L17:N17</f>
        <v>889.11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89"/>
      <c r="F23" s="89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89"/>
      <c r="F24" s="89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89"/>
      <c r="F25" s="89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89"/>
      <c r="F26" s="89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89"/>
      <c r="F27" s="89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89"/>
      <c r="F28" s="89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98"/>
      <c r="H29" s="98"/>
      <c r="I29" s="98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500</v>
      </c>
      <c r="I32" s="150"/>
      <c r="J32" s="150"/>
      <c r="K32" s="11" t="s">
        <v>60</v>
      </c>
      <c r="L32" s="11"/>
      <c r="M32" s="11"/>
      <c r="N32" s="11"/>
      <c r="P32" s="150">
        <v>675</v>
      </c>
      <c r="Q32" s="150"/>
      <c r="R32" s="151"/>
      <c r="V32" s="27"/>
      <c r="AA32" s="46"/>
      <c r="AB32" s="46"/>
      <c r="AC32" s="46"/>
    </row>
    <row r="33" spans="1:27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7">
      <c r="A34" s="47">
        <v>2.2999999999999998</v>
      </c>
      <c r="B34" s="27"/>
      <c r="C34" s="26"/>
      <c r="D34" s="11" t="s">
        <v>35</v>
      </c>
      <c r="E34" s="11"/>
      <c r="F34" s="11"/>
      <c r="G34" s="136">
        <v>500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7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7" ht="17.25" customHeight="1">
      <c r="A36" s="47">
        <v>2.4</v>
      </c>
      <c r="B36" s="27"/>
      <c r="C36" s="26"/>
      <c r="D36" s="11" t="s">
        <v>36</v>
      </c>
      <c r="E36" s="11"/>
      <c r="F36" s="11"/>
      <c r="G36" s="100" t="s">
        <v>64</v>
      </c>
      <c r="H36" s="100"/>
      <c r="I36" s="51"/>
      <c r="J36" s="100"/>
      <c r="K36" s="100"/>
      <c r="L36" s="89" t="s">
        <v>15</v>
      </c>
      <c r="M36" s="148">
        <f>P32-50</f>
        <v>625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7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7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500</v>
      </c>
      <c r="I38" s="149"/>
      <c r="J38" s="149"/>
      <c r="K38" s="11"/>
      <c r="L38" s="119" t="s">
        <v>45</v>
      </c>
      <c r="M38" s="119"/>
      <c r="N38" s="141">
        <f>H38/1000</f>
        <v>0.5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7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7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0.3125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7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7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1.75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7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7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0.17857142857142858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Y44" s="114">
        <f>Purple1!L17</f>
        <v>375</v>
      </c>
      <c r="Z44" s="6">
        <f>101*39+1989</f>
        <v>5928</v>
      </c>
    </row>
    <row r="45" spans="1:27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7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0.27698293881006514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7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7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0.88634540419220842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  <c r="AA48" s="6">
        <f>90+30</f>
        <v>120</v>
      </c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95"/>
      <c r="K49" s="95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95"/>
      <c r="K50" s="95"/>
      <c r="L50" s="11"/>
      <c r="M50" s="11"/>
      <c r="N50" s="11"/>
      <c r="O50" s="11"/>
      <c r="P50" s="53"/>
      <c r="Q50" s="11"/>
      <c r="R50" s="27"/>
      <c r="S50" s="88"/>
      <c r="T50" s="89"/>
      <c r="U50" s="89"/>
      <c r="V50" s="92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95"/>
      <c r="K51" s="95"/>
      <c r="L51" s="11"/>
      <c r="M51" s="11"/>
      <c r="N51" s="11"/>
      <c r="O51" s="11"/>
      <c r="P51" s="53"/>
      <c r="Q51" s="11"/>
      <c r="R51" s="27"/>
      <c r="S51" s="88"/>
      <c r="T51" s="89"/>
      <c r="U51" s="89"/>
      <c r="V51" s="92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997.13857971623452</v>
      </c>
      <c r="L52" s="139"/>
      <c r="M52" s="11" t="s">
        <v>20</v>
      </c>
      <c r="N52" s="9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93"/>
      <c r="K53" s="93"/>
      <c r="L53" s="11"/>
      <c r="M53" s="11"/>
      <c r="N53" s="59"/>
      <c r="O53" s="97"/>
      <c r="P53" s="97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889.11</v>
      </c>
      <c r="N54" s="140"/>
      <c r="O54" s="13" t="s">
        <v>20</v>
      </c>
      <c r="P54" s="94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0.77355586215541017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0.27698293881006514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88"/>
      <c r="D59" s="89"/>
      <c r="E59" s="89"/>
      <c r="F59" s="89"/>
      <c r="G59" s="90"/>
      <c r="H59" s="90"/>
      <c r="I59" s="11"/>
      <c r="J59" s="11"/>
      <c r="K59" s="66"/>
      <c r="L59" s="53"/>
      <c r="M59" s="90"/>
      <c r="N59" s="9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0.31515261046683446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0.625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9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89" t="s">
        <v>68</v>
      </c>
      <c r="E64" s="34" t="s">
        <v>69</v>
      </c>
      <c r="F64" s="9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9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89" t="s">
        <v>68</v>
      </c>
      <c r="E66" s="34" t="s">
        <v>69</v>
      </c>
      <c r="F66" s="9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91"/>
      <c r="P66" s="91"/>
      <c r="Q66" s="9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9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89" t="s">
        <v>68</v>
      </c>
      <c r="E68" s="34" t="s">
        <v>69</v>
      </c>
      <c r="F68" s="9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P32:R32"/>
    <mergeCell ref="I3:K3"/>
    <mergeCell ref="T3:V3"/>
    <mergeCell ref="A5:V5"/>
    <mergeCell ref="F10:H10"/>
    <mergeCell ref="I11:K11"/>
    <mergeCell ref="H13:J13"/>
    <mergeCell ref="H15:J15"/>
    <mergeCell ref="L17:N17"/>
    <mergeCell ref="E22:F22"/>
    <mergeCell ref="G30:I30"/>
    <mergeCell ref="H32:J32"/>
    <mergeCell ref="S48:V48"/>
    <mergeCell ref="G34:H34"/>
    <mergeCell ref="S35:V35"/>
    <mergeCell ref="M36:O36"/>
    <mergeCell ref="S36:V36"/>
    <mergeCell ref="H38:J38"/>
    <mergeCell ref="L38:M38"/>
    <mergeCell ref="N38:O38"/>
    <mergeCell ref="K40:L40"/>
    <mergeCell ref="I42:J42"/>
    <mergeCell ref="I44:J44"/>
    <mergeCell ref="K46:L46"/>
    <mergeCell ref="J48:K48"/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2060"/>
  </sheetPr>
  <dimension ref="A1:AJ69"/>
  <sheetViews>
    <sheetView view="pageBreakPreview" topLeftCell="A10" zoomScaleSheetLayoutView="100" workbookViewId="0">
      <selection activeCell="L18" sqref="L18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104"/>
      <c r="I12" s="104"/>
      <c r="J12" s="104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104"/>
      <c r="I14" s="104"/>
      <c r="J14" s="104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8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101"/>
      <c r="I16" s="101"/>
      <c r="J16" s="101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101"/>
      <c r="I17" s="101"/>
      <c r="J17" s="101"/>
      <c r="K17" s="11"/>
      <c r="L17" s="117">
        <f>Blue1!L17+end!L17</f>
        <v>1217.2950000000001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106"/>
      <c r="F23" s="106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106"/>
      <c r="F24" s="106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106"/>
      <c r="F25" s="106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106"/>
      <c r="F26" s="106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106"/>
      <c r="F27" s="106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106"/>
      <c r="F28" s="106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  <c r="Z28" s="114">
        <f>1.4-2.45</f>
        <v>-1.0500000000000003</v>
      </c>
    </row>
    <row r="29" spans="1:36">
      <c r="A29" s="26"/>
      <c r="B29" s="27"/>
      <c r="C29" s="26"/>
      <c r="D29" s="11"/>
      <c r="E29" s="11"/>
      <c r="F29" s="11"/>
      <c r="G29" s="107"/>
      <c r="H29" s="107"/>
      <c r="I29" s="107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500</v>
      </c>
      <c r="I32" s="150"/>
      <c r="J32" s="150"/>
      <c r="K32" s="11" t="s">
        <v>60</v>
      </c>
      <c r="L32" s="11"/>
      <c r="M32" s="11"/>
      <c r="N32" s="11"/>
      <c r="P32" s="150">
        <v>900</v>
      </c>
      <c r="Q32" s="150"/>
      <c r="R32" s="151"/>
      <c r="V32" s="27"/>
      <c r="AA32" s="46"/>
      <c r="AB32" s="46"/>
      <c r="AC32" s="46"/>
    </row>
    <row r="33" spans="1:27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7">
      <c r="A34" s="47">
        <v>2.2999999999999998</v>
      </c>
      <c r="B34" s="27"/>
      <c r="C34" s="26"/>
      <c r="D34" s="11" t="s">
        <v>35</v>
      </c>
      <c r="E34" s="11"/>
      <c r="F34" s="11"/>
      <c r="G34" s="136">
        <v>400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7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7" ht="17.25" customHeight="1">
      <c r="A36" s="47">
        <v>2.4</v>
      </c>
      <c r="B36" s="27"/>
      <c r="C36" s="26"/>
      <c r="D36" s="11" t="s">
        <v>36</v>
      </c>
      <c r="E36" s="11"/>
      <c r="F36" s="11"/>
      <c r="G36" s="108" t="s">
        <v>64</v>
      </c>
      <c r="H36" s="108"/>
      <c r="I36" s="51"/>
      <c r="J36" s="108"/>
      <c r="K36" s="108"/>
      <c r="L36" s="106" t="s">
        <v>15</v>
      </c>
      <c r="M36" s="148">
        <f>P32-50</f>
        <v>850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7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7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500</v>
      </c>
      <c r="I38" s="149"/>
      <c r="J38" s="149"/>
      <c r="K38" s="11"/>
      <c r="L38" s="119" t="s">
        <v>45</v>
      </c>
      <c r="M38" s="119"/>
      <c r="N38" s="141">
        <f>H38/1000</f>
        <v>0.5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7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7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0.42499999999999999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7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7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2.2000000000000002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7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7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0.19318181818181815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Y44" s="114">
        <f>Purple1!L17</f>
        <v>375</v>
      </c>
      <c r="Z44" s="6">
        <f>101*39+1989</f>
        <v>5928</v>
      </c>
    </row>
    <row r="45" spans="1:27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7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0.44382979240617604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7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7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1.0443053938968849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  <c r="AA48" s="6">
        <f>90+30</f>
        <v>120</v>
      </c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109"/>
      <c r="K49" s="109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109"/>
      <c r="K50" s="109"/>
      <c r="L50" s="11"/>
      <c r="M50" s="11"/>
      <c r="N50" s="11"/>
      <c r="O50" s="11"/>
      <c r="P50" s="53"/>
      <c r="Q50" s="11"/>
      <c r="R50" s="27"/>
      <c r="S50" s="102"/>
      <c r="T50" s="106"/>
      <c r="U50" s="106"/>
      <c r="V50" s="103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109"/>
      <c r="K51" s="109"/>
      <c r="L51" s="11"/>
      <c r="M51" s="11"/>
      <c r="N51" s="11"/>
      <c r="O51" s="11"/>
      <c r="P51" s="53"/>
      <c r="Q51" s="11"/>
      <c r="R51" s="27"/>
      <c r="S51" s="102"/>
      <c r="T51" s="106"/>
      <c r="U51" s="106"/>
      <c r="V51" s="103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1597.7872526622336</v>
      </c>
      <c r="L52" s="139"/>
      <c r="M52" s="11" t="s">
        <v>20</v>
      </c>
      <c r="N52" s="11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112"/>
      <c r="K53" s="112"/>
      <c r="L53" s="11"/>
      <c r="M53" s="11"/>
      <c r="N53" s="59"/>
      <c r="O53" s="105"/>
      <c r="P53" s="105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1217.2950000000001</v>
      </c>
      <c r="N54" s="140"/>
      <c r="O54" s="13" t="s">
        <v>20</v>
      </c>
      <c r="P54" s="113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1.226874229495428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0.44382979240617604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102"/>
      <c r="D59" s="106"/>
      <c r="E59" s="106"/>
      <c r="F59" s="106"/>
      <c r="G59" s="110"/>
      <c r="H59" s="110"/>
      <c r="I59" s="11"/>
      <c r="J59" s="11"/>
      <c r="K59" s="66"/>
      <c r="L59" s="53"/>
      <c r="M59" s="110"/>
      <c r="N59" s="11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0.43154875072719134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0.85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11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106" t="s">
        <v>68</v>
      </c>
      <c r="E64" s="34" t="s">
        <v>69</v>
      </c>
      <c r="F64" s="11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11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106" t="s">
        <v>68</v>
      </c>
      <c r="E66" s="34" t="s">
        <v>69</v>
      </c>
      <c r="F66" s="11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111"/>
      <c r="P66" s="111"/>
      <c r="Q66" s="11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11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106" t="s">
        <v>68</v>
      </c>
      <c r="E68" s="34" t="s">
        <v>69</v>
      </c>
      <c r="F68" s="11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  <mergeCell ref="K40:L40"/>
    <mergeCell ref="I42:J42"/>
    <mergeCell ref="I44:J44"/>
    <mergeCell ref="K46:L46"/>
    <mergeCell ref="J48:K48"/>
    <mergeCell ref="S48:V48"/>
    <mergeCell ref="G34:H34"/>
    <mergeCell ref="S35:V35"/>
    <mergeCell ref="M36:O36"/>
    <mergeCell ref="S36:V36"/>
    <mergeCell ref="H38:J38"/>
    <mergeCell ref="L38:M38"/>
    <mergeCell ref="N38:O38"/>
    <mergeCell ref="H15:J15"/>
    <mergeCell ref="L17:N17"/>
    <mergeCell ref="E22:F22"/>
    <mergeCell ref="G30:I30"/>
    <mergeCell ref="H32:J32"/>
    <mergeCell ref="P32:R32"/>
    <mergeCell ref="I3:K3"/>
    <mergeCell ref="T3:V3"/>
    <mergeCell ref="A5:V5"/>
    <mergeCell ref="F10:H10"/>
    <mergeCell ref="I11:K11"/>
    <mergeCell ref="H13:J13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2060"/>
  </sheetPr>
  <dimension ref="A1:AJ69"/>
  <sheetViews>
    <sheetView view="pageBreakPreview" topLeftCell="A23" zoomScaleSheetLayoutView="100" workbookViewId="0">
      <selection activeCell="G34" sqref="G34:H34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104"/>
      <c r="I12" s="104"/>
      <c r="J12" s="104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104"/>
      <c r="I14" s="104"/>
      <c r="J14" s="104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8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101"/>
      <c r="I16" s="101"/>
      <c r="J16" s="101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101"/>
      <c r="I17" s="101"/>
      <c r="J17" s="101"/>
      <c r="K17" s="11"/>
      <c r="L17" s="117">
        <f>'end11'!L17:N17+Gutter2!L17</f>
        <v>1761.9749999999999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106"/>
      <c r="F23" s="106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106"/>
      <c r="F24" s="106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106"/>
      <c r="F25" s="106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106"/>
      <c r="F26" s="106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106"/>
      <c r="F27" s="106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106"/>
      <c r="F28" s="106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  <c r="Z28" s="114">
        <f>1.4-2.45</f>
        <v>-1.0500000000000003</v>
      </c>
    </row>
    <row r="29" spans="1:36">
      <c r="A29" s="26"/>
      <c r="B29" s="27"/>
      <c r="C29" s="26"/>
      <c r="D29" s="11"/>
      <c r="E29" s="11"/>
      <c r="F29" s="11"/>
      <c r="G29" s="107"/>
      <c r="H29" s="107"/>
      <c r="I29" s="107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550</v>
      </c>
      <c r="I32" s="150"/>
      <c r="J32" s="150"/>
      <c r="K32" s="11" t="s">
        <v>60</v>
      </c>
      <c r="L32" s="11"/>
      <c r="M32" s="11"/>
      <c r="N32" s="11"/>
      <c r="P32" s="150">
        <v>900</v>
      </c>
      <c r="Q32" s="150"/>
      <c r="R32" s="151"/>
      <c r="V32" s="27"/>
      <c r="AA32" s="46"/>
      <c r="AB32" s="46"/>
      <c r="AC32" s="46"/>
    </row>
    <row r="33" spans="1:27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/>
    </row>
    <row r="34" spans="1:27">
      <c r="A34" s="47">
        <v>2.2999999999999998</v>
      </c>
      <c r="B34" s="27"/>
      <c r="C34" s="26"/>
      <c r="D34" s="11" t="s">
        <v>35</v>
      </c>
      <c r="E34" s="11"/>
      <c r="F34" s="11"/>
      <c r="G34" s="136">
        <v>400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7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62</v>
      </c>
      <c r="T35" s="146"/>
      <c r="U35" s="146"/>
      <c r="V35" s="147"/>
    </row>
    <row r="36" spans="1:27" ht="17.25" customHeight="1">
      <c r="A36" s="47">
        <v>2.4</v>
      </c>
      <c r="B36" s="27"/>
      <c r="C36" s="26"/>
      <c r="D36" s="11" t="s">
        <v>36</v>
      </c>
      <c r="E36" s="11"/>
      <c r="F36" s="11"/>
      <c r="G36" s="108" t="s">
        <v>64</v>
      </c>
      <c r="H36" s="108"/>
      <c r="I36" s="51"/>
      <c r="J36" s="108"/>
      <c r="K36" s="108"/>
      <c r="L36" s="106" t="s">
        <v>15</v>
      </c>
      <c r="M36" s="148">
        <f>P32-50</f>
        <v>850</v>
      </c>
      <c r="N36" s="148"/>
      <c r="O36" s="148"/>
      <c r="P36" s="11"/>
      <c r="Q36" s="11"/>
      <c r="R36" s="11"/>
      <c r="S36" s="145" t="s">
        <v>61</v>
      </c>
      <c r="T36" s="146"/>
      <c r="U36" s="146"/>
      <c r="V36" s="147"/>
    </row>
    <row r="37" spans="1:27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7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550</v>
      </c>
      <c r="I38" s="149"/>
      <c r="J38" s="149"/>
      <c r="K38" s="11"/>
      <c r="L38" s="119" t="s">
        <v>45</v>
      </c>
      <c r="M38" s="119"/>
      <c r="N38" s="141">
        <f>H38/1000</f>
        <v>0.55000000000000004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7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7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0.46750000000000003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7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7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2.25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7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7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0.20777777777777778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Y44" s="114">
        <f>Purple1!L17</f>
        <v>375</v>
      </c>
      <c r="Z44" s="6">
        <f>101*39+1989</f>
        <v>5928</v>
      </c>
    </row>
    <row r="45" spans="1:27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7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0.51250452193970519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7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7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1.0962663570902784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  <c r="AA48" s="6">
        <f>90+30</f>
        <v>120</v>
      </c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109"/>
      <c r="K49" s="109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109"/>
      <c r="K50" s="109"/>
      <c r="L50" s="11"/>
      <c r="M50" s="11"/>
      <c r="N50" s="11"/>
      <c r="O50" s="11"/>
      <c r="P50" s="53"/>
      <c r="Q50" s="11"/>
      <c r="R50" s="27"/>
      <c r="S50" s="102"/>
      <c r="T50" s="106"/>
      <c r="U50" s="106"/>
      <c r="V50" s="103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109"/>
      <c r="K51" s="109"/>
      <c r="L51" s="11"/>
      <c r="M51" s="11"/>
      <c r="N51" s="11"/>
      <c r="O51" s="11"/>
      <c r="P51" s="53"/>
      <c r="Q51" s="11"/>
      <c r="R51" s="27"/>
      <c r="S51" s="102"/>
      <c r="T51" s="106"/>
      <c r="U51" s="106"/>
      <c r="V51" s="103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1845.0162789829387</v>
      </c>
      <c r="L52" s="139"/>
      <c r="M52" s="11" t="s">
        <v>20</v>
      </c>
      <c r="N52" s="11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112"/>
      <c r="K53" s="112"/>
      <c r="L53" s="11"/>
      <c r="M53" s="11"/>
      <c r="N53" s="59"/>
      <c r="O53" s="105"/>
      <c r="P53" s="105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1761.9749999999999</v>
      </c>
      <c r="N54" s="140"/>
      <c r="O54" s="13" t="s">
        <v>20</v>
      </c>
      <c r="P54" s="113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1.3495616524449707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0.51250452193970519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102"/>
      <c r="D59" s="106"/>
      <c r="E59" s="106"/>
      <c r="F59" s="106"/>
      <c r="G59" s="110"/>
      <c r="H59" s="110"/>
      <c r="I59" s="11"/>
      <c r="J59" s="11"/>
      <c r="K59" s="66"/>
      <c r="L59" s="53"/>
      <c r="M59" s="110"/>
      <c r="N59" s="11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0.44574749090096644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0.85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11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106" t="s">
        <v>68</v>
      </c>
      <c r="E64" s="34" t="s">
        <v>69</v>
      </c>
      <c r="F64" s="11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11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106" t="s">
        <v>68</v>
      </c>
      <c r="E66" s="34" t="s">
        <v>69</v>
      </c>
      <c r="F66" s="11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111"/>
      <c r="P66" s="111"/>
      <c r="Q66" s="11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11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106" t="s">
        <v>68</v>
      </c>
      <c r="E68" s="34" t="s">
        <v>69</v>
      </c>
      <c r="F68" s="11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  <mergeCell ref="K40:L40"/>
    <mergeCell ref="I42:J42"/>
    <mergeCell ref="I44:J44"/>
    <mergeCell ref="K46:L46"/>
    <mergeCell ref="J48:K48"/>
    <mergeCell ref="S48:V48"/>
    <mergeCell ref="G34:H34"/>
    <mergeCell ref="S35:V35"/>
    <mergeCell ref="M36:O36"/>
    <mergeCell ref="S36:V36"/>
    <mergeCell ref="H38:J38"/>
    <mergeCell ref="L38:M38"/>
    <mergeCell ref="N38:O38"/>
    <mergeCell ref="H15:J15"/>
    <mergeCell ref="L17:N17"/>
    <mergeCell ref="E22:F22"/>
    <mergeCell ref="G30:I30"/>
    <mergeCell ref="H32:J32"/>
    <mergeCell ref="P32:R32"/>
    <mergeCell ref="I3:K3"/>
    <mergeCell ref="T3:V3"/>
    <mergeCell ref="A5:V5"/>
    <mergeCell ref="F10:H10"/>
    <mergeCell ref="I11:K11"/>
    <mergeCell ref="H13:J13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J18"/>
  <sheetViews>
    <sheetView view="pageBreakPreview" zoomScaleSheetLayoutView="100" workbookViewId="0">
      <selection activeCell="E18" sqref="E18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94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f>YELLOW!I11+101*39</f>
        <v>6408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31"/>
      <c r="I12" s="31"/>
      <c r="J12" s="31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100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31"/>
      <c r="I14" s="31"/>
      <c r="J14" s="31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5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0.85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37"/>
      <c r="I16" s="37"/>
      <c r="J16" s="37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37"/>
      <c r="I17" s="37"/>
      <c r="J17" s="37"/>
      <c r="K17" s="11"/>
      <c r="L17" s="117">
        <f>I11*H13*H15/1000</f>
        <v>544.67999999999995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L17:N17"/>
    <mergeCell ref="I11:K11"/>
    <mergeCell ref="S11:V11"/>
    <mergeCell ref="S12:V12"/>
    <mergeCell ref="H13:J13"/>
    <mergeCell ref="S13:V13"/>
    <mergeCell ref="H15:J15"/>
    <mergeCell ref="I3:K3"/>
    <mergeCell ref="T3:V3"/>
    <mergeCell ref="A5:V5"/>
    <mergeCell ref="E7:G7"/>
    <mergeCell ref="F10:H10"/>
    <mergeCell ref="S10:V10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2060"/>
  </sheetPr>
  <dimension ref="A1:AJ69"/>
  <sheetViews>
    <sheetView tabSelected="1" view="pageBreakPreview" topLeftCell="A23" zoomScaleSheetLayoutView="100" workbookViewId="0">
      <selection activeCell="H32" sqref="H32:J32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5" width="3.85546875" style="6"/>
    <col min="16" max="16" width="4.7109375" style="6" customWidth="1"/>
    <col min="17" max="17" width="5.85546875" style="6" customWidth="1"/>
    <col min="18" max="18" width="4.28515625" style="6" customWidth="1"/>
    <col min="19" max="20" width="5.5703125" style="6" customWidth="1"/>
    <col min="21" max="21" width="5.285156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85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98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97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95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87"/>
      <c r="F7" s="87"/>
      <c r="G7" s="87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 ht="15.75">
      <c r="A9" s="24">
        <v>1</v>
      </c>
      <c r="B9" s="21"/>
      <c r="C9" s="86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85"/>
      <c r="T10" s="84"/>
      <c r="U10" s="83"/>
      <c r="V10" s="81" t="s">
        <v>75</v>
      </c>
    </row>
    <row r="11" spans="1:36" hidden="1">
      <c r="A11" s="28"/>
      <c r="B11" s="27"/>
      <c r="C11" s="26"/>
      <c r="D11" s="11"/>
      <c r="E11" s="11"/>
      <c r="F11" s="11"/>
      <c r="G11" s="29"/>
      <c r="H11" s="11"/>
      <c r="I11" s="122"/>
      <c r="J11" s="122"/>
      <c r="K11" s="122"/>
      <c r="L11" s="11"/>
      <c r="M11" s="30"/>
      <c r="N11" s="30"/>
      <c r="O11" s="11"/>
      <c r="P11" s="11"/>
      <c r="Q11" s="11"/>
      <c r="R11" s="27"/>
      <c r="S11" s="83"/>
      <c r="T11" s="74"/>
      <c r="U11" s="36"/>
      <c r="V11" s="81" t="s">
        <v>75</v>
      </c>
    </row>
    <row r="12" spans="1:36" hidden="1">
      <c r="A12" s="28"/>
      <c r="B12" s="27"/>
      <c r="C12" s="26"/>
      <c r="D12" s="11"/>
      <c r="E12" s="11"/>
      <c r="F12" s="11"/>
      <c r="G12" s="29"/>
      <c r="H12" s="104"/>
      <c r="I12" s="104"/>
      <c r="J12" s="104"/>
      <c r="K12" s="11"/>
      <c r="L12" s="32"/>
      <c r="M12" s="32"/>
      <c r="N12" s="32"/>
      <c r="O12" s="11"/>
      <c r="P12" s="11"/>
      <c r="Q12" s="11"/>
      <c r="R12" s="27"/>
      <c r="S12" s="74"/>
      <c r="T12" s="74"/>
      <c r="U12" s="36"/>
      <c r="V12" s="81" t="s">
        <v>75</v>
      </c>
    </row>
    <row r="13" spans="1:36" hidden="1">
      <c r="A13" s="28"/>
      <c r="B13" s="27"/>
      <c r="C13" s="26"/>
      <c r="D13" s="11"/>
      <c r="E13" s="11"/>
      <c r="F13" s="11"/>
      <c r="G13" s="33"/>
      <c r="H13" s="123"/>
      <c r="I13" s="123"/>
      <c r="J13" s="123"/>
      <c r="K13" s="11"/>
      <c r="L13" s="32"/>
      <c r="M13" s="32"/>
      <c r="N13" s="32"/>
      <c r="O13" s="11"/>
      <c r="P13" s="11"/>
      <c r="Q13" s="11"/>
      <c r="R13" s="27"/>
      <c r="S13" s="75"/>
      <c r="T13" s="76"/>
      <c r="U13" s="36"/>
      <c r="V13" s="81" t="s">
        <v>75</v>
      </c>
      <c r="Y13" s="74" t="s">
        <v>91</v>
      </c>
      <c r="Z13" s="82">
        <f>187*62</f>
        <v>11594</v>
      </c>
      <c r="AA13" s="6" t="s">
        <v>77</v>
      </c>
      <c r="AB13" s="71">
        <v>0.9</v>
      </c>
      <c r="AD13" s="78" t="s">
        <v>50</v>
      </c>
      <c r="AE13" s="22"/>
      <c r="AF13" s="22"/>
      <c r="AG13" s="22"/>
      <c r="AH13" s="22"/>
      <c r="AI13" s="22"/>
      <c r="AJ13" s="21"/>
    </row>
    <row r="14" spans="1:36" hidden="1">
      <c r="A14" s="28"/>
      <c r="B14" s="27"/>
      <c r="C14" s="26"/>
      <c r="D14" s="11"/>
      <c r="E14" s="11"/>
      <c r="F14" s="11"/>
      <c r="G14" s="29"/>
      <c r="H14" s="104"/>
      <c r="I14" s="104"/>
      <c r="J14" s="104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 t="s">
        <v>75</v>
      </c>
      <c r="Y14" s="74" t="s">
        <v>87</v>
      </c>
      <c r="Z14" s="70"/>
      <c r="AA14" s="6" t="s">
        <v>78</v>
      </c>
      <c r="AB14" s="71">
        <v>0.9</v>
      </c>
      <c r="AD14" s="26" t="s">
        <v>81</v>
      </c>
      <c r="AE14" s="108">
        <v>0.9</v>
      </c>
      <c r="AF14" s="11"/>
      <c r="AG14" s="11" t="s">
        <v>82</v>
      </c>
      <c r="AH14" s="11"/>
      <c r="AI14" s="11"/>
      <c r="AJ14" s="27"/>
    </row>
    <row r="15" spans="1:36" hidden="1">
      <c r="A15" s="28"/>
      <c r="B15" s="27"/>
      <c r="C15" s="26"/>
      <c r="D15" s="11"/>
      <c r="E15" s="11"/>
      <c r="F15" s="11"/>
      <c r="G15" s="34"/>
      <c r="H15" s="116"/>
      <c r="I15" s="116"/>
      <c r="J15" s="116"/>
      <c r="K15" s="11"/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 t="s">
        <v>75</v>
      </c>
      <c r="Y15" s="74" t="s">
        <v>89</v>
      </c>
      <c r="Z15" s="72"/>
      <c r="AA15" s="6" t="s">
        <v>79</v>
      </c>
      <c r="AB15" s="71">
        <v>0.85</v>
      </c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 hidden="1">
      <c r="A16" s="28"/>
      <c r="B16" s="27"/>
      <c r="C16" s="26"/>
      <c r="D16" s="11"/>
      <c r="E16" s="11"/>
      <c r="F16" s="11"/>
      <c r="G16" s="36"/>
      <c r="H16" s="101"/>
      <c r="I16" s="101"/>
      <c r="J16" s="101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 t="s">
        <v>88</v>
      </c>
      <c r="Z16" s="72"/>
      <c r="AA16" s="6" t="s">
        <v>80</v>
      </c>
      <c r="AB16" s="71">
        <v>0.85</v>
      </c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/>
      <c r="B17" s="27"/>
      <c r="C17" s="28" t="s">
        <v>19</v>
      </c>
      <c r="D17" s="11"/>
      <c r="E17" s="11"/>
      <c r="F17" s="11"/>
      <c r="G17" s="36"/>
      <c r="H17" s="101"/>
      <c r="I17" s="101"/>
      <c r="J17" s="101"/>
      <c r="K17" s="11"/>
      <c r="L17" s="117">
        <f>gravel!L17</f>
        <v>207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19" s="24">
        <v>2</v>
      </c>
      <c r="B19" s="27"/>
      <c r="C19" s="28" t="s">
        <v>74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7"/>
      <c r="S19" s="26"/>
      <c r="T19" s="11"/>
      <c r="U19" s="11"/>
      <c r="V19" s="27"/>
      <c r="Y19" s="79"/>
      <c r="Z19" s="72"/>
      <c r="AB19" s="71"/>
    </row>
    <row r="20" spans="1:36">
      <c r="A20" s="26"/>
      <c r="B20" s="27"/>
      <c r="C20" s="26"/>
      <c r="D20" s="11"/>
      <c r="E20" s="11"/>
      <c r="F20" s="11"/>
      <c r="G20" s="38"/>
      <c r="H20" s="38"/>
      <c r="I20" s="38"/>
      <c r="J20" s="11"/>
      <c r="K20" s="11"/>
      <c r="L20" s="11"/>
      <c r="M20" s="11"/>
      <c r="N20" s="11"/>
      <c r="O20" s="38"/>
      <c r="P20" s="38"/>
      <c r="Q20" s="38"/>
      <c r="R20" s="27"/>
      <c r="S20" s="39"/>
      <c r="T20" s="40"/>
      <c r="U20" s="40"/>
      <c r="V20" s="41"/>
      <c r="Z20" s="72"/>
      <c r="AB20" s="71"/>
    </row>
    <row r="21" spans="1:36" ht="16.5">
      <c r="A21" s="26"/>
      <c r="B21" s="27"/>
      <c r="C21" s="26"/>
      <c r="D21" s="11"/>
      <c r="E21" s="11" t="s">
        <v>22</v>
      </c>
      <c r="F21" s="11"/>
      <c r="G21" s="38"/>
      <c r="H21" s="38"/>
      <c r="I21" s="38"/>
      <c r="J21" s="42" t="s">
        <v>23</v>
      </c>
      <c r="K21" s="42" t="s">
        <v>72</v>
      </c>
      <c r="L21" s="11"/>
      <c r="M21" s="11"/>
      <c r="N21" s="11"/>
      <c r="O21" s="38"/>
      <c r="P21" s="38"/>
      <c r="Q21" s="38"/>
      <c r="R21" s="27"/>
      <c r="S21" s="39"/>
      <c r="T21" s="40"/>
      <c r="U21" s="40"/>
      <c r="V21" s="41"/>
      <c r="Z21" s="72"/>
      <c r="AB21" s="71"/>
    </row>
    <row r="22" spans="1:36">
      <c r="A22" s="26"/>
      <c r="B22" s="27"/>
      <c r="C22" s="26"/>
      <c r="D22" s="11"/>
      <c r="E22" s="119" t="s">
        <v>24</v>
      </c>
      <c r="F22" s="119"/>
      <c r="G22" s="43" t="s">
        <v>26</v>
      </c>
      <c r="H22" s="44" t="s">
        <v>27</v>
      </c>
      <c r="I22" s="11"/>
      <c r="J22" s="11"/>
      <c r="K22" s="11"/>
      <c r="L22" s="11"/>
      <c r="M22" s="11"/>
      <c r="N22" s="11"/>
      <c r="O22" s="11"/>
      <c r="P22" s="11"/>
      <c r="Q22" s="11"/>
      <c r="R22" s="27"/>
      <c r="S22" s="26"/>
      <c r="T22" s="11"/>
      <c r="U22" s="11"/>
      <c r="V22" s="27"/>
      <c r="Z22" s="72"/>
      <c r="AB22" s="71"/>
    </row>
    <row r="23" spans="1:36">
      <c r="A23" s="26"/>
      <c r="B23" s="27"/>
      <c r="C23" s="26"/>
      <c r="D23" s="11"/>
      <c r="E23" s="106"/>
      <c r="F23" s="106"/>
      <c r="G23" s="43" t="s">
        <v>25</v>
      </c>
      <c r="H23" s="44" t="s">
        <v>76</v>
      </c>
      <c r="I23" s="45"/>
      <c r="J23" s="11"/>
      <c r="K23" s="11"/>
      <c r="L23" s="11"/>
      <c r="M23" s="11"/>
      <c r="N23" s="11"/>
      <c r="O23" s="11"/>
      <c r="P23" s="11"/>
      <c r="Q23" s="11"/>
      <c r="R23" s="27"/>
      <c r="S23" s="26"/>
      <c r="T23" s="11"/>
      <c r="U23" s="11"/>
      <c r="V23" s="27"/>
      <c r="Z23" s="72"/>
      <c r="AB23" s="71"/>
    </row>
    <row r="24" spans="1:36">
      <c r="A24" s="26"/>
      <c r="B24" s="27"/>
      <c r="C24" s="26"/>
      <c r="D24" s="11"/>
      <c r="E24" s="106"/>
      <c r="F24" s="106"/>
      <c r="G24" s="43" t="s">
        <v>25</v>
      </c>
      <c r="H24" s="44" t="s">
        <v>28</v>
      </c>
      <c r="I24" s="45"/>
      <c r="J24" s="11"/>
      <c r="K24" s="11"/>
      <c r="L24" s="11"/>
      <c r="M24" s="11"/>
      <c r="N24" s="11"/>
      <c r="O24" s="11"/>
      <c r="P24" s="11"/>
      <c r="Q24" s="11"/>
      <c r="R24" s="27"/>
      <c r="S24" s="26"/>
      <c r="T24" s="11"/>
      <c r="U24" s="11"/>
      <c r="V24" s="27"/>
      <c r="Z24" s="72"/>
      <c r="AB24" s="71"/>
    </row>
    <row r="25" spans="1:36">
      <c r="A25" s="26"/>
      <c r="B25" s="27"/>
      <c r="C25" s="26"/>
      <c r="D25" s="11"/>
      <c r="E25" s="106"/>
      <c r="F25" s="106"/>
      <c r="G25" s="43" t="s">
        <v>25</v>
      </c>
      <c r="H25" s="44" t="s">
        <v>29</v>
      </c>
      <c r="I25" s="45"/>
      <c r="J25" s="11"/>
      <c r="K25" s="11"/>
      <c r="L25" s="11"/>
      <c r="M25" s="11"/>
      <c r="N25" s="11"/>
      <c r="O25" s="11"/>
      <c r="P25" s="11"/>
      <c r="Q25" s="11"/>
      <c r="R25" s="27"/>
      <c r="S25" s="26"/>
      <c r="T25" s="11"/>
      <c r="U25" s="11"/>
      <c r="V25" s="27"/>
    </row>
    <row r="26" spans="1:36">
      <c r="A26" s="26"/>
      <c r="B26" s="27"/>
      <c r="C26" s="26"/>
      <c r="D26" s="11"/>
      <c r="E26" s="106"/>
      <c r="F26" s="106"/>
      <c r="G26" s="43" t="s">
        <v>25</v>
      </c>
      <c r="H26" s="44" t="s">
        <v>30</v>
      </c>
      <c r="I26" s="45"/>
      <c r="J26" s="11"/>
      <c r="K26" s="11"/>
      <c r="L26" s="11"/>
      <c r="M26" s="11"/>
      <c r="N26" s="11"/>
      <c r="O26" s="11"/>
      <c r="P26" s="11"/>
      <c r="Q26" s="11"/>
      <c r="R26" s="27"/>
      <c r="S26" s="26"/>
      <c r="T26" s="11"/>
      <c r="U26" s="11"/>
      <c r="V26" s="27"/>
    </row>
    <row r="27" spans="1:36">
      <c r="A27" s="26"/>
      <c r="B27" s="27"/>
      <c r="C27" s="26"/>
      <c r="D27" s="11"/>
      <c r="E27" s="106"/>
      <c r="F27" s="106"/>
      <c r="G27" s="43" t="s">
        <v>25</v>
      </c>
      <c r="H27" s="44" t="s">
        <v>31</v>
      </c>
      <c r="I27" s="45"/>
      <c r="J27" s="11"/>
      <c r="K27" s="11"/>
      <c r="L27" s="11"/>
      <c r="M27" s="11"/>
      <c r="N27" s="11"/>
      <c r="O27" s="11"/>
      <c r="P27" s="11"/>
      <c r="Q27" s="11"/>
      <c r="R27" s="27"/>
      <c r="S27" s="26"/>
      <c r="T27" s="11"/>
      <c r="U27" s="11"/>
      <c r="V27" s="27"/>
      <c r="AA27" s="69"/>
    </row>
    <row r="28" spans="1:36">
      <c r="A28" s="26"/>
      <c r="B28" s="27"/>
      <c r="C28" s="26"/>
      <c r="D28" s="11"/>
      <c r="E28" s="106"/>
      <c r="F28" s="106"/>
      <c r="G28" s="43" t="s">
        <v>25</v>
      </c>
      <c r="H28" s="44" t="s">
        <v>32</v>
      </c>
      <c r="I28" s="45"/>
      <c r="J28" s="11"/>
      <c r="K28" s="11"/>
      <c r="L28" s="11"/>
      <c r="M28" s="11"/>
      <c r="N28" s="11"/>
      <c r="O28" s="11"/>
      <c r="P28" s="11"/>
      <c r="Q28" s="11"/>
      <c r="R28" s="27"/>
      <c r="S28" s="26"/>
      <c r="T28" s="11"/>
      <c r="U28" s="11"/>
      <c r="V28" s="27"/>
    </row>
    <row r="29" spans="1:36">
      <c r="A29" s="26"/>
      <c r="B29" s="27"/>
      <c r="C29" s="26"/>
      <c r="D29" s="11"/>
      <c r="E29" s="11"/>
      <c r="F29" s="11"/>
      <c r="G29" s="107"/>
      <c r="H29" s="107"/>
      <c r="I29" s="107"/>
      <c r="J29" s="11"/>
      <c r="K29" s="11"/>
      <c r="L29" s="11"/>
      <c r="M29" s="11"/>
      <c r="N29" s="11"/>
      <c r="O29" s="11"/>
      <c r="P29" s="11"/>
      <c r="Q29" s="11"/>
      <c r="R29" s="27"/>
      <c r="S29" s="26"/>
      <c r="T29" s="11"/>
      <c r="U29" s="11"/>
      <c r="V29" s="27"/>
    </row>
    <row r="30" spans="1:36">
      <c r="A30" s="47">
        <v>2.1</v>
      </c>
      <c r="B30" s="27"/>
      <c r="C30" s="28"/>
      <c r="D30" s="11" t="s">
        <v>33</v>
      </c>
      <c r="E30" s="11"/>
      <c r="F30" s="48" t="s">
        <v>34</v>
      </c>
      <c r="G30" s="136">
        <v>1.6E-2</v>
      </c>
      <c r="H30" s="136"/>
      <c r="I30" s="136"/>
      <c r="J30" s="11"/>
      <c r="K30" s="11"/>
      <c r="L30" s="11"/>
      <c r="M30" s="11"/>
      <c r="N30" s="11"/>
      <c r="O30" s="11"/>
      <c r="P30" s="11"/>
      <c r="Q30" s="11"/>
      <c r="R30" s="27"/>
      <c r="S30" s="26"/>
      <c r="T30" s="11"/>
      <c r="U30" s="11"/>
      <c r="V30" s="27"/>
    </row>
    <row r="31" spans="1:36">
      <c r="A31" s="28"/>
      <c r="B31" s="27"/>
      <c r="C31" s="26"/>
      <c r="D31" s="11"/>
      <c r="E31" s="11"/>
      <c r="F31" s="11"/>
      <c r="G31" s="11"/>
      <c r="H31" s="11"/>
      <c r="I31" s="49"/>
      <c r="J31" s="11"/>
      <c r="K31" s="11"/>
      <c r="L31" s="11"/>
      <c r="M31" s="11"/>
      <c r="N31" s="11"/>
      <c r="O31" s="11"/>
      <c r="P31" s="11"/>
      <c r="Q31" s="11"/>
      <c r="R31" s="27"/>
      <c r="S31" s="26"/>
      <c r="T31" s="11"/>
      <c r="U31" s="11"/>
      <c r="V31" s="27"/>
      <c r="X31" s="6" t="s">
        <v>9</v>
      </c>
    </row>
    <row r="32" spans="1:36">
      <c r="A32" s="47">
        <v>2.2000000000000002</v>
      </c>
      <c r="B32" s="27"/>
      <c r="C32" s="26"/>
      <c r="D32" s="11" t="s">
        <v>59</v>
      </c>
      <c r="E32" s="11"/>
      <c r="F32" s="11"/>
      <c r="G32" s="11"/>
      <c r="H32" s="150">
        <v>300</v>
      </c>
      <c r="I32" s="150"/>
      <c r="J32" s="150"/>
      <c r="K32" s="11" t="s">
        <v>60</v>
      </c>
      <c r="L32" s="11"/>
      <c r="M32" s="11"/>
      <c r="N32" s="11"/>
      <c r="P32" s="150">
        <v>650</v>
      </c>
      <c r="Q32" s="150"/>
      <c r="R32" s="151"/>
      <c r="V32" s="27"/>
      <c r="AA32" s="46"/>
      <c r="AB32" s="46"/>
      <c r="AC32" s="46"/>
    </row>
    <row r="33" spans="1:28">
      <c r="A33" s="26"/>
      <c r="B33" s="27"/>
      <c r="C33" s="26"/>
      <c r="D33" s="11"/>
      <c r="E33" s="11"/>
      <c r="F33" s="11"/>
      <c r="G33" s="11"/>
      <c r="H33" s="11"/>
      <c r="I33" s="49"/>
      <c r="J33" s="11"/>
      <c r="K33" s="11"/>
      <c r="L33" s="11"/>
      <c r="M33" s="11"/>
      <c r="N33" s="11"/>
      <c r="P33" s="11"/>
      <c r="Q33" s="11"/>
      <c r="R33" s="27"/>
      <c r="V33" s="27"/>
      <c r="Z33" s="46">
        <f>180/250</f>
        <v>0.72</v>
      </c>
      <c r="AB33" s="6">
        <f>30-100</f>
        <v>-70</v>
      </c>
    </row>
    <row r="34" spans="1:28">
      <c r="A34" s="47">
        <v>2.2999999999999998</v>
      </c>
      <c r="B34" s="27"/>
      <c r="C34" s="26"/>
      <c r="D34" s="11" t="s">
        <v>35</v>
      </c>
      <c r="E34" s="11"/>
      <c r="F34" s="11"/>
      <c r="G34" s="136">
        <v>250</v>
      </c>
      <c r="H34" s="136"/>
      <c r="I34" s="49"/>
      <c r="J34" s="11"/>
      <c r="K34" s="11"/>
      <c r="L34" s="11"/>
      <c r="M34" s="11"/>
      <c r="N34" s="11"/>
      <c r="O34" s="11"/>
      <c r="P34" s="11"/>
      <c r="Q34" s="11"/>
      <c r="R34" s="27"/>
      <c r="S34" s="26"/>
      <c r="T34" s="11"/>
      <c r="U34" s="11"/>
      <c r="V34" s="27"/>
      <c r="Z34" s="46"/>
    </row>
    <row r="35" spans="1:28">
      <c r="A35" s="26"/>
      <c r="B35" s="27"/>
      <c r="C35" s="26"/>
      <c r="D35" s="11"/>
      <c r="E35" s="11"/>
      <c r="F35" s="11"/>
      <c r="G35" s="11"/>
      <c r="H35" s="11"/>
      <c r="I35" s="49"/>
      <c r="J35" s="11"/>
      <c r="K35" s="11"/>
      <c r="L35" s="11"/>
      <c r="M35" s="11"/>
      <c r="N35" s="11"/>
      <c r="O35" s="11"/>
      <c r="P35" s="11"/>
      <c r="Q35" s="11"/>
      <c r="R35" s="27"/>
      <c r="S35" s="145" t="s">
        <v>111</v>
      </c>
      <c r="T35" s="146"/>
      <c r="U35" s="146"/>
      <c r="V35" s="147"/>
    </row>
    <row r="36" spans="1:28" ht="17.25" customHeight="1">
      <c r="A36" s="47">
        <v>2.4</v>
      </c>
      <c r="B36" s="27"/>
      <c r="C36" s="26"/>
      <c r="D36" s="11" t="s">
        <v>36</v>
      </c>
      <c r="E36" s="11"/>
      <c r="F36" s="11"/>
      <c r="G36" s="108" t="s">
        <v>64</v>
      </c>
      <c r="H36" s="108"/>
      <c r="I36" s="51"/>
      <c r="J36" s="108"/>
      <c r="K36" s="108"/>
      <c r="L36" s="106" t="s">
        <v>15</v>
      </c>
      <c r="M36" s="148">
        <f>P32-50</f>
        <v>600</v>
      </c>
      <c r="N36" s="148"/>
      <c r="O36" s="148"/>
      <c r="P36" s="11"/>
      <c r="Q36" s="11"/>
      <c r="R36" s="11"/>
      <c r="S36" s="145"/>
      <c r="T36" s="146"/>
      <c r="U36" s="146"/>
      <c r="V36" s="147"/>
    </row>
    <row r="37" spans="1:28">
      <c r="A37" s="26"/>
      <c r="B37" s="27"/>
      <c r="C37" s="26"/>
      <c r="D37" s="11"/>
      <c r="E37" s="11"/>
      <c r="F37" s="11"/>
      <c r="G37" s="11"/>
      <c r="H37" s="11"/>
      <c r="I37" s="49"/>
      <c r="J37" s="11"/>
      <c r="K37" s="11"/>
      <c r="L37" s="11"/>
      <c r="M37" s="11"/>
      <c r="N37" s="11"/>
      <c r="O37" s="11"/>
      <c r="P37" s="11"/>
      <c r="Q37" s="11"/>
      <c r="R37" s="27"/>
      <c r="S37" s="26"/>
      <c r="T37" s="11"/>
      <c r="U37" s="11"/>
      <c r="V37" s="27"/>
    </row>
    <row r="38" spans="1:28">
      <c r="A38" s="47">
        <v>2.5</v>
      </c>
      <c r="B38" s="27"/>
      <c r="C38" s="26"/>
      <c r="D38" s="11" t="s">
        <v>37</v>
      </c>
      <c r="E38" s="11"/>
      <c r="F38" s="11"/>
      <c r="G38" s="34" t="s">
        <v>38</v>
      </c>
      <c r="H38" s="149">
        <f>H32</f>
        <v>300</v>
      </c>
      <c r="I38" s="149"/>
      <c r="J38" s="149"/>
      <c r="K38" s="11"/>
      <c r="L38" s="119" t="s">
        <v>45</v>
      </c>
      <c r="M38" s="119"/>
      <c r="N38" s="141">
        <f>H38/1000</f>
        <v>0.3</v>
      </c>
      <c r="O38" s="141"/>
      <c r="P38" s="11" t="s">
        <v>39</v>
      </c>
      <c r="Q38" s="11"/>
      <c r="R38" s="27"/>
      <c r="S38" s="26"/>
      <c r="T38" s="11"/>
      <c r="U38" s="11"/>
      <c r="V38" s="27"/>
    </row>
    <row r="39" spans="1:28">
      <c r="A39" s="52"/>
      <c r="B39" s="27"/>
      <c r="C39" s="26"/>
      <c r="D39" s="11"/>
      <c r="E39" s="11"/>
      <c r="F39" s="11"/>
      <c r="G39" s="11"/>
      <c r="H39" s="11"/>
      <c r="I39" s="11"/>
      <c r="J39" s="53"/>
      <c r="K39" s="11"/>
      <c r="L39" s="11"/>
      <c r="M39" s="11"/>
      <c r="N39" s="11"/>
      <c r="O39" s="11"/>
      <c r="P39" s="11"/>
      <c r="Q39" s="11"/>
      <c r="R39" s="27"/>
      <c r="S39" s="26"/>
      <c r="T39" s="11"/>
      <c r="U39" s="11"/>
      <c r="V39" s="27"/>
    </row>
    <row r="40" spans="1:28" ht="15.75">
      <c r="A40" s="47">
        <v>2.6</v>
      </c>
      <c r="B40" s="27"/>
      <c r="C40" s="26"/>
      <c r="D40" s="11" t="s">
        <v>63</v>
      </c>
      <c r="E40" s="11"/>
      <c r="F40" s="11"/>
      <c r="G40" s="11"/>
      <c r="H40" s="11"/>
      <c r="I40" s="11"/>
      <c r="J40" s="53"/>
      <c r="K40" s="141">
        <f>H32*M36/1000000</f>
        <v>0.18</v>
      </c>
      <c r="L40" s="141"/>
      <c r="M40" s="11" t="s">
        <v>13</v>
      </c>
      <c r="O40" s="11"/>
      <c r="P40" s="11"/>
      <c r="Q40" s="11"/>
      <c r="R40" s="27"/>
      <c r="S40" s="26"/>
      <c r="T40" s="11"/>
      <c r="U40" s="11"/>
      <c r="V40" s="27"/>
    </row>
    <row r="41" spans="1:28">
      <c r="A41" s="52"/>
      <c r="B41" s="27"/>
      <c r="C41" s="26"/>
      <c r="D41" s="11"/>
      <c r="E41" s="11"/>
      <c r="F41" s="11"/>
      <c r="G41" s="11"/>
      <c r="H41" s="11"/>
      <c r="I41" s="11"/>
      <c r="J41" s="53"/>
      <c r="K41" s="11"/>
      <c r="L41" s="11"/>
      <c r="M41" s="11"/>
      <c r="N41" s="11"/>
      <c r="O41" s="11"/>
      <c r="P41" s="11"/>
      <c r="Q41" s="11"/>
      <c r="R41" s="27"/>
      <c r="S41" s="26"/>
      <c r="T41" s="11"/>
      <c r="U41" s="11"/>
      <c r="V41" s="27"/>
    </row>
    <row r="42" spans="1:28">
      <c r="A42" s="47">
        <v>2.7</v>
      </c>
      <c r="B42" s="27"/>
      <c r="C42" s="26"/>
      <c r="D42" s="11" t="s">
        <v>40</v>
      </c>
      <c r="E42" s="11"/>
      <c r="F42" s="11"/>
      <c r="G42" s="11"/>
      <c r="H42" s="11"/>
      <c r="I42" s="141">
        <f>(H32+2*M36)/1000</f>
        <v>1.5</v>
      </c>
      <c r="J42" s="141"/>
      <c r="K42" s="11" t="s">
        <v>39</v>
      </c>
      <c r="L42" s="11"/>
      <c r="M42" s="11"/>
      <c r="N42" s="11"/>
      <c r="O42" s="11"/>
      <c r="P42" s="11"/>
      <c r="Q42" s="11"/>
      <c r="R42" s="27"/>
      <c r="S42" s="26"/>
      <c r="T42" s="11"/>
      <c r="U42" s="11"/>
      <c r="V42" s="27"/>
    </row>
    <row r="43" spans="1:28">
      <c r="A43" s="52"/>
      <c r="B43" s="27"/>
      <c r="C43" s="26"/>
      <c r="D43" s="11"/>
      <c r="E43" s="11"/>
      <c r="F43" s="11"/>
      <c r="G43" s="11"/>
      <c r="H43" s="11"/>
      <c r="I43" s="11"/>
      <c r="J43" s="53"/>
      <c r="K43" s="11"/>
      <c r="L43" s="11"/>
      <c r="M43" s="11"/>
      <c r="N43" s="11"/>
      <c r="O43" s="11"/>
      <c r="P43" s="11"/>
      <c r="Q43" s="11"/>
      <c r="R43" s="27"/>
      <c r="S43" s="26"/>
      <c r="T43" s="11"/>
      <c r="U43" s="11"/>
      <c r="V43" s="27"/>
    </row>
    <row r="44" spans="1:28">
      <c r="A44" s="47">
        <v>2.8</v>
      </c>
      <c r="B44" s="27"/>
      <c r="C44" s="26"/>
      <c r="D44" s="11" t="s">
        <v>41</v>
      </c>
      <c r="E44" s="11"/>
      <c r="F44" s="11"/>
      <c r="G44" s="11"/>
      <c r="H44" s="11"/>
      <c r="I44" s="141">
        <f>K40/I42</f>
        <v>0.12</v>
      </c>
      <c r="J44" s="141"/>
      <c r="K44" s="11" t="s">
        <v>39</v>
      </c>
      <c r="L44" s="11"/>
      <c r="M44" s="11"/>
      <c r="N44" s="11"/>
      <c r="O44" s="11"/>
      <c r="P44" s="11"/>
      <c r="Q44" s="11"/>
      <c r="R44" s="27"/>
      <c r="S44" s="26"/>
      <c r="T44" s="11"/>
      <c r="U44" s="11"/>
      <c r="V44" s="27"/>
      <c r="Y44" s="114">
        <f>Purple1!L17</f>
        <v>375</v>
      </c>
      <c r="Z44" s="6">
        <f>101*39+1989</f>
        <v>5928</v>
      </c>
    </row>
    <row r="45" spans="1:28">
      <c r="A45" s="52"/>
      <c r="B45" s="27"/>
      <c r="C45" s="26"/>
      <c r="D45" s="11"/>
      <c r="E45" s="11"/>
      <c r="F45" s="11"/>
      <c r="G45" s="11"/>
      <c r="H45" s="11"/>
      <c r="I45" s="11"/>
      <c r="J45" s="53"/>
      <c r="K45" s="11"/>
      <c r="L45" s="11"/>
      <c r="M45" s="11"/>
      <c r="N45" s="11"/>
      <c r="O45" s="11"/>
      <c r="P45" s="11"/>
      <c r="Q45" s="11"/>
      <c r="R45" s="27"/>
      <c r="S45" s="26"/>
      <c r="T45" s="11"/>
      <c r="U45" s="11"/>
      <c r="V45" s="27"/>
    </row>
    <row r="46" spans="1:28" ht="16.5">
      <c r="A46" s="47">
        <v>2.9</v>
      </c>
      <c r="B46" s="27"/>
      <c r="C46" s="26"/>
      <c r="D46" s="11" t="s">
        <v>92</v>
      </c>
      <c r="E46" s="11"/>
      <c r="F46" s="11"/>
      <c r="G46" s="11"/>
      <c r="H46" s="11"/>
      <c r="I46" s="11"/>
      <c r="J46" s="53"/>
      <c r="K46" s="133">
        <f>(1/G30)*K40*((I44)^(2/3))*((1/G34)^(0.5))</f>
        <v>0.17310250345709971</v>
      </c>
      <c r="L46" s="133"/>
      <c r="M46" s="11" t="s">
        <v>42</v>
      </c>
      <c r="N46" s="11"/>
      <c r="O46" s="11"/>
      <c r="P46" s="11"/>
      <c r="Q46" s="11"/>
      <c r="R46" s="27"/>
      <c r="S46" s="26"/>
      <c r="T46" s="11"/>
      <c r="U46" s="11"/>
      <c r="V46" s="27"/>
    </row>
    <row r="47" spans="1:28">
      <c r="A47" s="52"/>
      <c r="B47" s="27"/>
      <c r="C47" s="26"/>
      <c r="D47" s="11"/>
      <c r="E47" s="11"/>
      <c r="F47" s="11"/>
      <c r="G47" s="11"/>
      <c r="H47" s="11"/>
      <c r="I47" s="11"/>
      <c r="J47" s="53"/>
      <c r="K47" s="11"/>
      <c r="L47" s="11"/>
      <c r="M47" s="11"/>
      <c r="N47" s="11"/>
      <c r="O47" s="11"/>
      <c r="P47" s="11"/>
      <c r="Q47" s="11"/>
      <c r="R47" s="27"/>
      <c r="S47" s="26"/>
      <c r="T47" s="11"/>
      <c r="U47" s="11"/>
      <c r="V47" s="27"/>
    </row>
    <row r="48" spans="1:28" ht="14.25">
      <c r="A48" s="54">
        <v>2.1</v>
      </c>
      <c r="B48" s="27"/>
      <c r="C48" s="26"/>
      <c r="D48" s="11" t="s">
        <v>93</v>
      </c>
      <c r="E48" s="11"/>
      <c r="F48" s="11"/>
      <c r="G48" s="11"/>
      <c r="H48" s="11"/>
      <c r="I48" s="11"/>
      <c r="J48" s="133">
        <f>K46/K40</f>
        <v>0.96168057476166513</v>
      </c>
      <c r="K48" s="133"/>
      <c r="L48" s="11" t="s">
        <v>43</v>
      </c>
      <c r="M48" s="11"/>
      <c r="N48" s="11"/>
      <c r="O48" s="11"/>
      <c r="Q48" s="49" t="str">
        <f>IF(J48&gt;0.06,"ok.","Not ok.")</f>
        <v>ok.</v>
      </c>
      <c r="R48" s="27"/>
      <c r="S48" s="142" t="s">
        <v>108</v>
      </c>
      <c r="T48" s="143"/>
      <c r="U48" s="143"/>
      <c r="V48" s="144"/>
      <c r="AA48" s="6">
        <f>90+30</f>
        <v>120</v>
      </c>
    </row>
    <row r="49" spans="1:27">
      <c r="A49" s="55"/>
      <c r="B49" s="27"/>
      <c r="C49" s="26"/>
      <c r="D49" s="11"/>
      <c r="E49" s="11"/>
      <c r="F49" s="11"/>
      <c r="G49" s="11"/>
      <c r="H49" s="11"/>
      <c r="I49" s="11"/>
      <c r="J49" s="109"/>
      <c r="K49" s="109"/>
      <c r="L49" s="11"/>
      <c r="M49" s="11"/>
      <c r="N49" s="11"/>
      <c r="O49" s="11"/>
      <c r="P49" s="53"/>
      <c r="Q49" s="11"/>
      <c r="R49" s="27"/>
      <c r="S49" s="118"/>
      <c r="T49" s="119"/>
      <c r="U49" s="119"/>
      <c r="V49" s="120"/>
    </row>
    <row r="50" spans="1:27">
      <c r="A50" s="54">
        <v>2.11</v>
      </c>
      <c r="B50" s="27"/>
      <c r="C50" s="11"/>
      <c r="D50" s="11" t="s">
        <v>44</v>
      </c>
      <c r="E50" s="11"/>
      <c r="F50" s="11"/>
      <c r="G50" s="11"/>
      <c r="H50" s="136">
        <v>1</v>
      </c>
      <c r="I50" s="136"/>
      <c r="J50" s="109"/>
      <c r="K50" s="109"/>
      <c r="L50" s="11"/>
      <c r="M50" s="11"/>
      <c r="N50" s="11"/>
      <c r="O50" s="11"/>
      <c r="P50" s="53"/>
      <c r="Q50" s="11"/>
      <c r="R50" s="27"/>
      <c r="S50" s="102"/>
      <c r="T50" s="106"/>
      <c r="U50" s="106"/>
      <c r="V50" s="103"/>
    </row>
    <row r="51" spans="1:27">
      <c r="A51" s="55"/>
      <c r="B51" s="27"/>
      <c r="C51" s="26"/>
      <c r="D51" s="11"/>
      <c r="E51" s="11"/>
      <c r="F51" s="11"/>
      <c r="G51" s="11"/>
      <c r="H51" s="11"/>
      <c r="I51" s="11"/>
      <c r="J51" s="109"/>
      <c r="K51" s="109"/>
      <c r="L51" s="11"/>
      <c r="M51" s="11"/>
      <c r="N51" s="11"/>
      <c r="O51" s="11"/>
      <c r="P51" s="53"/>
      <c r="Q51" s="11"/>
      <c r="R51" s="27"/>
      <c r="S51" s="102"/>
      <c r="T51" s="106"/>
      <c r="U51" s="106"/>
      <c r="V51" s="103"/>
    </row>
    <row r="52" spans="1:27" ht="16.5">
      <c r="A52" s="56">
        <v>2.12</v>
      </c>
      <c r="B52" s="27"/>
      <c r="C52" s="137" t="s">
        <v>73</v>
      </c>
      <c r="D52" s="138"/>
      <c r="E52" s="138"/>
      <c r="F52" s="138"/>
      <c r="G52" s="138"/>
      <c r="H52" s="138"/>
      <c r="I52" s="138"/>
      <c r="J52" s="138"/>
      <c r="K52" s="139">
        <f>K46*3600/H50</f>
        <v>623.16901244555891</v>
      </c>
      <c r="L52" s="139"/>
      <c r="M52" s="11" t="s">
        <v>20</v>
      </c>
      <c r="N52" s="111"/>
      <c r="O52" s="57"/>
      <c r="P52" s="57"/>
      <c r="R52" s="27"/>
      <c r="S52" s="26"/>
      <c r="T52" s="49"/>
      <c r="U52" s="11"/>
      <c r="V52" s="27"/>
    </row>
    <row r="53" spans="1:27">
      <c r="A53" s="58"/>
      <c r="B53" s="27"/>
      <c r="C53" s="11"/>
      <c r="D53" s="11"/>
      <c r="E53" s="11"/>
      <c r="F53" s="11"/>
      <c r="G53" s="11"/>
      <c r="H53" s="11"/>
      <c r="I53" s="11"/>
      <c r="J53" s="112"/>
      <c r="K53" s="112"/>
      <c r="L53" s="11"/>
      <c r="M53" s="11"/>
      <c r="N53" s="59"/>
      <c r="O53" s="105"/>
      <c r="P53" s="105"/>
      <c r="Q53" s="11"/>
      <c r="R53" s="11"/>
      <c r="S53" s="26"/>
      <c r="T53" s="49"/>
      <c r="U53" s="11"/>
      <c r="V53" s="27"/>
    </row>
    <row r="54" spans="1:27" ht="16.5">
      <c r="A54" s="60"/>
      <c r="B54" s="9"/>
      <c r="C54" s="13"/>
      <c r="D54" s="13"/>
      <c r="E54" s="13"/>
      <c r="F54" s="13"/>
      <c r="G54" s="13"/>
      <c r="H54" s="13"/>
      <c r="I54" s="13"/>
      <c r="J54" s="61"/>
      <c r="K54" s="61" t="s">
        <v>10</v>
      </c>
      <c r="L54" s="62" t="s">
        <v>51</v>
      </c>
      <c r="M54" s="140">
        <f>L17</f>
        <v>207</v>
      </c>
      <c r="N54" s="140"/>
      <c r="O54" s="13" t="s">
        <v>20</v>
      </c>
      <c r="P54" s="113"/>
      <c r="Q54" s="63" t="str">
        <f>IF(K52&gt;=M54,"ok.","Not ok.")</f>
        <v>ok.</v>
      </c>
      <c r="R54" s="13"/>
      <c r="S54" s="23"/>
      <c r="T54" s="63"/>
      <c r="U54" s="13"/>
      <c r="V54" s="9"/>
    </row>
    <row r="55" spans="1:27" ht="16.5">
      <c r="A55" s="24">
        <v>3</v>
      </c>
      <c r="B55" s="22"/>
      <c r="C55" s="20" t="s">
        <v>46</v>
      </c>
      <c r="D55" s="22"/>
      <c r="E55" s="22"/>
      <c r="F55" s="22"/>
      <c r="G55" s="22"/>
      <c r="H55" s="22"/>
      <c r="I55" s="22"/>
      <c r="J55" s="22"/>
      <c r="K55" s="22"/>
      <c r="L55" s="22" t="s">
        <v>47</v>
      </c>
      <c r="M55" s="22"/>
      <c r="N55" s="22"/>
      <c r="O55" s="22"/>
      <c r="P55" s="22"/>
      <c r="Q55" s="22"/>
      <c r="R55" s="22"/>
      <c r="S55" s="25"/>
      <c r="T55" s="22"/>
      <c r="U55" s="22"/>
      <c r="V55" s="21"/>
    </row>
    <row r="56" spans="1:27" ht="16.5">
      <c r="A56" s="64"/>
      <c r="B56" s="11"/>
      <c r="C56" s="28"/>
      <c r="D56" s="11"/>
      <c r="E56" s="11"/>
      <c r="F56" s="11"/>
      <c r="G56" s="11"/>
      <c r="H56" s="11"/>
      <c r="I56" s="11"/>
      <c r="K56" s="11"/>
      <c r="L56" s="11" t="s">
        <v>65</v>
      </c>
      <c r="M56" s="11"/>
      <c r="N56" s="11"/>
      <c r="O56" s="11"/>
      <c r="P56" s="11"/>
      <c r="Q56" s="11"/>
      <c r="R56" s="11"/>
      <c r="S56" s="26"/>
      <c r="T56" s="11"/>
      <c r="U56" s="11"/>
      <c r="V56" s="27"/>
      <c r="AA56" s="6">
        <f>1.4-2.3</f>
        <v>-0.89999999999999991</v>
      </c>
    </row>
    <row r="57" spans="1:27">
      <c r="A57" s="64"/>
      <c r="B57" s="11"/>
      <c r="C57" s="2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26"/>
      <c r="T57" s="11"/>
      <c r="U57" s="11"/>
      <c r="V57" s="27"/>
      <c r="AA57" s="6">
        <f>400+900</f>
        <v>1300</v>
      </c>
    </row>
    <row r="58" spans="1:27" ht="16.5">
      <c r="A58" s="65">
        <v>3.1</v>
      </c>
      <c r="B58" s="11"/>
      <c r="C58" s="118" t="s">
        <v>48</v>
      </c>
      <c r="D58" s="119"/>
      <c r="E58" s="119"/>
      <c r="F58" s="119"/>
      <c r="G58" s="133">
        <f>(9.804*K40^3/N38)^0.5</f>
        <v>0.43656587131840713</v>
      </c>
      <c r="H58" s="133"/>
      <c r="I58" s="11" t="s">
        <v>42</v>
      </c>
      <c r="J58" s="11"/>
      <c r="K58" s="66" t="s">
        <v>10</v>
      </c>
      <c r="L58" s="53" t="s">
        <v>49</v>
      </c>
      <c r="M58" s="133">
        <f>K46</f>
        <v>0.17310250345709971</v>
      </c>
      <c r="N58" s="133"/>
      <c r="O58" s="11" t="s">
        <v>42</v>
      </c>
      <c r="P58" s="11"/>
      <c r="Q58" s="49" t="str">
        <f>IF(G58&gt;=M58,"ok.","Not ok.")</f>
        <v>ok.</v>
      </c>
      <c r="R58" s="11"/>
      <c r="S58" s="26"/>
      <c r="T58" s="11"/>
      <c r="U58" s="11"/>
      <c r="V58" s="27"/>
      <c r="AA58" s="6">
        <f>AA57/2</f>
        <v>650</v>
      </c>
    </row>
    <row r="59" spans="1:27">
      <c r="A59" s="65"/>
      <c r="B59" s="11"/>
      <c r="C59" s="102"/>
      <c r="D59" s="106"/>
      <c r="E59" s="106"/>
      <c r="F59" s="106"/>
      <c r="G59" s="110"/>
      <c r="H59" s="110"/>
      <c r="I59" s="11"/>
      <c r="J59" s="11"/>
      <c r="K59" s="66"/>
      <c r="L59" s="53"/>
      <c r="M59" s="110"/>
      <c r="N59" s="110"/>
      <c r="O59" s="11"/>
      <c r="P59" s="11"/>
      <c r="Q59" s="49"/>
      <c r="R59" s="11"/>
      <c r="S59" s="26"/>
      <c r="T59" s="11"/>
      <c r="U59" s="11"/>
      <c r="V59" s="27"/>
    </row>
    <row r="60" spans="1:27" ht="15.75">
      <c r="A60" s="65"/>
      <c r="B60" s="11"/>
      <c r="C60" s="118" t="s">
        <v>66</v>
      </c>
      <c r="D60" s="119"/>
      <c r="E60" s="119"/>
      <c r="F60" s="119"/>
      <c r="G60" s="133">
        <f>((K46^2*N38/9.804)^(1/3))/(H32/1000)</f>
        <v>0.32383239752717297</v>
      </c>
      <c r="H60" s="133"/>
      <c r="I60" s="11" t="s">
        <v>39</v>
      </c>
      <c r="J60" s="11"/>
      <c r="K60" s="66" t="s">
        <v>55</v>
      </c>
      <c r="L60" s="53" t="s">
        <v>67</v>
      </c>
      <c r="M60" s="133">
        <f>M36/1000</f>
        <v>0.6</v>
      </c>
      <c r="N60" s="133"/>
      <c r="O60" s="11" t="s">
        <v>39</v>
      </c>
      <c r="P60" s="11"/>
      <c r="Q60" s="49" t="str">
        <f>IF(M60&gt;=G60,"ok.","Not ok.")</f>
        <v>ok.</v>
      </c>
      <c r="R60" s="11"/>
      <c r="S60" s="26"/>
      <c r="T60" s="11"/>
      <c r="U60" s="11"/>
      <c r="V60" s="27"/>
    </row>
    <row r="61" spans="1:27">
      <c r="A61" s="26"/>
      <c r="B61" s="11"/>
      <c r="C61" s="2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26"/>
      <c r="T61" s="11"/>
      <c r="U61" s="11"/>
      <c r="V61" s="27"/>
    </row>
    <row r="62" spans="1:27">
      <c r="A62" s="47">
        <v>3.2</v>
      </c>
      <c r="B62" s="11"/>
      <c r="C62" s="67" t="s">
        <v>50</v>
      </c>
      <c r="D62" s="68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26"/>
      <c r="T62" s="11"/>
      <c r="U62" s="11"/>
      <c r="V62" s="27"/>
    </row>
    <row r="63" spans="1:27" ht="14.25">
      <c r="A63" s="26"/>
      <c r="B63" s="11"/>
      <c r="C63" s="26"/>
      <c r="D63" s="11"/>
      <c r="E63" s="34" t="s">
        <v>54</v>
      </c>
      <c r="F63" s="111" t="s">
        <v>15</v>
      </c>
      <c r="G63" s="53" t="s">
        <v>52</v>
      </c>
      <c r="H63" s="11"/>
      <c r="I63" s="11" t="s">
        <v>53</v>
      </c>
      <c r="J63" s="11"/>
      <c r="K63" s="11"/>
      <c r="L63" s="11"/>
      <c r="M63" s="11"/>
      <c r="N63" s="11"/>
      <c r="O63" s="11"/>
      <c r="P63" s="11"/>
      <c r="Q63" s="11"/>
      <c r="R63" s="11"/>
      <c r="S63" s="26"/>
      <c r="T63" s="11"/>
      <c r="U63" s="11"/>
      <c r="V63" s="27"/>
    </row>
    <row r="64" spans="1:27" ht="14.25">
      <c r="A64" s="26"/>
      <c r="B64" s="11"/>
      <c r="C64" s="26"/>
      <c r="D64" s="106" t="s">
        <v>68</v>
      </c>
      <c r="E64" s="34" t="s">
        <v>69</v>
      </c>
      <c r="F64" s="111" t="s">
        <v>15</v>
      </c>
      <c r="G64" s="53" t="s">
        <v>70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26"/>
      <c r="T64" s="11"/>
      <c r="U64" s="11"/>
      <c r="V64" s="27"/>
    </row>
    <row r="65" spans="1:22" ht="14.25">
      <c r="A65" s="26"/>
      <c r="B65" s="11"/>
      <c r="C65" s="26"/>
      <c r="D65" s="11"/>
      <c r="E65" s="34" t="s">
        <v>54</v>
      </c>
      <c r="F65" s="111" t="s">
        <v>10</v>
      </c>
      <c r="G65" s="53" t="s">
        <v>52</v>
      </c>
      <c r="H65" s="11"/>
      <c r="I65" s="11" t="s">
        <v>57</v>
      </c>
      <c r="J65" s="11"/>
      <c r="K65" s="11"/>
      <c r="L65" s="11"/>
      <c r="M65" s="11"/>
      <c r="N65" s="11"/>
      <c r="O65" s="134" t="s">
        <v>58</v>
      </c>
      <c r="P65" s="135"/>
      <c r="Q65" s="135"/>
      <c r="R65" s="11"/>
      <c r="S65" s="26"/>
      <c r="T65" s="11"/>
      <c r="U65" s="11"/>
      <c r="V65" s="27"/>
    </row>
    <row r="66" spans="1:22" ht="14.25">
      <c r="A66" s="26"/>
      <c r="B66" s="11"/>
      <c r="C66" s="26"/>
      <c r="D66" s="106" t="s">
        <v>68</v>
      </c>
      <c r="E66" s="34" t="s">
        <v>69</v>
      </c>
      <c r="F66" s="111" t="s">
        <v>55</v>
      </c>
      <c r="G66" s="53" t="s">
        <v>71</v>
      </c>
      <c r="H66" s="11"/>
      <c r="I66" s="11"/>
      <c r="J66" s="11"/>
      <c r="K66" s="11"/>
      <c r="L66" s="11"/>
      <c r="M66" s="11"/>
      <c r="N66" s="11"/>
      <c r="O66" s="111"/>
      <c r="P66" s="111"/>
      <c r="Q66" s="111"/>
      <c r="R66" s="11"/>
      <c r="S66" s="26"/>
      <c r="T66" s="11"/>
      <c r="U66" s="11"/>
      <c r="V66" s="27"/>
    </row>
    <row r="67" spans="1:22" ht="14.25">
      <c r="A67" s="26"/>
      <c r="B67" s="11"/>
      <c r="C67" s="26"/>
      <c r="D67" s="11"/>
      <c r="E67" s="34" t="s">
        <v>54</v>
      </c>
      <c r="F67" s="111" t="s">
        <v>55</v>
      </c>
      <c r="G67" s="53" t="s">
        <v>52</v>
      </c>
      <c r="H67" s="11"/>
      <c r="I67" s="11" t="s">
        <v>56</v>
      </c>
      <c r="J67" s="11"/>
      <c r="K67" s="11"/>
      <c r="L67" s="11"/>
      <c r="M67" s="11"/>
      <c r="N67" s="11"/>
      <c r="O67" s="11"/>
      <c r="P67" s="11"/>
      <c r="Q67" s="11"/>
      <c r="R67" s="11"/>
      <c r="S67" s="26"/>
      <c r="T67" s="11"/>
      <c r="U67" s="11"/>
      <c r="V67" s="27"/>
    </row>
    <row r="68" spans="1:22" ht="14.25">
      <c r="A68" s="26"/>
      <c r="B68" s="11"/>
      <c r="C68" s="26"/>
      <c r="D68" s="106" t="s">
        <v>68</v>
      </c>
      <c r="E68" s="34" t="s">
        <v>69</v>
      </c>
      <c r="F68" s="111" t="s">
        <v>10</v>
      </c>
      <c r="G68" s="53" t="s">
        <v>71</v>
      </c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26"/>
      <c r="T68" s="11"/>
      <c r="U68" s="11"/>
      <c r="V68" s="27"/>
    </row>
    <row r="69" spans="1:22">
      <c r="A69" s="23"/>
      <c r="B69" s="13"/>
      <c r="C69" s="2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23"/>
      <c r="T69" s="13"/>
      <c r="U69" s="13"/>
      <c r="V69" s="9"/>
    </row>
  </sheetData>
  <mergeCells count="37">
    <mergeCell ref="C60:F60"/>
    <mergeCell ref="G60:H60"/>
    <mergeCell ref="M60:N60"/>
    <mergeCell ref="O65:Q65"/>
    <mergeCell ref="S49:V49"/>
    <mergeCell ref="H50:I50"/>
    <mergeCell ref="C52:J52"/>
    <mergeCell ref="K52:L52"/>
    <mergeCell ref="M54:N54"/>
    <mergeCell ref="C58:F58"/>
    <mergeCell ref="G58:H58"/>
    <mergeCell ref="M58:N58"/>
    <mergeCell ref="K40:L40"/>
    <mergeCell ref="I42:J42"/>
    <mergeCell ref="I44:J44"/>
    <mergeCell ref="K46:L46"/>
    <mergeCell ref="J48:K48"/>
    <mergeCell ref="S48:V48"/>
    <mergeCell ref="G34:H34"/>
    <mergeCell ref="S35:V35"/>
    <mergeCell ref="M36:O36"/>
    <mergeCell ref="S36:V36"/>
    <mergeCell ref="H38:J38"/>
    <mergeCell ref="L38:M38"/>
    <mergeCell ref="N38:O38"/>
    <mergeCell ref="H15:J15"/>
    <mergeCell ref="L17:N17"/>
    <mergeCell ref="E22:F22"/>
    <mergeCell ref="G30:I30"/>
    <mergeCell ref="H32:J32"/>
    <mergeCell ref="P32:R32"/>
    <mergeCell ref="I3:K3"/>
    <mergeCell ref="T3:V3"/>
    <mergeCell ref="A5:V5"/>
    <mergeCell ref="F10:H10"/>
    <mergeCell ref="I11:K11"/>
    <mergeCell ref="H13:J13"/>
  </mergeCells>
  <printOptions horizontalCentered="1"/>
  <pageMargins left="0.74803149606299213" right="0.74803149606299213" top="0.74803149606299213" bottom="0.74803149606299213" header="0.51181102362204722" footer="0.51181102362204722"/>
  <pageSetup paperSize="9" scale="86" orientation="portrait" r:id="rId1"/>
  <headerFooter alignWithMargins="0">
    <oddHeader>&amp;Rpage&amp;P/&amp;N</oddHeader>
    <oddFooter>&amp;L&amp;8&amp;Z&amp;F_&amp;D</oddFooter>
  </headerFooter>
  <rowBreaks count="1" manualBreakCount="1">
    <brk id="6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J18"/>
  <sheetViews>
    <sheetView view="pageBreakPreview" zoomScaleSheetLayoutView="100" workbookViewId="0">
      <selection activeCell="O16" sqref="O16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f>16*118+11*118</f>
        <v>3186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0.85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406.21499999999997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AJ18"/>
  <sheetViews>
    <sheetView view="pageBreakPreview" zoomScaleSheetLayoutView="100" workbookViewId="0">
      <selection activeCell="I11" sqref="I11:K11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109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f>105*17</f>
        <v>1785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0.25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66.9375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J18"/>
  <sheetViews>
    <sheetView view="pageBreakPreview" zoomScaleSheetLayoutView="100" workbookViewId="0">
      <selection activeCell="O17" sqref="O17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f>60*43</f>
        <v>2580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0.85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328.95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AJ18"/>
  <sheetViews>
    <sheetView view="pageBreakPreview" zoomScaleSheetLayoutView="100" workbookViewId="0">
      <selection activeCell="X33" sqref="X33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v>5000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0.5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375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AJ19"/>
  <sheetViews>
    <sheetView view="pageBreakPreview" zoomScaleSheetLayoutView="100" workbookViewId="0">
      <selection activeCell="H16" sqref="H16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30" width="3.85546875" style="6"/>
    <col min="31" max="31" width="4" style="6" bestFit="1" customWidth="1"/>
    <col min="32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v>5000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0.4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300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  <row r="19" spans="1:36">
      <c r="AE19" s="115">
        <f>AE16+AE15</f>
        <v>1.1000000000000001</v>
      </c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2060"/>
  </sheetPr>
  <dimension ref="A1:AJ18"/>
  <sheetViews>
    <sheetView view="pageBreakPreview" zoomScaleSheetLayoutView="100" workbookViewId="0">
      <selection activeCell="H16" sqref="H16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v>4027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0.4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241.62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</sheetPr>
  <dimension ref="A1:AJ18"/>
  <sheetViews>
    <sheetView view="pageBreakPreview" zoomScaleSheetLayoutView="100" workbookViewId="0">
      <selection activeCell="L14" sqref="L14"/>
    </sheetView>
  </sheetViews>
  <sheetFormatPr defaultColWidth="3.85546875" defaultRowHeight="12.75"/>
  <cols>
    <col min="1" max="1" width="4.5703125" style="6" customWidth="1"/>
    <col min="2" max="2" width="3.85546875" style="6" customWidth="1"/>
    <col min="3" max="3" width="3.28515625" style="6" customWidth="1"/>
    <col min="4" max="18" width="3.85546875" style="6"/>
    <col min="19" max="21" width="5.5703125" style="6" customWidth="1"/>
    <col min="22" max="22" width="1.7109375" style="6" customWidth="1"/>
    <col min="23" max="24" width="3.85546875" style="6"/>
    <col min="25" max="25" width="8.28515625" style="6" customWidth="1"/>
    <col min="26" max="26" width="9" style="6" bestFit="1" customWidth="1"/>
    <col min="27" max="27" width="5.28515625" style="6" bestFit="1" customWidth="1"/>
    <col min="28" max="28" width="4.42578125" style="6" bestFit="1" customWidth="1"/>
    <col min="29" max="16384" width="3.85546875" style="6"/>
  </cols>
  <sheetData>
    <row r="1" spans="1:36">
      <c r="A1" s="1" t="s">
        <v>0</v>
      </c>
      <c r="B1" s="2"/>
      <c r="C1" s="3"/>
      <c r="D1" s="4"/>
      <c r="E1" s="5" t="s">
        <v>105</v>
      </c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1" t="s">
        <v>4</v>
      </c>
      <c r="R1" s="2"/>
      <c r="S1" s="3"/>
      <c r="T1" s="2"/>
      <c r="U1" s="2"/>
      <c r="V1" s="3"/>
    </row>
    <row r="2" spans="1:36">
      <c r="A2" s="1" t="s">
        <v>1</v>
      </c>
      <c r="B2" s="2"/>
      <c r="C2" s="3"/>
      <c r="D2" s="2"/>
      <c r="E2" s="5" t="s">
        <v>106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 t="s">
        <v>3</v>
      </c>
      <c r="R2" s="2"/>
      <c r="S2" s="3"/>
      <c r="T2" s="2"/>
      <c r="U2" s="2"/>
      <c r="V2" s="3"/>
    </row>
    <row r="3" spans="1:36">
      <c r="A3" s="7"/>
      <c r="B3" s="8" t="s">
        <v>11</v>
      </c>
      <c r="C3" s="9"/>
      <c r="D3" s="10"/>
      <c r="E3" s="11"/>
      <c r="F3" s="12" t="s">
        <v>86</v>
      </c>
      <c r="G3" s="13"/>
      <c r="H3" s="13"/>
      <c r="I3" s="124" t="s">
        <v>5</v>
      </c>
      <c r="J3" s="125"/>
      <c r="K3" s="126"/>
      <c r="L3" s="12" t="s">
        <v>104</v>
      </c>
      <c r="M3" s="12"/>
      <c r="N3" s="13"/>
      <c r="O3" s="13"/>
      <c r="P3" s="13"/>
      <c r="Q3" s="7" t="s">
        <v>2</v>
      </c>
      <c r="R3" s="13"/>
      <c r="S3" s="9"/>
      <c r="T3" s="127" t="s">
        <v>96</v>
      </c>
      <c r="U3" s="127"/>
      <c r="V3" s="128"/>
    </row>
    <row r="4" spans="1:36" ht="6.7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36" ht="21.75">
      <c r="A5" s="129" t="s">
        <v>99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1"/>
    </row>
    <row r="6" spans="1:36" ht="5.25" customHeight="1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</row>
    <row r="7" spans="1:36">
      <c r="A7" s="20" t="s">
        <v>6</v>
      </c>
      <c r="B7" s="21"/>
      <c r="C7" s="20" t="s">
        <v>7</v>
      </c>
      <c r="D7" s="22"/>
      <c r="E7" s="116" t="s">
        <v>110</v>
      </c>
      <c r="F7" s="116"/>
      <c r="G7" s="116"/>
      <c r="H7" s="80"/>
      <c r="I7" s="22"/>
      <c r="J7" s="22"/>
      <c r="K7" s="22"/>
      <c r="L7" s="22"/>
      <c r="M7" s="22"/>
      <c r="N7" s="22"/>
      <c r="O7" s="22"/>
      <c r="P7" s="22"/>
      <c r="Q7" s="22"/>
      <c r="R7" s="21"/>
      <c r="S7" s="20" t="s">
        <v>12</v>
      </c>
      <c r="T7" s="22"/>
      <c r="U7" s="22"/>
      <c r="V7" s="21"/>
    </row>
    <row r="8" spans="1:36">
      <c r="A8" s="23"/>
      <c r="B8" s="9"/>
      <c r="C8" s="2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9"/>
      <c r="S8" s="7" t="s">
        <v>8</v>
      </c>
      <c r="T8" s="13"/>
      <c r="U8" s="13"/>
      <c r="V8" s="9"/>
    </row>
    <row r="9" spans="1:36">
      <c r="A9" s="24">
        <v>1</v>
      </c>
      <c r="B9" s="21"/>
      <c r="C9" s="20" t="s">
        <v>21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1"/>
      <c r="S9" s="25"/>
      <c r="T9" s="22"/>
      <c r="U9" s="22"/>
      <c r="V9" s="21"/>
    </row>
    <row r="10" spans="1:36">
      <c r="A10" s="26"/>
      <c r="B10" s="27"/>
      <c r="C10" s="26"/>
      <c r="D10" s="11"/>
      <c r="E10" s="11"/>
      <c r="F10" s="132"/>
      <c r="G10" s="132"/>
      <c r="H10" s="132"/>
      <c r="I10" s="11"/>
      <c r="J10" s="11"/>
      <c r="K10" s="11"/>
      <c r="L10" s="11"/>
      <c r="M10" s="11"/>
      <c r="N10" s="11"/>
      <c r="O10" s="11"/>
      <c r="P10" s="11"/>
      <c r="Q10" s="11"/>
      <c r="R10" s="27"/>
      <c r="S10" s="118" t="s">
        <v>103</v>
      </c>
      <c r="T10" s="121"/>
      <c r="U10" s="121"/>
      <c r="V10" s="120"/>
    </row>
    <row r="11" spans="1:36" ht="15.75">
      <c r="A11" s="28">
        <v>1.1000000000000001</v>
      </c>
      <c r="B11" s="27"/>
      <c r="C11" s="26" t="s">
        <v>90</v>
      </c>
      <c r="D11" s="11"/>
      <c r="E11" s="11"/>
      <c r="F11" s="11"/>
      <c r="G11" s="29"/>
      <c r="H11" s="11"/>
      <c r="I11" s="122">
        <v>2574</v>
      </c>
      <c r="J11" s="122"/>
      <c r="K11" s="122"/>
      <c r="L11" s="11" t="s">
        <v>13</v>
      </c>
      <c r="M11" s="30"/>
      <c r="N11" s="30"/>
      <c r="O11" s="11"/>
      <c r="P11" s="11"/>
      <c r="Q11" s="11"/>
      <c r="R11" s="27"/>
      <c r="S11" s="118"/>
      <c r="T11" s="121"/>
      <c r="U11" s="121"/>
      <c r="V11" s="120"/>
    </row>
    <row r="12" spans="1:36">
      <c r="A12" s="28"/>
      <c r="B12" s="27"/>
      <c r="C12" s="26"/>
      <c r="D12" s="11"/>
      <c r="E12" s="11"/>
      <c r="F12" s="11"/>
      <c r="G12" s="29"/>
      <c r="H12" s="99"/>
      <c r="I12" s="99"/>
      <c r="J12" s="99"/>
      <c r="K12" s="11"/>
      <c r="L12" s="32"/>
      <c r="M12" s="32"/>
      <c r="N12" s="32"/>
      <c r="O12" s="11"/>
      <c r="P12" s="11"/>
      <c r="Q12" s="11"/>
      <c r="R12" s="27"/>
      <c r="S12" s="118" t="s">
        <v>100</v>
      </c>
      <c r="T12" s="121"/>
      <c r="U12" s="121"/>
      <c r="V12" s="120"/>
    </row>
    <row r="13" spans="1:36">
      <c r="A13" s="28">
        <v>1.2</v>
      </c>
      <c r="B13" s="27"/>
      <c r="C13" s="26" t="s">
        <v>14</v>
      </c>
      <c r="D13" s="11"/>
      <c r="E13" s="11"/>
      <c r="F13" s="11"/>
      <c r="G13" s="33" t="s">
        <v>17</v>
      </c>
      <c r="H13" s="123">
        <v>150</v>
      </c>
      <c r="I13" s="123"/>
      <c r="J13" s="123"/>
      <c r="K13" s="11" t="s">
        <v>107</v>
      </c>
      <c r="L13" s="32"/>
      <c r="M13" s="32"/>
      <c r="N13" s="32"/>
      <c r="O13" s="11"/>
      <c r="P13" s="11"/>
      <c r="Q13" s="11"/>
      <c r="R13" s="27"/>
      <c r="S13" s="118" t="s">
        <v>101</v>
      </c>
      <c r="T13" s="119"/>
      <c r="U13" s="119"/>
      <c r="V13" s="120"/>
      <c r="Y13" s="74"/>
      <c r="Z13" s="82"/>
      <c r="AB13" s="71"/>
      <c r="AD13" s="78" t="s">
        <v>50</v>
      </c>
      <c r="AE13" s="22"/>
      <c r="AF13" s="22"/>
      <c r="AG13" s="22"/>
      <c r="AH13" s="22"/>
      <c r="AI13" s="22"/>
      <c r="AJ13" s="21"/>
    </row>
    <row r="14" spans="1:36">
      <c r="A14" s="28"/>
      <c r="B14" s="27"/>
      <c r="C14" s="26"/>
      <c r="D14" s="11"/>
      <c r="E14" s="11"/>
      <c r="F14" s="11"/>
      <c r="G14" s="29"/>
      <c r="H14" s="99"/>
      <c r="I14" s="99"/>
      <c r="J14" s="99"/>
      <c r="K14" s="11"/>
      <c r="L14" s="32"/>
      <c r="M14" s="32"/>
      <c r="N14" s="32"/>
      <c r="O14" s="11"/>
      <c r="P14" s="11"/>
      <c r="Q14" s="11"/>
      <c r="R14" s="27"/>
      <c r="S14" s="75"/>
      <c r="T14" s="76"/>
      <c r="U14" s="36"/>
      <c r="V14" s="81"/>
      <c r="Y14" s="74"/>
      <c r="Z14" s="70"/>
      <c r="AB14" s="71"/>
      <c r="AD14" s="26" t="s">
        <v>81</v>
      </c>
      <c r="AE14" s="100">
        <v>0.9</v>
      </c>
      <c r="AF14" s="11"/>
      <c r="AG14" s="11" t="s">
        <v>82</v>
      </c>
      <c r="AH14" s="11"/>
      <c r="AI14" s="11"/>
      <c r="AJ14" s="27"/>
    </row>
    <row r="15" spans="1:36">
      <c r="A15" s="28">
        <v>1.3</v>
      </c>
      <c r="B15" s="27"/>
      <c r="C15" s="26" t="s">
        <v>16</v>
      </c>
      <c r="D15" s="11"/>
      <c r="E15" s="11"/>
      <c r="F15" s="11"/>
      <c r="G15" s="34" t="s">
        <v>18</v>
      </c>
      <c r="H15" s="116">
        <v>0.9</v>
      </c>
      <c r="I15" s="116"/>
      <c r="J15" s="116"/>
      <c r="K15" s="11" t="s">
        <v>102</v>
      </c>
      <c r="L15" s="35"/>
      <c r="M15" s="35"/>
      <c r="N15" s="35"/>
      <c r="O15" s="11"/>
      <c r="P15" s="11"/>
      <c r="Q15" s="11"/>
      <c r="R15" s="27"/>
      <c r="S15" s="74"/>
      <c r="T15" s="74"/>
      <c r="U15" s="74"/>
      <c r="V15" s="81"/>
      <c r="Y15" s="74"/>
      <c r="Z15" s="72"/>
      <c r="AB15" s="71"/>
      <c r="AD15" s="26" t="s">
        <v>81</v>
      </c>
      <c r="AE15" s="77">
        <v>0.85</v>
      </c>
      <c r="AF15" s="11"/>
      <c r="AG15" s="11" t="s">
        <v>83</v>
      </c>
      <c r="AH15" s="11"/>
      <c r="AI15" s="11"/>
      <c r="AJ15" s="27"/>
    </row>
    <row r="16" spans="1:36">
      <c r="A16" s="28"/>
      <c r="B16" s="27"/>
      <c r="C16" s="26"/>
      <c r="D16" s="11"/>
      <c r="E16" s="11"/>
      <c r="F16" s="11"/>
      <c r="G16" s="36"/>
      <c r="H16" s="96"/>
      <c r="I16" s="96"/>
      <c r="J16" s="96"/>
      <c r="K16" s="11"/>
      <c r="L16" s="35"/>
      <c r="M16" s="35"/>
      <c r="N16" s="35"/>
      <c r="O16" s="11"/>
      <c r="P16" s="11"/>
      <c r="Q16" s="11"/>
      <c r="R16" s="27"/>
      <c r="S16" s="26"/>
      <c r="T16" s="11"/>
      <c r="U16" s="73"/>
      <c r="V16" s="27"/>
      <c r="Y16" s="74"/>
      <c r="Z16" s="72"/>
      <c r="AB16" s="71"/>
      <c r="AD16" s="26" t="s">
        <v>81</v>
      </c>
      <c r="AE16" s="77">
        <v>0.25</v>
      </c>
      <c r="AF16" s="11"/>
      <c r="AG16" s="11" t="s">
        <v>84</v>
      </c>
      <c r="AH16" s="11"/>
      <c r="AI16" s="11"/>
      <c r="AJ16" s="27"/>
    </row>
    <row r="17" spans="1:36" ht="16.5">
      <c r="A17" s="28">
        <v>1.4</v>
      </c>
      <c r="B17" s="27"/>
      <c r="C17" s="28" t="s">
        <v>19</v>
      </c>
      <c r="D17" s="11"/>
      <c r="E17" s="11"/>
      <c r="F17" s="11"/>
      <c r="G17" s="36"/>
      <c r="H17" s="96"/>
      <c r="I17" s="96"/>
      <c r="J17" s="96"/>
      <c r="K17" s="11"/>
      <c r="L17" s="117">
        <f>I11*H13*H15/1000</f>
        <v>347.49</v>
      </c>
      <c r="M17" s="117"/>
      <c r="N17" s="117"/>
      <c r="O17" s="11" t="s">
        <v>20</v>
      </c>
      <c r="P17" s="11"/>
      <c r="Q17" s="11"/>
      <c r="R17" s="27"/>
      <c r="T17" s="11"/>
      <c r="U17" s="77"/>
      <c r="V17" s="27"/>
      <c r="Y17" s="79"/>
      <c r="Z17" s="72"/>
      <c r="AB17" s="71"/>
      <c r="AD17" s="23"/>
      <c r="AE17" s="13"/>
      <c r="AF17" s="13"/>
      <c r="AG17" s="13"/>
      <c r="AH17" s="13"/>
      <c r="AI17" s="13"/>
      <c r="AJ17" s="9"/>
    </row>
    <row r="18" spans="1:36">
      <c r="A18" s="23"/>
      <c r="B18" s="9"/>
      <c r="C18" s="2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9"/>
      <c r="S18" s="23"/>
      <c r="T18" s="13"/>
      <c r="U18" s="13"/>
      <c r="V18" s="9"/>
      <c r="Y18" s="79"/>
      <c r="Z18" s="72"/>
      <c r="AB18" s="71"/>
    </row>
  </sheetData>
  <mergeCells count="13">
    <mergeCell ref="I3:K3"/>
    <mergeCell ref="T3:V3"/>
    <mergeCell ref="A5:V5"/>
    <mergeCell ref="E7:G7"/>
    <mergeCell ref="F10:H10"/>
    <mergeCell ref="S10:V10"/>
    <mergeCell ref="L17:N17"/>
    <mergeCell ref="I11:K11"/>
    <mergeCell ref="S11:V11"/>
    <mergeCell ref="S12:V12"/>
    <mergeCell ref="H13:J13"/>
    <mergeCell ref="S13:V13"/>
    <mergeCell ref="H15:J15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portrait" r:id="rId1"/>
  <headerFooter alignWithMargins="0">
    <oddHeader>&amp;Rpage&amp;P/&amp;N</oddHeader>
    <oddFooter>&amp;L&amp;8&amp;Z&amp;F_&amp;D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40</vt:i4>
      </vt:variant>
    </vt:vector>
  </HeadingPairs>
  <TitlesOfParts>
    <vt:vector size="60" baseType="lpstr">
      <vt:lpstr>YELLOW</vt:lpstr>
      <vt:lpstr>GREEN</vt:lpstr>
      <vt:lpstr>Dark(1)</vt:lpstr>
      <vt:lpstr>Dark (2)</vt:lpstr>
      <vt:lpstr>RED</vt:lpstr>
      <vt:lpstr>Purple1</vt:lpstr>
      <vt:lpstr>Blue</vt:lpstr>
      <vt:lpstr>Blue (2)</vt:lpstr>
      <vt:lpstr>Blue (3)</vt:lpstr>
      <vt:lpstr>end</vt:lpstr>
      <vt:lpstr>gravel</vt:lpstr>
      <vt:lpstr>Gutter 1</vt:lpstr>
      <vt:lpstr>Gutter2</vt:lpstr>
      <vt:lpstr>Gutter3 </vt:lpstr>
      <vt:lpstr>RED1</vt:lpstr>
      <vt:lpstr>purple</vt:lpstr>
      <vt:lpstr>Blue1</vt:lpstr>
      <vt:lpstr>end11</vt:lpstr>
      <vt:lpstr>trash</vt:lpstr>
      <vt:lpstr>gravel2</vt:lpstr>
      <vt:lpstr>Blue!Print_Area</vt:lpstr>
      <vt:lpstr>'Blue (2)'!Print_Area</vt:lpstr>
      <vt:lpstr>'Blue (3)'!Print_Area</vt:lpstr>
      <vt:lpstr>Blue1!Print_Area</vt:lpstr>
      <vt:lpstr>'Dark (2)'!Print_Area</vt:lpstr>
      <vt:lpstr>'Dark(1)'!Print_Area</vt:lpstr>
      <vt:lpstr>end!Print_Area</vt:lpstr>
      <vt:lpstr>'end11'!Print_Area</vt:lpstr>
      <vt:lpstr>gravel!Print_Area</vt:lpstr>
      <vt:lpstr>gravel2!Print_Area</vt:lpstr>
      <vt:lpstr>GREEN!Print_Area</vt:lpstr>
      <vt:lpstr>'Gutter 1'!Print_Area</vt:lpstr>
      <vt:lpstr>Gutter2!Print_Area</vt:lpstr>
      <vt:lpstr>'Gutter3 '!Print_Area</vt:lpstr>
      <vt:lpstr>purple!Print_Area</vt:lpstr>
      <vt:lpstr>Purple1!Print_Area</vt:lpstr>
      <vt:lpstr>RED!Print_Area</vt:lpstr>
      <vt:lpstr>'RED1'!Print_Area</vt:lpstr>
      <vt:lpstr>trash!Print_Area</vt:lpstr>
      <vt:lpstr>YELLOW!Print_Area</vt:lpstr>
      <vt:lpstr>Blue!Print_Titles</vt:lpstr>
      <vt:lpstr>'Blue (2)'!Print_Titles</vt:lpstr>
      <vt:lpstr>'Blue (3)'!Print_Titles</vt:lpstr>
      <vt:lpstr>Blue1!Print_Titles</vt:lpstr>
      <vt:lpstr>'Dark (2)'!Print_Titles</vt:lpstr>
      <vt:lpstr>'Dark(1)'!Print_Titles</vt:lpstr>
      <vt:lpstr>end!Print_Titles</vt:lpstr>
      <vt:lpstr>'end11'!Print_Titles</vt:lpstr>
      <vt:lpstr>gravel!Print_Titles</vt:lpstr>
      <vt:lpstr>gravel2!Print_Titles</vt:lpstr>
      <vt:lpstr>GREEN!Print_Titles</vt:lpstr>
      <vt:lpstr>'Gutter 1'!Print_Titles</vt:lpstr>
      <vt:lpstr>Gutter2!Print_Titles</vt:lpstr>
      <vt:lpstr>'Gutter3 '!Print_Titles</vt:lpstr>
      <vt:lpstr>purple!Print_Titles</vt:lpstr>
      <vt:lpstr>Purple1!Print_Titles</vt:lpstr>
      <vt:lpstr>RED!Print_Titles</vt:lpstr>
      <vt:lpstr>'RED1'!Print_Titles</vt:lpstr>
      <vt:lpstr>trash!Print_Titles</vt:lpstr>
      <vt:lpstr>YELLOW!Print_Titles</vt:lpstr>
    </vt:vector>
  </TitlesOfParts>
  <Company>Centech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P. Chua</dc:creator>
  <cp:lastModifiedBy>Narate M</cp:lastModifiedBy>
  <cp:lastPrinted>2009-02-05T08:37:00Z</cp:lastPrinted>
  <dcterms:created xsi:type="dcterms:W3CDTF">2004-05-29T07:17:41Z</dcterms:created>
  <dcterms:modified xsi:type="dcterms:W3CDTF">2010-11-17T10:46:01Z</dcterms:modified>
</cp:coreProperties>
</file>