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480" yWindow="900" windowWidth="19440" windowHeight="7245" tabRatio="599" activeTab="1"/>
  </bookViews>
  <sheets>
    <sheet name="Analysis" sheetId="1" r:id="rId1"/>
    <sheet name="Analysis Report" sheetId="4" r:id="rId2"/>
  </sheets>
  <definedNames>
    <definedName name="_xlnm.Print_Area" localSheetId="0">Analysis!$AM$2:$CJ$33</definedName>
    <definedName name="_xlnm.Print_Area" localSheetId="1">'Analysis Report'!$B$1:$AS$82</definedName>
  </definedNames>
  <calcPr calcId="144525"/>
</workbook>
</file>

<file path=xl/calcChain.xml><?xml version="1.0" encoding="utf-8"?>
<calcChain xmlns="http://schemas.openxmlformats.org/spreadsheetml/2006/main">
  <c r="HQ56" i="1" l="1"/>
  <c r="JK260" i="1" l="1"/>
  <c r="JK250" i="1"/>
  <c r="JK240" i="1"/>
  <c r="JK230" i="1"/>
  <c r="JK220" i="1"/>
  <c r="JK210" i="1"/>
  <c r="JK200" i="1"/>
  <c r="JK190" i="1"/>
  <c r="JK180" i="1"/>
  <c r="JK170" i="1"/>
  <c r="JK160" i="1"/>
  <c r="JK150" i="1"/>
  <c r="JK140" i="1"/>
  <c r="JK130" i="1"/>
  <c r="JK120" i="1"/>
  <c r="JK110" i="1"/>
  <c r="JK100" i="1"/>
  <c r="JK90" i="1"/>
  <c r="JK80" i="1"/>
  <c r="JK70" i="1"/>
  <c r="JK60" i="1"/>
  <c r="JK50" i="1"/>
  <c r="JK40" i="1"/>
  <c r="JK30" i="1"/>
  <c r="JK20" i="1"/>
  <c r="JC265" i="1" l="1"/>
  <c r="JC10" i="1"/>
  <c r="JC260" i="1"/>
  <c r="JC250" i="1"/>
  <c r="JC240" i="1"/>
  <c r="JC230" i="1"/>
  <c r="JC220" i="1"/>
  <c r="JC210" i="1"/>
  <c r="JC200" i="1"/>
  <c r="JC190" i="1"/>
  <c r="JC180" i="1"/>
  <c r="JC170" i="1"/>
  <c r="JC160" i="1"/>
  <c r="JC150" i="1"/>
  <c r="JC140" i="1"/>
  <c r="JC130" i="1"/>
  <c r="JC120" i="1"/>
  <c r="JC110" i="1"/>
  <c r="JC100" i="1"/>
  <c r="JC90" i="1"/>
  <c r="JC80" i="1"/>
  <c r="JC70" i="1"/>
  <c r="JC60" i="1"/>
  <c r="JC50" i="1"/>
  <c r="JC40" i="1"/>
  <c r="JC30" i="1"/>
  <c r="JC20" i="1"/>
  <c r="IG271" i="1" l="1"/>
  <c r="IF4" i="1"/>
  <c r="IG4" i="1"/>
  <c r="EL13" i="1" l="1"/>
  <c r="EL12" i="1"/>
  <c r="IF154" i="1" l="1"/>
  <c r="IF14" i="1" l="1"/>
  <c r="II12" i="1"/>
  <c r="II272" i="1"/>
  <c r="II42" i="1" l="1"/>
  <c r="II52" i="1"/>
  <c r="II62" i="1"/>
  <c r="II72" i="1"/>
  <c r="II82" i="1"/>
  <c r="II92" i="1"/>
  <c r="II102" i="1"/>
  <c r="II112" i="1"/>
  <c r="II122" i="1"/>
  <c r="II132" i="1"/>
  <c r="II142" i="1"/>
  <c r="II152" i="1"/>
  <c r="II162" i="1"/>
  <c r="II172" i="1"/>
  <c r="II182" i="1"/>
  <c r="II192" i="1"/>
  <c r="II202" i="1"/>
  <c r="II212" i="1"/>
  <c r="II222" i="1"/>
  <c r="II232" i="1"/>
  <c r="II242" i="1"/>
  <c r="II252" i="1"/>
  <c r="II262" i="1"/>
  <c r="II32" i="1"/>
  <c r="II22" i="1"/>
  <c r="IJ13" i="1" l="1"/>
  <c r="II271" i="1"/>
  <c r="IF264" i="1"/>
  <c r="II3" i="1"/>
  <c r="IK3" i="1" s="1"/>
  <c r="IL3" i="1" s="1"/>
  <c r="IJ3" i="1"/>
  <c r="IF254" i="1"/>
  <c r="IF244" i="1"/>
  <c r="IF234" i="1"/>
  <c r="IF224" i="1"/>
  <c r="IF214" i="1"/>
  <c r="IF204" i="1"/>
  <c r="IF194" i="1"/>
  <c r="IF184" i="1"/>
  <c r="IF174" i="1"/>
  <c r="IJ173" i="1" l="1"/>
  <c r="IJ213" i="1"/>
  <c r="IJ253" i="1"/>
  <c r="IJ183" i="1"/>
  <c r="IJ223" i="1"/>
  <c r="IJ193" i="1"/>
  <c r="IJ233" i="1"/>
  <c r="IJ203" i="1"/>
  <c r="IJ243" i="1"/>
  <c r="IJ263" i="1"/>
  <c r="IF164" i="1"/>
  <c r="IF144" i="1"/>
  <c r="IJ153" i="1" l="1"/>
  <c r="IJ163" i="1"/>
  <c r="IJ143" i="1"/>
  <c r="IF134" i="1"/>
  <c r="IF124" i="1"/>
  <c r="IF114" i="1"/>
  <c r="IF104" i="1"/>
  <c r="IF94" i="1"/>
  <c r="IF84" i="1"/>
  <c r="IF74" i="1"/>
  <c r="IF64" i="1"/>
  <c r="IF54" i="1"/>
  <c r="IF44" i="1"/>
  <c r="IJ53" i="1" l="1"/>
  <c r="IJ93" i="1"/>
  <c r="IJ133" i="1"/>
  <c r="IJ63" i="1"/>
  <c r="IJ103" i="1"/>
  <c r="IJ73" i="1"/>
  <c r="IJ113" i="1"/>
  <c r="IJ43" i="1"/>
  <c r="IJ83" i="1"/>
  <c r="IJ123" i="1"/>
  <c r="ER14" i="1"/>
  <c r="IF34" i="1"/>
  <c r="IJ33" i="1" s="1"/>
  <c r="IF24" i="1"/>
  <c r="IJ23" i="1" l="1"/>
  <c r="EN39" i="1"/>
  <c r="HN10" i="1" l="1"/>
  <c r="HN9" i="1" l="1"/>
  <c r="HN8" i="1"/>
  <c r="HN7" i="1"/>
  <c r="HN6" i="1"/>
  <c r="HN5" i="1"/>
  <c r="HN4" i="1"/>
  <c r="HN3" i="1"/>
  <c r="HN2" i="1"/>
  <c r="EX16" i="1" l="1"/>
  <c r="EZ16" i="1"/>
  <c r="FB16" i="1"/>
  <c r="EX17" i="1"/>
  <c r="EZ17" i="1"/>
  <c r="FB17" i="1"/>
  <c r="EX18" i="1"/>
  <c r="EZ18" i="1"/>
  <c r="FB18" i="1"/>
  <c r="EX19" i="1"/>
  <c r="EZ19" i="1"/>
  <c r="FB19" i="1"/>
  <c r="EX20" i="1"/>
  <c r="EZ20" i="1"/>
  <c r="FB20" i="1"/>
  <c r="EX21" i="1"/>
  <c r="EZ21" i="1"/>
  <c r="FB21" i="1"/>
  <c r="EX22" i="1"/>
  <c r="EZ22" i="1"/>
  <c r="FB22" i="1"/>
  <c r="EX23" i="1"/>
  <c r="EZ23" i="1"/>
  <c r="FB23" i="1"/>
  <c r="EX24" i="1"/>
  <c r="EZ24" i="1"/>
  <c r="FB24" i="1"/>
  <c r="EX25" i="1"/>
  <c r="EZ25" i="1"/>
  <c r="FB25" i="1"/>
  <c r="EX26" i="1"/>
  <c r="EZ26" i="1"/>
  <c r="FB26" i="1"/>
  <c r="EX27" i="1"/>
  <c r="EZ27" i="1"/>
  <c r="FB27" i="1"/>
  <c r="EX28" i="1"/>
  <c r="EZ28" i="1"/>
  <c r="FB28" i="1"/>
  <c r="EX29" i="1"/>
  <c r="EZ29" i="1"/>
  <c r="FB29" i="1"/>
  <c r="EX30" i="1"/>
  <c r="EZ30" i="1"/>
  <c r="FB30" i="1"/>
  <c r="EX31" i="1"/>
  <c r="EZ31" i="1"/>
  <c r="FB31" i="1"/>
  <c r="EX32" i="1"/>
  <c r="EZ32" i="1"/>
  <c r="FB32" i="1"/>
  <c r="EX33" i="1"/>
  <c r="EZ33" i="1"/>
  <c r="FB33" i="1"/>
  <c r="EX34" i="1"/>
  <c r="EZ34" i="1"/>
  <c r="FB34" i="1"/>
  <c r="EX35" i="1"/>
  <c r="EZ35" i="1"/>
  <c r="FB35" i="1"/>
  <c r="EX36" i="1"/>
  <c r="EZ36" i="1"/>
  <c r="FB36" i="1"/>
  <c r="L5" i="1" l="1"/>
  <c r="HS55" i="1" s="1"/>
  <c r="HR55" i="1" s="1"/>
  <c r="L4" i="1"/>
  <c r="HS3" i="1" s="1"/>
  <c r="HR3" i="1" s="1"/>
  <c r="AJ81" i="4" l="1"/>
  <c r="B81" i="4"/>
  <c r="AO81" i="4"/>
  <c r="IC3" i="1"/>
  <c r="IT3" i="1"/>
  <c r="IC263" i="1"/>
  <c r="JW264" i="1" s="1"/>
  <c r="L30" i="1"/>
  <c r="HS47" i="1" s="1"/>
  <c r="HR47" i="1" s="1"/>
  <c r="L16" i="1"/>
  <c r="HS19" i="1" s="1"/>
  <c r="HR19" i="1" s="1"/>
  <c r="L27" i="1"/>
  <c r="HS41" i="1" s="1"/>
  <c r="HR41" i="1" s="1"/>
  <c r="L11" i="1"/>
  <c r="HS9" i="1" s="1"/>
  <c r="HR9" i="1" s="1"/>
  <c r="L19" i="1"/>
  <c r="HS25" i="1" s="1"/>
  <c r="HR25" i="1" s="1"/>
  <c r="L31" i="1"/>
  <c r="HS49" i="1" s="1"/>
  <c r="HR49" i="1" s="1"/>
  <c r="L12" i="1"/>
  <c r="HS11" i="1" s="1"/>
  <c r="HR11" i="1" s="1"/>
  <c r="L20" i="1"/>
  <c r="HS27" i="1" s="1"/>
  <c r="HR27" i="1" s="1"/>
  <c r="L15" i="1"/>
  <c r="HS17" i="1" s="1"/>
  <c r="HR17" i="1" s="1"/>
  <c r="L23" i="1"/>
  <c r="HS33" i="1" s="1"/>
  <c r="HR33" i="1" s="1"/>
  <c r="L24" i="1"/>
  <c r="HS35" i="1" s="1"/>
  <c r="HR35" i="1" s="1"/>
  <c r="L28" i="1"/>
  <c r="HS43" i="1" s="1"/>
  <c r="HR43" i="1" s="1"/>
  <c r="L32" i="1"/>
  <c r="HS51" i="1" s="1"/>
  <c r="HR51" i="1" s="1"/>
  <c r="L13" i="1"/>
  <c r="HS13" i="1" s="1"/>
  <c r="HR13" i="1" s="1"/>
  <c r="L21" i="1"/>
  <c r="HS29" i="1" s="1"/>
  <c r="HR29" i="1" s="1"/>
  <c r="L25" i="1"/>
  <c r="HS37" i="1" s="1"/>
  <c r="HR37" i="1" s="1"/>
  <c r="L29" i="1"/>
  <c r="HS45" i="1" s="1"/>
  <c r="HR45" i="1" s="1"/>
  <c r="L33" i="1"/>
  <c r="HS53" i="1" s="1"/>
  <c r="HR53" i="1" s="1"/>
  <c r="L9" i="1"/>
  <c r="HS5" i="1" s="1"/>
  <c r="B29" i="4" s="1"/>
  <c r="L17" i="1"/>
  <c r="HS21" i="1" s="1"/>
  <c r="HR21" i="1" s="1"/>
  <c r="L10" i="1"/>
  <c r="HS7" i="1" s="1"/>
  <c r="HR7" i="1" s="1"/>
  <c r="L14" i="1"/>
  <c r="HS15" i="1" s="1"/>
  <c r="HR15" i="1" s="1"/>
  <c r="L18" i="1"/>
  <c r="HS23" i="1" s="1"/>
  <c r="HR23" i="1" s="1"/>
  <c r="L22" i="1"/>
  <c r="HS31" i="1" s="1"/>
  <c r="HR31" i="1" s="1"/>
  <c r="L26" i="1"/>
  <c r="HS39" i="1" s="1"/>
  <c r="HR39" i="1" s="1"/>
  <c r="B57" i="4" l="1"/>
  <c r="B63" i="4"/>
  <c r="B53" i="4"/>
  <c r="B55" i="4"/>
  <c r="B67" i="4"/>
  <c r="B65" i="4"/>
  <c r="B33" i="4"/>
  <c r="B71" i="4"/>
  <c r="B77" i="4"/>
  <c r="B43" i="4"/>
  <c r="B51" i="4"/>
  <c r="B73" i="4"/>
  <c r="B47" i="4"/>
  <c r="B69" i="4"/>
  <c r="B35" i="4"/>
  <c r="B49" i="4"/>
  <c r="B61" i="4"/>
  <c r="B37" i="4"/>
  <c r="B41" i="4"/>
  <c r="B79" i="4"/>
  <c r="B39" i="4"/>
  <c r="B59" i="4"/>
  <c r="B75" i="4"/>
  <c r="B45" i="4"/>
  <c r="HR5" i="1"/>
  <c r="ID4" i="1"/>
  <c r="JW4" i="1"/>
  <c r="IS3" i="1"/>
  <c r="IV3" i="1"/>
  <c r="IS271" i="1"/>
  <c r="IC183" i="1"/>
  <c r="JW184" i="1" s="1"/>
  <c r="IC243" i="1"/>
  <c r="JW244" i="1" s="1"/>
  <c r="IC193" i="1"/>
  <c r="JW194" i="1" s="1"/>
  <c r="IC253" i="1"/>
  <c r="JW254" i="1" s="1"/>
  <c r="IC233" i="1"/>
  <c r="JW234" i="1" s="1"/>
  <c r="IC213" i="1"/>
  <c r="JW214" i="1" s="1"/>
  <c r="IC223" i="1"/>
  <c r="JW224" i="1" s="1"/>
  <c r="IC203" i="1"/>
  <c r="JW204" i="1" s="1"/>
  <c r="IC163" i="1"/>
  <c r="JW164" i="1" s="1"/>
  <c r="IC43" i="1"/>
  <c r="IC63" i="1"/>
  <c r="JW64" i="1" s="1"/>
  <c r="IC53" i="1"/>
  <c r="IC153" i="1"/>
  <c r="JW154" i="1" s="1"/>
  <c r="IC83" i="1"/>
  <c r="JW84" i="1" s="1"/>
  <c r="IC103" i="1"/>
  <c r="JW104" i="1" s="1"/>
  <c r="IC73" i="1"/>
  <c r="JW74" i="1" s="1"/>
  <c r="IC113" i="1"/>
  <c r="JW114" i="1" s="1"/>
  <c r="IC143" i="1"/>
  <c r="JW144" i="1" s="1"/>
  <c r="IC93" i="1"/>
  <c r="JW94" i="1" s="1"/>
  <c r="IC173" i="1"/>
  <c r="JW174" i="1" s="1"/>
  <c r="IC33" i="1"/>
  <c r="IC13" i="1"/>
  <c r="JW14" i="1" s="1"/>
  <c r="IC23" i="1"/>
  <c r="IC123" i="1"/>
  <c r="JW124" i="1" s="1"/>
  <c r="IC133" i="1"/>
  <c r="JW134" i="1" s="1"/>
  <c r="HF3" i="1"/>
  <c r="HT55" i="1" s="1"/>
  <c r="G81" i="4" s="1"/>
  <c r="AE82" i="4" s="1"/>
  <c r="EF3" i="1"/>
  <c r="HC3" i="1"/>
  <c r="HT53" i="1" s="1"/>
  <c r="G79" i="4" s="1"/>
  <c r="GZ3" i="1"/>
  <c r="HT51" i="1" s="1"/>
  <c r="G77" i="4" s="1"/>
  <c r="GW3" i="1"/>
  <c r="HT49" i="1" s="1"/>
  <c r="GT3" i="1"/>
  <c r="GQ3" i="1"/>
  <c r="HT45" i="1" s="1"/>
  <c r="GN3" i="1"/>
  <c r="GK3" i="1"/>
  <c r="GH3" i="1"/>
  <c r="GE3" i="1"/>
  <c r="GB3" i="1"/>
  <c r="HT35" i="1" s="1"/>
  <c r="FY3" i="1"/>
  <c r="HT33" i="1" s="1"/>
  <c r="FV3" i="1"/>
  <c r="FS3" i="1"/>
  <c r="HT29" i="1" s="1"/>
  <c r="FP3" i="1"/>
  <c r="FM3" i="1"/>
  <c r="FJ3" i="1"/>
  <c r="HT23" i="1" s="1"/>
  <c r="FG3" i="1"/>
  <c r="HT21" i="1" s="1"/>
  <c r="FD3" i="1"/>
  <c r="FA3" i="1"/>
  <c r="HT17" i="1" s="1"/>
  <c r="EX3" i="1"/>
  <c r="EU3" i="1"/>
  <c r="HT13" i="1" s="1"/>
  <c r="ER3" i="1"/>
  <c r="HT11" i="1" s="1"/>
  <c r="EO3" i="1"/>
  <c r="HT9" i="1" s="1"/>
  <c r="EL3" i="1"/>
  <c r="HT7" i="1" s="1"/>
  <c r="EI3" i="1"/>
  <c r="HT5" i="1" s="1"/>
  <c r="L81" i="4" l="1"/>
  <c r="AC81" i="4"/>
  <c r="AC82" i="4"/>
  <c r="L82" i="4"/>
  <c r="G75" i="4"/>
  <c r="L76" i="4" s="1"/>
  <c r="G59" i="4"/>
  <c r="G37" i="4"/>
  <c r="G33" i="4"/>
  <c r="AC33" i="4" s="1"/>
  <c r="G47" i="4"/>
  <c r="AC48" i="4" s="1"/>
  <c r="G35" i="4"/>
  <c r="L79" i="4"/>
  <c r="AC79" i="4"/>
  <c r="L80" i="4"/>
  <c r="AC80" i="4"/>
  <c r="B31" i="4"/>
  <c r="G31" i="4"/>
  <c r="L77" i="4"/>
  <c r="AC77" i="4"/>
  <c r="L78" i="4"/>
  <c r="AC78" i="4"/>
  <c r="JW34" i="1"/>
  <c r="JW24" i="1"/>
  <c r="JW44" i="1"/>
  <c r="JW54" i="1"/>
  <c r="HT15" i="1"/>
  <c r="G39" i="4" s="1"/>
  <c r="HT43" i="1"/>
  <c r="HT25" i="1"/>
  <c r="HT41" i="1"/>
  <c r="HT3" i="1"/>
  <c r="G29" i="4" s="1"/>
  <c r="HT27" i="1"/>
  <c r="G53" i="4" s="1"/>
  <c r="HT19" i="1"/>
  <c r="G43" i="4" s="1"/>
  <c r="L44" i="4" s="1"/>
  <c r="JN154" i="1"/>
  <c r="JN234" i="1"/>
  <c r="HT37" i="1"/>
  <c r="G61" i="4" s="1"/>
  <c r="HT31" i="1"/>
  <c r="G55" i="4" s="1"/>
  <c r="HT47" i="1"/>
  <c r="G71" i="4" s="1"/>
  <c r="HT39" i="1"/>
  <c r="IF272" i="1"/>
  <c r="IL272" i="1" s="1"/>
  <c r="JN264" i="1"/>
  <c r="IF202" i="1"/>
  <c r="IF201" i="1" s="1"/>
  <c r="IF102" i="1"/>
  <c r="IJ102" i="1" s="1"/>
  <c r="JN94" i="1"/>
  <c r="IF82" i="1"/>
  <c r="IF81" i="1" s="1"/>
  <c r="JN74" i="1"/>
  <c r="IF62" i="1"/>
  <c r="IK62" i="1" s="1"/>
  <c r="IL62" i="1" s="1"/>
  <c r="JN54" i="1"/>
  <c r="IF42" i="1"/>
  <c r="IJ42" i="1" s="1"/>
  <c r="JN34" i="1"/>
  <c r="ID12" i="1"/>
  <c r="JC92" i="1"/>
  <c r="JC52" i="1"/>
  <c r="JC142" i="1"/>
  <c r="JC42" i="1"/>
  <c r="JC122" i="1"/>
  <c r="JC162" i="1"/>
  <c r="JC172" i="1"/>
  <c r="JC242" i="1"/>
  <c r="JC192" i="1"/>
  <c r="JC212" i="1"/>
  <c r="JC102" i="1"/>
  <c r="JC72" i="1"/>
  <c r="JC202" i="1"/>
  <c r="JC62" i="1"/>
  <c r="JC262" i="1"/>
  <c r="JC222" i="1"/>
  <c r="JC252" i="1"/>
  <c r="JC232" i="1"/>
  <c r="JC182" i="1"/>
  <c r="JC132" i="1"/>
  <c r="JC152" i="1"/>
  <c r="JC82" i="1"/>
  <c r="JC112" i="1"/>
  <c r="JC32" i="1"/>
  <c r="JC22" i="1"/>
  <c r="JC14" i="1"/>
  <c r="IZ230" i="1"/>
  <c r="IZ200" i="1"/>
  <c r="IZ150" i="1"/>
  <c r="IZ220" i="1"/>
  <c r="IZ250" i="1"/>
  <c r="IZ140" i="1"/>
  <c r="IZ120" i="1"/>
  <c r="IZ160" i="1"/>
  <c r="IZ170" i="1"/>
  <c r="IZ240" i="1"/>
  <c r="IZ190" i="1"/>
  <c r="IZ130" i="1"/>
  <c r="IZ180" i="1"/>
  <c r="IZ210" i="1"/>
  <c r="IZ260" i="1"/>
  <c r="IZ100" i="1"/>
  <c r="IZ110" i="1"/>
  <c r="IZ70" i="1"/>
  <c r="IZ90" i="1"/>
  <c r="IZ80" i="1"/>
  <c r="IZ37" i="1"/>
  <c r="IZ60" i="1"/>
  <c r="IZ24" i="1"/>
  <c r="IZ14" i="1"/>
  <c r="IY38" i="1"/>
  <c r="IY25" i="1"/>
  <c r="IY101" i="1"/>
  <c r="IY71" i="1"/>
  <c r="IY201" i="1"/>
  <c r="IY151" i="1"/>
  <c r="IY221" i="1"/>
  <c r="IY131" i="1"/>
  <c r="IY181" i="1"/>
  <c r="IY81" i="1"/>
  <c r="IY61" i="1"/>
  <c r="IY211" i="1"/>
  <c r="IY261" i="1"/>
  <c r="IY111" i="1"/>
  <c r="IY231" i="1"/>
  <c r="IY15" i="1"/>
  <c r="IY91" i="1"/>
  <c r="IY251" i="1"/>
  <c r="IY141" i="1"/>
  <c r="IY121" i="1"/>
  <c r="IY161" i="1"/>
  <c r="IY171" i="1"/>
  <c r="IY241" i="1"/>
  <c r="IY191" i="1"/>
  <c r="IF232" i="1"/>
  <c r="IK232" i="1" s="1"/>
  <c r="IL232" i="1" s="1"/>
  <c r="IF242" i="1"/>
  <c r="IF162" i="1"/>
  <c r="FQ92" i="1"/>
  <c r="GY28" i="1" s="1"/>
  <c r="FQ112" i="1"/>
  <c r="HC32" i="1" s="1"/>
  <c r="FQ97" i="1"/>
  <c r="GZ29" i="1" s="1"/>
  <c r="FQ117" i="1"/>
  <c r="HD33" i="1" s="1"/>
  <c r="FQ102" i="1"/>
  <c r="HA30" i="1" s="1"/>
  <c r="FQ62" i="1"/>
  <c r="GS22" i="1" s="1"/>
  <c r="FQ87" i="1"/>
  <c r="GX27" i="1" s="1"/>
  <c r="FQ72" i="1"/>
  <c r="GU24" i="1" s="1"/>
  <c r="FN12" i="1"/>
  <c r="GH12" i="1" s="1"/>
  <c r="FQ12" i="1"/>
  <c r="FU135" i="1"/>
  <c r="FU140" i="1"/>
  <c r="FU115" i="1"/>
  <c r="FU120" i="1"/>
  <c r="FU125" i="1"/>
  <c r="FU130" i="1"/>
  <c r="FU80" i="1"/>
  <c r="FU100" i="1"/>
  <c r="FU85" i="1"/>
  <c r="FU105" i="1"/>
  <c r="FU90" i="1"/>
  <c r="FU110" i="1"/>
  <c r="FU95" i="1"/>
  <c r="FU60" i="1"/>
  <c r="FU50" i="1"/>
  <c r="FU70" i="1"/>
  <c r="FU55" i="1"/>
  <c r="FU75" i="1"/>
  <c r="FU40" i="1"/>
  <c r="FU45" i="1"/>
  <c r="FU65" i="1"/>
  <c r="FX110" i="1"/>
  <c r="FX130" i="1"/>
  <c r="FX115" i="1"/>
  <c r="FX135" i="1"/>
  <c r="FX100" i="1"/>
  <c r="FX120" i="1"/>
  <c r="FX105" i="1"/>
  <c r="FX125" i="1"/>
  <c r="FX65" i="1"/>
  <c r="FX85" i="1"/>
  <c r="FX70" i="1"/>
  <c r="FX90" i="1"/>
  <c r="FX75" i="1"/>
  <c r="FX95" i="1"/>
  <c r="FX80" i="1"/>
  <c r="FX35" i="1"/>
  <c r="FX60" i="1"/>
  <c r="FX55" i="1"/>
  <c r="FX50" i="1"/>
  <c r="FX40" i="1"/>
  <c r="FX45" i="1"/>
  <c r="FK137" i="1"/>
  <c r="HF37" i="1" s="1"/>
  <c r="FN52" i="1"/>
  <c r="GP20" i="1" s="1"/>
  <c r="FN57" i="1"/>
  <c r="GQ21" i="1" s="1"/>
  <c r="FN77" i="1"/>
  <c r="GU25" i="1" s="1"/>
  <c r="FN72" i="1"/>
  <c r="GT24" i="1" s="1"/>
  <c r="FN97" i="1"/>
  <c r="GY29" i="1" s="1"/>
  <c r="FN92" i="1"/>
  <c r="GX28" i="1" s="1"/>
  <c r="FN112" i="1"/>
  <c r="HB32" i="1" s="1"/>
  <c r="FN132" i="1"/>
  <c r="HF36" i="1" s="1"/>
  <c r="FN47" i="1"/>
  <c r="GO19" i="1" s="1"/>
  <c r="FN67" i="1"/>
  <c r="GS23" i="1" s="1"/>
  <c r="FN117" i="1"/>
  <c r="HC33" i="1" s="1"/>
  <c r="FN22" i="1"/>
  <c r="GJ14" i="1" s="1"/>
  <c r="FN42" i="1"/>
  <c r="GN18" i="1" s="1"/>
  <c r="FN62" i="1"/>
  <c r="GR22" i="1" s="1"/>
  <c r="FN82" i="1"/>
  <c r="GV26" i="1" s="1"/>
  <c r="FN102" i="1"/>
  <c r="GZ30" i="1" s="1"/>
  <c r="FN122" i="1"/>
  <c r="HD34" i="1" s="1"/>
  <c r="FN87" i="1"/>
  <c r="GW27" i="1" s="1"/>
  <c r="FN107" i="1"/>
  <c r="HA31" i="1" s="1"/>
  <c r="FN127" i="1"/>
  <c r="HE35" i="1" s="1"/>
  <c r="FN32" i="1"/>
  <c r="GL16" i="1" s="1"/>
  <c r="FN27" i="1"/>
  <c r="GK15" i="1" s="1"/>
  <c r="FN17" i="1"/>
  <c r="GI13" i="1" s="1"/>
  <c r="FN37" i="1"/>
  <c r="GM17" i="1" s="1"/>
  <c r="FN137" i="1"/>
  <c r="HG37" i="1" s="1"/>
  <c r="FK22" i="1"/>
  <c r="GI14" i="1" s="1"/>
  <c r="FK132" i="1"/>
  <c r="HE36" i="1" s="1"/>
  <c r="FK127" i="1"/>
  <c r="HD35" i="1" s="1"/>
  <c r="FK122" i="1"/>
  <c r="HC34" i="1" s="1"/>
  <c r="FK117" i="1"/>
  <c r="HB33" i="1" s="1"/>
  <c r="FK112" i="1"/>
  <c r="HA32" i="1" s="1"/>
  <c r="FK107" i="1"/>
  <c r="GZ31" i="1" s="1"/>
  <c r="FK102" i="1"/>
  <c r="GY30" i="1" s="1"/>
  <c r="FK97" i="1"/>
  <c r="GX29" i="1" s="1"/>
  <c r="FK92" i="1"/>
  <c r="GW28" i="1" s="1"/>
  <c r="FK82" i="1"/>
  <c r="GU26" i="1" s="1"/>
  <c r="FK87" i="1"/>
  <c r="GV27" i="1" s="1"/>
  <c r="FK72" i="1"/>
  <c r="GS24" i="1" s="1"/>
  <c r="FK77" i="1"/>
  <c r="GT25" i="1" s="1"/>
  <c r="FK67" i="1"/>
  <c r="GR23" i="1" s="1"/>
  <c r="FK62" i="1"/>
  <c r="GQ22" i="1" s="1"/>
  <c r="FK57" i="1"/>
  <c r="GP21" i="1" s="1"/>
  <c r="FK52" i="1"/>
  <c r="GO20" i="1" s="1"/>
  <c r="FK47" i="1"/>
  <c r="GN19" i="1" s="1"/>
  <c r="FK42" i="1"/>
  <c r="GM18" i="1" s="1"/>
  <c r="FK37" i="1"/>
  <c r="GL17" i="1" s="1"/>
  <c r="FK32" i="1"/>
  <c r="GK16" i="1" s="1"/>
  <c r="FK27" i="1"/>
  <c r="GJ15" i="1" s="1"/>
  <c r="EN12" i="1"/>
  <c r="IF15" i="1" s="1"/>
  <c r="EH12" i="1"/>
  <c r="EF12" i="1"/>
  <c r="AC60" i="4" l="1"/>
  <c r="AC76" i="4"/>
  <c r="AC37" i="4"/>
  <c r="L60" i="4"/>
  <c r="L71" i="4"/>
  <c r="AC71" i="4"/>
  <c r="L72" i="4"/>
  <c r="AC72" i="4"/>
  <c r="AC55" i="4"/>
  <c r="L55" i="4"/>
  <c r="AC56" i="4"/>
  <c r="AC75" i="4"/>
  <c r="L75" i="4"/>
  <c r="AC59" i="4"/>
  <c r="AC34" i="4"/>
  <c r="L59" i="4"/>
  <c r="L61" i="4"/>
  <c r="AC61" i="4"/>
  <c r="AC62" i="4"/>
  <c r="L62" i="4"/>
  <c r="AC38" i="4"/>
  <c r="L56" i="4"/>
  <c r="L37" i="4"/>
  <c r="L38" i="4"/>
  <c r="L33" i="4"/>
  <c r="L34" i="4"/>
  <c r="L54" i="4"/>
  <c r="L53" i="4"/>
  <c r="AC35" i="4"/>
  <c r="L35" i="4"/>
  <c r="AC36" i="4"/>
  <c r="AC47" i="4"/>
  <c r="L36" i="4"/>
  <c r="JN224" i="1"/>
  <c r="G73" i="4"/>
  <c r="JN194" i="1"/>
  <c r="G67" i="4"/>
  <c r="JN144" i="1"/>
  <c r="G57" i="4"/>
  <c r="AC54" i="4"/>
  <c r="L48" i="4"/>
  <c r="JN184" i="1"/>
  <c r="G65" i="4"/>
  <c r="L47" i="4"/>
  <c r="G41" i="4"/>
  <c r="IF182" i="1"/>
  <c r="IJ182" i="1" s="1"/>
  <c r="G63" i="4"/>
  <c r="IF212" i="1"/>
  <c r="IF211" i="1" s="1"/>
  <c r="IJ211" i="1" s="1"/>
  <c r="G69" i="4"/>
  <c r="AC53" i="4"/>
  <c r="G45" i="4"/>
  <c r="AC29" i="4"/>
  <c r="AC30" i="4"/>
  <c r="L29" i="4"/>
  <c r="L30" i="4"/>
  <c r="JN114" i="1"/>
  <c r="G49" i="4"/>
  <c r="JN124" i="1"/>
  <c r="G51" i="4"/>
  <c r="AC43" i="4"/>
  <c r="AC44" i="4"/>
  <c r="L43" i="4"/>
  <c r="AC31" i="4"/>
  <c r="AC32" i="4"/>
  <c r="L31" i="4"/>
  <c r="L32" i="4"/>
  <c r="L39" i="4"/>
  <c r="AC39" i="4"/>
  <c r="AC40" i="4"/>
  <c r="L40" i="4"/>
  <c r="IF192" i="1"/>
  <c r="IK192" i="1" s="1"/>
  <c r="IL192" i="1" s="1"/>
  <c r="IF132" i="1"/>
  <c r="IF131" i="1" s="1"/>
  <c r="IJ131" i="1" s="1"/>
  <c r="JN4" i="1"/>
  <c r="IF152" i="1"/>
  <c r="IJ152" i="1" s="1"/>
  <c r="IF122" i="1"/>
  <c r="IJ122" i="1" s="1"/>
  <c r="JN84" i="1"/>
  <c r="IF92" i="1"/>
  <c r="IK92" i="1" s="1"/>
  <c r="IL92" i="1" s="1"/>
  <c r="IF12" i="1"/>
  <c r="IF11" i="1" s="1"/>
  <c r="ID11" i="1" s="1"/>
  <c r="JH11" i="1" s="1"/>
  <c r="JN174" i="1"/>
  <c r="JN204" i="1"/>
  <c r="JN254" i="1"/>
  <c r="JN14" i="1"/>
  <c r="JN244" i="1"/>
  <c r="JN64" i="1"/>
  <c r="JN214" i="1"/>
  <c r="JN134" i="1"/>
  <c r="IK272" i="1"/>
  <c r="IF271" i="1"/>
  <c r="IK271" i="1" s="1"/>
  <c r="IJ272" i="1"/>
  <c r="IV7" i="1"/>
  <c r="IV6" i="1" s="1"/>
  <c r="JN3" i="1"/>
  <c r="JW3" i="1" s="1"/>
  <c r="IK202" i="1"/>
  <c r="IL202" i="1" s="1"/>
  <c r="IF101" i="1"/>
  <c r="IJ101" i="1" s="1"/>
  <c r="IK82" i="1"/>
  <c r="IL82" i="1" s="1"/>
  <c r="IF172" i="1"/>
  <c r="IK172" i="1" s="1"/>
  <c r="IL172" i="1" s="1"/>
  <c r="JN164" i="1"/>
  <c r="IJ202" i="1"/>
  <c r="IJ82" i="1"/>
  <c r="IK102" i="1"/>
  <c r="IL102" i="1" s="1"/>
  <c r="IF112" i="1"/>
  <c r="IJ112" i="1" s="1"/>
  <c r="JN104" i="1"/>
  <c r="IF41" i="1"/>
  <c r="IJ41" i="1" s="1"/>
  <c r="IF52" i="1"/>
  <c r="IK52" i="1" s="1"/>
  <c r="IL52" i="1" s="1"/>
  <c r="JN44" i="1"/>
  <c r="IF32" i="1"/>
  <c r="IJ32" i="1" s="1"/>
  <c r="JN24" i="1"/>
  <c r="IK42" i="1"/>
  <c r="IL42" i="1" s="1"/>
  <c r="ID263" i="1"/>
  <c r="JB11" i="1"/>
  <c r="IF262" i="1"/>
  <c r="IK262" i="1" s="1"/>
  <c r="IL262" i="1" s="1"/>
  <c r="IK242" i="1"/>
  <c r="IL242" i="1" s="1"/>
  <c r="IF161" i="1"/>
  <c r="IJ161" i="1" s="1"/>
  <c r="IJ162" i="1"/>
  <c r="IF231" i="1"/>
  <c r="IJ231" i="1" s="1"/>
  <c r="IJ232" i="1"/>
  <c r="IF241" i="1"/>
  <c r="IJ242" i="1"/>
  <c r="IK162" i="1"/>
  <c r="IL162" i="1" s="1"/>
  <c r="IF252" i="1"/>
  <c r="IF222" i="1"/>
  <c r="IF142" i="1"/>
  <c r="IK142" i="1" s="1"/>
  <c r="IL142" i="1" s="1"/>
  <c r="IF72" i="1"/>
  <c r="IF22" i="1"/>
  <c r="IK22" i="1" s="1"/>
  <c r="IL22" i="1" s="1"/>
  <c r="IJ81" i="1"/>
  <c r="IJ201" i="1"/>
  <c r="IF61" i="1"/>
  <c r="IJ62" i="1"/>
  <c r="EP12" i="1"/>
  <c r="GI12" i="1"/>
  <c r="EJ12" i="1"/>
  <c r="IW14" i="1" s="1"/>
  <c r="EZ39" i="1"/>
  <c r="EX40" i="1"/>
  <c r="EX39" i="1"/>
  <c r="IY9" i="1" s="1"/>
  <c r="EV39" i="1"/>
  <c r="ER40" i="1"/>
  <c r="ER39" i="1"/>
  <c r="EN40" i="1"/>
  <c r="EL39" i="1"/>
  <c r="IY3" i="1" s="1"/>
  <c r="EL40" i="1"/>
  <c r="EH40" i="1"/>
  <c r="EH39" i="1"/>
  <c r="EF40" i="1"/>
  <c r="EF39" i="1"/>
  <c r="AC46" i="4" l="1"/>
  <c r="AC45" i="4"/>
  <c r="L46" i="4"/>
  <c r="L45" i="4"/>
  <c r="AC57" i="4"/>
  <c r="AC58" i="4"/>
  <c r="L58" i="4"/>
  <c r="L57" i="4"/>
  <c r="IK212" i="1"/>
  <c r="IL212" i="1" s="1"/>
  <c r="IF181" i="1"/>
  <c r="IJ181" i="1" s="1"/>
  <c r="AC63" i="4"/>
  <c r="L63" i="4"/>
  <c r="AC64" i="4"/>
  <c r="L64" i="4"/>
  <c r="AC65" i="4"/>
  <c r="L66" i="4"/>
  <c r="L65" i="4"/>
  <c r="AC66" i="4"/>
  <c r="AC74" i="4"/>
  <c r="AC73" i="4"/>
  <c r="L73" i="4"/>
  <c r="L74" i="4"/>
  <c r="IK182" i="1"/>
  <c r="IL182" i="1" s="1"/>
  <c r="IJ212" i="1"/>
  <c r="L69" i="4"/>
  <c r="AC69" i="4"/>
  <c r="L70" i="4"/>
  <c r="AC70" i="4"/>
  <c r="L41" i="4"/>
  <c r="L42" i="4"/>
  <c r="AC41" i="4"/>
  <c r="AC42" i="4"/>
  <c r="AC68" i="4"/>
  <c r="AC67" i="4"/>
  <c r="L68" i="4"/>
  <c r="L67" i="4"/>
  <c r="L49" i="4"/>
  <c r="AC49" i="4"/>
  <c r="AC50" i="4"/>
  <c r="L50" i="4"/>
  <c r="L51" i="4"/>
  <c r="AC51" i="4"/>
  <c r="AC52" i="4"/>
  <c r="L52" i="4"/>
  <c r="IK132" i="1"/>
  <c r="IL132" i="1" s="1"/>
  <c r="IJ132" i="1"/>
  <c r="IF191" i="1"/>
  <c r="IJ191" i="1" s="1"/>
  <c r="IJ192" i="1"/>
  <c r="IK122" i="1"/>
  <c r="IL122" i="1" s="1"/>
  <c r="IK152" i="1"/>
  <c r="IL152" i="1" s="1"/>
  <c r="IF151" i="1"/>
  <c r="IJ151" i="1" s="1"/>
  <c r="IF121" i="1"/>
  <c r="IJ121" i="1" s="1"/>
  <c r="IK12" i="1"/>
  <c r="IL12" i="1" s="1"/>
  <c r="IL4" i="1" s="1"/>
  <c r="IO4" i="1" s="1"/>
  <c r="IJ12" i="1"/>
  <c r="IJ92" i="1"/>
  <c r="IF91" i="1"/>
  <c r="IJ91" i="1" s="1"/>
  <c r="IY263" i="1"/>
  <c r="JE11" i="1"/>
  <c r="JE12" i="1" s="1"/>
  <c r="IJ271" i="1"/>
  <c r="IZ270" i="1"/>
  <c r="IZ4" i="1"/>
  <c r="IF5" i="1"/>
  <c r="JB12" i="1"/>
  <c r="IK32" i="1"/>
  <c r="IL32" i="1" s="1"/>
  <c r="IK112" i="1"/>
  <c r="IL112" i="1" s="1"/>
  <c r="IJ172" i="1"/>
  <c r="IF111" i="1"/>
  <c r="IJ111" i="1" s="1"/>
  <c r="IF171" i="1"/>
  <c r="IJ171" i="1" s="1"/>
  <c r="IJ52" i="1"/>
  <c r="IF51" i="1"/>
  <c r="IJ51" i="1" s="1"/>
  <c r="IF31" i="1"/>
  <c r="IJ31" i="1" s="1"/>
  <c r="IY268" i="1"/>
  <c r="IZ267" i="1"/>
  <c r="IY271" i="1"/>
  <c r="IY265" i="1"/>
  <c r="IZ264" i="1"/>
  <c r="IY11" i="1"/>
  <c r="IZ10" i="1"/>
  <c r="IY8" i="1"/>
  <c r="IZ7" i="1"/>
  <c r="IJ11" i="1"/>
  <c r="IY5" i="1"/>
  <c r="IQ3" i="1"/>
  <c r="IW16" i="1"/>
  <c r="IV19" i="1"/>
  <c r="IK252" i="1"/>
  <c r="IL252" i="1" s="1"/>
  <c r="IK222" i="1"/>
  <c r="IL222" i="1" s="1"/>
  <c r="IJ72" i="1"/>
  <c r="IO3" i="1"/>
  <c r="IJ241" i="1"/>
  <c r="IF71" i="1"/>
  <c r="IJ142" i="1"/>
  <c r="IJ262" i="1"/>
  <c r="IF251" i="1"/>
  <c r="IF21" i="1"/>
  <c r="IJ21" i="1" s="1"/>
  <c r="IK72" i="1"/>
  <c r="IL72" i="1" s="1"/>
  <c r="IF141" i="1"/>
  <c r="IJ222" i="1"/>
  <c r="IF261" i="1"/>
  <c r="IJ22" i="1"/>
  <c r="IJ252" i="1"/>
  <c r="IF221" i="1"/>
  <c r="IJ221" i="1" s="1"/>
  <c r="IJ61" i="1"/>
  <c r="IJ14" i="1"/>
  <c r="IF16" i="1"/>
  <c r="FU17" i="1"/>
  <c r="FX12" i="1"/>
  <c r="EJ39" i="1"/>
  <c r="IW4" i="1" s="1"/>
  <c r="IL9" i="1" l="1"/>
  <c r="IQ9" i="1" s="1"/>
  <c r="IL10" i="1"/>
  <c r="IT10" i="1" s="1"/>
  <c r="IT4" i="1"/>
  <c r="IQ4" i="1"/>
  <c r="IL11" i="1"/>
  <c r="IT11" i="1" s="1"/>
  <c r="JK11" i="1" s="1"/>
  <c r="IL8" i="1"/>
  <c r="IT8" i="1" s="1"/>
  <c r="IL6" i="1"/>
  <c r="IQ6" i="1" s="1"/>
  <c r="IL5" i="1"/>
  <c r="IT5" i="1" s="1"/>
  <c r="IL7" i="1"/>
  <c r="IT7" i="1" s="1"/>
  <c r="ID5" i="1"/>
  <c r="IY4" i="1"/>
  <c r="IF6" i="1"/>
  <c r="IG5" i="1"/>
  <c r="IN3" i="1"/>
  <c r="IV9" i="1"/>
  <c r="IJ4" i="1"/>
  <c r="IW15" i="1"/>
  <c r="IN4" i="1"/>
  <c r="IN6" i="1"/>
  <c r="IJ71" i="1"/>
  <c r="IJ251" i="1"/>
  <c r="IJ141" i="1"/>
  <c r="IJ261" i="1"/>
  <c r="FD39" i="1"/>
  <c r="IJ15" i="1"/>
  <c r="HW4" i="1"/>
  <c r="FB40" i="1"/>
  <c r="EV40" i="1"/>
  <c r="EP40" i="1"/>
  <c r="EZ40" i="1"/>
  <c r="ET40" i="1"/>
  <c r="IY266" i="1" s="1"/>
  <c r="FB39" i="1"/>
  <c r="FB13" i="1"/>
  <c r="FB14" i="1"/>
  <c r="FB15" i="1"/>
  <c r="FB12" i="1"/>
  <c r="EZ13" i="1"/>
  <c r="EZ14" i="1"/>
  <c r="EZ15" i="1"/>
  <c r="EZ12" i="1"/>
  <c r="ET39" i="1"/>
  <c r="IY6" i="1" s="1"/>
  <c r="EP39" i="1"/>
  <c r="EV35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0" i="1"/>
  <c r="EV31" i="1"/>
  <c r="EV32" i="1"/>
  <c r="EV33" i="1"/>
  <c r="EV34" i="1"/>
  <c r="EV36" i="1"/>
  <c r="EV13" i="1"/>
  <c r="EV12" i="1"/>
  <c r="ET35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6" i="1"/>
  <c r="ET13" i="1"/>
  <c r="ET12" i="1"/>
  <c r="EN36" i="1"/>
  <c r="EP36" i="1" s="1"/>
  <c r="EN14" i="1"/>
  <c r="EP14" i="1" s="1"/>
  <c r="EN15" i="1"/>
  <c r="EP15" i="1" s="1"/>
  <c r="EN16" i="1"/>
  <c r="EP16" i="1" s="1"/>
  <c r="EN17" i="1"/>
  <c r="EP17" i="1" s="1"/>
  <c r="EN18" i="1"/>
  <c r="EP18" i="1" s="1"/>
  <c r="EN19" i="1"/>
  <c r="EP19" i="1" s="1"/>
  <c r="EN20" i="1"/>
  <c r="EP20" i="1" s="1"/>
  <c r="EN21" i="1"/>
  <c r="EP21" i="1" s="1"/>
  <c r="EN22" i="1"/>
  <c r="EP22" i="1" s="1"/>
  <c r="EN23" i="1"/>
  <c r="EP23" i="1" s="1"/>
  <c r="EN24" i="1"/>
  <c r="EP24" i="1" s="1"/>
  <c r="EN25" i="1"/>
  <c r="EP25" i="1" s="1"/>
  <c r="EN26" i="1"/>
  <c r="EP26" i="1" s="1"/>
  <c r="EN27" i="1"/>
  <c r="EP27" i="1" s="1"/>
  <c r="EN28" i="1"/>
  <c r="EP28" i="1" s="1"/>
  <c r="EN29" i="1"/>
  <c r="EP29" i="1" s="1"/>
  <c r="EN30" i="1"/>
  <c r="EP30" i="1" s="1"/>
  <c r="EN31" i="1"/>
  <c r="EP31" i="1" s="1"/>
  <c r="EN32" i="1"/>
  <c r="EP32" i="1" s="1"/>
  <c r="EN33" i="1"/>
  <c r="EP33" i="1" s="1"/>
  <c r="EN34" i="1"/>
  <c r="EP34" i="1" s="1"/>
  <c r="EN35" i="1"/>
  <c r="EP35" i="1" s="1"/>
  <c r="EN13" i="1"/>
  <c r="EX13" i="1"/>
  <c r="EX14" i="1"/>
  <c r="EX15" i="1"/>
  <c r="EX12" i="1"/>
  <c r="ER13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IZ217" i="1" s="1"/>
  <c r="ER33" i="1"/>
  <c r="IZ227" i="1" s="1"/>
  <c r="ER34" i="1"/>
  <c r="IZ237" i="1" s="1"/>
  <c r="ER35" i="1"/>
  <c r="IZ247" i="1" s="1"/>
  <c r="ER36" i="1"/>
  <c r="IZ257" i="1" s="1"/>
  <c r="ER12" i="1"/>
  <c r="IZ17" i="1" s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IZ214" i="1" s="1"/>
  <c r="EL33" i="1"/>
  <c r="IZ224" i="1" s="1"/>
  <c r="EL34" i="1"/>
  <c r="IZ234" i="1" s="1"/>
  <c r="EL35" i="1"/>
  <c r="IZ244" i="1" s="1"/>
  <c r="EL36" i="1"/>
  <c r="IZ254" i="1" s="1"/>
  <c r="EF17" i="1"/>
  <c r="EF13" i="1"/>
  <c r="EF14" i="1"/>
  <c r="EF15" i="1"/>
  <c r="EF16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IO8" i="1" l="1"/>
  <c r="IN9" i="1"/>
  <c r="IN8" i="1"/>
  <c r="IN10" i="1"/>
  <c r="IQ11" i="1"/>
  <c r="IQ10" i="1"/>
  <c r="IO10" i="1"/>
  <c r="IO9" i="1"/>
  <c r="IO11" i="1"/>
  <c r="IN7" i="1"/>
  <c r="IT9" i="1"/>
  <c r="IN11" i="1"/>
  <c r="IQ8" i="1"/>
  <c r="IO6" i="1"/>
  <c r="IN5" i="1"/>
  <c r="IO5" i="1"/>
  <c r="IO7" i="1"/>
  <c r="IQ5" i="1"/>
  <c r="IQ7" i="1"/>
  <c r="IT6" i="1"/>
  <c r="IF265" i="1"/>
  <c r="IY269" i="1"/>
  <c r="EP13" i="1"/>
  <c r="IF25" i="1"/>
  <c r="IF17" i="1"/>
  <c r="ID6" i="1"/>
  <c r="IF7" i="1"/>
  <c r="IY188" i="1"/>
  <c r="IZ187" i="1"/>
  <c r="IY175" i="1"/>
  <c r="IZ174" i="1"/>
  <c r="IY178" i="1"/>
  <c r="IZ177" i="1"/>
  <c r="IY205" i="1"/>
  <c r="IZ204" i="1"/>
  <c r="IY165" i="1"/>
  <c r="IZ164" i="1"/>
  <c r="IY208" i="1"/>
  <c r="IZ207" i="1"/>
  <c r="IY168" i="1"/>
  <c r="IZ167" i="1"/>
  <c r="IY185" i="1"/>
  <c r="IZ184" i="1"/>
  <c r="IY195" i="1"/>
  <c r="IZ194" i="1"/>
  <c r="IY198" i="1"/>
  <c r="IZ197" i="1"/>
  <c r="IY115" i="1"/>
  <c r="IZ114" i="1"/>
  <c r="IY118" i="1"/>
  <c r="IZ117" i="1"/>
  <c r="IY135" i="1"/>
  <c r="IZ134" i="1"/>
  <c r="IY138" i="1"/>
  <c r="IZ137" i="1"/>
  <c r="IY125" i="1"/>
  <c r="IZ124" i="1"/>
  <c r="IY128" i="1"/>
  <c r="IZ127" i="1"/>
  <c r="IY145" i="1"/>
  <c r="IZ144" i="1"/>
  <c r="IY148" i="1"/>
  <c r="IZ147" i="1"/>
  <c r="IY155" i="1"/>
  <c r="IZ154" i="1"/>
  <c r="IY158" i="1"/>
  <c r="IZ157" i="1"/>
  <c r="IY108" i="1"/>
  <c r="IZ107" i="1"/>
  <c r="IY98" i="1"/>
  <c r="IZ97" i="1"/>
  <c r="IY88" i="1"/>
  <c r="IZ87" i="1"/>
  <c r="IY68" i="1"/>
  <c r="IZ67" i="1"/>
  <c r="IY78" i="1"/>
  <c r="IZ77" i="1"/>
  <c r="IZ20" i="1"/>
  <c r="IY85" i="1"/>
  <c r="IZ84" i="1"/>
  <c r="IY75" i="1"/>
  <c r="IZ74" i="1"/>
  <c r="IY105" i="1"/>
  <c r="IZ104" i="1"/>
  <c r="IY65" i="1"/>
  <c r="IZ64" i="1"/>
  <c r="IY95" i="1"/>
  <c r="IZ94" i="1"/>
  <c r="IY45" i="1"/>
  <c r="IZ44" i="1"/>
  <c r="IY48" i="1"/>
  <c r="IZ47" i="1"/>
  <c r="IY41" i="1"/>
  <c r="IZ40" i="1"/>
  <c r="IY35" i="1"/>
  <c r="IZ34" i="1"/>
  <c r="IY55" i="1"/>
  <c r="IZ54" i="1"/>
  <c r="IY58" i="1"/>
  <c r="IZ57" i="1"/>
  <c r="IY51" i="1"/>
  <c r="IZ50" i="1"/>
  <c r="IY31" i="1"/>
  <c r="IZ30" i="1"/>
  <c r="IY28" i="1"/>
  <c r="IZ27" i="1"/>
  <c r="IJ5" i="1"/>
  <c r="IY258" i="1"/>
  <c r="IY255" i="1"/>
  <c r="IY235" i="1"/>
  <c r="IF215" i="1"/>
  <c r="IJ214" i="1" s="1"/>
  <c r="IY215" i="1"/>
  <c r="IY218" i="1"/>
  <c r="IF245" i="1"/>
  <c r="IJ244" i="1" s="1"/>
  <c r="IY245" i="1"/>
  <c r="IY248" i="1"/>
  <c r="IY238" i="1"/>
  <c r="IY225" i="1"/>
  <c r="IY228" i="1"/>
  <c r="IY18" i="1"/>
  <c r="IY21" i="1"/>
  <c r="IG11" i="1"/>
  <c r="IF125" i="1"/>
  <c r="IJ124" i="1" s="1"/>
  <c r="IF235" i="1"/>
  <c r="IF236" i="1" s="1"/>
  <c r="IF195" i="1"/>
  <c r="IF196" i="1" s="1"/>
  <c r="IF197" i="1" s="1"/>
  <c r="IF198" i="1" s="1"/>
  <c r="IF155" i="1"/>
  <c r="IF156" i="1" s="1"/>
  <c r="IF157" i="1" s="1"/>
  <c r="IF158" i="1" s="1"/>
  <c r="IF159" i="1" s="1"/>
  <c r="IF160" i="1" s="1"/>
  <c r="IJ160" i="1" s="1"/>
  <c r="IF115" i="1"/>
  <c r="IF116" i="1" s="1"/>
  <c r="IF75" i="1"/>
  <c r="IF76" i="1" s="1"/>
  <c r="IF35" i="1"/>
  <c r="IW5" i="1"/>
  <c r="IW6" i="1"/>
  <c r="IF165" i="1"/>
  <c r="IJ164" i="1" s="1"/>
  <c r="IF45" i="1"/>
  <c r="IF205" i="1"/>
  <c r="IJ204" i="1" s="1"/>
  <c r="IF85" i="1"/>
  <c r="IF86" i="1" s="1"/>
  <c r="IF175" i="1"/>
  <c r="IF176" i="1" s="1"/>
  <c r="IF135" i="1"/>
  <c r="IF136" i="1" s="1"/>
  <c r="IF137" i="1" s="1"/>
  <c r="IF138" i="1" s="1"/>
  <c r="IF95" i="1"/>
  <c r="IF96" i="1" s="1"/>
  <c r="IF55" i="1"/>
  <c r="IJ54" i="1" s="1"/>
  <c r="IP6" i="1"/>
  <c r="IF225" i="1"/>
  <c r="IF226" i="1" s="1"/>
  <c r="IF185" i="1"/>
  <c r="IF186" i="1" s="1"/>
  <c r="IF187" i="1" s="1"/>
  <c r="IF188" i="1" s="1"/>
  <c r="IF145" i="1"/>
  <c r="IJ144" i="1" s="1"/>
  <c r="IF105" i="1"/>
  <c r="IF106" i="1" s="1"/>
  <c r="IF65" i="1"/>
  <c r="IF66" i="1" s="1"/>
  <c r="HV3" i="1"/>
  <c r="HW56" i="1"/>
  <c r="X81" i="4" s="1"/>
  <c r="IP10" i="1"/>
  <c r="IP11" i="1"/>
  <c r="IP9" i="1"/>
  <c r="IP3" i="1"/>
  <c r="IP4" i="1"/>
  <c r="IS4" i="1" s="1"/>
  <c r="IP8" i="1"/>
  <c r="IP7" i="1"/>
  <c r="IP5" i="1"/>
  <c r="IG6" i="1"/>
  <c r="II4" i="1"/>
  <c r="IF255" i="1"/>
  <c r="FX14" i="1"/>
  <c r="FU20" i="1"/>
  <c r="FX15" i="1"/>
  <c r="FU18" i="1"/>
  <c r="FX13" i="1"/>
  <c r="FU128" i="1"/>
  <c r="FX123" i="1"/>
  <c r="FU68" i="1"/>
  <c r="FX63" i="1"/>
  <c r="FX134" i="1"/>
  <c r="FU139" i="1"/>
  <c r="FU59" i="1"/>
  <c r="FX54" i="1"/>
  <c r="FX133" i="1"/>
  <c r="FU138" i="1"/>
  <c r="FU118" i="1"/>
  <c r="FX113" i="1"/>
  <c r="FU98" i="1"/>
  <c r="FX93" i="1"/>
  <c r="FX73" i="1"/>
  <c r="FU78" i="1"/>
  <c r="FX53" i="1"/>
  <c r="FU58" i="1"/>
  <c r="FU38" i="1"/>
  <c r="FX33" i="1"/>
  <c r="FX124" i="1"/>
  <c r="FU129" i="1"/>
  <c r="FX104" i="1"/>
  <c r="FU109" i="1"/>
  <c r="FU89" i="1"/>
  <c r="FX84" i="1"/>
  <c r="FX64" i="1"/>
  <c r="FU69" i="1"/>
  <c r="FU49" i="1"/>
  <c r="FX44" i="1"/>
  <c r="FX24" i="1"/>
  <c r="FU29" i="1"/>
  <c r="FU30" i="1"/>
  <c r="FX25" i="1"/>
  <c r="FU108" i="1"/>
  <c r="FX103" i="1"/>
  <c r="FU48" i="1"/>
  <c r="FX43" i="1"/>
  <c r="FX114" i="1"/>
  <c r="FU119" i="1"/>
  <c r="FU79" i="1"/>
  <c r="FX74" i="1"/>
  <c r="FX128" i="1"/>
  <c r="FU133" i="1"/>
  <c r="FU113" i="1"/>
  <c r="FX108" i="1"/>
  <c r="FU93" i="1"/>
  <c r="FX88" i="1"/>
  <c r="FX68" i="1"/>
  <c r="FU73" i="1"/>
  <c r="FU53" i="1"/>
  <c r="FX48" i="1"/>
  <c r="FU33" i="1"/>
  <c r="FX28" i="1"/>
  <c r="FU19" i="1"/>
  <c r="FX119" i="1"/>
  <c r="FU124" i="1"/>
  <c r="FU104" i="1"/>
  <c r="FX99" i="1"/>
  <c r="FU84" i="1"/>
  <c r="FX79" i="1"/>
  <c r="FX59" i="1"/>
  <c r="FU64" i="1"/>
  <c r="FU44" i="1"/>
  <c r="FX39" i="1"/>
  <c r="FU24" i="1"/>
  <c r="FX19" i="1"/>
  <c r="FU25" i="1"/>
  <c r="FX20" i="1"/>
  <c r="FU88" i="1"/>
  <c r="FX83" i="1"/>
  <c r="FU99" i="1"/>
  <c r="FX94" i="1"/>
  <c r="FU39" i="1"/>
  <c r="FX34" i="1"/>
  <c r="FX23" i="1"/>
  <c r="FU28" i="1"/>
  <c r="FU123" i="1"/>
  <c r="FX118" i="1"/>
  <c r="FX98" i="1"/>
  <c r="FU103" i="1"/>
  <c r="FU83" i="1"/>
  <c r="FX78" i="1"/>
  <c r="FU63" i="1"/>
  <c r="FX58" i="1"/>
  <c r="FU43" i="1"/>
  <c r="FX38" i="1"/>
  <c r="FX18" i="1"/>
  <c r="FU23" i="1"/>
  <c r="FX129" i="1"/>
  <c r="FU134" i="1"/>
  <c r="FU114" i="1"/>
  <c r="FX109" i="1"/>
  <c r="FX89" i="1"/>
  <c r="FU94" i="1"/>
  <c r="FX69" i="1"/>
  <c r="FU74" i="1"/>
  <c r="FU54" i="1"/>
  <c r="FX49" i="1"/>
  <c r="FX29" i="1"/>
  <c r="FU34" i="1"/>
  <c r="FU35" i="1"/>
  <c r="FX30" i="1"/>
  <c r="EJ35" i="1"/>
  <c r="EJ31" i="1"/>
  <c r="IW204" i="1" s="1"/>
  <c r="EJ27" i="1"/>
  <c r="IW164" i="1" s="1"/>
  <c r="EJ23" i="1"/>
  <c r="IW124" i="1" s="1"/>
  <c r="EJ19" i="1"/>
  <c r="IW84" i="1" s="1"/>
  <c r="EJ40" i="1"/>
  <c r="IW264" i="1" s="1"/>
  <c r="EJ34" i="1"/>
  <c r="EJ30" i="1"/>
  <c r="IW194" i="1" s="1"/>
  <c r="EJ26" i="1"/>
  <c r="IW154" i="1" s="1"/>
  <c r="EJ22" i="1"/>
  <c r="IW114" i="1" s="1"/>
  <c r="EJ18" i="1"/>
  <c r="IW74" i="1" s="1"/>
  <c r="EJ13" i="1"/>
  <c r="IW24" i="1" s="1"/>
  <c r="EJ33" i="1"/>
  <c r="EJ29" i="1"/>
  <c r="IW184" i="1" s="1"/>
  <c r="EJ25" i="1"/>
  <c r="IW144" i="1" s="1"/>
  <c r="EJ21" i="1"/>
  <c r="IW104" i="1" s="1"/>
  <c r="EJ16" i="1"/>
  <c r="IW54" i="1" s="1"/>
  <c r="EJ17" i="1"/>
  <c r="IW64" i="1" s="1"/>
  <c r="EJ36" i="1"/>
  <c r="EJ32" i="1"/>
  <c r="EJ28" i="1"/>
  <c r="IW174" i="1" s="1"/>
  <c r="EJ24" i="1"/>
  <c r="IW134" i="1" s="1"/>
  <c r="EJ20" i="1"/>
  <c r="IW94" i="1" s="1"/>
  <c r="EJ15" i="1"/>
  <c r="IW44" i="1" s="1"/>
  <c r="EJ14" i="1"/>
  <c r="IW34" i="1" s="1"/>
  <c r="IS6" i="1" l="1"/>
  <c r="IS9" i="1"/>
  <c r="IS10" i="1"/>
  <c r="IS8" i="1"/>
  <c r="IS5" i="1"/>
  <c r="IS7" i="1"/>
  <c r="HY56" i="1"/>
  <c r="N82" i="4" s="1"/>
  <c r="HY3" i="1"/>
  <c r="FX112" i="1"/>
  <c r="IW214" i="1"/>
  <c r="IV219" i="1"/>
  <c r="FX132" i="1"/>
  <c r="IW254" i="1"/>
  <c r="IV259" i="1"/>
  <c r="FX122" i="1"/>
  <c r="IW234" i="1"/>
  <c r="IV239" i="1"/>
  <c r="FX117" i="1"/>
  <c r="IV229" i="1"/>
  <c r="IW224" i="1"/>
  <c r="FX127" i="1"/>
  <c r="IV249" i="1"/>
  <c r="IW244" i="1"/>
  <c r="IF46" i="1"/>
  <c r="IF47" i="1" s="1"/>
  <c r="IJ34" i="1"/>
  <c r="IF266" i="1"/>
  <c r="IF267" i="1" s="1"/>
  <c r="IF268" i="1" s="1"/>
  <c r="IF269" i="1" s="1"/>
  <c r="IF270" i="1" s="1"/>
  <c r="ID7" i="1"/>
  <c r="IY7" i="1"/>
  <c r="II11" i="1"/>
  <c r="IK11" i="1" s="1"/>
  <c r="JI11" i="1"/>
  <c r="IF246" i="1"/>
  <c r="IJ245" i="1" s="1"/>
  <c r="IF166" i="1"/>
  <c r="IF167" i="1" s="1"/>
  <c r="IF168" i="1" s="1"/>
  <c r="IF169" i="1" s="1"/>
  <c r="IF216" i="1"/>
  <c r="IF217" i="1" s="1"/>
  <c r="IF218" i="1" s="1"/>
  <c r="IF219" i="1" s="1"/>
  <c r="IF220" i="1" s="1"/>
  <c r="IJ114" i="1"/>
  <c r="IV39" i="1"/>
  <c r="IV29" i="1"/>
  <c r="IJ84" i="1"/>
  <c r="IJ94" i="1"/>
  <c r="IF126" i="1"/>
  <c r="IF127" i="1" s="1"/>
  <c r="IF128" i="1" s="1"/>
  <c r="IF129" i="1" s="1"/>
  <c r="IF130" i="1" s="1"/>
  <c r="IF56" i="1"/>
  <c r="IJ55" i="1" s="1"/>
  <c r="IJ194" i="1"/>
  <c r="IF8" i="1"/>
  <c r="IJ104" i="1"/>
  <c r="IJ224" i="1"/>
  <c r="IJ134" i="1"/>
  <c r="IJ74" i="1"/>
  <c r="IF146" i="1"/>
  <c r="IF147" i="1" s="1"/>
  <c r="IF148" i="1" s="1"/>
  <c r="IF149" i="1" s="1"/>
  <c r="IF150" i="1" s="1"/>
  <c r="IF206" i="1"/>
  <c r="IF207" i="1" s="1"/>
  <c r="IF208" i="1" s="1"/>
  <c r="IF209" i="1" s="1"/>
  <c r="IF210" i="1" s="1"/>
  <c r="IF36" i="1"/>
  <c r="IJ35" i="1" s="1"/>
  <c r="IJ184" i="1"/>
  <c r="IJ44" i="1"/>
  <c r="FX72" i="1"/>
  <c r="IV139" i="1"/>
  <c r="FX62" i="1"/>
  <c r="IV119" i="1"/>
  <c r="FX92" i="1"/>
  <c r="IV179" i="1"/>
  <c r="FX82" i="1"/>
  <c r="IV159" i="1"/>
  <c r="FX47" i="1"/>
  <c r="IV89" i="1"/>
  <c r="IJ64" i="1"/>
  <c r="FX97" i="1"/>
  <c r="IV189" i="1"/>
  <c r="FX57" i="1"/>
  <c r="IV109" i="1"/>
  <c r="FX102" i="1"/>
  <c r="IV199" i="1"/>
  <c r="IJ174" i="1"/>
  <c r="IJ264" i="1"/>
  <c r="IJ234" i="1"/>
  <c r="FX37" i="1"/>
  <c r="IV69" i="1"/>
  <c r="HV55" i="1"/>
  <c r="S81" i="4" s="1"/>
  <c r="IV269" i="1"/>
  <c r="FX107" i="1"/>
  <c r="IV209" i="1"/>
  <c r="FX67" i="1"/>
  <c r="IV129" i="1"/>
  <c r="FX52" i="1"/>
  <c r="IV99" i="1"/>
  <c r="FX77" i="1"/>
  <c r="IV149" i="1"/>
  <c r="FX42" i="1"/>
  <c r="IV79" i="1"/>
  <c r="FX87" i="1"/>
  <c r="IV169" i="1"/>
  <c r="FX27" i="1"/>
  <c r="IV49" i="1"/>
  <c r="FX32" i="1"/>
  <c r="IV59" i="1"/>
  <c r="IJ186" i="1"/>
  <c r="IF117" i="1"/>
  <c r="IF118" i="1" s="1"/>
  <c r="IF119" i="1" s="1"/>
  <c r="IF120" i="1" s="1"/>
  <c r="IF107" i="1"/>
  <c r="IF108" i="1" s="1"/>
  <c r="IF109" i="1" s="1"/>
  <c r="IF110" i="1" s="1"/>
  <c r="FX22" i="1"/>
  <c r="IJ196" i="1"/>
  <c r="IJ159" i="1"/>
  <c r="IF177" i="1"/>
  <c r="IF178" i="1" s="1"/>
  <c r="IF179" i="1" s="1"/>
  <c r="IF180" i="1" s="1"/>
  <c r="FX17" i="1"/>
  <c r="IJ136" i="1"/>
  <c r="IF237" i="1"/>
  <c r="IF238" i="1" s="1"/>
  <c r="IF239" i="1" s="1"/>
  <c r="IF240" i="1" s="1"/>
  <c r="IF67" i="1"/>
  <c r="IF68" i="1" s="1"/>
  <c r="IF69" i="1" s="1"/>
  <c r="IF70" i="1" s="1"/>
  <c r="IF227" i="1"/>
  <c r="IF228" i="1" s="1"/>
  <c r="IF229" i="1" s="1"/>
  <c r="IF230" i="1" s="1"/>
  <c r="IF199" i="1"/>
  <c r="IF200" i="1" s="1"/>
  <c r="IF189" i="1"/>
  <c r="IF190" i="1" s="1"/>
  <c r="IF139" i="1"/>
  <c r="IF140" i="1" s="1"/>
  <c r="IG7" i="1"/>
  <c r="IG8" i="1" s="1"/>
  <c r="II7" i="1" s="1"/>
  <c r="IJ6" i="1"/>
  <c r="IF97" i="1"/>
  <c r="IF98" i="1" s="1"/>
  <c r="IF87" i="1"/>
  <c r="IF77" i="1"/>
  <c r="IF78" i="1" s="1"/>
  <c r="IJ46" i="1"/>
  <c r="IJ95" i="1"/>
  <c r="IJ187" i="1"/>
  <c r="IJ75" i="1"/>
  <c r="IJ185" i="1"/>
  <c r="II5" i="1"/>
  <c r="IK5" i="1" s="1"/>
  <c r="IJ85" i="1"/>
  <c r="IJ225" i="1"/>
  <c r="IJ235" i="1"/>
  <c r="IJ115" i="1"/>
  <c r="IJ135" i="1"/>
  <c r="IJ65" i="1"/>
  <c r="IJ137" i="1"/>
  <c r="IJ158" i="1"/>
  <c r="IJ156" i="1"/>
  <c r="IJ154" i="1"/>
  <c r="IF256" i="1"/>
  <c r="IJ254" i="1"/>
  <c r="IJ175" i="1"/>
  <c r="IJ195" i="1"/>
  <c r="IJ197" i="1"/>
  <c r="IJ105" i="1"/>
  <c r="IK4" i="1"/>
  <c r="IJ24" i="1"/>
  <c r="IJ16" i="1"/>
  <c r="IF18" i="1"/>
  <c r="IJ17" i="1" s="1"/>
  <c r="IF26" i="1"/>
  <c r="IJ25" i="1" s="1"/>
  <c r="GB12" i="1"/>
  <c r="HI124" i="1" s="1"/>
  <c r="FU97" i="1"/>
  <c r="FU122" i="1"/>
  <c r="FU87" i="1"/>
  <c r="FU52" i="1"/>
  <c r="FU132" i="1"/>
  <c r="FU77" i="1"/>
  <c r="FU67" i="1"/>
  <c r="FU112" i="1"/>
  <c r="FU62" i="1"/>
  <c r="FU107" i="1"/>
  <c r="FU72" i="1"/>
  <c r="FU102" i="1"/>
  <c r="FU117" i="1"/>
  <c r="FU57" i="1"/>
  <c r="FU137" i="1"/>
  <c r="FU82" i="1"/>
  <c r="FU127" i="1"/>
  <c r="FU92" i="1"/>
  <c r="FU47" i="1"/>
  <c r="FU42" i="1"/>
  <c r="FU32" i="1"/>
  <c r="FU27" i="1"/>
  <c r="FU37" i="1"/>
  <c r="FU22" i="1"/>
  <c r="FD40" i="1"/>
  <c r="FF40" i="1"/>
  <c r="FQ47" i="1" s="1"/>
  <c r="GP19" i="1" s="1"/>
  <c r="FF39" i="1"/>
  <c r="GB112" i="1" l="1"/>
  <c r="HI60" i="1" s="1"/>
  <c r="GB117" i="1"/>
  <c r="HI117" i="1" s="1"/>
  <c r="IW235" i="1"/>
  <c r="IW236" i="1"/>
  <c r="IW246" i="1"/>
  <c r="IW245" i="1"/>
  <c r="IW216" i="1"/>
  <c r="IW215" i="1"/>
  <c r="IW225" i="1"/>
  <c r="IW226" i="1"/>
  <c r="IW256" i="1"/>
  <c r="IW255" i="1"/>
  <c r="IJ45" i="1"/>
  <c r="IF48" i="1"/>
  <c r="IJ265" i="1"/>
  <c r="IJ205" i="1"/>
  <c r="ID8" i="1"/>
  <c r="IF9" i="1"/>
  <c r="IJ125" i="1"/>
  <c r="IJ217" i="1"/>
  <c r="IJ147" i="1"/>
  <c r="IJ215" i="1"/>
  <c r="IJ216" i="1"/>
  <c r="IF247" i="1"/>
  <c r="IF248" i="1" s="1"/>
  <c r="IF249" i="1" s="1"/>
  <c r="IF250" i="1" s="1"/>
  <c r="IJ250" i="1" s="1"/>
  <c r="IF37" i="1"/>
  <c r="IJ167" i="1"/>
  <c r="IJ165" i="1"/>
  <c r="IJ166" i="1"/>
  <c r="HU55" i="1"/>
  <c r="AE81" i="4" s="1"/>
  <c r="FQ52" i="1"/>
  <c r="GQ20" i="1" s="1"/>
  <c r="IF57" i="1"/>
  <c r="IF58" i="1" s="1"/>
  <c r="IJ57" i="1" s="1"/>
  <c r="IJ145" i="1"/>
  <c r="IJ146" i="1"/>
  <c r="IJ127" i="1"/>
  <c r="IJ126" i="1"/>
  <c r="IJ206" i="1"/>
  <c r="IJ7" i="1"/>
  <c r="GB47" i="1"/>
  <c r="HI47" i="1" s="1"/>
  <c r="GB72" i="1"/>
  <c r="HI52" i="1" s="1"/>
  <c r="IJ207" i="1"/>
  <c r="IG264" i="1"/>
  <c r="GB97" i="1"/>
  <c r="HI113" i="1" s="1"/>
  <c r="GB52" i="1"/>
  <c r="HI76" i="1" s="1"/>
  <c r="GB92" i="1"/>
  <c r="HI56" i="1" s="1"/>
  <c r="GB102" i="1"/>
  <c r="HI58" i="1" s="1"/>
  <c r="IW75" i="1"/>
  <c r="IW76" i="1"/>
  <c r="GB62" i="1"/>
  <c r="HI50" i="1" s="1"/>
  <c r="IJ117" i="1"/>
  <c r="IW165" i="1"/>
  <c r="IW166" i="1"/>
  <c r="IW126" i="1"/>
  <c r="IW125" i="1"/>
  <c r="IW185" i="1"/>
  <c r="IW186" i="1"/>
  <c r="IW85" i="1"/>
  <c r="IW86" i="1"/>
  <c r="IW156" i="1"/>
  <c r="IW155" i="1"/>
  <c r="IW135" i="1"/>
  <c r="IW136" i="1"/>
  <c r="IW95" i="1"/>
  <c r="IW96" i="1"/>
  <c r="IW66" i="1"/>
  <c r="IW65" i="1"/>
  <c r="GB87" i="1"/>
  <c r="HI111" i="1" s="1"/>
  <c r="IJ227" i="1"/>
  <c r="IW145" i="1"/>
  <c r="IW146" i="1"/>
  <c r="IW205" i="1"/>
  <c r="IW206" i="1"/>
  <c r="IW266" i="1"/>
  <c r="IW265" i="1"/>
  <c r="IW196" i="1"/>
  <c r="IW195" i="1"/>
  <c r="IW105" i="1"/>
  <c r="IW106" i="1"/>
  <c r="IW176" i="1"/>
  <c r="IW175" i="1"/>
  <c r="IW115" i="1"/>
  <c r="IW116" i="1"/>
  <c r="IJ267" i="1"/>
  <c r="IJ77" i="1"/>
  <c r="IJ177" i="1"/>
  <c r="IJ198" i="1"/>
  <c r="IW46" i="1"/>
  <c r="IW45" i="1"/>
  <c r="IW55" i="1"/>
  <c r="IW56" i="1"/>
  <c r="IK7" i="1"/>
  <c r="IJ176" i="1"/>
  <c r="IJ237" i="1"/>
  <c r="IJ226" i="1"/>
  <c r="IF257" i="1"/>
  <c r="IF258" i="1" s="1"/>
  <c r="IF259" i="1" s="1"/>
  <c r="IF260" i="1" s="1"/>
  <c r="IJ67" i="1"/>
  <c r="IJ218" i="1"/>
  <c r="IJ66" i="1"/>
  <c r="IW36" i="1"/>
  <c r="IW35" i="1"/>
  <c r="IJ116" i="1"/>
  <c r="IJ107" i="1"/>
  <c r="IJ236" i="1"/>
  <c r="IW25" i="1"/>
  <c r="IW26" i="1"/>
  <c r="IJ106" i="1"/>
  <c r="IJ179" i="1"/>
  <c r="IJ180" i="1"/>
  <c r="IJ109" i="1"/>
  <c r="IJ110" i="1"/>
  <c r="IJ229" i="1"/>
  <c r="IJ230" i="1"/>
  <c r="IJ209" i="1"/>
  <c r="IJ210" i="1"/>
  <c r="IJ189" i="1"/>
  <c r="IJ190" i="1"/>
  <c r="IJ219" i="1"/>
  <c r="IJ220" i="1"/>
  <c r="IJ199" i="1"/>
  <c r="IJ200" i="1"/>
  <c r="IJ178" i="1"/>
  <c r="IJ108" i="1"/>
  <c r="IJ228" i="1"/>
  <c r="IJ208" i="1"/>
  <c r="IJ188" i="1"/>
  <c r="IJ119" i="1"/>
  <c r="IJ120" i="1"/>
  <c r="IJ139" i="1"/>
  <c r="IJ140" i="1"/>
  <c r="IJ69" i="1"/>
  <c r="IJ70" i="1"/>
  <c r="IJ239" i="1"/>
  <c r="IJ240" i="1"/>
  <c r="IF170" i="1"/>
  <c r="IJ170" i="1" s="1"/>
  <c r="IJ129" i="1"/>
  <c r="IJ130" i="1"/>
  <c r="IJ149" i="1"/>
  <c r="IJ150" i="1"/>
  <c r="IF99" i="1"/>
  <c r="IF100" i="1" s="1"/>
  <c r="IJ100" i="1" s="1"/>
  <c r="IJ118" i="1"/>
  <c r="IJ138" i="1"/>
  <c r="IJ68" i="1"/>
  <c r="IJ238" i="1"/>
  <c r="IJ168" i="1"/>
  <c r="IJ128" i="1"/>
  <c r="IJ148" i="1"/>
  <c r="IJ266" i="1"/>
  <c r="II6" i="1"/>
  <c r="IK6" i="1" s="1"/>
  <c r="IJ96" i="1"/>
  <c r="IJ97" i="1"/>
  <c r="IJ76" i="1"/>
  <c r="IF79" i="1"/>
  <c r="IF80" i="1" s="1"/>
  <c r="IF88" i="1"/>
  <c r="IJ86" i="1"/>
  <c r="IJ157" i="1"/>
  <c r="IJ255" i="1"/>
  <c r="IJ155" i="1"/>
  <c r="IF27" i="1"/>
  <c r="IF19" i="1"/>
  <c r="FQ122" i="1"/>
  <c r="HE34" i="1" s="1"/>
  <c r="FQ67" i="1"/>
  <c r="GT23" i="1" s="1"/>
  <c r="FQ127" i="1"/>
  <c r="HF35" i="1" s="1"/>
  <c r="FQ77" i="1"/>
  <c r="GV25" i="1" s="1"/>
  <c r="FQ82" i="1"/>
  <c r="GW26" i="1" s="1"/>
  <c r="HI37" i="1"/>
  <c r="FQ107" i="1"/>
  <c r="HB31" i="1" s="1"/>
  <c r="FQ42" i="1"/>
  <c r="GO18" i="1" s="1"/>
  <c r="FQ37" i="1"/>
  <c r="GN17" i="1" s="1"/>
  <c r="HI12" i="1"/>
  <c r="HL12" i="1"/>
  <c r="FQ57" i="1"/>
  <c r="GR21" i="1" s="1"/>
  <c r="HI96" i="1"/>
  <c r="HI40" i="1"/>
  <c r="HI68" i="1"/>
  <c r="FQ17" i="1"/>
  <c r="GJ13" i="1" s="1"/>
  <c r="FQ32" i="1"/>
  <c r="GM16" i="1" s="1"/>
  <c r="FQ22" i="1"/>
  <c r="GK14" i="1" s="1"/>
  <c r="FQ27" i="1"/>
  <c r="GL15" i="1" s="1"/>
  <c r="GB137" i="1"/>
  <c r="FQ132" i="1"/>
  <c r="HG36" i="1" s="1"/>
  <c r="FK17" i="1"/>
  <c r="HI88" i="1" l="1"/>
  <c r="HI116" i="1"/>
  <c r="HI89" i="1"/>
  <c r="HI145" i="1"/>
  <c r="HI61" i="1"/>
  <c r="HI144" i="1"/>
  <c r="IJ248" i="1"/>
  <c r="IJ249" i="1"/>
  <c r="IJ246" i="1"/>
  <c r="JC12" i="1"/>
  <c r="JC11" i="1"/>
  <c r="JT12" i="1" s="1"/>
  <c r="JC258" i="1"/>
  <c r="JC257" i="1"/>
  <c r="JC16" i="1"/>
  <c r="JC17" i="1"/>
  <c r="JC263" i="1"/>
  <c r="JC264" i="1"/>
  <c r="IJ247" i="1"/>
  <c r="IJ47" i="1"/>
  <c r="IF49" i="1"/>
  <c r="IJ48" i="1" s="1"/>
  <c r="IF38" i="1"/>
  <c r="IF39" i="1" s="1"/>
  <c r="IJ26" i="1"/>
  <c r="IG9" i="1"/>
  <c r="II8" i="1" s="1"/>
  <c r="IK8" i="1" s="1"/>
  <c r="IY10" i="1"/>
  <c r="IJ36" i="1"/>
  <c r="IF59" i="1"/>
  <c r="IJ58" i="1" s="1"/>
  <c r="IF10" i="1"/>
  <c r="ID10" i="1" s="1"/>
  <c r="ID9" i="1"/>
  <c r="IG265" i="1"/>
  <c r="II264" i="1" s="1"/>
  <c r="IK264" i="1" s="1"/>
  <c r="JI264" i="1"/>
  <c r="IJ8" i="1"/>
  <c r="HI103" i="1"/>
  <c r="IJ56" i="1"/>
  <c r="HI80" i="1"/>
  <c r="HI131" i="1"/>
  <c r="HI132" i="1"/>
  <c r="HI86" i="1"/>
  <c r="HI136" i="1"/>
  <c r="HI108" i="1"/>
  <c r="HI48" i="1"/>
  <c r="HI104" i="1"/>
  <c r="HI75" i="1"/>
  <c r="HI85" i="1"/>
  <c r="HI141" i="1"/>
  <c r="HI57" i="1"/>
  <c r="HI140" i="1"/>
  <c r="II263" i="1"/>
  <c r="IK263" i="1" s="1"/>
  <c r="IL263" i="1" s="1"/>
  <c r="HI84" i="1"/>
  <c r="HI112" i="1"/>
  <c r="IJ270" i="1"/>
  <c r="IJ268" i="1"/>
  <c r="HI142" i="1"/>
  <c r="HI114" i="1"/>
  <c r="HI139" i="1"/>
  <c r="HI83" i="1"/>
  <c r="HI134" i="1"/>
  <c r="HI55" i="1"/>
  <c r="HI78" i="1"/>
  <c r="HI106" i="1"/>
  <c r="IJ169" i="1"/>
  <c r="IJ257" i="1"/>
  <c r="IJ256" i="1"/>
  <c r="IJ99" i="1"/>
  <c r="IJ258" i="1"/>
  <c r="IJ259" i="1"/>
  <c r="IJ260" i="1"/>
  <c r="IJ98" i="1"/>
  <c r="GB122" i="1"/>
  <c r="HI118" i="1" s="1"/>
  <c r="IF89" i="1"/>
  <c r="IF90" i="1" s="1"/>
  <c r="IJ79" i="1"/>
  <c r="IJ80" i="1"/>
  <c r="IJ78" i="1"/>
  <c r="IJ87" i="1"/>
  <c r="IF28" i="1"/>
  <c r="IJ27" i="1" s="1"/>
  <c r="IF20" i="1"/>
  <c r="IJ19" i="1" s="1"/>
  <c r="IJ18" i="1"/>
  <c r="GB67" i="1"/>
  <c r="GB127" i="1"/>
  <c r="HI91" i="1" s="1"/>
  <c r="GB77" i="1"/>
  <c r="HI137" i="1" s="1"/>
  <c r="GB42" i="1"/>
  <c r="HI102" i="1" s="1"/>
  <c r="GB82" i="1"/>
  <c r="HI110" i="1" s="1"/>
  <c r="GB107" i="1"/>
  <c r="HI143" i="1" s="1"/>
  <c r="GB32" i="1"/>
  <c r="HI128" i="1" s="1"/>
  <c r="GB132" i="1"/>
  <c r="HI120" i="1" s="1"/>
  <c r="GB37" i="1"/>
  <c r="HI129" i="1" s="1"/>
  <c r="GB57" i="1"/>
  <c r="HI49" i="1" s="1"/>
  <c r="GB22" i="1"/>
  <c r="HI70" i="1" s="1"/>
  <c r="GI125" i="1" a="1"/>
  <c r="GJ129" i="1" s="1"/>
  <c r="HI121" i="1"/>
  <c r="HI149" i="1"/>
  <c r="HI65" i="1"/>
  <c r="HI93" i="1"/>
  <c r="GH13" i="1"/>
  <c r="GH96" i="1" s="1" a="1"/>
  <c r="GB17" i="1"/>
  <c r="GI41" i="1" a="1"/>
  <c r="GK48" i="1" s="1"/>
  <c r="GB27" i="1"/>
  <c r="IG10" i="1" l="1"/>
  <c r="II10" i="1" s="1"/>
  <c r="IJ38" i="1"/>
  <c r="IF50" i="1"/>
  <c r="IJ50" i="1" s="1"/>
  <c r="IJ37" i="1"/>
  <c r="IF40" i="1"/>
  <c r="IJ40" i="1" s="1"/>
  <c r="IF60" i="1"/>
  <c r="IJ60" i="1" s="1"/>
  <c r="IJ10" i="1"/>
  <c r="IJ9" i="1"/>
  <c r="IG266" i="1"/>
  <c r="II265" i="1" s="1"/>
  <c r="IK265" i="1" s="1"/>
  <c r="IJ59" i="1"/>
  <c r="IO263" i="1"/>
  <c r="IN263" i="1"/>
  <c r="IL264" i="1"/>
  <c r="IQ263" i="1"/>
  <c r="IP263" i="1"/>
  <c r="IM263" i="1"/>
  <c r="IJ269" i="1"/>
  <c r="HI62" i="1"/>
  <c r="HI146" i="1"/>
  <c r="HI90" i="1"/>
  <c r="IJ89" i="1"/>
  <c r="IJ90" i="1"/>
  <c r="IJ88" i="1"/>
  <c r="IJ20" i="1"/>
  <c r="IF29" i="1"/>
  <c r="HI135" i="1"/>
  <c r="HI107" i="1"/>
  <c r="HI51" i="1"/>
  <c r="HI79" i="1"/>
  <c r="HI63" i="1"/>
  <c r="HI119" i="1"/>
  <c r="HI147" i="1"/>
  <c r="HI81" i="1"/>
  <c r="HI109" i="1"/>
  <c r="HI53" i="1"/>
  <c r="HI46" i="1"/>
  <c r="HI130" i="1"/>
  <c r="HI74" i="1"/>
  <c r="HI138" i="1"/>
  <c r="HI82" i="1"/>
  <c r="HI54" i="1"/>
  <c r="HI115" i="1"/>
  <c r="HI59" i="1"/>
  <c r="HI87" i="1"/>
  <c r="HI100" i="1"/>
  <c r="HI73" i="1"/>
  <c r="HI72" i="1"/>
  <c r="HI44" i="1"/>
  <c r="HI148" i="1"/>
  <c r="HI92" i="1"/>
  <c r="HI64" i="1"/>
  <c r="HI77" i="1"/>
  <c r="HI101" i="1"/>
  <c r="HI45" i="1"/>
  <c r="HI105" i="1"/>
  <c r="HI133" i="1"/>
  <c r="HI126" i="1"/>
  <c r="HI98" i="1"/>
  <c r="HI42" i="1"/>
  <c r="GM133" i="1"/>
  <c r="GU135" i="1"/>
  <c r="GV132" i="1"/>
  <c r="GT139" i="1"/>
  <c r="GT134" i="1"/>
  <c r="GK126" i="1"/>
  <c r="HF143" i="1"/>
  <c r="HC133" i="1"/>
  <c r="GN131" i="1"/>
  <c r="GS148" i="1"/>
  <c r="HB129" i="1"/>
  <c r="HD136" i="1"/>
  <c r="GR132" i="1"/>
  <c r="GO127" i="1"/>
  <c r="GI128" i="1"/>
  <c r="GL133" i="1"/>
  <c r="GX139" i="1"/>
  <c r="GK144" i="1"/>
  <c r="GW148" i="1"/>
  <c r="GI130" i="1"/>
  <c r="GJ136" i="1"/>
  <c r="GW131" i="1"/>
  <c r="GT126" i="1"/>
  <c r="GK129" i="1"/>
  <c r="GN134" i="1"/>
  <c r="GS140" i="1"/>
  <c r="HE144" i="1"/>
  <c r="GR149" i="1"/>
  <c r="GJ131" i="1"/>
  <c r="HE135" i="1"/>
  <c r="GS131" i="1"/>
  <c r="GP126" i="1"/>
  <c r="GP129" i="1"/>
  <c r="GS134" i="1"/>
  <c r="GW140" i="1"/>
  <c r="GJ145" i="1"/>
  <c r="GV149" i="1"/>
  <c r="GP131" i="1"/>
  <c r="HE145" i="1"/>
  <c r="HA149" i="1"/>
  <c r="GR137" i="1"/>
  <c r="HF141" i="1"/>
  <c r="GU140" i="1"/>
  <c r="HC147" i="1"/>
  <c r="GL144" i="1"/>
  <c r="HD139" i="1"/>
  <c r="HG134" i="1"/>
  <c r="GQ128" i="1"/>
  <c r="GI148" i="1"/>
  <c r="HA143" i="1"/>
  <c r="GJ140" i="1"/>
  <c r="HE134" i="1"/>
  <c r="GS132" i="1"/>
  <c r="GN148" i="1"/>
  <c r="HG141" i="1"/>
  <c r="GM135" i="1"/>
  <c r="GP148" i="1"/>
  <c r="GW143" i="1"/>
  <c r="GK139" i="1"/>
  <c r="GP133" i="1"/>
  <c r="HE131" i="1"/>
  <c r="GZ128" i="1"/>
  <c r="GX130" i="1"/>
  <c r="HG129" i="1"/>
  <c r="HC127" i="1"/>
  <c r="GK132" i="1"/>
  <c r="GQ136" i="1"/>
  <c r="HA140" i="1"/>
  <c r="GW144" i="1"/>
  <c r="GZ149" i="1"/>
  <c r="GY130" i="1"/>
  <c r="GW135" i="1"/>
  <c r="GT130" i="1"/>
  <c r="GX126" i="1"/>
  <c r="HE128" i="1"/>
  <c r="GZ135" i="1"/>
  <c r="HE140" i="1"/>
  <c r="HA144" i="1"/>
  <c r="HD149" i="1"/>
  <c r="HD130" i="1"/>
  <c r="HB134" i="1"/>
  <c r="GY129" i="1"/>
  <c r="HC125" i="1"/>
  <c r="HF129" i="1"/>
  <c r="HB136" i="1"/>
  <c r="GZ141" i="1"/>
  <c r="GV145" i="1"/>
  <c r="HF125" i="1"/>
  <c r="HF131" i="1"/>
  <c r="GX134" i="1"/>
  <c r="GU129" i="1"/>
  <c r="GY125" i="1"/>
  <c r="GM130" i="1"/>
  <c r="HG136" i="1"/>
  <c r="HD141" i="1"/>
  <c r="GZ145" i="1"/>
  <c r="GM126" i="1"/>
  <c r="GL132" i="1"/>
  <c r="GY143" i="1"/>
  <c r="HD148" i="1"/>
  <c r="HC135" i="1"/>
  <c r="GV138" i="1"/>
  <c r="GR139" i="1"/>
  <c r="GV147" i="1"/>
  <c r="GO143" i="1"/>
  <c r="GW139" i="1"/>
  <c r="GO134" i="1"/>
  <c r="GL127" i="1"/>
  <c r="GU147" i="1"/>
  <c r="GU143" i="1"/>
  <c r="GN139" i="1"/>
  <c r="GV134" i="1"/>
  <c r="HC131" i="1"/>
  <c r="GZ147" i="1"/>
  <c r="HA141" i="1"/>
  <c r="HC134" i="1"/>
  <c r="HD147" i="1"/>
  <c r="GR143" i="1"/>
  <c r="HE138" i="1"/>
  <c r="HB132" i="1"/>
  <c r="HB126" i="1"/>
  <c r="GL126" i="1"/>
  <c r="GJ128" i="1"/>
  <c r="GU125" i="1"/>
  <c r="GY128" i="1"/>
  <c r="HF132" i="1"/>
  <c r="GJ138" i="1"/>
  <c r="GR141" i="1"/>
  <c r="GU146" i="1"/>
  <c r="GR126" i="1"/>
  <c r="GU131" i="1"/>
  <c r="GP134" i="1"/>
  <c r="HC129" i="1"/>
  <c r="GQ125" i="1"/>
  <c r="GT131" i="1"/>
  <c r="GW136" i="1"/>
  <c r="GV141" i="1"/>
  <c r="GY146" i="1"/>
  <c r="GW126" i="1"/>
  <c r="GZ131" i="1"/>
  <c r="GU133" i="1"/>
  <c r="GI129" i="1"/>
  <c r="GZ125" i="1"/>
  <c r="GU132" i="1"/>
  <c r="GX137" i="1"/>
  <c r="GQ142" i="1"/>
  <c r="GT147" i="1"/>
  <c r="GY127" i="1"/>
  <c r="GT138" i="1"/>
  <c r="GQ133" i="1"/>
  <c r="HD128" i="1"/>
  <c r="HE125" i="1"/>
  <c r="HA132" i="1"/>
  <c r="HD137" i="1"/>
  <c r="GU142" i="1"/>
  <c r="GX147" i="1"/>
  <c r="HD127" i="1"/>
  <c r="HF149" i="1"/>
  <c r="GJ139" i="1"/>
  <c r="GU144" i="1"/>
  <c r="GY148" i="1"/>
  <c r="GT148" i="1"/>
  <c r="GY149" i="1"/>
  <c r="GK146" i="1"/>
  <c r="HC141" i="1"/>
  <c r="GI138" i="1"/>
  <c r="GO132" i="1"/>
  <c r="GS149" i="1"/>
  <c r="GJ146" i="1"/>
  <c r="HB141" i="1"/>
  <c r="GV137" i="1"/>
  <c r="HG130" i="1"/>
  <c r="GN126" i="1"/>
  <c r="GL145" i="1"/>
  <c r="GM139" i="1"/>
  <c r="GO130" i="1"/>
  <c r="HF145" i="1"/>
  <c r="GT141" i="1"/>
  <c r="GM136" i="1"/>
  <c r="GJ125" i="1"/>
  <c r="GU126" i="1"/>
  <c r="GM128" i="1"/>
  <c r="HE129" i="1"/>
  <c r="GX131" i="1"/>
  <c r="GJ133" i="1"/>
  <c r="GM134" i="1"/>
  <c r="GQ135" i="1"/>
  <c r="GT136" i="1"/>
  <c r="GW137" i="1"/>
  <c r="GZ138" i="1"/>
  <c r="GV139" i="1"/>
  <c r="GR140" i="1"/>
  <c r="GO141" i="1"/>
  <c r="GK142" i="1"/>
  <c r="HF142" i="1"/>
  <c r="HC143" i="1"/>
  <c r="GY144" i="1"/>
  <c r="GU145" i="1"/>
  <c r="GR146" i="1"/>
  <c r="GN147" i="1"/>
  <c r="GJ148" i="1"/>
  <c r="GO126" i="1"/>
  <c r="GW128" i="1"/>
  <c r="HE130" i="1"/>
  <c r="HE132" i="1"/>
  <c r="GR134" i="1"/>
  <c r="HG135" i="1"/>
  <c r="GT137" i="1"/>
  <c r="HD138" i="1"/>
  <c r="GI140" i="1"/>
  <c r="GL141" i="1"/>
  <c r="GO142" i="1"/>
  <c r="GS143" i="1"/>
  <c r="GV144" i="1"/>
  <c r="GY145" i="1"/>
  <c r="HD146" i="1"/>
  <c r="HG147" i="1"/>
  <c r="HF148" i="1"/>
  <c r="HB149" i="1"/>
  <c r="GZ126" i="1"/>
  <c r="HG128" i="1"/>
  <c r="GQ131" i="1"/>
  <c r="HD125" i="1"/>
  <c r="GL128" i="1"/>
  <c r="GU130" i="1"/>
  <c r="GX132" i="1"/>
  <c r="GK134" i="1"/>
  <c r="GY135" i="1"/>
  <c r="GL137" i="1"/>
  <c r="GX138" i="1"/>
  <c r="HC139" i="1"/>
  <c r="HF140" i="1"/>
  <c r="GJ142" i="1"/>
  <c r="GN143" i="1"/>
  <c r="GQ144" i="1"/>
  <c r="GT145" i="1"/>
  <c r="GX146" i="1"/>
  <c r="HA147" i="1"/>
  <c r="HB148" i="1"/>
  <c r="GX149" i="1"/>
  <c r="GY126" i="1"/>
  <c r="HC128" i="1"/>
  <c r="GL131" i="1"/>
  <c r="GK133" i="1"/>
  <c r="GW134" i="1"/>
  <c r="GK136" i="1"/>
  <c r="GZ137" i="1"/>
  <c r="GI139" i="1"/>
  <c r="GL140" i="1"/>
  <c r="GP141" i="1"/>
  <c r="GS142" i="1"/>
  <c r="GV143" i="1"/>
  <c r="GZ144" i="1"/>
  <c r="HC145" i="1"/>
  <c r="HF146" i="1"/>
  <c r="GL148" i="1"/>
  <c r="GI149" i="1"/>
  <c r="HE149" i="1"/>
  <c r="GK138" i="1"/>
  <c r="HB142" i="1"/>
  <c r="GQ147" i="1"/>
  <c r="GT135" i="1"/>
  <c r="HB140" i="1"/>
  <c r="GQ145" i="1"/>
  <c r="GN125" i="1"/>
  <c r="GQ127" i="1"/>
  <c r="GT129" i="1"/>
  <c r="GI132" i="1"/>
  <c r="GX133" i="1"/>
  <c r="GI135" i="1"/>
  <c r="HA136" i="1"/>
  <c r="GM138" i="1"/>
  <c r="GQ139" i="1"/>
  <c r="GX140" i="1"/>
  <c r="GY141" i="1"/>
  <c r="HA142" i="1"/>
  <c r="GI144" i="1"/>
  <c r="GK145" i="1"/>
  <c r="GL146" i="1"/>
  <c r="GS147" i="1"/>
  <c r="GL125" i="1"/>
  <c r="HG127" i="1"/>
  <c r="GR131" i="1"/>
  <c r="GZ133" i="1"/>
  <c r="GV135" i="1"/>
  <c r="HB137" i="1"/>
  <c r="GS139" i="1"/>
  <c r="HD140" i="1"/>
  <c r="GW142" i="1"/>
  <c r="HG143" i="1"/>
  <c r="GS145" i="1"/>
  <c r="GK147" i="1"/>
  <c r="GU148" i="1"/>
  <c r="GW149" i="1"/>
  <c r="GP127" i="1"/>
  <c r="GK130" i="1"/>
  <c r="GR125" i="1"/>
  <c r="HB128" i="1"/>
  <c r="GV131" i="1"/>
  <c r="HA133" i="1"/>
  <c r="GI136" i="1"/>
  <c r="HF137" i="1"/>
  <c r="GU139" i="1"/>
  <c r="GM141" i="1"/>
  <c r="GX142" i="1"/>
  <c r="GJ144" i="1"/>
  <c r="HB145" i="1"/>
  <c r="GM147" i="1"/>
  <c r="GV148" i="1"/>
  <c r="HC149" i="1"/>
  <c r="GZ127" i="1"/>
  <c r="GV130" i="1"/>
  <c r="GT133" i="1"/>
  <c r="GR135" i="1"/>
  <c r="GO137" i="1"/>
  <c r="GO139" i="1"/>
  <c r="GZ140" i="1"/>
  <c r="GL142" i="1"/>
  <c r="HD143" i="1"/>
  <c r="GO145" i="1"/>
  <c r="GZ146" i="1"/>
  <c r="GR148" i="1"/>
  <c r="GT149" i="1"/>
  <c r="GX136" i="1"/>
  <c r="HE143" i="1"/>
  <c r="GP149" i="1"/>
  <c r="GY139" i="1"/>
  <c r="GT146" i="1"/>
  <c r="HC132" i="1"/>
  <c r="HB138" i="1"/>
  <c r="GQ143" i="1"/>
  <c r="HE147" i="1"/>
  <c r="GZ134" i="1"/>
  <c r="GN140" i="1"/>
  <c r="HB144" i="1"/>
  <c r="GK149" i="1"/>
  <c r="GS130" i="1"/>
  <c r="GI127" i="1"/>
  <c r="HE148" i="1"/>
  <c r="GQ146" i="1"/>
  <c r="HB143" i="1"/>
  <c r="GN141" i="1"/>
  <c r="GY138" i="1"/>
  <c r="GP135" i="1"/>
  <c r="HD131" i="1"/>
  <c r="GT128" i="1"/>
  <c r="GI125" i="1"/>
  <c r="GW127" i="1"/>
  <c r="GL130" i="1"/>
  <c r="GZ132" i="1"/>
  <c r="GO135" i="1"/>
  <c r="HC137" i="1"/>
  <c r="GN130" i="1"/>
  <c r="HC126" i="1"/>
  <c r="HA148" i="1"/>
  <c r="GM146" i="1"/>
  <c r="GX143" i="1"/>
  <c r="GJ141" i="1"/>
  <c r="GU138" i="1"/>
  <c r="GJ135" i="1"/>
  <c r="GY131" i="1"/>
  <c r="GO128" i="1"/>
  <c r="GM125" i="1"/>
  <c r="HA127" i="1"/>
  <c r="GP130" i="1"/>
  <c r="HD132" i="1"/>
  <c r="GS135" i="1"/>
  <c r="HG137" i="1"/>
  <c r="GL129" i="1"/>
  <c r="HA125" i="1"/>
  <c r="HF147" i="1"/>
  <c r="GR145" i="1"/>
  <c r="HC142" i="1"/>
  <c r="GO140" i="1"/>
  <c r="GS137" i="1"/>
  <c r="GI134" i="1"/>
  <c r="GW130" i="1"/>
  <c r="GM127" i="1"/>
  <c r="HG125" i="1"/>
  <c r="GV128" i="1"/>
  <c r="GK131" i="1"/>
  <c r="GY133" i="1"/>
  <c r="GN136" i="1"/>
  <c r="GQ132" i="1"/>
  <c r="HF128" i="1"/>
  <c r="GV125" i="1"/>
  <c r="HB147" i="1"/>
  <c r="GN145" i="1"/>
  <c r="GY142" i="1"/>
  <c r="GK140" i="1"/>
  <c r="GN137" i="1"/>
  <c r="HB133" i="1"/>
  <c r="GR130" i="1"/>
  <c r="HG126" i="1"/>
  <c r="GS127" i="1"/>
  <c r="GY137" i="1"/>
  <c r="HA135" i="1"/>
  <c r="GO131" i="1"/>
  <c r="GQ129" i="1"/>
  <c r="GX125" i="1"/>
  <c r="HB127" i="1"/>
  <c r="GQ130" i="1"/>
  <c r="GT132" i="1"/>
  <c r="HE133" i="1"/>
  <c r="GX135" i="1"/>
  <c r="GJ137" i="1"/>
  <c r="GS138" i="1"/>
  <c r="HA139" i="1"/>
  <c r="HC140" i="1"/>
  <c r="HE141" i="1"/>
  <c r="GM143" i="1"/>
  <c r="GN144" i="1"/>
  <c r="GP145" i="1"/>
  <c r="GW146" i="1"/>
  <c r="GY147" i="1"/>
  <c r="HB125" i="1"/>
  <c r="GN129" i="1"/>
  <c r="HG131" i="1"/>
  <c r="GJ134" i="1"/>
  <c r="GP136" i="1"/>
  <c r="GN138" i="1"/>
  <c r="GZ139" i="1"/>
  <c r="GS141" i="1"/>
  <c r="HD142" i="1"/>
  <c r="GP144" i="1"/>
  <c r="HG145" i="1"/>
  <c r="GR147" i="1"/>
  <c r="GZ148" i="1"/>
  <c r="HG149" i="1"/>
  <c r="HF127" i="1"/>
  <c r="GZ130" i="1"/>
  <c r="GS126" i="1"/>
  <c r="GO129" i="1"/>
  <c r="GM132" i="1"/>
  <c r="GJ126" i="1"/>
  <c r="HA130" i="1"/>
  <c r="GU134" i="1"/>
  <c r="GP137" i="1"/>
  <c r="HG139" i="1"/>
  <c r="GP142" i="1"/>
  <c r="GT144" i="1"/>
  <c r="HB146" i="1"/>
  <c r="HD126" i="1"/>
  <c r="GW132" i="1"/>
  <c r="GY136" i="1"/>
  <c r="GP140" i="1"/>
  <c r="GK143" i="1"/>
  <c r="GO146" i="1"/>
  <c r="GL149" i="1"/>
  <c r="GS128" i="1"/>
  <c r="GJ127" i="1"/>
  <c r="HG132" i="1"/>
  <c r="GN135" i="1"/>
  <c r="GQ138" i="1"/>
  <c r="GQ140" i="1"/>
  <c r="GR142" i="1"/>
  <c r="GX144" i="1"/>
  <c r="GP146" i="1"/>
  <c r="GQ148" i="1"/>
  <c r="GS125" i="1"/>
  <c r="GS129" i="1"/>
  <c r="GY132" i="1"/>
  <c r="HB135" i="1"/>
  <c r="GR138" i="1"/>
  <c r="GT140" i="1"/>
  <c r="GZ142" i="1"/>
  <c r="GR144" i="1"/>
  <c r="GS146" i="1"/>
  <c r="GX148" i="1"/>
  <c r="GV133" i="1"/>
  <c r="GX141" i="1"/>
  <c r="HF133" i="1"/>
  <c r="GJ143" i="1"/>
  <c r="GU149" i="1"/>
  <c r="HE139" i="1"/>
  <c r="GX145" i="1"/>
  <c r="GN133" i="1"/>
  <c r="GQ141" i="1"/>
  <c r="HE126" i="1"/>
  <c r="GM131" i="1"/>
  <c r="HA134" i="1"/>
  <c r="HE137" i="1"/>
  <c r="GM140" i="1"/>
  <c r="GV142" i="1"/>
  <c r="HD144" i="1"/>
  <c r="GI147" i="1"/>
  <c r="GU127" i="1"/>
  <c r="GO133" i="1"/>
  <c r="GK137" i="1"/>
  <c r="GV140" i="1"/>
  <c r="GZ143" i="1"/>
  <c r="GV146" i="1"/>
  <c r="GQ149" i="1"/>
  <c r="GX129" i="1"/>
  <c r="GV127" i="1"/>
  <c r="GS133" i="1"/>
  <c r="GS136" i="1"/>
  <c r="HF138" i="1"/>
  <c r="GY140" i="1"/>
  <c r="HE142" i="1"/>
  <c r="HF144" i="1"/>
  <c r="HE146" i="1"/>
  <c r="HG148" i="1"/>
  <c r="GI126" i="1"/>
  <c r="GJ130" i="1"/>
  <c r="HD133" i="1"/>
  <c r="GU136" i="1"/>
  <c r="HA138" i="1"/>
  <c r="HG140" i="1"/>
  <c r="GI143" i="1"/>
  <c r="HG144" i="1"/>
  <c r="GO147" i="1"/>
  <c r="HC148" i="1"/>
  <c r="GL135" i="1"/>
  <c r="GI145" i="1"/>
  <c r="HF136" i="1"/>
  <c r="GM144" i="1"/>
  <c r="GQ134" i="1"/>
  <c r="GK141" i="1"/>
  <c r="HA146" i="1"/>
  <c r="GO136" i="1"/>
  <c r="GT142" i="1"/>
  <c r="GM148" i="1"/>
  <c r="GW129" i="1"/>
  <c r="GP125" i="1"/>
  <c r="HG146" i="1"/>
  <c r="GL143" i="1"/>
  <c r="HF139" i="1"/>
  <c r="GL136" i="1"/>
  <c r="GI131" i="1"/>
  <c r="HA126" i="1"/>
  <c r="HF126" i="1"/>
  <c r="HB130" i="1"/>
  <c r="HG133" i="1"/>
  <c r="GM137" i="1"/>
  <c r="GR129" i="1"/>
  <c r="GK125" i="1"/>
  <c r="HC146" i="1"/>
  <c r="HG142" i="1"/>
  <c r="HB139" i="1"/>
  <c r="HF135" i="1"/>
  <c r="HC130" i="1"/>
  <c r="GV126" i="1"/>
  <c r="GK127" i="1"/>
  <c r="HF130" i="1"/>
  <c r="GL134" i="1"/>
  <c r="GQ137" i="1"/>
  <c r="GP128" i="1"/>
  <c r="GN149" i="1"/>
  <c r="GI146" i="1"/>
  <c r="GM142" i="1"/>
  <c r="HG138" i="1"/>
  <c r="HD134" i="1"/>
  <c r="HA129" i="1"/>
  <c r="GT125" i="1"/>
  <c r="HE127" i="1"/>
  <c r="HA131" i="1"/>
  <c r="HF134" i="1"/>
  <c r="GL138" i="1"/>
  <c r="GK128" i="1"/>
  <c r="GJ149" i="1"/>
  <c r="HD145" i="1"/>
  <c r="GI142" i="1"/>
  <c r="GI137" i="1"/>
  <c r="GR136" i="1"/>
  <c r="GP138" i="1"/>
  <c r="GK135" i="1"/>
  <c r="GO125" i="1"/>
  <c r="GV129" i="1"/>
  <c r="GY134" i="1"/>
  <c r="HC138" i="1"/>
  <c r="GP143" i="1"/>
  <c r="GL147" i="1"/>
  <c r="GN127" i="1"/>
  <c r="GU137" i="1"/>
  <c r="GI133" i="1"/>
  <c r="GM129" i="1"/>
  <c r="GQ126" i="1"/>
  <c r="GP132" i="1"/>
  <c r="GO138" i="1"/>
  <c r="GT143" i="1"/>
  <c r="GP147" i="1"/>
  <c r="GT127" i="1"/>
  <c r="GZ136" i="1"/>
  <c r="GN132" i="1"/>
  <c r="GR128" i="1"/>
  <c r="GR127" i="1"/>
  <c r="GR133" i="1"/>
  <c r="GL139" i="1"/>
  <c r="GO144" i="1"/>
  <c r="GK148" i="1"/>
  <c r="GU128" i="1"/>
  <c r="GV136" i="1"/>
  <c r="GJ132" i="1"/>
  <c r="GN128" i="1"/>
  <c r="GX127" i="1"/>
  <c r="GW133" i="1"/>
  <c r="GP139" i="1"/>
  <c r="GS144" i="1"/>
  <c r="GO148" i="1"/>
  <c r="HA128" i="1"/>
  <c r="GJ147" i="1"/>
  <c r="HA137" i="1"/>
  <c r="GN142" i="1"/>
  <c r="GW147" i="1"/>
  <c r="GN146" i="1"/>
  <c r="GO149" i="1"/>
  <c r="GW145" i="1"/>
  <c r="GW141" i="1"/>
  <c r="HE136" i="1"/>
  <c r="HB131" i="1"/>
  <c r="GM149" i="1"/>
  <c r="GM145" i="1"/>
  <c r="GU141" i="1"/>
  <c r="HC136" i="1"/>
  <c r="HD129" i="1"/>
  <c r="GW125" i="1"/>
  <c r="HC144" i="1"/>
  <c r="GW138" i="1"/>
  <c r="GZ129" i="1"/>
  <c r="HA145" i="1"/>
  <c r="GI141" i="1"/>
  <c r="HD135" i="1"/>
  <c r="GX128" i="1"/>
  <c r="HI99" i="1"/>
  <c r="HI127" i="1"/>
  <c r="HI97" i="1"/>
  <c r="HI125" i="1"/>
  <c r="GH96" i="1"/>
  <c r="GM96" i="1"/>
  <c r="GR97" i="1"/>
  <c r="GU98" i="1"/>
  <c r="GX99" i="1"/>
  <c r="GY100" i="1"/>
  <c r="GO101" i="1"/>
  <c r="HD101" i="1"/>
  <c r="GR102" i="1"/>
  <c r="GH103" i="1"/>
  <c r="GV103" i="1"/>
  <c r="GK104" i="1"/>
  <c r="GY104" i="1"/>
  <c r="GO105" i="1"/>
  <c r="HB105" i="1"/>
  <c r="GR106" i="1"/>
  <c r="GH107" i="1"/>
  <c r="GU107" i="1"/>
  <c r="GK108" i="1"/>
  <c r="GY108" i="1"/>
  <c r="GN109" i="1"/>
  <c r="HA109" i="1"/>
  <c r="GM110" i="1"/>
  <c r="GW110" i="1"/>
  <c r="GI111" i="1"/>
  <c r="GT111" i="1"/>
  <c r="HD111" i="1"/>
  <c r="GP112" i="1"/>
  <c r="HA112" i="1"/>
  <c r="GK113" i="1"/>
  <c r="GS113" i="1"/>
  <c r="HA113" i="1"/>
  <c r="GJ114" i="1"/>
  <c r="GR114" i="1"/>
  <c r="GZ114" i="1"/>
  <c r="GI115" i="1"/>
  <c r="GQ115" i="1"/>
  <c r="GY115" i="1"/>
  <c r="GH116" i="1"/>
  <c r="GP116" i="1"/>
  <c r="GV116" i="1"/>
  <c r="HD116" i="1"/>
  <c r="GU117" i="1"/>
  <c r="GL118" i="1"/>
  <c r="HB118" i="1"/>
  <c r="GS119" i="1"/>
  <c r="GJ120" i="1"/>
  <c r="GZ120" i="1"/>
  <c r="GU96" i="1"/>
  <c r="GX97" i="1"/>
  <c r="HA98" i="1"/>
  <c r="HF99" i="1"/>
  <c r="HB100" i="1"/>
  <c r="GP101" i="1"/>
  <c r="HE101" i="1"/>
  <c r="GU102" i="1"/>
  <c r="GI103" i="1"/>
  <c r="GX103" i="1"/>
  <c r="GM104" i="1"/>
  <c r="HA104" i="1"/>
  <c r="GP105" i="1"/>
  <c r="HE105" i="1"/>
  <c r="GS106" i="1"/>
  <c r="GI107" i="1"/>
  <c r="GX107" i="1"/>
  <c r="GL108" i="1"/>
  <c r="HA108" i="1"/>
  <c r="GP109" i="1"/>
  <c r="HB109" i="1"/>
  <c r="GN110" i="1"/>
  <c r="GY110" i="1"/>
  <c r="GJ111" i="1"/>
  <c r="GU111" i="1"/>
  <c r="HF111" i="1"/>
  <c r="GQ112" i="1"/>
  <c r="HB112" i="1"/>
  <c r="GL113" i="1"/>
  <c r="GT113" i="1"/>
  <c r="HB113" i="1"/>
  <c r="GK114" i="1"/>
  <c r="GS114" i="1"/>
  <c r="HA114" i="1"/>
  <c r="GJ115" i="1"/>
  <c r="GR115" i="1"/>
  <c r="GZ115" i="1"/>
  <c r="GI116" i="1"/>
  <c r="HE97" i="1"/>
  <c r="GM100" i="1"/>
  <c r="GV101" i="1"/>
  <c r="GZ102" i="1"/>
  <c r="HC103" i="1"/>
  <c r="HF104" i="1"/>
  <c r="GK106" i="1"/>
  <c r="GN107" i="1"/>
  <c r="GQ108" i="1"/>
  <c r="GV109" i="1"/>
  <c r="GR110" i="1"/>
  <c r="GN111" i="1"/>
  <c r="GK112" i="1"/>
  <c r="HF112" i="1"/>
  <c r="GW113" i="1"/>
  <c r="GN114" i="1"/>
  <c r="HD114" i="1"/>
  <c r="GU115" i="1"/>
  <c r="GL116" i="1"/>
  <c r="GU116" i="1"/>
  <c r="GI117" i="1"/>
  <c r="HC117" i="1"/>
  <c r="GX118" i="1"/>
  <c r="GW119" i="1"/>
  <c r="GR120" i="1"/>
  <c r="GN98" i="1"/>
  <c r="GT100" i="1"/>
  <c r="GX101" i="1"/>
  <c r="HA102" i="1"/>
  <c r="HD103" i="1"/>
  <c r="GJ105" i="1"/>
  <c r="GM106" i="1"/>
  <c r="GP107" i="1"/>
  <c r="GT108" i="1"/>
  <c r="GW109" i="1"/>
  <c r="GS110" i="1"/>
  <c r="GP111" i="1"/>
  <c r="GL112" i="1"/>
  <c r="GH113" i="1"/>
  <c r="GX113" i="1"/>
  <c r="GO114" i="1"/>
  <c r="HE114" i="1"/>
  <c r="GV115" i="1"/>
  <c r="GM116" i="1"/>
  <c r="GY116" i="1"/>
  <c r="GM117" i="1"/>
  <c r="GH118" i="1"/>
  <c r="HF118" i="1"/>
  <c r="HA119" i="1"/>
  <c r="GV120" i="1"/>
  <c r="HB96" i="1"/>
  <c r="GJ99" i="1"/>
  <c r="GH101" i="1"/>
  <c r="GK102" i="1"/>
  <c r="GN103" i="1"/>
  <c r="GS104" i="1"/>
  <c r="GV105" i="1"/>
  <c r="GY106" i="1"/>
  <c r="HC107" i="1"/>
  <c r="HF108" i="1"/>
  <c r="HF109" i="1"/>
  <c r="HC110" i="1"/>
  <c r="GY111" i="1"/>
  <c r="GU112" i="1"/>
  <c r="GO113" i="1"/>
  <c r="HE113" i="1"/>
  <c r="GV114" i="1"/>
  <c r="GM115" i="1"/>
  <c r="HC115" i="1"/>
  <c r="GQ116" i="1"/>
  <c r="GZ116" i="1"/>
  <c r="GQ117" i="1"/>
  <c r="GP118" i="1"/>
  <c r="GK119" i="1"/>
  <c r="HE119" i="1"/>
  <c r="HD120" i="1"/>
  <c r="GJ97" i="1"/>
  <c r="GQ99" i="1"/>
  <c r="GJ101" i="1"/>
  <c r="GM102" i="1"/>
  <c r="GQ103" i="1"/>
  <c r="GT104" i="1"/>
  <c r="GW105" i="1"/>
  <c r="HA106" i="1"/>
  <c r="HD107" i="1"/>
  <c r="GH109" i="1"/>
  <c r="GI110" i="1"/>
  <c r="HD110" i="1"/>
  <c r="GZ111" i="1"/>
  <c r="GW112" i="1"/>
  <c r="GP113" i="1"/>
  <c r="HF113" i="1"/>
  <c r="GW114" i="1"/>
  <c r="GN115" i="1"/>
  <c r="HD115" i="1"/>
  <c r="GR116" i="1"/>
  <c r="HC116" i="1"/>
  <c r="GY117" i="1"/>
  <c r="GT118" i="1"/>
  <c r="GO119" i="1"/>
  <c r="GN120" i="1"/>
  <c r="GQ120" i="1"/>
  <c r="GZ119" i="1"/>
  <c r="GJ119" i="1"/>
  <c r="GS118" i="1"/>
  <c r="HB117" i="1"/>
  <c r="GL117" i="1"/>
  <c r="GX120" i="1"/>
  <c r="GH120" i="1"/>
  <c r="GQ119" i="1"/>
  <c r="GZ118" i="1"/>
  <c r="GJ118" i="1"/>
  <c r="GS117" i="1"/>
  <c r="HB116" i="1"/>
  <c r="GL100" i="1"/>
  <c r="GH99" i="1"/>
  <c r="HD97" i="1"/>
  <c r="HA96" i="1"/>
  <c r="HA120" i="1"/>
  <c r="GK120" i="1"/>
  <c r="GT119" i="1"/>
  <c r="HC118" i="1"/>
  <c r="GM118" i="1"/>
  <c r="GV117" i="1"/>
  <c r="HE116" i="1"/>
  <c r="GO116" i="1"/>
  <c r="GX115" i="1"/>
  <c r="GH115" i="1"/>
  <c r="GQ114" i="1"/>
  <c r="GZ113" i="1"/>
  <c r="GJ113" i="1"/>
  <c r="GO112" i="1"/>
  <c r="GR111" i="1"/>
  <c r="GV110" i="1"/>
  <c r="GZ109" i="1"/>
  <c r="GW108" i="1"/>
  <c r="GT107" i="1"/>
  <c r="GQ106" i="1"/>
  <c r="GL105" i="1"/>
  <c r="GI104" i="1"/>
  <c r="HE102" i="1"/>
  <c r="HA101" i="1"/>
  <c r="GX100" i="1"/>
  <c r="GU99" i="1"/>
  <c r="GQ98" i="1"/>
  <c r="GN97" i="1"/>
  <c r="GK96" i="1"/>
  <c r="HA115" i="1"/>
  <c r="GK115" i="1"/>
  <c r="GT114" i="1"/>
  <c r="HC113" i="1"/>
  <c r="GM113" i="1"/>
  <c r="GS112" i="1"/>
  <c r="GV111" i="1"/>
  <c r="GZ110" i="1"/>
  <c r="HD109" i="1"/>
  <c r="HB108" i="1"/>
  <c r="GY107" i="1"/>
  <c r="GV106" i="1"/>
  <c r="GR105" i="1"/>
  <c r="GO104" i="1"/>
  <c r="GL103" i="1"/>
  <c r="HF101" i="1"/>
  <c r="HC100" i="1"/>
  <c r="GZ99" i="1"/>
  <c r="GV98" i="1"/>
  <c r="GS97" i="1"/>
  <c r="GP96" i="1"/>
  <c r="GV96" i="1"/>
  <c r="GM97" i="1"/>
  <c r="HC97" i="1"/>
  <c r="GT98" i="1"/>
  <c r="GK99" i="1"/>
  <c r="HA99" i="1"/>
  <c r="GR100" i="1"/>
  <c r="GI101" i="1"/>
  <c r="GY101" i="1"/>
  <c r="GP102" i="1"/>
  <c r="HF102" i="1"/>
  <c r="HC120" i="1"/>
  <c r="GM120" i="1"/>
  <c r="GV119" i="1"/>
  <c r="HE118" i="1"/>
  <c r="GO118" i="1"/>
  <c r="GX117" i="1"/>
  <c r="GH117" i="1"/>
  <c r="GT120" i="1"/>
  <c r="HC119" i="1"/>
  <c r="GM119" i="1"/>
  <c r="GV118" i="1"/>
  <c r="HE117" i="1"/>
  <c r="GO117" i="1"/>
  <c r="GX116" i="1"/>
  <c r="HC99" i="1"/>
  <c r="GZ98" i="1"/>
  <c r="GW97" i="1"/>
  <c r="GS96" i="1"/>
  <c r="GW120" i="1"/>
  <c r="HF119" i="1"/>
  <c r="GP119" i="1"/>
  <c r="GY118" i="1"/>
  <c r="GI118" i="1"/>
  <c r="GR117" i="1"/>
  <c r="HA116" i="1"/>
  <c r="GK116" i="1"/>
  <c r="GT115" i="1"/>
  <c r="HC114" i="1"/>
  <c r="GM114" i="1"/>
  <c r="GV113" i="1"/>
  <c r="HE112" i="1"/>
  <c r="GI112" i="1"/>
  <c r="GM111" i="1"/>
  <c r="GQ110" i="1"/>
  <c r="GS109" i="1"/>
  <c r="GP108" i="1"/>
  <c r="GM107" i="1"/>
  <c r="GI106" i="1"/>
  <c r="HE104" i="1"/>
  <c r="HB103" i="1"/>
  <c r="GW102" i="1"/>
  <c r="GT101" i="1"/>
  <c r="GQ100" i="1"/>
  <c r="GM99" i="1"/>
  <c r="GJ98" i="1"/>
  <c r="HF96" i="1"/>
  <c r="GN116" i="1"/>
  <c r="GW115" i="1"/>
  <c r="HF114" i="1"/>
  <c r="GP114" i="1"/>
  <c r="GY113" i="1"/>
  <c r="GI113" i="1"/>
  <c r="GM112" i="1"/>
  <c r="GQ111" i="1"/>
  <c r="GU110" i="1"/>
  <c r="GX109" i="1"/>
  <c r="GU108" i="1"/>
  <c r="GR107" i="1"/>
  <c r="GN106" i="1"/>
  <c r="GK105" i="1"/>
  <c r="GY120" i="1"/>
  <c r="GI120" i="1"/>
  <c r="GR119" i="1"/>
  <c r="HA118" i="1"/>
  <c r="GK118" i="1"/>
  <c r="GT117" i="1"/>
  <c r="HF120" i="1"/>
  <c r="GP120" i="1"/>
  <c r="GY119" i="1"/>
  <c r="GI119" i="1"/>
  <c r="GR118" i="1"/>
  <c r="HA117" i="1"/>
  <c r="GK117" i="1"/>
  <c r="GT116" i="1"/>
  <c r="GV99" i="1"/>
  <c r="GS98" i="1"/>
  <c r="GO97" i="1"/>
  <c r="GL96" i="1"/>
  <c r="GS120" i="1"/>
  <c r="HB119" i="1"/>
  <c r="GL119" i="1"/>
  <c r="GU118" i="1"/>
  <c r="HD117" i="1"/>
  <c r="GN117" i="1"/>
  <c r="GW116" i="1"/>
  <c r="HF115" i="1"/>
  <c r="GP115" i="1"/>
  <c r="GY114" i="1"/>
  <c r="GI114" i="1"/>
  <c r="GR113" i="1"/>
  <c r="GY112" i="1"/>
  <c r="HC111" i="1"/>
  <c r="GH111" i="1"/>
  <c r="GK110" i="1"/>
  <c r="GL109" i="1"/>
  <c r="GI108" i="1"/>
  <c r="HD106" i="1"/>
  <c r="HA105" i="1"/>
  <c r="GX104" i="1"/>
  <c r="GT103" i="1"/>
  <c r="GQ102" i="1"/>
  <c r="GN101" i="1"/>
  <c r="GI100" i="1"/>
  <c r="HE98" i="1"/>
  <c r="HB97" i="1"/>
  <c r="GX96" i="1"/>
  <c r="GJ116" i="1"/>
  <c r="GS115" i="1"/>
  <c r="HB114" i="1"/>
  <c r="GL114" i="1"/>
  <c r="GU113" i="1"/>
  <c r="HC112" i="1"/>
  <c r="GH112" i="1"/>
  <c r="GL111" i="1"/>
  <c r="GO110" i="1"/>
  <c r="GR109" i="1"/>
  <c r="GO108" i="1"/>
  <c r="GJ107" i="1"/>
  <c r="HF105" i="1"/>
  <c r="HC104" i="1"/>
  <c r="GY103" i="1"/>
  <c r="GV102" i="1"/>
  <c r="GS101" i="1"/>
  <c r="GO100" i="1"/>
  <c r="GL99" i="1"/>
  <c r="GI98" i="1"/>
  <c r="HC96" i="1"/>
  <c r="GN96" i="1"/>
  <c r="HD96" i="1"/>
  <c r="GU97" i="1"/>
  <c r="GL98" i="1"/>
  <c r="HB98" i="1"/>
  <c r="GS99" i="1"/>
  <c r="GJ100" i="1"/>
  <c r="GZ100" i="1"/>
  <c r="GQ101" i="1"/>
  <c r="GH102" i="1"/>
  <c r="GX102" i="1"/>
  <c r="GO103" i="1"/>
  <c r="HE103" i="1"/>
  <c r="GV104" i="1"/>
  <c r="GM105" i="1"/>
  <c r="HC105" i="1"/>
  <c r="GT106" i="1"/>
  <c r="GK107" i="1"/>
  <c r="HA107" i="1"/>
  <c r="GR108" i="1"/>
  <c r="GI109" i="1"/>
  <c r="GI96" i="1"/>
  <c r="HE96" i="1"/>
  <c r="HA97" i="1"/>
  <c r="GW98" i="1"/>
  <c r="GT99" i="1"/>
  <c r="GP100" i="1"/>
  <c r="GL101" i="1"/>
  <c r="GI102" i="1"/>
  <c r="HD102" i="1"/>
  <c r="GZ103" i="1"/>
  <c r="GW104" i="1"/>
  <c r="GS105" i="1"/>
  <c r="GO106" i="1"/>
  <c r="GL107" i="1"/>
  <c r="GH108" i="1"/>
  <c r="HC108" i="1"/>
  <c r="GY109" i="1"/>
  <c r="GP110" i="1"/>
  <c r="HF110" i="1"/>
  <c r="GW111" i="1"/>
  <c r="GN112" i="1"/>
  <c r="HD112" i="1"/>
  <c r="GU120" i="1"/>
  <c r="HD119" i="1"/>
  <c r="GN119" i="1"/>
  <c r="GW118" i="1"/>
  <c r="HF117" i="1"/>
  <c r="GP117" i="1"/>
  <c r="HB120" i="1"/>
  <c r="GL120" i="1"/>
  <c r="GU119" i="1"/>
  <c r="HD118" i="1"/>
  <c r="GN118" i="1"/>
  <c r="GW117" i="1"/>
  <c r="HF116" i="1"/>
  <c r="GS100" i="1"/>
  <c r="GP99" i="1"/>
  <c r="GK98" i="1"/>
  <c r="GH97" i="1"/>
  <c r="HE120" i="1"/>
  <c r="GO120" i="1"/>
  <c r="GX119" i="1"/>
  <c r="GH119" i="1"/>
  <c r="GQ118" i="1"/>
  <c r="GZ117" i="1"/>
  <c r="GJ117" i="1"/>
  <c r="GS116" i="1"/>
  <c r="HB115" i="1"/>
  <c r="GL115" i="1"/>
  <c r="GY97" i="1"/>
  <c r="HA110" i="1"/>
  <c r="GH98" i="1"/>
  <c r="HC98" i="1"/>
  <c r="GN113" i="1"/>
  <c r="HE109" i="1"/>
  <c r="GT105" i="1"/>
  <c r="HE100" i="1"/>
  <c r="GQ96" i="1"/>
  <c r="GH114" i="1"/>
  <c r="HE110" i="1"/>
  <c r="HC106" i="1"/>
  <c r="GR103" i="1"/>
  <c r="GK101" i="1"/>
  <c r="HD98" i="1"/>
  <c r="GW96" i="1"/>
  <c r="GI97" i="1"/>
  <c r="GP98" i="1"/>
  <c r="GW99" i="1"/>
  <c r="HD100" i="1"/>
  <c r="GL102" i="1"/>
  <c r="GS103" i="1"/>
  <c r="GN104" i="1"/>
  <c r="GI105" i="1"/>
  <c r="GH106" i="1"/>
  <c r="HB106" i="1"/>
  <c r="GW107" i="1"/>
  <c r="GV108" i="1"/>
  <c r="GQ109" i="1"/>
  <c r="GY96" i="1"/>
  <c r="HF97" i="1"/>
  <c r="GI99" i="1"/>
  <c r="GK100" i="1"/>
  <c r="GR101" i="1"/>
  <c r="GS102" i="1"/>
  <c r="GU103" i="1"/>
  <c r="HB104" i="1"/>
  <c r="HD105" i="1"/>
  <c r="HE106" i="1"/>
  <c r="GM108" i="1"/>
  <c r="GO109" i="1"/>
  <c r="GL110" i="1"/>
  <c r="GK111" i="1"/>
  <c r="HE111" i="1"/>
  <c r="GZ112" i="1"/>
  <c r="GT112" i="1"/>
  <c r="HE108" i="1"/>
  <c r="GP104" i="1"/>
  <c r="HB99" i="1"/>
  <c r="HE115" i="1"/>
  <c r="GQ113" i="1"/>
  <c r="GJ110" i="1"/>
  <c r="GZ105" i="1"/>
  <c r="HC102" i="1"/>
  <c r="GW100" i="1"/>
  <c r="GO98" i="1"/>
  <c r="GJ96" i="1"/>
  <c r="GQ97" i="1"/>
  <c r="GX98" i="1"/>
  <c r="HE99" i="1"/>
  <c r="GM101" i="1"/>
  <c r="GT102" i="1"/>
  <c r="GW103" i="1"/>
  <c r="GR104" i="1"/>
  <c r="GQ105" i="1"/>
  <c r="GL106" i="1"/>
  <c r="HF106" i="1"/>
  <c r="HE107" i="1"/>
  <c r="GZ108" i="1"/>
  <c r="GU109" i="1"/>
  <c r="GK97" i="1"/>
  <c r="GM98" i="1"/>
  <c r="GN99" i="1"/>
  <c r="GU100" i="1"/>
  <c r="GW101" i="1"/>
  <c r="GY102" i="1"/>
  <c r="HF103" i="1"/>
  <c r="GH105" i="1"/>
  <c r="GJ106" i="1"/>
  <c r="GQ107" i="1"/>
  <c r="GS108" i="1"/>
  <c r="GT109" i="1"/>
  <c r="GT110" i="1"/>
  <c r="GO111" i="1"/>
  <c r="GJ112" i="1"/>
  <c r="GU114" i="1"/>
  <c r="GX111" i="1"/>
  <c r="GZ107" i="1"/>
  <c r="GM103" i="1"/>
  <c r="GY98" i="1"/>
  <c r="GO115" i="1"/>
  <c r="GX112" i="1"/>
  <c r="GK109" i="1"/>
  <c r="GU104" i="1"/>
  <c r="GO102" i="1"/>
  <c r="GH100" i="1"/>
  <c r="GZ97" i="1"/>
  <c r="GR96" i="1"/>
  <c r="HF98" i="1"/>
  <c r="GN100" i="1"/>
  <c r="GU101" i="1"/>
  <c r="HB102" i="1"/>
  <c r="HA103" i="1"/>
  <c r="GZ104" i="1"/>
  <c r="GU105" i="1"/>
  <c r="GP106" i="1"/>
  <c r="GO107" i="1"/>
  <c r="GJ108" i="1"/>
  <c r="HD108" i="1"/>
  <c r="GO96" i="1"/>
  <c r="GP97" i="1"/>
  <c r="GR98" i="1"/>
  <c r="GY99" i="1"/>
  <c r="HA100" i="1"/>
  <c r="HB101" i="1"/>
  <c r="GJ103" i="1"/>
  <c r="GL104" i="1"/>
  <c r="GN105" i="1"/>
  <c r="GU106" i="1"/>
  <c r="GV107" i="1"/>
  <c r="GX108" i="1"/>
  <c r="HC109" i="1"/>
  <c r="GX110" i="1"/>
  <c r="GS111" i="1"/>
  <c r="GR112" i="1"/>
  <c r="HD113" i="1"/>
  <c r="GW106" i="1"/>
  <c r="GJ102" i="1"/>
  <c r="GT97" i="1"/>
  <c r="GX114" i="1"/>
  <c r="HB111" i="1"/>
  <c r="HF107" i="1"/>
  <c r="GH104" i="1"/>
  <c r="GZ101" i="1"/>
  <c r="GR99" i="1"/>
  <c r="GL97" i="1"/>
  <c r="GZ96" i="1"/>
  <c r="GO99" i="1"/>
  <c r="GV100" i="1"/>
  <c r="HC101" i="1"/>
  <c r="GK103" i="1"/>
  <c r="GJ104" i="1"/>
  <c r="HD104" i="1"/>
  <c r="GY105" i="1"/>
  <c r="GX106" i="1"/>
  <c r="GS107" i="1"/>
  <c r="GN108" i="1"/>
  <c r="GM109" i="1"/>
  <c r="GT96" i="1"/>
  <c r="GV97" i="1"/>
  <c r="HD99" i="1"/>
  <c r="HF100" i="1"/>
  <c r="GN102" i="1"/>
  <c r="GP103" i="1"/>
  <c r="GQ104" i="1"/>
  <c r="GX105" i="1"/>
  <c r="GZ106" i="1"/>
  <c r="HB107" i="1"/>
  <c r="GJ109" i="1"/>
  <c r="GH110" i="1"/>
  <c r="HB110" i="1"/>
  <c r="HA111" i="1"/>
  <c r="GV112" i="1"/>
  <c r="GH68" i="1" a="1"/>
  <c r="GH68" i="1" s="1"/>
  <c r="HI43" i="1"/>
  <c r="HI71" i="1"/>
  <c r="HI41" i="1"/>
  <c r="HI69" i="1"/>
  <c r="GI47" i="1"/>
  <c r="GS42" i="1"/>
  <c r="GU48" i="1"/>
  <c r="GX56" i="1"/>
  <c r="GV53" i="1"/>
  <c r="GY54" i="1"/>
  <c r="GV43" i="1"/>
  <c r="GI61" i="1"/>
  <c r="GW60" i="1"/>
  <c r="GV59" i="1"/>
  <c r="HB61" i="1"/>
  <c r="GK50" i="1"/>
  <c r="HB47" i="1"/>
  <c r="GM41" i="1"/>
  <c r="GR52" i="1"/>
  <c r="GQ53" i="1"/>
  <c r="HA45" i="1"/>
  <c r="GR47" i="1"/>
  <c r="HD42" i="1"/>
  <c r="GT58" i="1"/>
  <c r="GT57" i="1"/>
  <c r="HF54" i="1"/>
  <c r="GZ52" i="1"/>
  <c r="GP49" i="1"/>
  <c r="GK61" i="1"/>
  <c r="GS50" i="1"/>
  <c r="GU50" i="1"/>
  <c r="HE44" i="1"/>
  <c r="HD43" i="1"/>
  <c r="GM48" i="1"/>
  <c r="GJ52" i="1"/>
  <c r="GN48" i="1"/>
  <c r="GX64" i="1"/>
  <c r="GT55" i="1"/>
  <c r="GX53" i="1"/>
  <c r="GJ60" i="1"/>
  <c r="GX48" i="1"/>
  <c r="HA58" i="1"/>
  <c r="GZ41" i="1"/>
  <c r="GO41" i="1"/>
  <c r="GP41" i="1"/>
  <c r="HC42" i="1"/>
  <c r="GO50" i="1"/>
  <c r="GO45" i="1"/>
  <c r="HF57" i="1"/>
  <c r="HD48" i="1"/>
  <c r="GW49" i="1"/>
  <c r="GQ58" i="1"/>
  <c r="HE60" i="1"/>
  <c r="GI50" i="1"/>
  <c r="GI53" i="1"/>
  <c r="GT61" i="1"/>
  <c r="HB50" i="1"/>
  <c r="GW41" i="1"/>
  <c r="GJ48" i="1"/>
  <c r="HF61" i="1"/>
  <c r="HF51" i="1"/>
  <c r="GJ42" i="1"/>
  <c r="GN45" i="1"/>
  <c r="GP57" i="1"/>
  <c r="GM49" i="1"/>
  <c r="GO44" i="1"/>
  <c r="GN43" i="1"/>
  <c r="GU47" i="1"/>
  <c r="GZ50" i="1"/>
  <c r="HD46" i="1"/>
  <c r="GT52" i="1"/>
  <c r="HD60" i="1"/>
  <c r="GS64" i="1"/>
  <c r="GZ58" i="1"/>
  <c r="GO49" i="1"/>
  <c r="GO59" i="1"/>
  <c r="GY41" i="1"/>
  <c r="GU54" i="1"/>
  <c r="GI44" i="1"/>
  <c r="GN51" i="1"/>
  <c r="GU51" i="1"/>
  <c r="HE43" i="1"/>
  <c r="GQ44" i="1"/>
  <c r="GT62" i="1"/>
  <c r="GM59" i="1"/>
  <c r="GK64" i="1"/>
  <c r="GN58" i="1"/>
  <c r="GO48" i="1"/>
  <c r="HD52" i="1"/>
  <c r="GN41" i="1"/>
  <c r="GJ51" i="1"/>
  <c r="GK60" i="1"/>
  <c r="GZ46" i="1"/>
  <c r="GS61" i="1"/>
  <c r="GV47" i="1"/>
  <c r="GW50" i="1"/>
  <c r="GI62" i="1"/>
  <c r="GT49" i="1"/>
  <c r="GJ57" i="1"/>
  <c r="HA46" i="1"/>
  <c r="GZ43" i="1"/>
  <c r="GM54" i="1"/>
  <c r="GM63" i="1"/>
  <c r="HB52" i="1"/>
  <c r="HC41" i="1"/>
  <c r="GS46" i="1"/>
  <c r="GL57" i="1"/>
  <c r="HF55" i="1"/>
  <c r="GU42" i="1"/>
  <c r="GI42" i="1"/>
  <c r="HE50" i="1"/>
  <c r="HC62" i="1"/>
  <c r="HC53" i="1"/>
  <c r="GY42" i="1"/>
  <c r="HD49" i="1"/>
  <c r="HC50" i="1"/>
  <c r="GO43" i="1"/>
  <c r="GK46" i="1"/>
  <c r="HD53" i="1"/>
  <c r="GS53" i="1"/>
  <c r="GZ62" i="1"/>
  <c r="GN55" i="1"/>
  <c r="GX44" i="1"/>
  <c r="HA55" i="1"/>
  <c r="GQ48" i="1"/>
  <c r="GR44" i="1"/>
  <c r="GY50" i="1"/>
  <c r="GK43" i="1"/>
  <c r="GR41" i="1"/>
  <c r="GQ54" i="1"/>
  <c r="GJ41" i="1"/>
  <c r="GW51" i="1"/>
  <c r="GL63" i="1"/>
  <c r="GJ62" i="1"/>
  <c r="GW54" i="1"/>
  <c r="GP43" i="1"/>
  <c r="GX45" i="1"/>
  <c r="HA43" i="1"/>
  <c r="GM64" i="1"/>
  <c r="GJ43" i="1"/>
  <c r="GY60" i="1"/>
  <c r="GQ43" i="1"/>
  <c r="GL64" i="1"/>
  <c r="GL50" i="1"/>
  <c r="GU61" i="1"/>
  <c r="GK49" i="1"/>
  <c r="GO53" i="1"/>
  <c r="HB49" i="1"/>
  <c r="GK57" i="1"/>
  <c r="GY43" i="1"/>
  <c r="GO42" i="1"/>
  <c r="GM42" i="1"/>
  <c r="GN44" i="1"/>
  <c r="GX60" i="1"/>
  <c r="GP51" i="1"/>
  <c r="GS52" i="1"/>
  <c r="HD41" i="1"/>
  <c r="GQ52" i="1"/>
  <c r="HE64" i="1"/>
  <c r="HA47" i="1"/>
  <c r="GU41" i="1"/>
  <c r="GQ50" i="1"/>
  <c r="GY62" i="1"/>
  <c r="GV58" i="1"/>
  <c r="HA61" i="1"/>
  <c r="GZ45" i="1"/>
  <c r="GQ61" i="1"/>
  <c r="GJ58" i="1"/>
  <c r="GS60" i="1"/>
  <c r="GU64" i="1"/>
  <c r="GZ60" i="1"/>
  <c r="HB44" i="1"/>
  <c r="GW57" i="1"/>
  <c r="GM45" i="1"/>
  <c r="GZ47" i="1"/>
  <c r="GY46" i="1"/>
  <c r="GV46" i="1"/>
  <c r="GU43" i="1"/>
  <c r="GJ44" i="1"/>
  <c r="GQ42" i="1"/>
  <c r="GN52" i="1"/>
  <c r="GX62" i="1"/>
  <c r="GU59" i="1"/>
  <c r="GP64" i="1"/>
  <c r="GY58" i="1"/>
  <c r="GP60" i="1"/>
  <c r="HD56" i="1"/>
  <c r="GT45" i="1"/>
  <c r="GL47" i="1"/>
  <c r="GS57" i="1"/>
  <c r="GK47" i="1"/>
  <c r="GU46" i="1"/>
  <c r="GJ49" i="1"/>
  <c r="GQ47" i="1"/>
  <c r="GN47" i="1"/>
  <c r="HC44" i="1"/>
  <c r="GZ44" i="1"/>
  <c r="GY45" i="1"/>
  <c r="GK42" i="1"/>
  <c r="GZ61" i="1"/>
  <c r="GM58" i="1"/>
  <c r="HC63" i="1"/>
  <c r="GY57" i="1"/>
  <c r="GP59" i="1"/>
  <c r="GV56" i="1"/>
  <c r="GT43" i="1"/>
  <c r="HB45" i="1"/>
  <c r="GO55" i="1"/>
  <c r="GY49" i="1"/>
  <c r="GQ41" i="1"/>
  <c r="HC52" i="1"/>
  <c r="GS43" i="1"/>
  <c r="HB62" i="1"/>
  <c r="GT41" i="1"/>
  <c r="GY51" i="1"/>
  <c r="GK41" i="1"/>
  <c r="GM43" i="1"/>
  <c r="GR57" i="1"/>
  <c r="GJ45" i="1"/>
  <c r="HC54" i="1"/>
  <c r="GR60" i="1"/>
  <c r="GN61" i="1"/>
  <c r="GZ53" i="1"/>
  <c r="GS56" i="1"/>
  <c r="GL59" i="1"/>
  <c r="GV60" i="1"/>
  <c r="GX51" i="1"/>
  <c r="HE55" i="1"/>
  <c r="GM55" i="1"/>
  <c r="HE51" i="1"/>
  <c r="GP45" i="1"/>
  <c r="HF53" i="1"/>
  <c r="GW64" i="1"/>
  <c r="GY64" i="1"/>
  <c r="GN63" i="1"/>
  <c r="GN64" i="1"/>
  <c r="HA62" i="1"/>
  <c r="GW63" i="1"/>
  <c r="HD62" i="1"/>
  <c r="HA63" i="1"/>
  <c r="HA49" i="1"/>
  <c r="GR46" i="1"/>
  <c r="GY44" i="1"/>
  <c r="GV44" i="1"/>
  <c r="GW44" i="1"/>
  <c r="GV49" i="1"/>
  <c r="HB63" i="1"/>
  <c r="GV61" i="1"/>
  <c r="HB53" i="1"/>
  <c r="GQ60" i="1"/>
  <c r="GR61" i="1"/>
  <c r="HD57" i="1"/>
  <c r="GX47" i="1"/>
  <c r="HB48" i="1"/>
  <c r="GS58" i="1"/>
  <c r="HA48" i="1"/>
  <c r="HC43" i="1"/>
  <c r="GJ47" i="1"/>
  <c r="GQ45" i="1"/>
  <c r="HD45" i="1"/>
  <c r="GM46" i="1"/>
  <c r="GJ50" i="1"/>
  <c r="GV41" i="1"/>
  <c r="GQ63" i="1"/>
  <c r="GU55" i="1"/>
  <c r="HC55" i="1"/>
  <c r="HF60" i="1"/>
  <c r="GV55" i="1"/>
  <c r="GW46" i="1"/>
  <c r="HE57" i="1"/>
  <c r="GP42" i="1"/>
  <c r="GR48" i="1"/>
  <c r="GY48" i="1"/>
  <c r="HD47" i="1"/>
  <c r="GM44" i="1"/>
  <c r="GJ46" i="1"/>
  <c r="GI49" i="1"/>
  <c r="GN50" i="1"/>
  <c r="GW45" i="1"/>
  <c r="HB57" i="1"/>
  <c r="GL61" i="1"/>
  <c r="GL60" i="1"/>
  <c r="HC59" i="1"/>
  <c r="GI60" i="1"/>
  <c r="GS63" i="1"/>
  <c r="GP56" i="1"/>
  <c r="GV57" i="1"/>
  <c r="GX50" i="1"/>
  <c r="HE48" i="1"/>
  <c r="GT48" i="1"/>
  <c r="HE59" i="1"/>
  <c r="GS55" i="1"/>
  <c r="GS48" i="1"/>
  <c r="HA42" i="1"/>
  <c r="HD64" i="1"/>
  <c r="GT56" i="1"/>
  <c r="GU57" i="1"/>
  <c r="GL58" i="1"/>
  <c r="GU58" i="1"/>
  <c r="GQ57" i="1"/>
  <c r="HE62" i="1"/>
  <c r="GP55" i="1"/>
  <c r="GN56" i="1"/>
  <c r="HF49" i="1"/>
  <c r="HE47" i="1"/>
  <c r="GL45" i="1"/>
  <c r="GS59" i="1"/>
  <c r="GK55" i="1"/>
  <c r="HF44" i="1"/>
  <c r="GJ61" i="1"/>
  <c r="GX63" i="1"/>
  <c r="GV62" i="1"/>
  <c r="GI57" i="1"/>
  <c r="HE63" i="1"/>
  <c r="GP58" i="1"/>
  <c r="GZ59" i="1"/>
  <c r="GR56" i="1"/>
  <c r="HF50" i="1"/>
  <c r="GL42" i="1"/>
  <c r="GX42" i="1"/>
  <c r="HB43" i="1"/>
  <c r="GO60" i="1"/>
  <c r="HE56" i="1"/>
  <c r="GK52" i="1"/>
  <c r="GP44" i="1"/>
  <c r="GM47" i="1"/>
  <c r="GZ49" i="1"/>
  <c r="GI48" i="1"/>
  <c r="GV48" i="1"/>
  <c r="GU45" i="1"/>
  <c r="GR45" i="1"/>
  <c r="GI51" i="1"/>
  <c r="HC60" i="1"/>
  <c r="HC56" i="1"/>
  <c r="GJ63" i="1"/>
  <c r="GY56" i="1"/>
  <c r="GX58" i="1"/>
  <c r="GJ56" i="1"/>
  <c r="GT44" i="1"/>
  <c r="GW56" i="1"/>
  <c r="GX43" i="1"/>
  <c r="HC47" i="1"/>
  <c r="GR50" i="1"/>
  <c r="GQ49" i="1"/>
  <c r="GN49" i="1"/>
  <c r="GM50" i="1"/>
  <c r="HE41" i="1"/>
  <c r="HD50" i="1"/>
  <c r="HB59" i="1"/>
  <c r="GY63" i="1"/>
  <c r="GQ59" i="1"/>
  <c r="GX57" i="1"/>
  <c r="GT53" i="1"/>
  <c r="GL48" i="1"/>
  <c r="GK56" i="1"/>
  <c r="HC49" i="1"/>
  <c r="HE42" i="1"/>
  <c r="GQ51" i="1"/>
  <c r="GV50" i="1"/>
  <c r="GU49" i="1"/>
  <c r="GZ48" i="1"/>
  <c r="GY53" i="1"/>
  <c r="GK44" i="1"/>
  <c r="GT64" i="1"/>
  <c r="GL55" i="1"/>
  <c r="GM56" i="1"/>
  <c r="HB56" i="1"/>
  <c r="GU56" i="1"/>
  <c r="GQ56" i="1"/>
  <c r="GP62" i="1"/>
  <c r="GT54" i="1"/>
  <c r="HD55" i="1"/>
  <c r="HF48" i="1"/>
  <c r="HE46" i="1"/>
  <c r="GL43" i="1"/>
  <c r="GK59" i="1"/>
  <c r="GS54" i="1"/>
  <c r="HF42" i="1"/>
  <c r="GS45" i="1"/>
  <c r="GI64" i="1"/>
  <c r="GR64" i="1"/>
  <c r="HA54" i="1"/>
  <c r="GZ54" i="1"/>
  <c r="HF62" i="1"/>
  <c r="GQ55" i="1"/>
  <c r="HC61" i="1"/>
  <c r="HD59" i="1"/>
  <c r="GR55" i="1"/>
  <c r="HF47" i="1"/>
  <c r="HF41" i="1"/>
  <c r="HB41" i="1"/>
  <c r="GW58" i="1"/>
  <c r="GX52" i="1"/>
  <c r="GI41" i="1"/>
  <c r="HB58" i="1"/>
  <c r="GT60" i="1"/>
  <c r="GY61" i="1"/>
  <c r="GY55" i="1"/>
  <c r="GU62" i="1"/>
  <c r="HF56" i="1"/>
  <c r="GJ59" i="1"/>
  <c r="GJ55" i="1"/>
  <c r="GX49" i="1"/>
  <c r="HE49" i="1"/>
  <c r="GT50" i="1"/>
  <c r="GL41" i="1"/>
  <c r="GW59" i="1"/>
  <c r="GW55" i="1"/>
  <c r="HA50" i="1"/>
  <c r="GX41" i="1"/>
  <c r="GS62" i="1"/>
  <c r="GM51" i="1"/>
  <c r="GI52" i="1"/>
  <c r="HD51" i="1"/>
  <c r="HC48" i="1"/>
  <c r="GR49" i="1"/>
  <c r="GI55" i="1"/>
  <c r="GY47" i="1"/>
  <c r="HB55" i="1"/>
  <c r="GQ64" i="1"/>
  <c r="GM57" i="1"/>
  <c r="HA52" i="1"/>
  <c r="HE54" i="1"/>
  <c r="HE53" i="1"/>
  <c r="GW47" i="1"/>
  <c r="HE61" i="1"/>
  <c r="GX54" i="1"/>
  <c r="GI45" i="1"/>
  <c r="GU52" i="1"/>
  <c r="GW43" i="1"/>
  <c r="GY52" i="1"/>
  <c r="GZ42" i="1"/>
  <c r="HE45" i="1"/>
  <c r="HA44" i="1"/>
  <c r="GO54" i="1"/>
  <c r="HF64" i="1"/>
  <c r="GI56" i="1"/>
  <c r="GW53" i="1"/>
  <c r="GX46" i="1"/>
  <c r="GT42" i="1"/>
  <c r="GN54" i="1"/>
  <c r="GR42" i="1"/>
  <c r="GO46" i="1"/>
  <c r="GI54" i="1"/>
  <c r="GS44" i="1"/>
  <c r="GM52" i="1"/>
  <c r="GR51" i="1"/>
  <c r="HD44" i="1"/>
  <c r="GI43" i="1"/>
  <c r="GV63" i="1"/>
  <c r="HF63" i="1"/>
  <c r="HF52" i="1"/>
  <c r="GO51" i="1"/>
  <c r="GQ62" i="1"/>
  <c r="GV54" i="1"/>
  <c r="GM61" i="1"/>
  <c r="GR59" i="1"/>
  <c r="HB54" i="1"/>
  <c r="GP47" i="1"/>
  <c r="GL52" i="1"/>
  <c r="GW62" i="1"/>
  <c r="GK58" i="1"/>
  <c r="HA51" i="1"/>
  <c r="GN46" i="1"/>
  <c r="GQ46" i="1"/>
  <c r="GP61" i="1"/>
  <c r="GU63" i="1"/>
  <c r="GV64" i="1"/>
  <c r="GR63" i="1"/>
  <c r="HD61" i="1"/>
  <c r="GN53" i="1"/>
  <c r="HF58" i="1"/>
  <c r="HD58" i="1"/>
  <c r="GR54" i="1"/>
  <c r="HB42" i="1"/>
  <c r="GL51" i="1"/>
  <c r="GK62" i="1"/>
  <c r="HA56" i="1"/>
  <c r="GK51" i="1"/>
  <c r="HB64" i="1"/>
  <c r="HE52" i="1"/>
  <c r="HC57" i="1"/>
  <c r="HB60" i="1"/>
  <c r="GO52" i="1"/>
  <c r="GX61" i="1"/>
  <c r="GX55" i="1"/>
  <c r="GZ57" i="1"/>
  <c r="GL54" i="1"/>
  <c r="GP48" i="1"/>
  <c r="GO47" i="1"/>
  <c r="GL49" i="1"/>
  <c r="GO62" i="1"/>
  <c r="GO58" i="1"/>
  <c r="HD54" i="1"/>
  <c r="GS49" i="1"/>
  <c r="GK45" i="1"/>
  <c r="GU53" i="1"/>
  <c r="GV45" i="1"/>
  <c r="GU44" i="1"/>
  <c r="GZ63" i="1"/>
  <c r="GT59" i="1"/>
  <c r="GL62" i="1"/>
  <c r="GK63" i="1"/>
  <c r="GN59" i="1"/>
  <c r="GP50" i="1"/>
  <c r="GT51" i="1"/>
  <c r="HA59" i="1"/>
  <c r="GS51" i="1"/>
  <c r="GM53" i="1"/>
  <c r="GZ51" i="1"/>
  <c r="GI46" i="1"/>
  <c r="GV42" i="1"/>
  <c r="HA41" i="1"/>
  <c r="HC46" i="1"/>
  <c r="GR43" i="1"/>
  <c r="GW42" i="1"/>
  <c r="GN42" i="1"/>
  <c r="GS41" i="1"/>
  <c r="HC51" i="1"/>
  <c r="GM62" i="1"/>
  <c r="HC64" i="1"/>
  <c r="HC58" i="1"/>
  <c r="GR62" i="1"/>
  <c r="GJ64" i="1"/>
  <c r="GV52" i="1"/>
  <c r="GI58" i="1"/>
  <c r="GO64" i="1"/>
  <c r="HF59" i="1"/>
  <c r="GN60" i="1"/>
  <c r="GZ56" i="1"/>
  <c r="GW52" i="1"/>
  <c r="GL44" i="1"/>
  <c r="HF43" i="1"/>
  <c r="HB46" i="1"/>
  <c r="HA60" i="1"/>
  <c r="GO57" i="1"/>
  <c r="GP53" i="1"/>
  <c r="GP46" i="1"/>
  <c r="GV51" i="1"/>
  <c r="HC45" i="1"/>
  <c r="GI63" i="1"/>
  <c r="GR53" i="1"/>
  <c r="GM60" i="1"/>
  <c r="GT63" i="1"/>
  <c r="GZ64" i="1"/>
  <c r="GP54" i="1"/>
  <c r="GI59" i="1"/>
  <c r="HA64" i="1"/>
  <c r="GU60" i="1"/>
  <c r="GL53" i="1"/>
  <c r="GN57" i="1"/>
  <c r="GJ53" i="1"/>
  <c r="GL46" i="1"/>
  <c r="HF45" i="1"/>
  <c r="GT47" i="1"/>
  <c r="GO61" i="1"/>
  <c r="HA57" i="1"/>
  <c r="HA53" i="1"/>
  <c r="GS47" i="1"/>
  <c r="HD63" i="1"/>
  <c r="GL56" i="1"/>
  <c r="GN62" i="1"/>
  <c r="GP63" i="1"/>
  <c r="GY59" i="1"/>
  <c r="GK54" i="1"/>
  <c r="GO63" i="1"/>
  <c r="GX59" i="1"/>
  <c r="GJ54" i="1"/>
  <c r="GR58" i="1"/>
  <c r="GZ55" i="1"/>
  <c r="GP52" i="1"/>
  <c r="HF46" i="1"/>
  <c r="GW48" i="1"/>
  <c r="HB51" i="1"/>
  <c r="GT46" i="1"/>
  <c r="GW61" i="1"/>
  <c r="HE58" i="1"/>
  <c r="GO56" i="1"/>
  <c r="GK53" i="1"/>
  <c r="IK10" i="1" l="1"/>
  <c r="II9" i="1"/>
  <c r="IK9" i="1" s="1"/>
  <c r="IJ49" i="1"/>
  <c r="IJ39" i="1"/>
  <c r="IJ28" i="1"/>
  <c r="IG267" i="1"/>
  <c r="II266" i="1" s="1"/>
  <c r="IK266" i="1" s="1"/>
  <c r="IL269" i="1"/>
  <c r="IL268" i="1"/>
  <c r="IQ264" i="1"/>
  <c r="IL265" i="1"/>
  <c r="IP264" i="1"/>
  <c r="IL270" i="1"/>
  <c r="IO264" i="1"/>
  <c r="IL271" i="1"/>
  <c r="IL266" i="1"/>
  <c r="IN264" i="1"/>
  <c r="IL267" i="1"/>
  <c r="IM264" i="1"/>
  <c r="IF30" i="1"/>
  <c r="IJ30" i="1" s="1"/>
  <c r="HL13" i="1" a="1"/>
  <c r="HK12" i="1" a="1"/>
  <c r="GH77" i="1"/>
  <c r="GV71" i="1"/>
  <c r="GZ74" i="1"/>
  <c r="GW74" i="1"/>
  <c r="GX73" i="1"/>
  <c r="GV80" i="1"/>
  <c r="GK89" i="1"/>
  <c r="GJ90" i="1"/>
  <c r="GX89" i="1"/>
  <c r="GX90" i="1"/>
  <c r="HF88" i="1"/>
  <c r="HA69" i="1"/>
  <c r="GZ80" i="1"/>
  <c r="GR78" i="1"/>
  <c r="GR80" i="1"/>
  <c r="GW89" i="1"/>
  <c r="GT84" i="1"/>
  <c r="GX87" i="1"/>
  <c r="GR87" i="1"/>
  <c r="HC90" i="1"/>
  <c r="GS82" i="1"/>
  <c r="GX68" i="1"/>
  <c r="GQ71" i="1"/>
  <c r="GI74" i="1"/>
  <c r="HA71" i="1"/>
  <c r="GI70" i="1"/>
  <c r="HE73" i="1"/>
  <c r="GI85" i="1"/>
  <c r="GR77" i="1"/>
  <c r="HF93" i="1"/>
  <c r="GZ84" i="1"/>
  <c r="GJ86" i="1"/>
  <c r="GX83" i="1"/>
  <c r="GK68" i="1"/>
  <c r="GJ72" i="1"/>
  <c r="GR70" i="1"/>
  <c r="GJ68" i="1"/>
  <c r="HB73" i="1"/>
  <c r="GX93" i="1"/>
  <c r="GV92" i="1"/>
  <c r="HE91" i="1"/>
  <c r="HD79" i="1"/>
  <c r="HE74" i="1"/>
  <c r="GT70" i="1"/>
  <c r="HC76" i="1"/>
  <c r="GS78" i="1"/>
  <c r="GR85" i="1"/>
  <c r="GQ83" i="1"/>
  <c r="HC80" i="1"/>
  <c r="GV77" i="1"/>
  <c r="GU74" i="1"/>
  <c r="GQ93" i="1"/>
  <c r="GK90" i="1"/>
  <c r="GS88" i="1"/>
  <c r="HE86" i="1"/>
  <c r="HF84" i="1"/>
  <c r="GZ82" i="1"/>
  <c r="GT80" i="1"/>
  <c r="GU77" i="1"/>
  <c r="GT74" i="1"/>
  <c r="HA72" i="1"/>
  <c r="GQ84" i="1"/>
  <c r="HC82" i="1"/>
  <c r="GK81" i="1"/>
  <c r="HE78" i="1"/>
  <c r="GW71" i="1"/>
  <c r="GN70" i="1"/>
  <c r="GV74" i="1"/>
  <c r="GN78" i="1"/>
  <c r="HE69" i="1"/>
  <c r="GM74" i="1"/>
  <c r="GN72" i="1"/>
  <c r="GL77" i="1"/>
  <c r="HD80" i="1"/>
  <c r="HE71" i="1"/>
  <c r="GV70" i="1"/>
  <c r="GP77" i="1"/>
  <c r="GM70" i="1"/>
  <c r="GZ70" i="1"/>
  <c r="GT77" i="1"/>
  <c r="GN92" i="1"/>
  <c r="GV87" i="1"/>
  <c r="GN79" i="1"/>
  <c r="GW91" i="1"/>
  <c r="GJ87" i="1"/>
  <c r="GL80" i="1"/>
  <c r="GH74" i="1"/>
  <c r="GP91" i="1"/>
  <c r="HD88" i="1"/>
  <c r="GR86" i="1"/>
  <c r="HF92" i="1"/>
  <c r="GY90" i="1"/>
  <c r="GX88" i="1"/>
  <c r="GQ86" i="1"/>
  <c r="GN82" i="1"/>
  <c r="GK77" i="1"/>
  <c r="HD92" i="1"/>
  <c r="GL88" i="1"/>
  <c r="HB81" i="1"/>
  <c r="HG90" i="1"/>
  <c r="HD86" i="1"/>
  <c r="GP90" i="1"/>
  <c r="GL81" i="1"/>
  <c r="GZ75" i="1"/>
  <c r="GR84" i="1"/>
  <c r="HF81" i="1"/>
  <c r="GS79" i="1"/>
  <c r="GL76" i="1"/>
  <c r="HC71" i="1"/>
  <c r="HC91" i="1"/>
  <c r="GQ89" i="1"/>
  <c r="GY87" i="1"/>
  <c r="HG85" i="1"/>
  <c r="HF83" i="1"/>
  <c r="GY81" i="1"/>
  <c r="HC78" i="1"/>
  <c r="GK76" i="1"/>
  <c r="GT72" i="1"/>
  <c r="GY73" i="1"/>
  <c r="GV69" i="1"/>
  <c r="GX70" i="1"/>
  <c r="HF70" i="1"/>
  <c r="GO85" i="1"/>
  <c r="GW83" i="1"/>
  <c r="HE81" i="1"/>
  <c r="GK80" i="1"/>
  <c r="HD77" i="1"/>
  <c r="GW75" i="1"/>
  <c r="GM73" i="1"/>
  <c r="HC69" i="1"/>
  <c r="GU68" i="1"/>
  <c r="GS73" i="1"/>
  <c r="HD70" i="1"/>
  <c r="GL75" i="1"/>
  <c r="GJ80" i="1"/>
  <c r="GK71" i="1"/>
  <c r="GV68" i="1"/>
  <c r="GT73" i="1"/>
  <c r="HB77" i="1"/>
  <c r="HC68" i="1"/>
  <c r="HA73" i="1"/>
  <c r="GR72" i="1"/>
  <c r="GV78" i="1"/>
  <c r="GI72" i="1"/>
  <c r="GV72" i="1"/>
  <c r="GZ78" i="1"/>
  <c r="GH91" i="1"/>
  <c r="GP86" i="1"/>
  <c r="GJ77" i="1"/>
  <c r="GQ90" i="1"/>
  <c r="GZ85" i="1"/>
  <c r="GI79" i="1"/>
  <c r="GL93" i="1"/>
  <c r="GZ90" i="1"/>
  <c r="GN88" i="1"/>
  <c r="GN85" i="1"/>
  <c r="GP92" i="1"/>
  <c r="GN90" i="1"/>
  <c r="GH88" i="1"/>
  <c r="GU85" i="1"/>
  <c r="GR81" i="1"/>
  <c r="GU75" i="1"/>
  <c r="GX91" i="1"/>
  <c r="GP87" i="1"/>
  <c r="HA78" i="1"/>
  <c r="GL90" i="1"/>
  <c r="HE84" i="1"/>
  <c r="GY85" i="1"/>
  <c r="GI80" i="1"/>
  <c r="HG73" i="1"/>
  <c r="HB83" i="1"/>
  <c r="GU81" i="1"/>
  <c r="GQ78" i="1"/>
  <c r="GJ75" i="1"/>
  <c r="GW70" i="1"/>
  <c r="HE90" i="1"/>
  <c r="HE88" i="1"/>
  <c r="GM87" i="1"/>
  <c r="GV85" i="1"/>
  <c r="GP83" i="1"/>
  <c r="GI81" i="1"/>
  <c r="GP78" i="1"/>
  <c r="GO75" i="1"/>
  <c r="GN71" i="1"/>
  <c r="HB72" i="1"/>
  <c r="GP68" i="1"/>
  <c r="GR69" i="1"/>
  <c r="GZ69" i="1"/>
  <c r="HC84" i="1"/>
  <c r="GK83" i="1"/>
  <c r="GW81" i="1"/>
  <c r="GU79" i="1"/>
  <c r="GN77" i="1"/>
  <c r="GM75" i="1"/>
  <c r="GO72" i="1"/>
  <c r="HE68" i="1"/>
  <c r="HG70" i="1"/>
  <c r="GR68" i="1"/>
  <c r="GP73" i="1"/>
  <c r="GX77" i="1"/>
  <c r="GY68" i="1"/>
  <c r="GW73" i="1"/>
  <c r="GH71" i="1"/>
  <c r="GP75" i="1"/>
  <c r="GN80" i="1"/>
  <c r="GO71" i="1"/>
  <c r="GZ68" i="1"/>
  <c r="GT75" i="1"/>
  <c r="HG68" i="1"/>
  <c r="HD68" i="1"/>
  <c r="GX75" i="1"/>
  <c r="GJ93" i="1"/>
  <c r="HB88" i="1"/>
  <c r="GL82" i="1"/>
  <c r="GR92" i="1"/>
  <c r="GP88" i="1"/>
  <c r="GH82" i="1"/>
  <c r="GN75" i="1"/>
  <c r="GL92" i="1"/>
  <c r="GT89" i="1"/>
  <c r="HC86" i="1"/>
  <c r="GV93" i="1"/>
  <c r="GO91" i="1"/>
  <c r="GH89" i="1"/>
  <c r="HG86" i="1"/>
  <c r="GT83" i="1"/>
  <c r="GM78" i="1"/>
  <c r="GS75" i="1"/>
  <c r="GR89" i="1"/>
  <c r="GR83" i="1"/>
  <c r="GM92" i="1"/>
  <c r="GZ87" i="1"/>
  <c r="HA75" i="1"/>
  <c r="GR82" i="1"/>
  <c r="HB76" i="1"/>
  <c r="GH85" i="1"/>
  <c r="GV82" i="1"/>
  <c r="GH80" i="1"/>
  <c r="HG76" i="1"/>
  <c r="GR73" i="1"/>
  <c r="GW92" i="1"/>
  <c r="GY89" i="1"/>
  <c r="GK88" i="1"/>
  <c r="GS86" i="1"/>
  <c r="GP84" i="1"/>
  <c r="GO82" i="1"/>
  <c r="GY79" i="1"/>
  <c r="GY76" i="1"/>
  <c r="GZ73" i="1"/>
  <c r="GN69" i="1"/>
  <c r="GP70" i="1"/>
  <c r="HD71" i="1"/>
  <c r="GM79" i="1"/>
  <c r="GW85" i="1"/>
  <c r="GI84" i="1"/>
  <c r="GQ82" i="1"/>
  <c r="GU80" i="1"/>
  <c r="GT78" i="1"/>
  <c r="GM76" i="1"/>
  <c r="HC73" i="1"/>
  <c r="HA70" i="1"/>
  <c r="GS93" i="1"/>
  <c r="HC93" i="1"/>
  <c r="GI93" i="1"/>
  <c r="GK92" i="1"/>
  <c r="GQ91" i="1"/>
  <c r="GW90" i="1"/>
  <c r="GK69" i="1"/>
  <c r="GM72" i="1"/>
  <c r="GX69" i="1"/>
  <c r="GZ72" i="1"/>
  <c r="HB75" i="1"/>
  <c r="GT79" i="1"/>
  <c r="GO69" i="1"/>
  <c r="GQ72" i="1"/>
  <c r="HB69" i="1"/>
  <c r="HD72" i="1"/>
  <c r="HF75" i="1"/>
  <c r="GX79" i="1"/>
  <c r="GS69" i="1"/>
  <c r="GU72" i="1"/>
  <c r="HF69" i="1"/>
  <c r="GH73" i="1"/>
  <c r="GJ76" i="1"/>
  <c r="HB79" i="1"/>
  <c r="GW69" i="1"/>
  <c r="GY72" i="1"/>
  <c r="GJ70" i="1"/>
  <c r="GL73" i="1"/>
  <c r="GN76" i="1"/>
  <c r="HF79" i="1"/>
  <c r="GY92" i="1"/>
  <c r="GR90" i="1"/>
  <c r="HF87" i="1"/>
  <c r="HD85" i="1"/>
  <c r="GQ81" i="1"/>
  <c r="GP74" i="1"/>
  <c r="GH92" i="1"/>
  <c r="HF89" i="1"/>
  <c r="GT87" i="1"/>
  <c r="GP85" i="1"/>
  <c r="GX81" i="1"/>
  <c r="HG77" i="1"/>
  <c r="GY74" i="1"/>
  <c r="HG92" i="1"/>
  <c r="GV91" i="1"/>
  <c r="GU90" i="1"/>
  <c r="GO89" i="1"/>
  <c r="HD87" i="1"/>
  <c r="GX86" i="1"/>
  <c r="HD84" i="1"/>
  <c r="GK93" i="1"/>
  <c r="GJ92" i="1"/>
  <c r="GJ91" i="1"/>
  <c r="HD89" i="1"/>
  <c r="HC88" i="1"/>
  <c r="HB87" i="1"/>
  <c r="GV86" i="1"/>
  <c r="GJ85" i="1"/>
  <c r="GI83" i="1"/>
  <c r="GS80" i="1"/>
  <c r="GZ77" i="1"/>
  <c r="HF74" i="1"/>
  <c r="GO93" i="1"/>
  <c r="GN91" i="1"/>
  <c r="HG88" i="1"/>
  <c r="GU86" i="1"/>
  <c r="GW82" i="1"/>
  <c r="GW77" i="1"/>
  <c r="GX92" i="1"/>
  <c r="GV90" i="1"/>
  <c r="GU88" i="1"/>
  <c r="GI86" i="1"/>
  <c r="GM81" i="1"/>
  <c r="GY88" i="1"/>
  <c r="HB82" i="1"/>
  <c r="GX80" i="1"/>
  <c r="HE77" i="1"/>
  <c r="GX74" i="1"/>
  <c r="GM85" i="1"/>
  <c r="GL84" i="1"/>
  <c r="HA82" i="1"/>
  <c r="GZ81" i="1"/>
  <c r="GW80" i="1"/>
  <c r="GX78" i="1"/>
  <c r="GO77" i="1"/>
  <c r="HE75" i="1"/>
  <c r="HD73" i="1"/>
  <c r="GR71" i="1"/>
  <c r="GY93" i="1"/>
  <c r="HA92" i="1"/>
  <c r="HG91" i="1"/>
  <c r="GM91" i="1"/>
  <c r="GO90" i="1"/>
  <c r="GU89" i="1"/>
  <c r="HA88" i="1"/>
  <c r="HC87" i="1"/>
  <c r="GI87" i="1"/>
  <c r="GO86" i="1"/>
  <c r="GL85" i="1"/>
  <c r="GK84" i="1"/>
  <c r="GJ83" i="1"/>
  <c r="HD81" i="1"/>
  <c r="HB80" i="1"/>
  <c r="GR79" i="1"/>
  <c r="HA77" i="1"/>
  <c r="GQ76" i="1"/>
  <c r="GI75" i="1"/>
  <c r="HF72" i="1"/>
  <c r="HE70" i="1"/>
  <c r="HB68" i="1"/>
  <c r="GH72" i="1"/>
  <c r="HG69" i="1"/>
  <c r="GV73" i="1"/>
  <c r="GJ71" i="1"/>
  <c r="GI69" i="1"/>
  <c r="GY75" i="1"/>
  <c r="HF68" i="1"/>
  <c r="GS85" i="1"/>
  <c r="GY84" i="1"/>
  <c r="HA83" i="1"/>
  <c r="HG82" i="1"/>
  <c r="GM82" i="1"/>
  <c r="GO81" i="1"/>
  <c r="GP80" i="1"/>
  <c r="GO79" i="1"/>
  <c r="GI78" i="1"/>
  <c r="GI77" i="1"/>
  <c r="GH76" i="1"/>
  <c r="HB74" i="1"/>
  <c r="GU73" i="1"/>
  <c r="HG71" i="1"/>
  <c r="GK70" i="1"/>
  <c r="GW68" i="1"/>
  <c r="GL71" i="1"/>
  <c r="HD74" i="1"/>
  <c r="HF77" i="1"/>
  <c r="GH81" i="1"/>
  <c r="GS71" i="1"/>
  <c r="GN68" i="1"/>
  <c r="GP71" i="1"/>
  <c r="GH75" i="1"/>
  <c r="GJ78" i="1"/>
  <c r="HE93" i="1"/>
  <c r="GS91" i="1"/>
  <c r="GL89" i="1"/>
  <c r="GK87" i="1"/>
  <c r="GH83" i="1"/>
  <c r="GL78" i="1"/>
  <c r="GN93" i="1"/>
  <c r="HB90" i="1"/>
  <c r="GZ88" i="1"/>
  <c r="GY86" i="1"/>
  <c r="HD82" i="1"/>
  <c r="GW79" i="1"/>
  <c r="HE76" i="1"/>
  <c r="GR93" i="1"/>
  <c r="GQ92" i="1"/>
  <c r="GK91" i="1"/>
  <c r="GZ89" i="1"/>
  <c r="GT88" i="1"/>
  <c r="GS87" i="1"/>
  <c r="GH86" i="1"/>
  <c r="HA93" i="1"/>
  <c r="GZ92" i="1"/>
  <c r="GT91" i="1"/>
  <c r="GT90" i="1"/>
  <c r="GS89" i="1"/>
  <c r="GM88" i="1"/>
  <c r="GL87" i="1"/>
  <c r="GL86" i="1"/>
  <c r="HD83" i="1"/>
  <c r="HC81" i="1"/>
  <c r="GQ79" i="1"/>
  <c r="GI76" i="1"/>
  <c r="GN84" i="1"/>
  <c r="GT92" i="1"/>
  <c r="HB89" i="1"/>
  <c r="HA87" i="1"/>
  <c r="GT85" i="1"/>
  <c r="HC79" i="1"/>
  <c r="HD93" i="1"/>
  <c r="HB91" i="1"/>
  <c r="GP89" i="1"/>
  <c r="GO87" i="1"/>
  <c r="GJ84" i="1"/>
  <c r="HF91" i="1"/>
  <c r="GS84" i="1"/>
  <c r="HG81" i="1"/>
  <c r="HG78" i="1"/>
  <c r="GO76" i="1"/>
  <c r="HC85" i="1"/>
  <c r="GW84" i="1"/>
  <c r="GV83" i="1"/>
  <c r="GP82" i="1"/>
  <c r="GJ81" i="1"/>
  <c r="HA79" i="1"/>
  <c r="GK78" i="1"/>
  <c r="GT76" i="1"/>
  <c r="HC74" i="1"/>
  <c r="GI73" i="1"/>
  <c r="HG93" i="1"/>
  <c r="GM93" i="1"/>
  <c r="GS92" i="1"/>
  <c r="GU91" i="1"/>
  <c r="HA90" i="1"/>
  <c r="HG89" i="1"/>
  <c r="GI89" i="1"/>
  <c r="GO88" i="1"/>
  <c r="GU87" i="1"/>
  <c r="GW86" i="1"/>
  <c r="HB85" i="1"/>
  <c r="HA84" i="1"/>
  <c r="GU83" i="1"/>
  <c r="GT82" i="1"/>
  <c r="GT81" i="1"/>
  <c r="HG79" i="1"/>
  <c r="GW78" i="1"/>
  <c r="GM77" i="1"/>
  <c r="GV75" i="1"/>
  <c r="GL74" i="1"/>
  <c r="GK72" i="1"/>
  <c r="GY69" i="1"/>
  <c r="GN73" i="1"/>
  <c r="GM71" i="1"/>
  <c r="HA68" i="1"/>
  <c r="GP72" i="1"/>
  <c r="GO70" i="1"/>
  <c r="GL83" i="1"/>
  <c r="GL70" i="1"/>
  <c r="HE85" i="1"/>
  <c r="HG84" i="1"/>
  <c r="GM84" i="1"/>
  <c r="GS83" i="1"/>
  <c r="GU82" i="1"/>
  <c r="HA81" i="1"/>
  <c r="HF80" i="1"/>
  <c r="GZ79" i="1"/>
  <c r="GY78" i="1"/>
  <c r="GY77" i="1"/>
  <c r="GS76" i="1"/>
  <c r="GR75" i="1"/>
  <c r="GQ74" i="1"/>
  <c r="GW72" i="1"/>
  <c r="GI71" i="1"/>
  <c r="GU69" i="1"/>
  <c r="GO68" i="1"/>
  <c r="GQ70" i="1"/>
  <c r="HC72" i="1"/>
  <c r="GH69" i="1"/>
  <c r="GT71" i="1"/>
  <c r="HF73" i="1"/>
  <c r="GR76" i="1"/>
  <c r="HD78" i="1"/>
  <c r="GI68" i="1"/>
  <c r="GU70" i="1"/>
  <c r="HG72" i="1"/>
  <c r="GL69" i="1"/>
  <c r="GX71" i="1"/>
  <c r="GJ74" i="1"/>
  <c r="GV76" i="1"/>
  <c r="GH79" i="1"/>
  <c r="GM68" i="1"/>
  <c r="GY70" i="1"/>
  <c r="GK73" i="1"/>
  <c r="GP69" i="1"/>
  <c r="HB71" i="1"/>
  <c r="GN74" i="1"/>
  <c r="GZ76" i="1"/>
  <c r="GL79" i="1"/>
  <c r="GQ68" i="1"/>
  <c r="HC70" i="1"/>
  <c r="GO73" i="1"/>
  <c r="GT69" i="1"/>
  <c r="HF71" i="1"/>
  <c r="GR74" i="1"/>
  <c r="HD76" i="1"/>
  <c r="GP79" i="1"/>
  <c r="GT93" i="1"/>
  <c r="HD91" i="1"/>
  <c r="GH90" i="1"/>
  <c r="GQ88" i="1"/>
  <c r="GZ86" i="1"/>
  <c r="HC83" i="1"/>
  <c r="GQ80" i="1"/>
  <c r="HG75" i="1"/>
  <c r="HC92" i="1"/>
  <c r="GL91" i="1"/>
  <c r="GV89" i="1"/>
  <c r="HE87" i="1"/>
  <c r="GN86" i="1"/>
  <c r="GY83" i="1"/>
  <c r="GY80" i="1"/>
  <c r="GU78" i="1"/>
  <c r="GP76" i="1"/>
  <c r="HB93" i="1"/>
  <c r="HB92" i="1"/>
  <c r="HA91" i="1"/>
  <c r="HF90" i="1"/>
  <c r="HE89" i="1"/>
  <c r="GJ89" i="1"/>
  <c r="GI88" i="1"/>
  <c r="GH87" i="1"/>
  <c r="GM86" i="1"/>
  <c r="GH84" i="1"/>
  <c r="GP93" i="1"/>
  <c r="GU92" i="1"/>
  <c r="GZ91" i="1"/>
  <c r="HD90" i="1"/>
  <c r="GI90" i="1"/>
  <c r="GN89" i="1"/>
  <c r="GR88" i="1"/>
  <c r="GW87" i="1"/>
  <c r="HB86" i="1"/>
  <c r="HF85" i="1"/>
  <c r="GO84" i="1"/>
  <c r="GX82" i="1"/>
  <c r="HG80" i="1"/>
  <c r="HB78" i="1"/>
  <c r="GW76" i="1"/>
  <c r="GS74" i="1"/>
  <c r="GZ93" i="1"/>
  <c r="GI92" i="1"/>
  <c r="GM90" i="1"/>
  <c r="GV88" i="1"/>
  <c r="HF86" i="1"/>
  <c r="GX84" i="1"/>
  <c r="HE80" i="1"/>
  <c r="GU76" i="1"/>
  <c r="GH93" i="1"/>
  <c r="GR91" i="1"/>
  <c r="HA89" i="1"/>
  <c r="GJ88" i="1"/>
  <c r="GT86" i="1"/>
  <c r="GN83" i="1"/>
  <c r="GW93" i="1"/>
  <c r="GN87" i="1"/>
  <c r="GM83" i="1"/>
  <c r="GV81" i="1"/>
  <c r="GV79" i="1"/>
  <c r="GQ77" i="1"/>
  <c r="GK75" i="1"/>
  <c r="GX85" i="1"/>
  <c r="HB84" i="1"/>
  <c r="HG83" i="1"/>
  <c r="HF82" i="1"/>
  <c r="GK82" i="1"/>
  <c r="GP81" i="1"/>
  <c r="GO80" i="1"/>
  <c r="HF78" i="1"/>
  <c r="HC77" i="1"/>
  <c r="HA76" i="1"/>
  <c r="GQ75" i="1"/>
  <c r="GO74" i="1"/>
  <c r="GL72" i="1"/>
  <c r="GT68" i="1"/>
  <c r="GU93" i="1"/>
  <c r="HE92" i="1"/>
  <c r="GO92" i="1"/>
  <c r="GY91" i="1"/>
  <c r="GI91" i="1"/>
  <c r="GS90" i="1"/>
  <c r="HC89" i="1"/>
  <c r="GM89" i="1"/>
  <c r="GW88" i="1"/>
  <c r="HG87" i="1"/>
  <c r="GQ87" i="1"/>
  <c r="HA86" i="1"/>
  <c r="GK86" i="1"/>
  <c r="GQ85" i="1"/>
  <c r="GV84" i="1"/>
  <c r="GZ83" i="1"/>
  <c r="HE82" i="1"/>
  <c r="GJ82" i="1"/>
  <c r="GN81" i="1"/>
  <c r="GM80" i="1"/>
  <c r="GK79" i="1"/>
  <c r="GH78" i="1"/>
  <c r="HF76" i="1"/>
  <c r="HD75" i="1"/>
  <c r="HA74" i="1"/>
  <c r="GQ73" i="1"/>
  <c r="GZ71" i="1"/>
  <c r="GH70" i="1"/>
  <c r="GS68" i="1"/>
  <c r="GS72" i="1"/>
  <c r="HB70" i="1"/>
  <c r="GJ69" i="1"/>
  <c r="GJ73" i="1"/>
  <c r="GU71" i="1"/>
  <c r="HD69" i="1"/>
  <c r="GL68" i="1"/>
  <c r="GX72" i="1"/>
  <c r="GQ69" i="1"/>
  <c r="HA85" i="1"/>
  <c r="GK85" i="1"/>
  <c r="GU84" i="1"/>
  <c r="HE83" i="1"/>
  <c r="GO83" i="1"/>
  <c r="GY82" i="1"/>
  <c r="GI82" i="1"/>
  <c r="GS81" i="1"/>
  <c r="HA80" i="1"/>
  <c r="HE79" i="1"/>
  <c r="GJ79" i="1"/>
  <c r="GO78" i="1"/>
  <c r="GS77" i="1"/>
  <c r="GX76" i="1"/>
  <c r="HC75" i="1"/>
  <c r="HG74" i="1"/>
  <c r="GK74" i="1"/>
  <c r="HE72" i="1"/>
  <c r="GY71" i="1"/>
  <c r="GS70" i="1"/>
  <c r="GM69" i="1"/>
  <c r="HI13" i="1" a="1"/>
  <c r="HI26" i="1" s="1"/>
  <c r="IG268" i="1" l="1"/>
  <c r="II267" i="1" s="1"/>
  <c r="IK267" i="1" s="1"/>
  <c r="IP266" i="1"/>
  <c r="IQ266" i="1"/>
  <c r="IM266" i="1"/>
  <c r="IO266" i="1"/>
  <c r="IN266" i="1"/>
  <c r="IN270" i="1"/>
  <c r="IO270" i="1"/>
  <c r="IP270" i="1"/>
  <c r="IQ270" i="1"/>
  <c r="IM270" i="1"/>
  <c r="IP268" i="1"/>
  <c r="IQ268" i="1"/>
  <c r="IN268" i="1"/>
  <c r="IO268" i="1"/>
  <c r="IM268" i="1"/>
  <c r="IO269" i="1"/>
  <c r="IN269" i="1"/>
  <c r="IM269" i="1"/>
  <c r="IP269" i="1"/>
  <c r="IQ269" i="1"/>
  <c r="IO267" i="1"/>
  <c r="IP267" i="1"/>
  <c r="IQ267" i="1"/>
  <c r="IN267" i="1"/>
  <c r="IM267" i="1"/>
  <c r="IQ271" i="1"/>
  <c r="IO271" i="1"/>
  <c r="IM271" i="1"/>
  <c r="IP271" i="1"/>
  <c r="IN271" i="1"/>
  <c r="IO265" i="1"/>
  <c r="IP265" i="1"/>
  <c r="IM265" i="1"/>
  <c r="IQ265" i="1"/>
  <c r="IN265" i="1"/>
  <c r="IJ29" i="1"/>
  <c r="HL16" i="1"/>
  <c r="HL31" i="1"/>
  <c r="HL15" i="1"/>
  <c r="HL22" i="1"/>
  <c r="HL33" i="1"/>
  <c r="HL17" i="1"/>
  <c r="HL28" i="1"/>
  <c r="HL27" i="1"/>
  <c r="HL34" i="1"/>
  <c r="HL18" i="1"/>
  <c r="HL29" i="1"/>
  <c r="HL13" i="1"/>
  <c r="HL24" i="1"/>
  <c r="HL23" i="1"/>
  <c r="HL30" i="1"/>
  <c r="HL14" i="1"/>
  <c r="HL25" i="1"/>
  <c r="HL36" i="1"/>
  <c r="HL20" i="1"/>
  <c r="HL35" i="1"/>
  <c r="HL19" i="1"/>
  <c r="HL26" i="1"/>
  <c r="HL37" i="1"/>
  <c r="HL21" i="1"/>
  <c r="HL32" i="1"/>
  <c r="HK12" i="1"/>
  <c r="HK26" i="1"/>
  <c r="HK37" i="1"/>
  <c r="HK21" i="1"/>
  <c r="HK31" i="1"/>
  <c r="HK15" i="1"/>
  <c r="HK24" i="1"/>
  <c r="HK22" i="1"/>
  <c r="HK33" i="1"/>
  <c r="HK17" i="1"/>
  <c r="HK27" i="1"/>
  <c r="HK36" i="1"/>
  <c r="HK20" i="1"/>
  <c r="HK34" i="1"/>
  <c r="HK18" i="1"/>
  <c r="HK29" i="1"/>
  <c r="HK13" i="1"/>
  <c r="HK23" i="1"/>
  <c r="HK32" i="1"/>
  <c r="HK16" i="1"/>
  <c r="HK30" i="1"/>
  <c r="HK14" i="1"/>
  <c r="HK25" i="1"/>
  <c r="HK35" i="1"/>
  <c r="HK19" i="1"/>
  <c r="HK28" i="1"/>
  <c r="HJ12" i="1" a="1"/>
  <c r="HJ12" i="1" s="1"/>
  <c r="HI33" i="1"/>
  <c r="HI28" i="1"/>
  <c r="HI34" i="1"/>
  <c r="HI23" i="1"/>
  <c r="HI36" i="1"/>
  <c r="HI27" i="1"/>
  <c r="HI14" i="1"/>
  <c r="HI21" i="1"/>
  <c r="HI16" i="1"/>
  <c r="HI22" i="1"/>
  <c r="HI29" i="1"/>
  <c r="HI24" i="1"/>
  <c r="HI30" i="1"/>
  <c r="HI15" i="1"/>
  <c r="HI32" i="1"/>
  <c r="HI19" i="1"/>
  <c r="HI31" i="1"/>
  <c r="HI13" i="1"/>
  <c r="HI17" i="1"/>
  <c r="HI35" i="1"/>
  <c r="HI18" i="1"/>
  <c r="HI25" i="1"/>
  <c r="HI20" i="1"/>
  <c r="IG269" i="1" l="1"/>
  <c r="II268" i="1" s="1"/>
  <c r="IK268" i="1" s="1"/>
  <c r="HM12" i="1"/>
  <c r="HJ24" i="1"/>
  <c r="HJ29" i="1"/>
  <c r="HM29" i="1" s="1"/>
  <c r="HJ31" i="1"/>
  <c r="HM31" i="1" s="1"/>
  <c r="HJ35" i="1"/>
  <c r="HM35" i="1" s="1"/>
  <c r="HJ22" i="1"/>
  <c r="HM22" i="1" s="1"/>
  <c r="HJ17" i="1"/>
  <c r="HJ16" i="1"/>
  <c r="HM16" i="1" s="1"/>
  <c r="HJ26" i="1"/>
  <c r="HM26" i="1" s="1"/>
  <c r="HJ28" i="1"/>
  <c r="HM28" i="1" s="1"/>
  <c r="HJ18" i="1"/>
  <c r="HM18" i="1" s="1"/>
  <c r="HJ33" i="1"/>
  <c r="HM33" i="1" s="1"/>
  <c r="HJ21" i="1"/>
  <c r="HJ30" i="1"/>
  <c r="HM30" i="1" s="1"/>
  <c r="HJ20" i="1"/>
  <c r="HM20" i="1" s="1"/>
  <c r="HJ23" i="1"/>
  <c r="HM23" i="1" s="1"/>
  <c r="HJ34" i="1"/>
  <c r="HM34" i="1" s="1"/>
  <c r="HJ15" i="1"/>
  <c r="HM15" i="1" s="1"/>
  <c r="HJ25" i="1"/>
  <c r="HM25" i="1" s="1"/>
  <c r="HJ36" i="1"/>
  <c r="HJ14" i="1"/>
  <c r="HM14" i="1" s="1"/>
  <c r="HJ27" i="1"/>
  <c r="HM27" i="1" s="1"/>
  <c r="HJ37" i="1"/>
  <c r="HM37" i="1" s="1"/>
  <c r="HN37" i="1" s="1"/>
  <c r="HJ32" i="1"/>
  <c r="HJ19" i="1"/>
  <c r="HM19" i="1" s="1"/>
  <c r="HJ13" i="1"/>
  <c r="HM13" i="1" s="1"/>
  <c r="IG270" i="1" l="1"/>
  <c r="HN13" i="1"/>
  <c r="HU6" i="1" s="1"/>
  <c r="HN34" i="1"/>
  <c r="HU48" i="1" s="1"/>
  <c r="HM21" i="1"/>
  <c r="HN21" i="1" s="1"/>
  <c r="HU22" i="1" s="1"/>
  <c r="HM17" i="1"/>
  <c r="HN17" i="1" s="1"/>
  <c r="HU15" i="1" s="1"/>
  <c r="HN16" i="1"/>
  <c r="HU12" i="1" s="1"/>
  <c r="HM32" i="1"/>
  <c r="HN32" i="1" s="1"/>
  <c r="HM36" i="1"/>
  <c r="HN36" i="1" s="1"/>
  <c r="HM24" i="1"/>
  <c r="HN24" i="1" s="1"/>
  <c r="HU28" i="1" s="1"/>
  <c r="HN26" i="1"/>
  <c r="HU32" i="1" s="1"/>
  <c r="IS263" i="1"/>
  <c r="HN23" i="1"/>
  <c r="HU26" i="1" s="1"/>
  <c r="HN22" i="1"/>
  <c r="HU24" i="1" s="1"/>
  <c r="HN35" i="1"/>
  <c r="HU50" i="1" s="1"/>
  <c r="HN28" i="1"/>
  <c r="HU36" i="1" s="1"/>
  <c r="HN31" i="1"/>
  <c r="HU42" i="1" s="1"/>
  <c r="HN30" i="1"/>
  <c r="HU40" i="1" s="1"/>
  <c r="HN33" i="1"/>
  <c r="HU47" i="1" s="1"/>
  <c r="HN12" i="1"/>
  <c r="HN19" i="1"/>
  <c r="HN25" i="1"/>
  <c r="HN20" i="1"/>
  <c r="HN27" i="1"/>
  <c r="HN15" i="1"/>
  <c r="HN14" i="1"/>
  <c r="HN18" i="1"/>
  <c r="HN29" i="1"/>
  <c r="AE74" i="4" l="1"/>
  <c r="AE76" i="4"/>
  <c r="AE66" i="4"/>
  <c r="AE48" i="4"/>
  <c r="AE50" i="4"/>
  <c r="AE52" i="4"/>
  <c r="IS201" i="1"/>
  <c r="JL201" i="1" s="1"/>
  <c r="IS121" i="1"/>
  <c r="JL121" i="1" s="1"/>
  <c r="IS101" i="1"/>
  <c r="JL101" i="1" s="1"/>
  <c r="IS111" i="1"/>
  <c r="JL111" i="1" s="1"/>
  <c r="IS171" i="1"/>
  <c r="JL171" i="1" s="1"/>
  <c r="IS231" i="1"/>
  <c r="JL231" i="1" s="1"/>
  <c r="IS241" i="1"/>
  <c r="JL241" i="1" s="1"/>
  <c r="IS151" i="1"/>
  <c r="JL151" i="1" s="1"/>
  <c r="IS191" i="1"/>
  <c r="JL191" i="1" s="1"/>
  <c r="IS131" i="1"/>
  <c r="JL131" i="1" s="1"/>
  <c r="IS51" i="1"/>
  <c r="JL51" i="1" s="1"/>
  <c r="II270" i="1"/>
  <c r="IK270" i="1" s="1"/>
  <c r="JL263" i="1"/>
  <c r="JT264" i="1"/>
  <c r="II269" i="1"/>
  <c r="IK269" i="1" s="1"/>
  <c r="IS21" i="1"/>
  <c r="JL21" i="1" s="1"/>
  <c r="HU34" i="1"/>
  <c r="AE60" i="4" s="1"/>
  <c r="HU35" i="1"/>
  <c r="HU52" i="1"/>
  <c r="HU53" i="1"/>
  <c r="AE79" i="4" s="1"/>
  <c r="HU44" i="1"/>
  <c r="AE70" i="4" s="1"/>
  <c r="HU45" i="1"/>
  <c r="AE71" i="4" s="1"/>
  <c r="HU14" i="1"/>
  <c r="AE38" i="4" s="1"/>
  <c r="IR266" i="1"/>
  <c r="IS266" i="1" s="1"/>
  <c r="IR267" i="1"/>
  <c r="IS267" i="1" s="1"/>
  <c r="IR268" i="1"/>
  <c r="IS268" i="1" s="1"/>
  <c r="IR265" i="1"/>
  <c r="IS265" i="1" s="1"/>
  <c r="IR269" i="1"/>
  <c r="IS269" i="1" s="1"/>
  <c r="IR270" i="1"/>
  <c r="IS270" i="1" s="1"/>
  <c r="IR264" i="1"/>
  <c r="IS264" i="1" s="1"/>
  <c r="IR227" i="1"/>
  <c r="IR224" i="1"/>
  <c r="IR225" i="1"/>
  <c r="IR228" i="1"/>
  <c r="IR229" i="1"/>
  <c r="IR226" i="1"/>
  <c r="IR230" i="1"/>
  <c r="IS223" i="1"/>
  <c r="JL223" i="1" s="1"/>
  <c r="HU46" i="1"/>
  <c r="AE72" i="4" s="1"/>
  <c r="HU13" i="1"/>
  <c r="HU54" i="1"/>
  <c r="AE80" i="4" s="1"/>
  <c r="HU27" i="1"/>
  <c r="AE53" i="4" s="1"/>
  <c r="HU29" i="1"/>
  <c r="HU39" i="1"/>
  <c r="HU41" i="1"/>
  <c r="AE67" i="4" s="1"/>
  <c r="HU49" i="1"/>
  <c r="HU33" i="1"/>
  <c r="HU37" i="1"/>
  <c r="AE63" i="4" s="1"/>
  <c r="HU43" i="1"/>
  <c r="AE69" i="4" s="1"/>
  <c r="HU51" i="1"/>
  <c r="AE77" i="4" s="1"/>
  <c r="HU7" i="1"/>
  <c r="HU30" i="1"/>
  <c r="AE56" i="4" s="1"/>
  <c r="HU31" i="1"/>
  <c r="HU16" i="1"/>
  <c r="HU17" i="1"/>
  <c r="AE41" i="4" s="1"/>
  <c r="HU8" i="1"/>
  <c r="AE32" i="4" s="1"/>
  <c r="HU9" i="1"/>
  <c r="HU10" i="1"/>
  <c r="HU11" i="1"/>
  <c r="HU5" i="1"/>
  <c r="AE29" i="4" s="1"/>
  <c r="HU18" i="1"/>
  <c r="HU19" i="1"/>
  <c r="HU20" i="1"/>
  <c r="AE46" i="4" s="1"/>
  <c r="HU21" i="1"/>
  <c r="HU25" i="1"/>
  <c r="HU23" i="1"/>
  <c r="HV47" i="1"/>
  <c r="HU4" i="1"/>
  <c r="AE30" i="4" s="1"/>
  <c r="HU38" i="1"/>
  <c r="AE64" i="4" s="1"/>
  <c r="AE45" i="4" l="1"/>
  <c r="AE37" i="4"/>
  <c r="AE44" i="4"/>
  <c r="AE35" i="4"/>
  <c r="AE75" i="4"/>
  <c r="AE61" i="4"/>
  <c r="AE68" i="4"/>
  <c r="AE65" i="4"/>
  <c r="AE55" i="4"/>
  <c r="AE78" i="4"/>
  <c r="AE73" i="4"/>
  <c r="AE62" i="4"/>
  <c r="AE57" i="4"/>
  <c r="AE54" i="4"/>
  <c r="AE59" i="4"/>
  <c r="AE58" i="4"/>
  <c r="AE43" i="4"/>
  <c r="AE40" i="4"/>
  <c r="AE47" i="4"/>
  <c r="AE34" i="4"/>
  <c r="AE49" i="4"/>
  <c r="AE51" i="4"/>
  <c r="AE42" i="4"/>
  <c r="AE33" i="4"/>
  <c r="AE39" i="4"/>
  <c r="AE31" i="4"/>
  <c r="AE36" i="4"/>
  <c r="IS71" i="1"/>
  <c r="JL71" i="1" s="1"/>
  <c r="IS233" i="1"/>
  <c r="JL233" i="1" s="1"/>
  <c r="IS123" i="1"/>
  <c r="JL123" i="1" s="1"/>
  <c r="IR114" i="1"/>
  <c r="IS261" i="1"/>
  <c r="JL261" i="1" s="1"/>
  <c r="IS211" i="1"/>
  <c r="JL211" i="1" s="1"/>
  <c r="IS161" i="1"/>
  <c r="JL161" i="1" s="1"/>
  <c r="IS91" i="1"/>
  <c r="JL91" i="1" s="1"/>
  <c r="IS181" i="1"/>
  <c r="JL181" i="1" s="1"/>
  <c r="IS81" i="1"/>
  <c r="JL81" i="1" s="1"/>
  <c r="IS11" i="1"/>
  <c r="JT11" i="1" s="1"/>
  <c r="IS141" i="1"/>
  <c r="JL141" i="1" s="1"/>
  <c r="IS253" i="1"/>
  <c r="JL253" i="1" s="1"/>
  <c r="IS221" i="1"/>
  <c r="JL221" i="1" s="1"/>
  <c r="IS251" i="1"/>
  <c r="JL251" i="1" s="1"/>
  <c r="IS31" i="1"/>
  <c r="JL31" i="1" s="1"/>
  <c r="IS53" i="1"/>
  <c r="JL53" i="1" s="1"/>
  <c r="IS43" i="1"/>
  <c r="JL43" i="1" s="1"/>
  <c r="IS23" i="1"/>
  <c r="JL23" i="1" s="1"/>
  <c r="IS61" i="1"/>
  <c r="JL61" i="1" s="1"/>
  <c r="IS41" i="1"/>
  <c r="JL41" i="1" s="1"/>
  <c r="IS13" i="1"/>
  <c r="JT14" i="1" s="1"/>
  <c r="IR257" i="1"/>
  <c r="IR254" i="1"/>
  <c r="IR258" i="1"/>
  <c r="IR255" i="1"/>
  <c r="IR259" i="1"/>
  <c r="IR256" i="1"/>
  <c r="IR260" i="1"/>
  <c r="HV51" i="1"/>
  <c r="S77" i="4" s="1"/>
  <c r="IR248" i="1"/>
  <c r="IR245" i="1"/>
  <c r="IR249" i="1"/>
  <c r="IR244" i="1"/>
  <c r="IR246" i="1"/>
  <c r="IR250" i="1"/>
  <c r="IR247" i="1"/>
  <c r="IS243" i="1"/>
  <c r="JL243" i="1" s="1"/>
  <c r="HV49" i="1"/>
  <c r="S75" i="4" s="1"/>
  <c r="IR236" i="1"/>
  <c r="IR240" i="1"/>
  <c r="IR237" i="1"/>
  <c r="IR234" i="1"/>
  <c r="IR238" i="1"/>
  <c r="IR235" i="1"/>
  <c r="IR239" i="1"/>
  <c r="IG224" i="1"/>
  <c r="IR217" i="1"/>
  <c r="IR218" i="1"/>
  <c r="IR219" i="1"/>
  <c r="IR216" i="1"/>
  <c r="IR220" i="1"/>
  <c r="IR214" i="1"/>
  <c r="IR215" i="1"/>
  <c r="IS213" i="1"/>
  <c r="JL213" i="1" s="1"/>
  <c r="HV43" i="1"/>
  <c r="S69" i="4" s="1"/>
  <c r="IR207" i="1"/>
  <c r="IR204" i="1"/>
  <c r="IR208" i="1"/>
  <c r="IR205" i="1"/>
  <c r="IR209" i="1"/>
  <c r="IR206" i="1"/>
  <c r="IR210" i="1"/>
  <c r="IS203" i="1"/>
  <c r="JL203" i="1" s="1"/>
  <c r="HV45" i="1"/>
  <c r="S71" i="4" s="1"/>
  <c r="HV41" i="1"/>
  <c r="S67" i="4" s="1"/>
  <c r="IR198" i="1"/>
  <c r="IR195" i="1"/>
  <c r="IR199" i="1"/>
  <c r="IR194" i="1"/>
  <c r="IR196" i="1"/>
  <c r="IR200" i="1"/>
  <c r="IR197" i="1"/>
  <c r="IS193" i="1"/>
  <c r="JL193" i="1" s="1"/>
  <c r="HV39" i="1"/>
  <c r="S65" i="4" s="1"/>
  <c r="IR185" i="1"/>
  <c r="IR189" i="1"/>
  <c r="IR186" i="1"/>
  <c r="IR190" i="1"/>
  <c r="IR187" i="1"/>
  <c r="IR184" i="1"/>
  <c r="IR188" i="1"/>
  <c r="IS183" i="1"/>
  <c r="JL183" i="1" s="1"/>
  <c r="IR178" i="1"/>
  <c r="IR175" i="1"/>
  <c r="IR179" i="1"/>
  <c r="IR176" i="1"/>
  <c r="IR180" i="1"/>
  <c r="IR177" i="1"/>
  <c r="IR174" i="1"/>
  <c r="IS173" i="1"/>
  <c r="JL173" i="1" s="1"/>
  <c r="HV35" i="1"/>
  <c r="IR167" i="1"/>
  <c r="IR164" i="1"/>
  <c r="IR168" i="1"/>
  <c r="IR165" i="1"/>
  <c r="IR166" i="1"/>
  <c r="IR170" i="1"/>
  <c r="IR169" i="1"/>
  <c r="IS163" i="1"/>
  <c r="JL163" i="1" s="1"/>
  <c r="HV33" i="1"/>
  <c r="S59" i="4" s="1"/>
  <c r="IR158" i="1"/>
  <c r="IR155" i="1"/>
  <c r="IR159" i="1"/>
  <c r="IR156" i="1"/>
  <c r="IR160" i="1"/>
  <c r="IR157" i="1"/>
  <c r="IR154" i="1"/>
  <c r="IS153" i="1"/>
  <c r="JL153" i="1" s="1"/>
  <c r="HV31" i="1"/>
  <c r="IR149" i="1"/>
  <c r="IR146" i="1"/>
  <c r="IR147" i="1"/>
  <c r="IR144" i="1"/>
  <c r="IR148" i="1"/>
  <c r="IR145" i="1"/>
  <c r="IR150" i="1"/>
  <c r="IS143" i="1"/>
  <c r="JL143" i="1" s="1"/>
  <c r="IR137" i="1"/>
  <c r="IR134" i="1"/>
  <c r="IR138" i="1"/>
  <c r="IR135" i="1"/>
  <c r="IR139" i="1"/>
  <c r="IR136" i="1"/>
  <c r="IR140" i="1"/>
  <c r="IS133" i="1"/>
  <c r="JL133" i="1" s="1"/>
  <c r="HV27" i="1"/>
  <c r="IR127" i="1"/>
  <c r="IR129" i="1"/>
  <c r="IR125" i="1"/>
  <c r="IR130" i="1"/>
  <c r="IR126" i="1"/>
  <c r="IR124" i="1"/>
  <c r="IR128" i="1"/>
  <c r="HV25" i="1"/>
  <c r="IR117" i="1"/>
  <c r="IR118" i="1"/>
  <c r="IR115" i="1"/>
  <c r="IR119" i="1"/>
  <c r="IR116" i="1"/>
  <c r="IR120" i="1"/>
  <c r="IS113" i="1"/>
  <c r="JL113" i="1" s="1"/>
  <c r="HV23" i="1"/>
  <c r="IR108" i="1"/>
  <c r="IR105" i="1"/>
  <c r="IR109" i="1"/>
  <c r="IR106" i="1"/>
  <c r="IR110" i="1"/>
  <c r="IR107" i="1"/>
  <c r="IR104" i="1"/>
  <c r="IS103" i="1"/>
  <c r="JL103" i="1" s="1"/>
  <c r="HV21" i="1"/>
  <c r="IR97" i="1"/>
  <c r="IR94" i="1"/>
  <c r="IS93" i="1"/>
  <c r="JL93" i="1" s="1"/>
  <c r="IR98" i="1"/>
  <c r="IR95" i="1"/>
  <c r="IR99" i="1"/>
  <c r="IR96" i="1"/>
  <c r="IR100" i="1"/>
  <c r="IR86" i="1"/>
  <c r="IR90" i="1"/>
  <c r="IR87" i="1"/>
  <c r="IR84" i="1"/>
  <c r="IR88" i="1"/>
  <c r="IR85" i="1"/>
  <c r="IR89" i="1"/>
  <c r="IS83" i="1"/>
  <c r="JL83" i="1" s="1"/>
  <c r="IR78" i="1"/>
  <c r="IR76" i="1"/>
  <c r="IR80" i="1"/>
  <c r="IR77" i="1"/>
  <c r="IR74" i="1"/>
  <c r="IR75" i="1"/>
  <c r="IR79" i="1"/>
  <c r="IS73" i="1"/>
  <c r="JL73" i="1" s="1"/>
  <c r="IR66" i="1"/>
  <c r="IR70" i="1"/>
  <c r="IR67" i="1"/>
  <c r="IR64" i="1"/>
  <c r="IR68" i="1"/>
  <c r="IR65" i="1"/>
  <c r="IR69" i="1"/>
  <c r="IS63" i="1"/>
  <c r="JL63" i="1" s="1"/>
  <c r="HV13" i="1"/>
  <c r="IR58" i="1"/>
  <c r="IR55" i="1"/>
  <c r="IR59" i="1"/>
  <c r="IR56" i="1"/>
  <c r="IR60" i="1"/>
  <c r="IR57" i="1"/>
  <c r="IR54" i="1"/>
  <c r="IS33" i="1"/>
  <c r="JL33" i="1" s="1"/>
  <c r="IR34" i="1"/>
  <c r="HV11" i="1"/>
  <c r="IR48" i="1"/>
  <c r="IR45" i="1"/>
  <c r="IR49" i="1"/>
  <c r="IR46" i="1"/>
  <c r="IR50" i="1"/>
  <c r="IR47" i="1"/>
  <c r="IR44" i="1"/>
  <c r="IR39" i="1"/>
  <c r="IR37" i="1"/>
  <c r="IR38" i="1"/>
  <c r="IR35" i="1"/>
  <c r="IR36" i="1"/>
  <c r="IR40" i="1"/>
  <c r="HV53" i="1"/>
  <c r="S79" i="4" s="1"/>
  <c r="IR27" i="1"/>
  <c r="IR24" i="1"/>
  <c r="IR28" i="1"/>
  <c r="IR25" i="1"/>
  <c r="IR29" i="1"/>
  <c r="IR26" i="1"/>
  <c r="IR30" i="1"/>
  <c r="IR17" i="1"/>
  <c r="IR14" i="1"/>
  <c r="IR18" i="1"/>
  <c r="IR15" i="1"/>
  <c r="IR19" i="1"/>
  <c r="IR16" i="1"/>
  <c r="IR20" i="1"/>
  <c r="HV15" i="1"/>
  <c r="HV5" i="1"/>
  <c r="S29" i="4" s="1"/>
  <c r="HV29" i="1"/>
  <c r="S55" i="4" s="1"/>
  <c r="HV37" i="1"/>
  <c r="S63" i="4" s="1"/>
  <c r="HW48" i="1"/>
  <c r="HV7" i="1"/>
  <c r="HV9" i="1"/>
  <c r="HV17" i="1"/>
  <c r="HV19" i="1"/>
  <c r="S31" i="4" l="1"/>
  <c r="S47" i="4"/>
  <c r="S41" i="4"/>
  <c r="S61" i="4"/>
  <c r="S73" i="4"/>
  <c r="S53" i="4"/>
  <c r="S57" i="4"/>
  <c r="S35" i="4"/>
  <c r="S49" i="4"/>
  <c r="S51" i="4"/>
  <c r="S33" i="4"/>
  <c r="S37" i="4"/>
  <c r="S43" i="4"/>
  <c r="S39" i="4"/>
  <c r="S45" i="4"/>
  <c r="JO243" i="1"/>
  <c r="JO223" i="1"/>
  <c r="JO3" i="1"/>
  <c r="JO13" i="1"/>
  <c r="JO73" i="1"/>
  <c r="JO53" i="1"/>
  <c r="JO263" i="1"/>
  <c r="JO83" i="1"/>
  <c r="JO23" i="1"/>
  <c r="JO113" i="1"/>
  <c r="JO133" i="1"/>
  <c r="JO43" i="1"/>
  <c r="JO123" i="1"/>
  <c r="JO213" i="1"/>
  <c r="JO63" i="1"/>
  <c r="JO203" i="1"/>
  <c r="JO183" i="1"/>
  <c r="JO233" i="1"/>
  <c r="JO253" i="1"/>
  <c r="JO33" i="1"/>
  <c r="JO103" i="1"/>
  <c r="JO153" i="1"/>
  <c r="JO173" i="1"/>
  <c r="JO93" i="1"/>
  <c r="JO163" i="1"/>
  <c r="JO143" i="1"/>
  <c r="JO193" i="1"/>
  <c r="JT261" i="1"/>
  <c r="IG231" i="1"/>
  <c r="JI231" i="1" s="1"/>
  <c r="IG144" i="1"/>
  <c r="JI144" i="1" s="1"/>
  <c r="HW54" i="1"/>
  <c r="X79" i="4" s="1"/>
  <c r="HW14" i="1"/>
  <c r="HW34" i="1"/>
  <c r="X59" i="4" s="1"/>
  <c r="IG214" i="1"/>
  <c r="JI214" i="1" s="1"/>
  <c r="HW22" i="1"/>
  <c r="HW36" i="1"/>
  <c r="IG204" i="1"/>
  <c r="JI204" i="1" s="1"/>
  <c r="HW12" i="1"/>
  <c r="HW24" i="1"/>
  <c r="IG114" i="1"/>
  <c r="JI114" i="1" s="1"/>
  <c r="HW28" i="1"/>
  <c r="HW40" i="1"/>
  <c r="IG234" i="1"/>
  <c r="JI234" i="1" s="1"/>
  <c r="HW42" i="1"/>
  <c r="HW52" i="1"/>
  <c r="JL11" i="1"/>
  <c r="JL13" i="1"/>
  <c r="II223" i="1"/>
  <c r="IK223" i="1" s="1"/>
  <c r="IL223" i="1" s="1"/>
  <c r="JI224" i="1"/>
  <c r="HW44" i="1"/>
  <c r="IG225" i="1"/>
  <c r="II224" i="1" s="1"/>
  <c r="IK224" i="1" s="1"/>
  <c r="HW50" i="1"/>
  <c r="IG244" i="1"/>
  <c r="IG194" i="1"/>
  <c r="HW46" i="1"/>
  <c r="X71" i="4" s="1"/>
  <c r="IG254" i="1"/>
  <c r="JI254" i="1" s="1"/>
  <c r="IG184" i="1"/>
  <c r="JI184" i="1" s="1"/>
  <c r="HW32" i="1"/>
  <c r="X57" i="4" s="1"/>
  <c r="IG174" i="1"/>
  <c r="HW26" i="1"/>
  <c r="IG164" i="1"/>
  <c r="JI164" i="1" s="1"/>
  <c r="IG154" i="1"/>
  <c r="JI154" i="1" s="1"/>
  <c r="IG134" i="1"/>
  <c r="IG124" i="1"/>
  <c r="JI124" i="1" s="1"/>
  <c r="IG104" i="1"/>
  <c r="JI104" i="1" s="1"/>
  <c r="IG94" i="1"/>
  <c r="JI94" i="1" s="1"/>
  <c r="IG84" i="1"/>
  <c r="IG74" i="1"/>
  <c r="IG64" i="1"/>
  <c r="IG54" i="1"/>
  <c r="JI54" i="1" s="1"/>
  <c r="IG44" i="1"/>
  <c r="JI44" i="1" s="1"/>
  <c r="IG115" i="1"/>
  <c r="II203" i="1"/>
  <c r="IG215" i="1"/>
  <c r="II214" i="1" s="1"/>
  <c r="IK214" i="1" s="1"/>
  <c r="IG235" i="1"/>
  <c r="IG14" i="1"/>
  <c r="HW16" i="1"/>
  <c r="HY4" i="1"/>
  <c r="HW6" i="1"/>
  <c r="X29" i="4" s="1"/>
  <c r="HW30" i="1"/>
  <c r="HW38" i="1"/>
  <c r="X63" i="4" s="1"/>
  <c r="HY48" i="1"/>
  <c r="HY54" i="1"/>
  <c r="N80" i="4" s="1"/>
  <c r="HY36" i="1"/>
  <c r="HW20" i="1"/>
  <c r="HW18" i="1"/>
  <c r="HW10" i="1"/>
  <c r="IG34" i="1"/>
  <c r="JI34" i="1" s="1"/>
  <c r="IG24" i="1"/>
  <c r="JI24" i="1" s="1"/>
  <c r="HW8" i="1"/>
  <c r="II234" i="1" l="1"/>
  <c r="IK234" i="1" s="1"/>
  <c r="X69" i="4"/>
  <c r="X75" i="4"/>
  <c r="X61" i="4"/>
  <c r="X73" i="4"/>
  <c r="X55" i="4"/>
  <c r="X37" i="4"/>
  <c r="X43" i="4"/>
  <c r="X31" i="4"/>
  <c r="X39" i="4"/>
  <c r="HY52" i="1"/>
  <c r="N78" i="4" s="1"/>
  <c r="X77" i="4"/>
  <c r="HY28" i="1"/>
  <c r="X53" i="4"/>
  <c r="HY42" i="1"/>
  <c r="N68" i="4" s="1"/>
  <c r="X67" i="4"/>
  <c r="HY40" i="1"/>
  <c r="JB190" i="1" s="1"/>
  <c r="JE190" i="1" s="1"/>
  <c r="JF191" i="1" s="1"/>
  <c r="JF192" i="1" s="1"/>
  <c r="JX183" i="1" s="1"/>
  <c r="X65" i="4"/>
  <c r="X33" i="4"/>
  <c r="X49" i="4"/>
  <c r="X51" i="4"/>
  <c r="X41" i="4"/>
  <c r="X35" i="4"/>
  <c r="HY24" i="1"/>
  <c r="JB110" i="1" s="1"/>
  <c r="JE110" i="1" s="1"/>
  <c r="JF111" i="1" s="1"/>
  <c r="JF112" i="1" s="1"/>
  <c r="JX103" i="1" s="1"/>
  <c r="X47" i="4"/>
  <c r="HY22" i="1"/>
  <c r="X45" i="4"/>
  <c r="HY12" i="1"/>
  <c r="HY14" i="1"/>
  <c r="IG261" i="1"/>
  <c r="II261" i="1" s="1"/>
  <c r="IK261" i="1" s="1"/>
  <c r="II143" i="1"/>
  <c r="IK143" i="1" s="1"/>
  <c r="IL143" i="1" s="1"/>
  <c r="II231" i="1"/>
  <c r="IK231" i="1" s="1"/>
  <c r="II233" i="1"/>
  <c r="IK233" i="1" s="1"/>
  <c r="IL233" i="1" s="1"/>
  <c r="II113" i="1"/>
  <c r="IK113" i="1" s="1"/>
  <c r="IL113" i="1" s="1"/>
  <c r="II114" i="1"/>
  <c r="IK114" i="1" s="1"/>
  <c r="HY38" i="1"/>
  <c r="N64" i="4" s="1"/>
  <c r="HY50" i="1"/>
  <c r="IG91" i="1"/>
  <c r="II91" i="1" s="1"/>
  <c r="IK91" i="1" s="1"/>
  <c r="JB250" i="1"/>
  <c r="JE250" i="1" s="1"/>
  <c r="JF251" i="1" s="1"/>
  <c r="JF252" i="1" s="1"/>
  <c r="JX243" i="1" s="1"/>
  <c r="IG251" i="1"/>
  <c r="IG161" i="1"/>
  <c r="IG41" i="1"/>
  <c r="JI41" i="1" s="1"/>
  <c r="HY34" i="1"/>
  <c r="N60" i="4" s="1"/>
  <c r="IG141" i="1"/>
  <c r="II141" i="1" s="1"/>
  <c r="IK141" i="1" s="1"/>
  <c r="IG31" i="1"/>
  <c r="II31" i="1" s="1"/>
  <c r="IK31" i="1" s="1"/>
  <c r="JB170" i="1"/>
  <c r="JE170" i="1" s="1"/>
  <c r="JF171" i="1" s="1"/>
  <c r="JF172" i="1" s="1"/>
  <c r="JX163" i="1" s="1"/>
  <c r="JB230" i="1"/>
  <c r="JE230" i="1" s="1"/>
  <c r="JF231" i="1" s="1"/>
  <c r="JF232" i="1" s="1"/>
  <c r="JX223" i="1" s="1"/>
  <c r="IG21" i="1"/>
  <c r="JI21" i="1" s="1"/>
  <c r="II213" i="1"/>
  <c r="IK213" i="1" s="1"/>
  <c r="IL213" i="1" s="1"/>
  <c r="IG111" i="1"/>
  <c r="IG101" i="1"/>
  <c r="IG81" i="1"/>
  <c r="II81" i="1" s="1"/>
  <c r="IK81" i="1" s="1"/>
  <c r="IG191" i="1"/>
  <c r="IG51" i="1"/>
  <c r="IG121" i="1"/>
  <c r="JI121" i="1" s="1"/>
  <c r="IG71" i="1"/>
  <c r="II71" i="1" s="1"/>
  <c r="IK71" i="1" s="1"/>
  <c r="IG221" i="1"/>
  <c r="II221" i="1" s="1"/>
  <c r="IK221" i="1" s="1"/>
  <c r="IG131" i="1"/>
  <c r="JB260" i="1"/>
  <c r="JE260" i="1" s="1"/>
  <c r="JF261" i="1" s="1"/>
  <c r="JF262" i="1" s="1"/>
  <c r="JX253" i="1" s="1"/>
  <c r="IG145" i="1"/>
  <c r="II144" i="1" s="1"/>
  <c r="IK144" i="1" s="1"/>
  <c r="IG205" i="1"/>
  <c r="II204" i="1" s="1"/>
  <c r="IK204" i="1" s="1"/>
  <c r="IG151" i="1"/>
  <c r="JI151" i="1" s="1"/>
  <c r="IG211" i="1"/>
  <c r="II211" i="1" s="1"/>
  <c r="IK211" i="1" s="1"/>
  <c r="IG201" i="1"/>
  <c r="IG171" i="1"/>
  <c r="IG61" i="1"/>
  <c r="JI14" i="1"/>
  <c r="HY44" i="1"/>
  <c r="N70" i="4" s="1"/>
  <c r="IG245" i="1"/>
  <c r="IG246" i="1" s="1"/>
  <c r="IG247" i="1" s="1"/>
  <c r="JI244" i="1"/>
  <c r="IG135" i="1"/>
  <c r="II134" i="1" s="1"/>
  <c r="IK134" i="1" s="1"/>
  <c r="JI134" i="1"/>
  <c r="IG175" i="1"/>
  <c r="IG176" i="1" s="1"/>
  <c r="II175" i="1" s="1"/>
  <c r="IK175" i="1" s="1"/>
  <c r="JI174" i="1"/>
  <c r="IG195" i="1"/>
  <c r="II194" i="1" s="1"/>
  <c r="IK194" i="1" s="1"/>
  <c r="JI194" i="1"/>
  <c r="II73" i="1"/>
  <c r="IK73" i="1" s="1"/>
  <c r="IL73" i="1" s="1"/>
  <c r="JI74" i="1"/>
  <c r="II83" i="1"/>
  <c r="IK83" i="1" s="1"/>
  <c r="IL83" i="1" s="1"/>
  <c r="JI84" i="1"/>
  <c r="IG65" i="1"/>
  <c r="II64" i="1" s="1"/>
  <c r="IK64" i="1" s="1"/>
  <c r="JI64" i="1"/>
  <c r="HY5" i="1"/>
  <c r="N29" i="4" s="1"/>
  <c r="JB10" i="1"/>
  <c r="JE10" i="1" s="1"/>
  <c r="HY55" i="1"/>
  <c r="N81" i="4" s="1"/>
  <c r="HY49" i="1"/>
  <c r="HY37" i="1"/>
  <c r="IG226" i="1"/>
  <c r="II225" i="1" s="1"/>
  <c r="IK225" i="1" s="1"/>
  <c r="IG241" i="1"/>
  <c r="HY46" i="1"/>
  <c r="N72" i="4" s="1"/>
  <c r="II243" i="1"/>
  <c r="IK243" i="1" s="1"/>
  <c r="IL243" i="1" s="1"/>
  <c r="II193" i="1"/>
  <c r="IK193" i="1" s="1"/>
  <c r="IL193" i="1" s="1"/>
  <c r="II253" i="1"/>
  <c r="IK253" i="1" s="1"/>
  <c r="IL253" i="1" s="1"/>
  <c r="IG255" i="1"/>
  <c r="IG256" i="1" s="1"/>
  <c r="IG257" i="1" s="1"/>
  <c r="II173" i="1"/>
  <c r="IK173" i="1" s="1"/>
  <c r="IL173" i="1" s="1"/>
  <c r="II133" i="1"/>
  <c r="IK133" i="1" s="1"/>
  <c r="IL133" i="1" s="1"/>
  <c r="HY32" i="1"/>
  <c r="N58" i="4" s="1"/>
  <c r="IN223" i="1"/>
  <c r="IQ223" i="1"/>
  <c r="IP223" i="1"/>
  <c r="IO223" i="1"/>
  <c r="IM223" i="1"/>
  <c r="IG185" i="1"/>
  <c r="II183" i="1"/>
  <c r="IK183" i="1" s="1"/>
  <c r="IL183" i="1" s="1"/>
  <c r="HY26" i="1"/>
  <c r="IG165" i="1"/>
  <c r="II163" i="1"/>
  <c r="IK163" i="1" s="1"/>
  <c r="IL163" i="1" s="1"/>
  <c r="IG155" i="1"/>
  <c r="II153" i="1"/>
  <c r="IK153" i="1" s="1"/>
  <c r="IL153" i="1" s="1"/>
  <c r="II123" i="1"/>
  <c r="IK123" i="1" s="1"/>
  <c r="IL123" i="1" s="1"/>
  <c r="IG125" i="1"/>
  <c r="IG126" i="1" s="1"/>
  <c r="II125" i="1" s="1"/>
  <c r="IK125" i="1" s="1"/>
  <c r="II103" i="1"/>
  <c r="IK103" i="1" s="1"/>
  <c r="IL103" i="1" s="1"/>
  <c r="IG105" i="1"/>
  <c r="IG106" i="1" s="1"/>
  <c r="IG107" i="1" s="1"/>
  <c r="II106" i="1" s="1"/>
  <c r="IK106" i="1" s="1"/>
  <c r="IG85" i="1"/>
  <c r="II84" i="1" s="1"/>
  <c r="IK84" i="1" s="1"/>
  <c r="II93" i="1"/>
  <c r="IK93" i="1" s="1"/>
  <c r="IL93" i="1" s="1"/>
  <c r="IG95" i="1"/>
  <c r="II63" i="1"/>
  <c r="IK63" i="1" s="1"/>
  <c r="IL63" i="1" s="1"/>
  <c r="IG75" i="1"/>
  <c r="II74" i="1" s="1"/>
  <c r="IK74" i="1" s="1"/>
  <c r="II53" i="1"/>
  <c r="IK53" i="1" s="1"/>
  <c r="IL53" i="1" s="1"/>
  <c r="IG55" i="1"/>
  <c r="IG56" i="1" s="1"/>
  <c r="II55" i="1" s="1"/>
  <c r="IK55" i="1" s="1"/>
  <c r="II43" i="1"/>
  <c r="IK43" i="1" s="1"/>
  <c r="IL43" i="1" s="1"/>
  <c r="IG45" i="1"/>
  <c r="IG46" i="1" s="1"/>
  <c r="II45" i="1" s="1"/>
  <c r="IK45" i="1" s="1"/>
  <c r="IK203" i="1"/>
  <c r="IL203" i="1" s="1"/>
  <c r="IG35" i="1"/>
  <c r="II34" i="1" s="1"/>
  <c r="IK34" i="1" s="1"/>
  <c r="II33" i="1"/>
  <c r="IG236" i="1"/>
  <c r="IG216" i="1"/>
  <c r="II215" i="1" s="1"/>
  <c r="IK215" i="1" s="1"/>
  <c r="IG116" i="1"/>
  <c r="IG25" i="1"/>
  <c r="II24" i="1" s="1"/>
  <c r="IK24" i="1" s="1"/>
  <c r="II23" i="1"/>
  <c r="II13" i="1"/>
  <c r="IK13" i="1" s="1"/>
  <c r="IL13" i="1" s="1"/>
  <c r="IG15" i="1"/>
  <c r="HY16" i="1"/>
  <c r="HY6" i="1"/>
  <c r="N30" i="4" s="1"/>
  <c r="HY30" i="1"/>
  <c r="IG181" i="1"/>
  <c r="HY20" i="1"/>
  <c r="HY18" i="1"/>
  <c r="HY10" i="1"/>
  <c r="HY8" i="1"/>
  <c r="N62" i="4" l="1"/>
  <c r="N56" i="4"/>
  <c r="N63" i="4"/>
  <c r="JB200" i="1"/>
  <c r="JE200" i="1" s="1"/>
  <c r="JF201" i="1" s="1"/>
  <c r="JF202" i="1" s="1"/>
  <c r="JX193" i="1" s="1"/>
  <c r="N76" i="4"/>
  <c r="N66" i="4"/>
  <c r="N54" i="4"/>
  <c r="N74" i="4"/>
  <c r="HY53" i="1"/>
  <c r="N79" i="4" s="1"/>
  <c r="HY41" i="1"/>
  <c r="N67" i="4" s="1"/>
  <c r="HY43" i="1"/>
  <c r="JB130" i="1"/>
  <c r="JE130" i="1" s="1"/>
  <c r="JF131" i="1" s="1"/>
  <c r="JF132" i="1" s="1"/>
  <c r="JX123" i="1" s="1"/>
  <c r="HY29" i="1"/>
  <c r="HY25" i="1"/>
  <c r="N44" i="4"/>
  <c r="N46" i="4"/>
  <c r="N32" i="4"/>
  <c r="N38" i="4"/>
  <c r="N42" i="4"/>
  <c r="N34" i="4"/>
  <c r="N36" i="4"/>
  <c r="N48" i="4"/>
  <c r="N40" i="4"/>
  <c r="N50" i="4"/>
  <c r="N52" i="4"/>
  <c r="JB100" i="1"/>
  <c r="JE100" i="1" s="1"/>
  <c r="JF101" i="1" s="1"/>
  <c r="JF102" i="1" s="1"/>
  <c r="JX93" i="1" s="1"/>
  <c r="HY23" i="1"/>
  <c r="JB60" i="1"/>
  <c r="JE60" i="1" s="1"/>
  <c r="JF61" i="1" s="1"/>
  <c r="JF62" i="1" s="1"/>
  <c r="JX53" i="1" s="1"/>
  <c r="HY15" i="1"/>
  <c r="II21" i="1"/>
  <c r="IK21" i="1" s="1"/>
  <c r="HY13" i="1"/>
  <c r="JB50" i="1"/>
  <c r="JE50" i="1" s="1"/>
  <c r="JF51" i="1" s="1"/>
  <c r="JF52" i="1" s="1"/>
  <c r="JX43" i="1" s="1"/>
  <c r="JI261" i="1"/>
  <c r="IG206" i="1"/>
  <c r="II205" i="1" s="1"/>
  <c r="IK205" i="1" s="1"/>
  <c r="IP53" i="1"/>
  <c r="IO43" i="1"/>
  <c r="IP253" i="1"/>
  <c r="IQ123" i="1"/>
  <c r="HY35" i="1"/>
  <c r="N61" i="4" s="1"/>
  <c r="HY39" i="1"/>
  <c r="JI31" i="1"/>
  <c r="JI91" i="1"/>
  <c r="JI81" i="1"/>
  <c r="JI221" i="1"/>
  <c r="HY51" i="1"/>
  <c r="N77" i="4" s="1"/>
  <c r="JI141" i="1"/>
  <c r="JI71" i="1"/>
  <c r="II151" i="1"/>
  <c r="IK151" i="1" s="1"/>
  <c r="IG146" i="1"/>
  <c r="II145" i="1" s="1"/>
  <c r="IK145" i="1" s="1"/>
  <c r="II41" i="1"/>
  <c r="IK41" i="1" s="1"/>
  <c r="II121" i="1"/>
  <c r="IK121" i="1" s="1"/>
  <c r="JI211" i="1"/>
  <c r="JB20" i="1"/>
  <c r="JE20" i="1" s="1"/>
  <c r="JB70" i="1"/>
  <c r="JE70" i="1" s="1"/>
  <c r="JF71" i="1" s="1"/>
  <c r="JF72" i="1" s="1"/>
  <c r="JX63" i="1" s="1"/>
  <c r="JB40" i="1"/>
  <c r="JE40" i="1" s="1"/>
  <c r="JB140" i="1"/>
  <c r="JE140" i="1" s="1"/>
  <c r="JF141" i="1" s="1"/>
  <c r="JF142" i="1" s="1"/>
  <c r="JX133" i="1" s="1"/>
  <c r="JB220" i="1"/>
  <c r="JE220" i="1" s="1"/>
  <c r="JF221" i="1" s="1"/>
  <c r="JF222" i="1" s="1"/>
  <c r="JX213" i="1" s="1"/>
  <c r="JB210" i="1"/>
  <c r="JE210" i="1" s="1"/>
  <c r="JF211" i="1" s="1"/>
  <c r="JF212" i="1" s="1"/>
  <c r="JX203" i="1" s="1"/>
  <c r="II61" i="1"/>
  <c r="IK61" i="1" s="1"/>
  <c r="JI61" i="1"/>
  <c r="II201" i="1"/>
  <c r="IK201" i="1" s="1"/>
  <c r="JI201" i="1"/>
  <c r="II191" i="1"/>
  <c r="IK191" i="1" s="1"/>
  <c r="JI191" i="1"/>
  <c r="II101" i="1"/>
  <c r="IK101" i="1" s="1"/>
  <c r="JI101" i="1"/>
  <c r="JB160" i="1"/>
  <c r="JE160" i="1" s="1"/>
  <c r="JF161" i="1" s="1"/>
  <c r="JF162" i="1" s="1"/>
  <c r="JX153" i="1" s="1"/>
  <c r="II161" i="1"/>
  <c r="IK161" i="1" s="1"/>
  <c r="JI161" i="1"/>
  <c r="JB240" i="1"/>
  <c r="JE240" i="1" s="1"/>
  <c r="JF241" i="1" s="1"/>
  <c r="JF242" i="1" s="1"/>
  <c r="JX233" i="1" s="1"/>
  <c r="JB80" i="1"/>
  <c r="JE80" i="1" s="1"/>
  <c r="JF81" i="1" s="1"/>
  <c r="JF82" i="1" s="1"/>
  <c r="JX73" i="1" s="1"/>
  <c r="JB120" i="1"/>
  <c r="JE120" i="1" s="1"/>
  <c r="JF121" i="1" s="1"/>
  <c r="JF122" i="1" s="1"/>
  <c r="JX113" i="1" s="1"/>
  <c r="JB150" i="1"/>
  <c r="JE150" i="1" s="1"/>
  <c r="JF151" i="1" s="1"/>
  <c r="JF152" i="1" s="1"/>
  <c r="JX143" i="1" s="1"/>
  <c r="JB90" i="1"/>
  <c r="JE90" i="1" s="1"/>
  <c r="JF91" i="1" s="1"/>
  <c r="JF92" i="1" s="1"/>
  <c r="JX83" i="1" s="1"/>
  <c r="JB18" i="1"/>
  <c r="II171" i="1"/>
  <c r="IK171" i="1" s="1"/>
  <c r="JI171" i="1"/>
  <c r="II131" i="1"/>
  <c r="IK131" i="1" s="1"/>
  <c r="JI131" i="1"/>
  <c r="II51" i="1"/>
  <c r="IK51" i="1" s="1"/>
  <c r="JI51" i="1"/>
  <c r="II111" i="1"/>
  <c r="IK111" i="1" s="1"/>
  <c r="JI111" i="1"/>
  <c r="JI251" i="1"/>
  <c r="II251" i="1"/>
  <c r="IK251" i="1" s="1"/>
  <c r="JB180" i="1"/>
  <c r="JE180" i="1" s="1"/>
  <c r="JF181" i="1" s="1"/>
  <c r="JF182" i="1" s="1"/>
  <c r="JX173" i="1" s="1"/>
  <c r="JF11" i="1"/>
  <c r="HY45" i="1"/>
  <c r="II174" i="1"/>
  <c r="IK174" i="1" s="1"/>
  <c r="II245" i="1"/>
  <c r="IK245" i="1" s="1"/>
  <c r="IG66" i="1"/>
  <c r="II65" i="1" s="1"/>
  <c r="IG196" i="1"/>
  <c r="II195" i="1" s="1"/>
  <c r="IK195" i="1" s="1"/>
  <c r="II244" i="1"/>
  <c r="IK244" i="1" s="1"/>
  <c r="IG136" i="1"/>
  <c r="II135" i="1" s="1"/>
  <c r="IK135" i="1" s="1"/>
  <c r="II241" i="1"/>
  <c r="IK241" i="1" s="1"/>
  <c r="JI241" i="1"/>
  <c r="II181" i="1"/>
  <c r="IK181" i="1" s="1"/>
  <c r="JI181" i="1"/>
  <c r="JB15" i="1"/>
  <c r="JB265" i="1"/>
  <c r="JE265" i="1" s="1"/>
  <c r="JB30" i="1"/>
  <c r="HY47" i="1"/>
  <c r="N73" i="4" s="1"/>
  <c r="HY31" i="1"/>
  <c r="N57" i="4" s="1"/>
  <c r="HY27" i="1"/>
  <c r="N53" i="4" s="1"/>
  <c r="HY33" i="1"/>
  <c r="HY19" i="1"/>
  <c r="HY21" i="1"/>
  <c r="HY17" i="1"/>
  <c r="HY11" i="1"/>
  <c r="HY9" i="1"/>
  <c r="HY7" i="1"/>
  <c r="N31" i="4" s="1"/>
  <c r="IG227" i="1"/>
  <c r="II226" i="1" s="1"/>
  <c r="IK226" i="1" s="1"/>
  <c r="II255" i="1"/>
  <c r="IK255" i="1" s="1"/>
  <c r="IO253" i="1"/>
  <c r="IN253" i="1"/>
  <c r="IM253" i="1"/>
  <c r="IQ253" i="1"/>
  <c r="II254" i="1"/>
  <c r="IK254" i="1" s="1"/>
  <c r="IQ243" i="1"/>
  <c r="IP243" i="1"/>
  <c r="IO243" i="1"/>
  <c r="IN243" i="1"/>
  <c r="IM243" i="1"/>
  <c r="IP233" i="1"/>
  <c r="IQ233" i="1"/>
  <c r="IO233" i="1"/>
  <c r="IN233" i="1"/>
  <c r="IM233" i="1"/>
  <c r="IQ213" i="1"/>
  <c r="IP213" i="1"/>
  <c r="IO213" i="1"/>
  <c r="IN213" i="1"/>
  <c r="IM213" i="1"/>
  <c r="IN203" i="1"/>
  <c r="IQ203" i="1"/>
  <c r="IP203" i="1"/>
  <c r="IO203" i="1"/>
  <c r="IM203" i="1"/>
  <c r="IQ193" i="1"/>
  <c r="IP193" i="1"/>
  <c r="IO193" i="1"/>
  <c r="IN193" i="1"/>
  <c r="IM193" i="1"/>
  <c r="IP183" i="1"/>
  <c r="IO183" i="1"/>
  <c r="IN183" i="1"/>
  <c r="IQ183" i="1"/>
  <c r="IM183" i="1"/>
  <c r="IG186" i="1"/>
  <c r="II184" i="1"/>
  <c r="IK184" i="1" s="1"/>
  <c r="IP173" i="1"/>
  <c r="IO173" i="1"/>
  <c r="IN173" i="1"/>
  <c r="IQ173" i="1"/>
  <c r="IM173" i="1"/>
  <c r="IP123" i="1"/>
  <c r="IN163" i="1"/>
  <c r="IQ163" i="1"/>
  <c r="IP163" i="1"/>
  <c r="IO163" i="1"/>
  <c r="IM163" i="1"/>
  <c r="IG166" i="1"/>
  <c r="II164" i="1"/>
  <c r="IK164" i="1" s="1"/>
  <c r="IG86" i="1"/>
  <c r="II85" i="1" s="1"/>
  <c r="IK85" i="1" s="1"/>
  <c r="IQ153" i="1"/>
  <c r="IP153" i="1"/>
  <c r="IO153" i="1"/>
  <c r="IN153" i="1"/>
  <c r="IM153" i="1"/>
  <c r="II154" i="1"/>
  <c r="IK154" i="1" s="1"/>
  <c r="IG156" i="1"/>
  <c r="IO143" i="1"/>
  <c r="IN143" i="1"/>
  <c r="IQ143" i="1"/>
  <c r="IP143" i="1"/>
  <c r="IM143" i="1"/>
  <c r="IN123" i="1"/>
  <c r="IO123" i="1"/>
  <c r="IN133" i="1"/>
  <c r="IQ133" i="1"/>
  <c r="IP133" i="1"/>
  <c r="IO133" i="1"/>
  <c r="IM133" i="1"/>
  <c r="IG127" i="1"/>
  <c r="II126" i="1" s="1"/>
  <c r="IK126" i="1" s="1"/>
  <c r="IM123" i="1"/>
  <c r="II124" i="1"/>
  <c r="IK124" i="1" s="1"/>
  <c r="IN113" i="1"/>
  <c r="IQ113" i="1"/>
  <c r="IP113" i="1"/>
  <c r="IO113" i="1"/>
  <c r="IM113" i="1"/>
  <c r="IN103" i="1"/>
  <c r="IQ103" i="1"/>
  <c r="IP103" i="1"/>
  <c r="IO103" i="1"/>
  <c r="IM103" i="1"/>
  <c r="II105" i="1"/>
  <c r="IK105" i="1" s="1"/>
  <c r="II104" i="1"/>
  <c r="IK104" i="1" s="1"/>
  <c r="IG76" i="1"/>
  <c r="IG77" i="1" s="1"/>
  <c r="II76" i="1" s="1"/>
  <c r="IK76" i="1" s="1"/>
  <c r="II94" i="1"/>
  <c r="IK94" i="1" s="1"/>
  <c r="IG96" i="1"/>
  <c r="IN93" i="1"/>
  <c r="IQ93" i="1"/>
  <c r="IP93" i="1"/>
  <c r="IO93" i="1"/>
  <c r="IM93" i="1"/>
  <c r="IO83" i="1"/>
  <c r="IN83" i="1"/>
  <c r="IQ83" i="1"/>
  <c r="IP83" i="1"/>
  <c r="IM83" i="1"/>
  <c r="IQ73" i="1"/>
  <c r="IN73" i="1"/>
  <c r="IO73" i="1"/>
  <c r="IP73" i="1"/>
  <c r="IM73" i="1"/>
  <c r="IO63" i="1"/>
  <c r="IN63" i="1"/>
  <c r="IQ63" i="1"/>
  <c r="IP63" i="1"/>
  <c r="IM63" i="1"/>
  <c r="IG57" i="1"/>
  <c r="II56" i="1" s="1"/>
  <c r="IQ53" i="1"/>
  <c r="IM53" i="1"/>
  <c r="IO53" i="1"/>
  <c r="IN53" i="1"/>
  <c r="II54" i="1"/>
  <c r="IK54" i="1" s="1"/>
  <c r="II44" i="1"/>
  <c r="IK44" i="1" s="1"/>
  <c r="IG47" i="1"/>
  <c r="II46" i="1" s="1"/>
  <c r="IK46" i="1" s="1"/>
  <c r="IP43" i="1"/>
  <c r="IN43" i="1"/>
  <c r="IM43" i="1"/>
  <c r="IQ43" i="1"/>
  <c r="IO13" i="1"/>
  <c r="IK33" i="1"/>
  <c r="IL33" i="1" s="1"/>
  <c r="IK23" i="1"/>
  <c r="IL23" i="1" s="1"/>
  <c r="IG248" i="1"/>
  <c r="II247" i="1" s="1"/>
  <c r="IK247" i="1" s="1"/>
  <c r="IG258" i="1"/>
  <c r="II257" i="1" s="1"/>
  <c r="IK257" i="1" s="1"/>
  <c r="IG217" i="1"/>
  <c r="II216" i="1" s="1"/>
  <c r="IK216" i="1" s="1"/>
  <c r="IG177" i="1"/>
  <c r="II176" i="1" s="1"/>
  <c r="IK176" i="1" s="1"/>
  <c r="IG108" i="1"/>
  <c r="II107" i="1" s="1"/>
  <c r="IK107" i="1" s="1"/>
  <c r="IG147" i="1"/>
  <c r="IG117" i="1"/>
  <c r="II116" i="1" s="1"/>
  <c r="IK116" i="1" s="1"/>
  <c r="IG237" i="1"/>
  <c r="II236" i="1" s="1"/>
  <c r="IK236" i="1" s="1"/>
  <c r="II115" i="1"/>
  <c r="IG207" i="1"/>
  <c r="II235" i="1"/>
  <c r="II246" i="1"/>
  <c r="II256" i="1"/>
  <c r="IK256" i="1" s="1"/>
  <c r="IG36" i="1"/>
  <c r="II14" i="1"/>
  <c r="IG26" i="1"/>
  <c r="II25" i="1" s="1"/>
  <c r="IK25" i="1" s="1"/>
  <c r="IG16" i="1"/>
  <c r="JB259" i="1" l="1"/>
  <c r="N41" i="4"/>
  <c r="N69" i="4"/>
  <c r="N71" i="4"/>
  <c r="N65" i="4"/>
  <c r="N75" i="4"/>
  <c r="N59" i="4"/>
  <c r="N51" i="4"/>
  <c r="N55" i="4"/>
  <c r="N39" i="4"/>
  <c r="N35" i="4"/>
  <c r="N45" i="4"/>
  <c r="N33" i="4"/>
  <c r="N43" i="4"/>
  <c r="N37" i="4"/>
  <c r="N47" i="4"/>
  <c r="N49" i="4"/>
  <c r="IN33" i="1"/>
  <c r="JF12" i="1"/>
  <c r="JX3" i="1" s="1"/>
  <c r="II146" i="1"/>
  <c r="IK146" i="1" s="1"/>
  <c r="JE15" i="1"/>
  <c r="JF13" i="1" s="1"/>
  <c r="JF14" i="1" s="1"/>
  <c r="JF21" i="1"/>
  <c r="JF22" i="1" s="1"/>
  <c r="JX13" i="1" s="1"/>
  <c r="JF41" i="1"/>
  <c r="JF42" i="1" s="1"/>
  <c r="JX33" i="1" s="1"/>
  <c r="JF263" i="1"/>
  <c r="JF264" i="1" s="1"/>
  <c r="JX263" i="1" s="1"/>
  <c r="IG137" i="1"/>
  <c r="II136" i="1" s="1"/>
  <c r="IK136" i="1" s="1"/>
  <c r="IG67" i="1"/>
  <c r="II66" i="1" s="1"/>
  <c r="IK66" i="1" s="1"/>
  <c r="IG197" i="1"/>
  <c r="IG198" i="1" s="1"/>
  <c r="II197" i="1" s="1"/>
  <c r="IK197" i="1" s="1"/>
  <c r="JE30" i="1"/>
  <c r="IV4" i="1"/>
  <c r="IV5" i="1"/>
  <c r="IG228" i="1"/>
  <c r="II227" i="1" s="1"/>
  <c r="IK227" i="1" s="1"/>
  <c r="IG87" i="1"/>
  <c r="II86" i="1" s="1"/>
  <c r="IK86" i="1" s="1"/>
  <c r="IG58" i="1"/>
  <c r="II57" i="1" s="1"/>
  <c r="IK57" i="1" s="1"/>
  <c r="II185" i="1"/>
  <c r="IK185" i="1" s="1"/>
  <c r="IG187" i="1"/>
  <c r="IG128" i="1"/>
  <c r="II127" i="1" s="1"/>
  <c r="IK127" i="1" s="1"/>
  <c r="II165" i="1"/>
  <c r="IK165" i="1" s="1"/>
  <c r="IG167" i="1"/>
  <c r="II155" i="1"/>
  <c r="IK155" i="1" s="1"/>
  <c r="IG157" i="1"/>
  <c r="II75" i="1"/>
  <c r="IK75" i="1" s="1"/>
  <c r="II95" i="1"/>
  <c r="IK95" i="1" s="1"/>
  <c r="IG97" i="1"/>
  <c r="IG48" i="1"/>
  <c r="II47" i="1" s="1"/>
  <c r="IK47" i="1" s="1"/>
  <c r="IO23" i="1"/>
  <c r="IN23" i="1"/>
  <c r="IQ33" i="1"/>
  <c r="IO33" i="1"/>
  <c r="IP33" i="1"/>
  <c r="IM33" i="1"/>
  <c r="IQ13" i="1"/>
  <c r="IM13" i="1"/>
  <c r="IP13" i="1"/>
  <c r="IN13" i="1"/>
  <c r="IQ23" i="1"/>
  <c r="IP23" i="1"/>
  <c r="IM23" i="1"/>
  <c r="IK56" i="1"/>
  <c r="IK115" i="1"/>
  <c r="IK235" i="1"/>
  <c r="IK65" i="1"/>
  <c r="IK246" i="1"/>
  <c r="IG37" i="1"/>
  <c r="II36" i="1" s="1"/>
  <c r="IK36" i="1" s="1"/>
  <c r="IG208" i="1"/>
  <c r="II207" i="1" s="1"/>
  <c r="IK207" i="1" s="1"/>
  <c r="IG238" i="1"/>
  <c r="II237" i="1" s="1"/>
  <c r="IK237" i="1" s="1"/>
  <c r="IG118" i="1"/>
  <c r="II117" i="1" s="1"/>
  <c r="IK117" i="1" s="1"/>
  <c r="IG109" i="1"/>
  <c r="II108" i="1" s="1"/>
  <c r="IK108" i="1" s="1"/>
  <c r="IG178" i="1"/>
  <c r="II177" i="1" s="1"/>
  <c r="IK177" i="1" s="1"/>
  <c r="IG218" i="1"/>
  <c r="II217" i="1" s="1"/>
  <c r="IK217" i="1" s="1"/>
  <c r="IG259" i="1"/>
  <c r="II258" i="1" s="1"/>
  <c r="IK258" i="1" s="1"/>
  <c r="II35" i="1"/>
  <c r="II206" i="1"/>
  <c r="IG148" i="1"/>
  <c r="II147" i="1" s="1"/>
  <c r="IK147" i="1" s="1"/>
  <c r="IG78" i="1"/>
  <c r="II77" i="1" s="1"/>
  <c r="IK77" i="1" s="1"/>
  <c r="IG249" i="1"/>
  <c r="II248" i="1" s="1"/>
  <c r="IK248" i="1" s="1"/>
  <c r="IG27" i="1"/>
  <c r="II26" i="1" s="1"/>
  <c r="IK26" i="1" s="1"/>
  <c r="IK14" i="1"/>
  <c r="II15" i="1"/>
  <c r="IG17" i="1"/>
  <c r="JF31" i="1" l="1"/>
  <c r="IG138" i="1"/>
  <c r="II137" i="1" s="1"/>
  <c r="IK137" i="1" s="1"/>
  <c r="IG68" i="1"/>
  <c r="II67" i="1" s="1"/>
  <c r="IK67" i="1" s="1"/>
  <c r="II196" i="1"/>
  <c r="IK196" i="1" s="1"/>
  <c r="IG229" i="1"/>
  <c r="II228" i="1" s="1"/>
  <c r="IK228" i="1" s="1"/>
  <c r="IG59" i="1"/>
  <c r="II58" i="1" s="1"/>
  <c r="IK58" i="1" s="1"/>
  <c r="IG88" i="1"/>
  <c r="II87" i="1" s="1"/>
  <c r="IK87" i="1" s="1"/>
  <c r="IG49" i="1"/>
  <c r="II48" i="1" s="1"/>
  <c r="IK48" i="1" s="1"/>
  <c r="II186" i="1"/>
  <c r="IK186" i="1" s="1"/>
  <c r="IG188" i="1"/>
  <c r="IG129" i="1"/>
  <c r="II128" i="1" s="1"/>
  <c r="IK128" i="1" s="1"/>
  <c r="II166" i="1"/>
  <c r="IK166" i="1" s="1"/>
  <c r="IG168" i="1"/>
  <c r="II156" i="1"/>
  <c r="IK156" i="1" s="1"/>
  <c r="IG158" i="1"/>
  <c r="II96" i="1"/>
  <c r="IK96" i="1" s="1"/>
  <c r="IG98" i="1"/>
  <c r="IK206" i="1"/>
  <c r="IK35" i="1"/>
  <c r="IG179" i="1"/>
  <c r="II178" i="1" s="1"/>
  <c r="IK178" i="1" s="1"/>
  <c r="IG209" i="1"/>
  <c r="II208" i="1" s="1"/>
  <c r="IK208" i="1" s="1"/>
  <c r="IG250" i="1"/>
  <c r="II250" i="1" s="1"/>
  <c r="IK250" i="1" s="1"/>
  <c r="IG149" i="1"/>
  <c r="II148" i="1" s="1"/>
  <c r="IK148" i="1" s="1"/>
  <c r="IG260" i="1"/>
  <c r="IG119" i="1"/>
  <c r="II118" i="1" s="1"/>
  <c r="IK118" i="1" s="1"/>
  <c r="IG79" i="1"/>
  <c r="II78" i="1" s="1"/>
  <c r="IK78" i="1" s="1"/>
  <c r="IG219" i="1"/>
  <c r="II218" i="1" s="1"/>
  <c r="IG110" i="1"/>
  <c r="II110" i="1" s="1"/>
  <c r="IK110" i="1" s="1"/>
  <c r="IG239" i="1"/>
  <c r="II238" i="1" s="1"/>
  <c r="IK238" i="1" s="1"/>
  <c r="IG199" i="1"/>
  <c r="II198" i="1" s="1"/>
  <c r="IK198" i="1" s="1"/>
  <c r="IG38" i="1"/>
  <c r="II37" i="1" s="1"/>
  <c r="IK37" i="1" s="1"/>
  <c r="IG28" i="1"/>
  <c r="II27" i="1" s="1"/>
  <c r="IK15" i="1"/>
  <c r="II16" i="1"/>
  <c r="IG18" i="1"/>
  <c r="II17" i="1" s="1"/>
  <c r="JF32" i="1" l="1"/>
  <c r="JX23" i="1" s="1"/>
  <c r="II260" i="1"/>
  <c r="IK260" i="1" s="1"/>
  <c r="IG139" i="1"/>
  <c r="II138" i="1" s="1"/>
  <c r="IK138" i="1" s="1"/>
  <c r="IG69" i="1"/>
  <c r="II68" i="1" s="1"/>
  <c r="IK68" i="1" s="1"/>
  <c r="IG230" i="1"/>
  <c r="II230" i="1" s="1"/>
  <c r="IK230" i="1" s="1"/>
  <c r="IG60" i="1"/>
  <c r="II60" i="1" s="1"/>
  <c r="IK60" i="1" s="1"/>
  <c r="IG50" i="1"/>
  <c r="II50" i="1" s="1"/>
  <c r="IK50" i="1" s="1"/>
  <c r="IG89" i="1"/>
  <c r="II88" i="1" s="1"/>
  <c r="IK88" i="1" s="1"/>
  <c r="IG189" i="1"/>
  <c r="II187" i="1"/>
  <c r="IK187" i="1" s="1"/>
  <c r="IG130" i="1"/>
  <c r="II130" i="1" s="1"/>
  <c r="IK130" i="1" s="1"/>
  <c r="II167" i="1"/>
  <c r="IK167" i="1" s="1"/>
  <c r="IG169" i="1"/>
  <c r="II157" i="1"/>
  <c r="IK157" i="1" s="1"/>
  <c r="IG159" i="1"/>
  <c r="II97" i="1"/>
  <c r="IK97" i="1" s="1"/>
  <c r="IG99" i="1"/>
  <c r="IK27" i="1"/>
  <c r="IK218" i="1"/>
  <c r="II259" i="1"/>
  <c r="IG200" i="1"/>
  <c r="II200" i="1" s="1"/>
  <c r="IK200" i="1" s="1"/>
  <c r="IG240" i="1"/>
  <c r="II240" i="1" s="1"/>
  <c r="IK240" i="1" s="1"/>
  <c r="IG210" i="1"/>
  <c r="II210" i="1" s="1"/>
  <c r="IK210" i="1" s="1"/>
  <c r="II109" i="1"/>
  <c r="II249" i="1"/>
  <c r="IG39" i="1"/>
  <c r="II38" i="1" s="1"/>
  <c r="IK38" i="1" s="1"/>
  <c r="IG220" i="1"/>
  <c r="II220" i="1" s="1"/>
  <c r="IK220" i="1" s="1"/>
  <c r="IG80" i="1"/>
  <c r="II80" i="1" s="1"/>
  <c r="IK80" i="1" s="1"/>
  <c r="IG120" i="1"/>
  <c r="II120" i="1" s="1"/>
  <c r="IK120" i="1" s="1"/>
  <c r="IG150" i="1"/>
  <c r="II150" i="1" s="1"/>
  <c r="IK150" i="1" s="1"/>
  <c r="IG180" i="1"/>
  <c r="II180" i="1" s="1"/>
  <c r="IK180" i="1" s="1"/>
  <c r="IG29" i="1"/>
  <c r="II28" i="1" s="1"/>
  <c r="IK28" i="1" s="1"/>
  <c r="IK17" i="1"/>
  <c r="IK16" i="1"/>
  <c r="IG19" i="1"/>
  <c r="IG140" i="1" l="1"/>
  <c r="II140" i="1" s="1"/>
  <c r="IK140" i="1" s="1"/>
  <c r="IG70" i="1"/>
  <c r="II70" i="1" s="1"/>
  <c r="IK70" i="1" s="1"/>
  <c r="II229" i="1"/>
  <c r="IK229" i="1" s="1"/>
  <c r="II59" i="1"/>
  <c r="IL57" i="1" s="1"/>
  <c r="IA13" i="1" s="1"/>
  <c r="IG90" i="1"/>
  <c r="II90" i="1" s="1"/>
  <c r="IK90" i="1" s="1"/>
  <c r="II49" i="1"/>
  <c r="IK49" i="1" s="1"/>
  <c r="II188" i="1"/>
  <c r="IK188" i="1" s="1"/>
  <c r="IG190" i="1"/>
  <c r="II129" i="1"/>
  <c r="IK129" i="1" s="1"/>
  <c r="II168" i="1"/>
  <c r="IK168" i="1" s="1"/>
  <c r="IG170" i="1"/>
  <c r="II170" i="1" s="1"/>
  <c r="IK170" i="1" s="1"/>
  <c r="II158" i="1"/>
  <c r="IK158" i="1" s="1"/>
  <c r="IG160" i="1"/>
  <c r="II160" i="1" s="1"/>
  <c r="IK160" i="1" s="1"/>
  <c r="II98" i="1"/>
  <c r="IK98" i="1" s="1"/>
  <c r="IG100" i="1"/>
  <c r="II100" i="1" s="1"/>
  <c r="IK100" i="1" s="1"/>
  <c r="IK249" i="1"/>
  <c r="IL247" i="1"/>
  <c r="IA51" i="1" s="1"/>
  <c r="IK109" i="1"/>
  <c r="IL107" i="1"/>
  <c r="IA23" i="1" s="1"/>
  <c r="IK259" i="1"/>
  <c r="IL257" i="1"/>
  <c r="IA53" i="1" s="1"/>
  <c r="AO79" i="4" s="1"/>
  <c r="II79" i="1"/>
  <c r="II149" i="1"/>
  <c r="II239" i="1"/>
  <c r="IG40" i="1"/>
  <c r="II40" i="1" s="1"/>
  <c r="IK40" i="1" s="1"/>
  <c r="II179" i="1"/>
  <c r="II119" i="1"/>
  <c r="II219" i="1"/>
  <c r="II209" i="1"/>
  <c r="II199" i="1"/>
  <c r="II18" i="1"/>
  <c r="IG30" i="1"/>
  <c r="II30" i="1" s="1"/>
  <c r="IK30" i="1" s="1"/>
  <c r="IG20" i="1"/>
  <c r="II20" i="1" s="1"/>
  <c r="AO77" i="4" l="1"/>
  <c r="JQ54" i="1"/>
  <c r="JQ104" i="1"/>
  <c r="JQ244" i="1"/>
  <c r="JR13" i="1"/>
  <c r="IL254" i="1"/>
  <c r="JQ254" i="1"/>
  <c r="II139" i="1"/>
  <c r="IK139" i="1" s="1"/>
  <c r="II69" i="1"/>
  <c r="IL67" i="1" s="1"/>
  <c r="IA15" i="1" s="1"/>
  <c r="AO39" i="4" s="1"/>
  <c r="IL227" i="1"/>
  <c r="IA47" i="1" s="1"/>
  <c r="IK59" i="1"/>
  <c r="II89" i="1"/>
  <c r="IL87" i="1" s="1"/>
  <c r="IA19" i="1" s="1"/>
  <c r="IL47" i="1"/>
  <c r="IA11" i="1" s="1"/>
  <c r="IL127" i="1"/>
  <c r="IA27" i="1" s="1"/>
  <c r="IQ257" i="1"/>
  <c r="IN257" i="1"/>
  <c r="IO257" i="1"/>
  <c r="IP257" i="1"/>
  <c r="IL258" i="1"/>
  <c r="IM257" i="1"/>
  <c r="IN247" i="1"/>
  <c r="IL248" i="1"/>
  <c r="IO247" i="1"/>
  <c r="IL244" i="1"/>
  <c r="IQ247" i="1"/>
  <c r="IP247" i="1"/>
  <c r="IM247" i="1"/>
  <c r="II190" i="1"/>
  <c r="IK190" i="1" s="1"/>
  <c r="II189" i="1"/>
  <c r="II159" i="1"/>
  <c r="II169" i="1"/>
  <c r="II99" i="1"/>
  <c r="IK99" i="1" s="1"/>
  <c r="IQ107" i="1"/>
  <c r="IP107" i="1"/>
  <c r="IL108" i="1"/>
  <c r="IO107" i="1"/>
  <c r="IN107" i="1"/>
  <c r="IL104" i="1"/>
  <c r="IM107" i="1"/>
  <c r="IP57" i="1"/>
  <c r="IL58" i="1"/>
  <c r="IO57" i="1"/>
  <c r="IN57" i="1"/>
  <c r="IQ57" i="1"/>
  <c r="IM57" i="1"/>
  <c r="IL54" i="1"/>
  <c r="IK239" i="1"/>
  <c r="IL237" i="1"/>
  <c r="IA49" i="1" s="1"/>
  <c r="AO75" i="4" s="1"/>
  <c r="IK119" i="1"/>
  <c r="IL117" i="1"/>
  <c r="IK209" i="1"/>
  <c r="IL207" i="1"/>
  <c r="IA43" i="1" s="1"/>
  <c r="IK219" i="1"/>
  <c r="IL217" i="1"/>
  <c r="IA45" i="1" s="1"/>
  <c r="AO71" i="4" s="1"/>
  <c r="IK79" i="1"/>
  <c r="IL77" i="1"/>
  <c r="IA17" i="1" s="1"/>
  <c r="IK199" i="1"/>
  <c r="IL197" i="1"/>
  <c r="IA41" i="1" s="1"/>
  <c r="AO67" i="4" s="1"/>
  <c r="IK149" i="1"/>
  <c r="IL147" i="1"/>
  <c r="IA31" i="1" s="1"/>
  <c r="IK69" i="1"/>
  <c r="IK179" i="1"/>
  <c r="IL177" i="1"/>
  <c r="II29" i="1"/>
  <c r="IL27" i="1" s="1"/>
  <c r="IA7" i="1" s="1"/>
  <c r="IK18" i="1"/>
  <c r="II39" i="1"/>
  <c r="II19" i="1"/>
  <c r="IK20" i="1"/>
  <c r="AO69" i="4" l="1"/>
  <c r="AO73" i="4"/>
  <c r="AO41" i="4"/>
  <c r="AO43" i="4"/>
  <c r="AO37" i="4"/>
  <c r="IA25" i="1"/>
  <c r="AO49" i="4" s="1"/>
  <c r="JQ194" i="1"/>
  <c r="JQ214" i="1"/>
  <c r="JQ64" i="1"/>
  <c r="JQ144" i="1"/>
  <c r="JQ204" i="1"/>
  <c r="JQ84" i="1"/>
  <c r="JQ74" i="1"/>
  <c r="JQ234" i="1"/>
  <c r="JQ174" i="1"/>
  <c r="JR253" i="1"/>
  <c r="JR213" i="1"/>
  <c r="JR173" i="1"/>
  <c r="JR133" i="1"/>
  <c r="JR93" i="1"/>
  <c r="JR53" i="1"/>
  <c r="JR83" i="1"/>
  <c r="JR33" i="1"/>
  <c r="JR233" i="1"/>
  <c r="JR193" i="1"/>
  <c r="JR153" i="1"/>
  <c r="JR113" i="1"/>
  <c r="JR73" i="1"/>
  <c r="JR223" i="1"/>
  <c r="JR183" i="1"/>
  <c r="JR143" i="1"/>
  <c r="JR103" i="1"/>
  <c r="JR63" i="1"/>
  <c r="JR23" i="1"/>
  <c r="JR243" i="1"/>
  <c r="JR203" i="1"/>
  <c r="JR163" i="1"/>
  <c r="JR123" i="1"/>
  <c r="JR43" i="1"/>
  <c r="IL118" i="1"/>
  <c r="JQ114" i="1"/>
  <c r="IN127" i="1"/>
  <c r="JQ124" i="1"/>
  <c r="IN227" i="1"/>
  <c r="JQ224" i="1"/>
  <c r="IL44" i="1"/>
  <c r="IP44" i="1" s="1"/>
  <c r="JQ44" i="1"/>
  <c r="IO27" i="1"/>
  <c r="JQ24" i="1"/>
  <c r="IL137" i="1"/>
  <c r="IO227" i="1"/>
  <c r="IL228" i="1"/>
  <c r="IL229" i="1" s="1"/>
  <c r="IL224" i="1"/>
  <c r="IQ224" i="1" s="1"/>
  <c r="IQ227" i="1"/>
  <c r="IP227" i="1"/>
  <c r="IM227" i="1"/>
  <c r="IK89" i="1"/>
  <c r="IP47" i="1"/>
  <c r="IM47" i="1"/>
  <c r="IN47" i="1"/>
  <c r="IL48" i="1"/>
  <c r="IP48" i="1" s="1"/>
  <c r="IQ47" i="1"/>
  <c r="IO47" i="1"/>
  <c r="IP127" i="1"/>
  <c r="IS257" i="1"/>
  <c r="IO127" i="1"/>
  <c r="IQ127" i="1"/>
  <c r="IL124" i="1"/>
  <c r="IN124" i="1" s="1"/>
  <c r="IL128" i="1"/>
  <c r="IQ128" i="1" s="1"/>
  <c r="IM127" i="1"/>
  <c r="IK189" i="1"/>
  <c r="IL187" i="1"/>
  <c r="IA39" i="1" s="1"/>
  <c r="AO65" i="4" s="1"/>
  <c r="IK159" i="1"/>
  <c r="IL157" i="1"/>
  <c r="IA33" i="1" s="1"/>
  <c r="IQ254" i="1"/>
  <c r="IN254" i="1"/>
  <c r="IO254" i="1"/>
  <c r="IP254" i="1"/>
  <c r="IL255" i="1"/>
  <c r="IL256" i="1"/>
  <c r="IM254" i="1"/>
  <c r="IK169" i="1"/>
  <c r="IL167" i="1"/>
  <c r="IA35" i="1" s="1"/>
  <c r="IQ258" i="1"/>
  <c r="IO258" i="1"/>
  <c r="IN258" i="1"/>
  <c r="IP258" i="1"/>
  <c r="IL259" i="1"/>
  <c r="IL260" i="1" s="1"/>
  <c r="IQ260" i="1" s="1"/>
  <c r="IM258" i="1"/>
  <c r="IL246" i="1"/>
  <c r="IN244" i="1"/>
  <c r="IO244" i="1"/>
  <c r="IP244" i="1"/>
  <c r="IQ244" i="1"/>
  <c r="IL245" i="1"/>
  <c r="IM244" i="1"/>
  <c r="IS247" i="1"/>
  <c r="IN248" i="1"/>
  <c r="IO248" i="1"/>
  <c r="IL249" i="1"/>
  <c r="IP248" i="1"/>
  <c r="IQ248" i="1"/>
  <c r="IM248" i="1"/>
  <c r="IO237" i="1"/>
  <c r="IQ237" i="1"/>
  <c r="IN237" i="1"/>
  <c r="IL238" i="1"/>
  <c r="IP237" i="1"/>
  <c r="IM237" i="1"/>
  <c r="IL234" i="1"/>
  <c r="IO217" i="1"/>
  <c r="IN217" i="1"/>
  <c r="IP217" i="1"/>
  <c r="IL218" i="1"/>
  <c r="IQ217" i="1"/>
  <c r="IM217" i="1"/>
  <c r="IL214" i="1"/>
  <c r="IQ207" i="1"/>
  <c r="IN207" i="1"/>
  <c r="IL204" i="1"/>
  <c r="IO207" i="1"/>
  <c r="IP207" i="1"/>
  <c r="IL208" i="1"/>
  <c r="IM207" i="1"/>
  <c r="IQ197" i="1"/>
  <c r="IN197" i="1"/>
  <c r="IL198" i="1"/>
  <c r="IO197" i="1"/>
  <c r="IP197" i="1"/>
  <c r="IM197" i="1"/>
  <c r="IL194" i="1"/>
  <c r="IO177" i="1"/>
  <c r="IP177" i="1"/>
  <c r="IL174" i="1"/>
  <c r="IQ177" i="1"/>
  <c r="IN177" i="1"/>
  <c r="IL178" i="1"/>
  <c r="IM177" i="1"/>
  <c r="IN147" i="1"/>
  <c r="IL148" i="1"/>
  <c r="IP147" i="1"/>
  <c r="IQ147" i="1"/>
  <c r="IO147" i="1"/>
  <c r="IM147" i="1"/>
  <c r="IL144" i="1"/>
  <c r="IL97" i="1"/>
  <c r="IA21" i="1" s="1"/>
  <c r="IQ117" i="1"/>
  <c r="IP117" i="1"/>
  <c r="IO117" i="1"/>
  <c r="IN117" i="1"/>
  <c r="IM117" i="1"/>
  <c r="IL114" i="1"/>
  <c r="IS107" i="1"/>
  <c r="IQ108" i="1"/>
  <c r="IP108" i="1"/>
  <c r="IO108" i="1"/>
  <c r="IL109" i="1"/>
  <c r="IN108" i="1"/>
  <c r="IM108" i="1"/>
  <c r="IQ104" i="1"/>
  <c r="IL106" i="1"/>
  <c r="IP104" i="1"/>
  <c r="IO104" i="1"/>
  <c r="IN104" i="1"/>
  <c r="IL105" i="1"/>
  <c r="IM104" i="1"/>
  <c r="IL84" i="1"/>
  <c r="IL86" i="1" s="1"/>
  <c r="IN87" i="1"/>
  <c r="IQ87" i="1"/>
  <c r="IP87" i="1"/>
  <c r="IL88" i="1"/>
  <c r="IO87" i="1"/>
  <c r="IM87" i="1"/>
  <c r="IP77" i="1"/>
  <c r="IN77" i="1"/>
  <c r="IL74" i="1"/>
  <c r="IL78" i="1"/>
  <c r="IQ77" i="1"/>
  <c r="IO77" i="1"/>
  <c r="IM77" i="1"/>
  <c r="IN67" i="1"/>
  <c r="IL64" i="1"/>
  <c r="IN64" i="1" s="1"/>
  <c r="IQ67" i="1"/>
  <c r="IP67" i="1"/>
  <c r="IL68" i="1"/>
  <c r="IO67" i="1"/>
  <c r="IM67" i="1"/>
  <c r="IS57" i="1"/>
  <c r="IQ54" i="1"/>
  <c r="IP54" i="1"/>
  <c r="IN54" i="1"/>
  <c r="IO54" i="1"/>
  <c r="IL56" i="1"/>
  <c r="IL55" i="1"/>
  <c r="IM54" i="1"/>
  <c r="IQ58" i="1"/>
  <c r="IP58" i="1"/>
  <c r="IL59" i="1"/>
  <c r="IO58" i="1"/>
  <c r="IN58" i="1"/>
  <c r="IM58" i="1"/>
  <c r="IL17" i="1"/>
  <c r="IA5" i="1" s="1"/>
  <c r="IQ27" i="1"/>
  <c r="IP27" i="1"/>
  <c r="IN27" i="1"/>
  <c r="IM27" i="1"/>
  <c r="IL24" i="1"/>
  <c r="IK29" i="1"/>
  <c r="IK39" i="1"/>
  <c r="IL37" i="1" s="1"/>
  <c r="IK19" i="1"/>
  <c r="AO29" i="4" l="1"/>
  <c r="AO31" i="4"/>
  <c r="AO59" i="4"/>
  <c r="AO57" i="4"/>
  <c r="AO51" i="4"/>
  <c r="IA37" i="1"/>
  <c r="AO63" i="4" s="1"/>
  <c r="AO45" i="4"/>
  <c r="AO47" i="4"/>
  <c r="IA29" i="1"/>
  <c r="IA9" i="1"/>
  <c r="JL107" i="1"/>
  <c r="HZ23" i="1"/>
  <c r="JL247" i="1"/>
  <c r="HZ51" i="1"/>
  <c r="JL257" i="1"/>
  <c r="HZ53" i="1"/>
  <c r="AJ79" i="4" s="1"/>
  <c r="JL57" i="1"/>
  <c r="HZ13" i="1"/>
  <c r="JQ184" i="1"/>
  <c r="JQ164" i="1"/>
  <c r="JQ14" i="1"/>
  <c r="JQ154" i="1"/>
  <c r="JQ34" i="1"/>
  <c r="IL38" i="1"/>
  <c r="IQ38" i="1" s="1"/>
  <c r="IO37" i="1"/>
  <c r="IM37" i="1"/>
  <c r="IP37" i="1"/>
  <c r="IL34" i="1"/>
  <c r="IL36" i="1" s="1"/>
  <c r="IQ37" i="1"/>
  <c r="IN37" i="1"/>
  <c r="IO44" i="1"/>
  <c r="IQ44" i="1"/>
  <c r="IL46" i="1"/>
  <c r="IO46" i="1" s="1"/>
  <c r="IM44" i="1"/>
  <c r="IN137" i="1"/>
  <c r="JQ134" i="1"/>
  <c r="IL45" i="1"/>
  <c r="IO45" i="1" s="1"/>
  <c r="IN44" i="1"/>
  <c r="IP97" i="1"/>
  <c r="JQ94" i="1"/>
  <c r="IL18" i="1"/>
  <c r="IL19" i="1" s="1"/>
  <c r="IL20" i="1" s="1"/>
  <c r="IL21" i="1" s="1"/>
  <c r="IP137" i="1"/>
  <c r="IQ137" i="1"/>
  <c r="IO137" i="1"/>
  <c r="IM137" i="1"/>
  <c r="IL134" i="1"/>
  <c r="IO134" i="1" s="1"/>
  <c r="IL138" i="1"/>
  <c r="IL139" i="1" s="1"/>
  <c r="IO124" i="1"/>
  <c r="IO228" i="1"/>
  <c r="IM228" i="1"/>
  <c r="IP228" i="1"/>
  <c r="IN228" i="1"/>
  <c r="IQ228" i="1"/>
  <c r="IL225" i="1"/>
  <c r="IP225" i="1" s="1"/>
  <c r="IP224" i="1"/>
  <c r="IN224" i="1"/>
  <c r="IL226" i="1"/>
  <c r="IQ226" i="1" s="1"/>
  <c r="IS227" i="1"/>
  <c r="IM224" i="1"/>
  <c r="IO224" i="1"/>
  <c r="IS47" i="1"/>
  <c r="IQ48" i="1"/>
  <c r="IL49" i="1"/>
  <c r="IN49" i="1" s="1"/>
  <c r="IM48" i="1"/>
  <c r="IO48" i="1"/>
  <c r="IN48" i="1"/>
  <c r="IL125" i="1"/>
  <c r="IO125" i="1" s="1"/>
  <c r="IS254" i="1"/>
  <c r="IN128" i="1"/>
  <c r="IM128" i="1"/>
  <c r="IP128" i="1"/>
  <c r="IL129" i="1"/>
  <c r="IP129" i="1" s="1"/>
  <c r="IO128" i="1"/>
  <c r="IS127" i="1"/>
  <c r="IS258" i="1"/>
  <c r="IL126" i="1"/>
  <c r="IQ126" i="1" s="1"/>
  <c r="IQ124" i="1"/>
  <c r="IP124" i="1"/>
  <c r="IM124" i="1"/>
  <c r="IO157" i="1"/>
  <c r="IM157" i="1"/>
  <c r="IP157" i="1"/>
  <c r="IL154" i="1"/>
  <c r="IN157" i="1"/>
  <c r="IL158" i="1"/>
  <c r="IQ157" i="1"/>
  <c r="IQ259" i="1"/>
  <c r="IN259" i="1"/>
  <c r="IP259" i="1"/>
  <c r="IO259" i="1"/>
  <c r="IM259" i="1"/>
  <c r="IQ256" i="1"/>
  <c r="IN256" i="1"/>
  <c r="IO256" i="1"/>
  <c r="IP256" i="1"/>
  <c r="IM256" i="1"/>
  <c r="IN187" i="1"/>
  <c r="IL188" i="1"/>
  <c r="IO187" i="1"/>
  <c r="IM187" i="1"/>
  <c r="IL184" i="1"/>
  <c r="IQ187" i="1"/>
  <c r="IP187" i="1"/>
  <c r="IQ167" i="1"/>
  <c r="IO167" i="1"/>
  <c r="IN167" i="1"/>
  <c r="IM167" i="1"/>
  <c r="IL168" i="1"/>
  <c r="IL164" i="1"/>
  <c r="IP167" i="1"/>
  <c r="IQ255" i="1"/>
  <c r="IN255" i="1"/>
  <c r="IO255" i="1"/>
  <c r="IP255" i="1"/>
  <c r="IM255" i="1"/>
  <c r="IS244" i="1"/>
  <c r="IS248" i="1"/>
  <c r="IN249" i="1"/>
  <c r="IO249" i="1"/>
  <c r="IL250" i="1"/>
  <c r="IQ249" i="1"/>
  <c r="IP249" i="1"/>
  <c r="IM249" i="1"/>
  <c r="IN245" i="1"/>
  <c r="IO245" i="1"/>
  <c r="IQ245" i="1"/>
  <c r="IP245" i="1"/>
  <c r="IM245" i="1"/>
  <c r="IN246" i="1"/>
  <c r="IO246" i="1"/>
  <c r="IP246" i="1"/>
  <c r="IQ246" i="1"/>
  <c r="IM246" i="1"/>
  <c r="IS237" i="1"/>
  <c r="IP238" i="1"/>
  <c r="IN238" i="1"/>
  <c r="IL239" i="1"/>
  <c r="IQ238" i="1"/>
  <c r="IO238" i="1"/>
  <c r="IM238" i="1"/>
  <c r="IP234" i="1"/>
  <c r="IN234" i="1"/>
  <c r="IQ234" i="1"/>
  <c r="IO234" i="1"/>
  <c r="IL235" i="1"/>
  <c r="IL236" i="1"/>
  <c r="IM234" i="1"/>
  <c r="IS217" i="1"/>
  <c r="IQ229" i="1"/>
  <c r="IN229" i="1"/>
  <c r="IO229" i="1"/>
  <c r="IP229" i="1"/>
  <c r="IL230" i="1"/>
  <c r="IM229" i="1"/>
  <c r="IQ218" i="1"/>
  <c r="IN218" i="1"/>
  <c r="IL219" i="1"/>
  <c r="IP218" i="1"/>
  <c r="IO218" i="1"/>
  <c r="IM218" i="1"/>
  <c r="IQ214" i="1"/>
  <c r="IO214" i="1"/>
  <c r="IN214" i="1"/>
  <c r="IP214" i="1"/>
  <c r="IL216" i="1"/>
  <c r="IL215" i="1"/>
  <c r="IM214" i="1"/>
  <c r="IS207" i="1"/>
  <c r="IL206" i="1"/>
  <c r="IQ204" i="1"/>
  <c r="IN204" i="1"/>
  <c r="IO204" i="1"/>
  <c r="IP204" i="1"/>
  <c r="IL205" i="1"/>
  <c r="IM204" i="1"/>
  <c r="IQ208" i="1"/>
  <c r="IN208" i="1"/>
  <c r="IL209" i="1"/>
  <c r="IP208" i="1"/>
  <c r="IO208" i="1"/>
  <c r="IM208" i="1"/>
  <c r="IN194" i="1"/>
  <c r="IQ194" i="1"/>
  <c r="IO194" i="1"/>
  <c r="IP194" i="1"/>
  <c r="IL195" i="1"/>
  <c r="IL196" i="1"/>
  <c r="IM194" i="1"/>
  <c r="IN198" i="1"/>
  <c r="IQ198" i="1"/>
  <c r="IO198" i="1"/>
  <c r="IL199" i="1"/>
  <c r="IP198" i="1"/>
  <c r="IM198" i="1"/>
  <c r="IS197" i="1"/>
  <c r="IS177" i="1"/>
  <c r="IL176" i="1"/>
  <c r="IO174" i="1"/>
  <c r="IP174" i="1"/>
  <c r="IQ174" i="1"/>
  <c r="IN174" i="1"/>
  <c r="IL175" i="1"/>
  <c r="IM174" i="1"/>
  <c r="IO178" i="1"/>
  <c r="IL179" i="1"/>
  <c r="IP178" i="1"/>
  <c r="IQ178" i="1"/>
  <c r="IN178" i="1"/>
  <c r="IM178" i="1"/>
  <c r="IP144" i="1"/>
  <c r="IQ144" i="1"/>
  <c r="IN144" i="1"/>
  <c r="IO144" i="1"/>
  <c r="IL145" i="1"/>
  <c r="IL146" i="1"/>
  <c r="IM144" i="1"/>
  <c r="IL149" i="1"/>
  <c r="IP148" i="1"/>
  <c r="IO148" i="1"/>
  <c r="IQ148" i="1"/>
  <c r="IN148" i="1"/>
  <c r="IM148" i="1"/>
  <c r="IN97" i="1"/>
  <c r="IS147" i="1"/>
  <c r="IO97" i="1"/>
  <c r="IM97" i="1"/>
  <c r="IL98" i="1"/>
  <c r="IL99" i="1" s="1"/>
  <c r="IP99" i="1" s="1"/>
  <c r="IL94" i="1"/>
  <c r="IQ97" i="1"/>
  <c r="IN114" i="1"/>
  <c r="IQ114" i="1"/>
  <c r="IP114" i="1"/>
  <c r="IO114" i="1"/>
  <c r="IS117" i="1"/>
  <c r="IN118" i="1"/>
  <c r="IQ118" i="1"/>
  <c r="IP118" i="1"/>
  <c r="IO118" i="1"/>
  <c r="IL116" i="1"/>
  <c r="IL115" i="1"/>
  <c r="IM114" i="1"/>
  <c r="IL119" i="1"/>
  <c r="IM118" i="1"/>
  <c r="IS108" i="1"/>
  <c r="IN105" i="1"/>
  <c r="IQ105" i="1"/>
  <c r="IP105" i="1"/>
  <c r="IO105" i="1"/>
  <c r="IM105" i="1"/>
  <c r="IO106" i="1"/>
  <c r="IN106" i="1"/>
  <c r="IQ106" i="1"/>
  <c r="IP106" i="1"/>
  <c r="IM106" i="1"/>
  <c r="IO109" i="1"/>
  <c r="IN109" i="1"/>
  <c r="IQ109" i="1"/>
  <c r="IL110" i="1"/>
  <c r="IP109" i="1"/>
  <c r="IM109" i="1"/>
  <c r="IS104" i="1"/>
  <c r="IS87" i="1"/>
  <c r="IL85" i="1"/>
  <c r="IM85" i="1" s="1"/>
  <c r="IQ86" i="1"/>
  <c r="IP86" i="1"/>
  <c r="IO86" i="1"/>
  <c r="IN86" i="1"/>
  <c r="IM86" i="1"/>
  <c r="IO88" i="1"/>
  <c r="IN88" i="1"/>
  <c r="IQ88" i="1"/>
  <c r="IP88" i="1"/>
  <c r="IL89" i="1"/>
  <c r="IM88" i="1"/>
  <c r="IO84" i="1"/>
  <c r="IN84" i="1"/>
  <c r="IQ84" i="1"/>
  <c r="IP84" i="1"/>
  <c r="IM84" i="1"/>
  <c r="IS77" i="1"/>
  <c r="IQ78" i="1"/>
  <c r="IO78" i="1"/>
  <c r="IL79" i="1"/>
  <c r="IP78" i="1"/>
  <c r="IN78" i="1"/>
  <c r="IM78" i="1"/>
  <c r="IL76" i="1"/>
  <c r="IQ74" i="1"/>
  <c r="IO74" i="1"/>
  <c r="IP74" i="1"/>
  <c r="IN74" i="1"/>
  <c r="IL75" i="1"/>
  <c r="IM74" i="1"/>
  <c r="IS67" i="1"/>
  <c r="IO68" i="1"/>
  <c r="IN68" i="1"/>
  <c r="IQ68" i="1"/>
  <c r="IP68" i="1"/>
  <c r="IL69" i="1"/>
  <c r="IN69" i="1" s="1"/>
  <c r="IM68" i="1"/>
  <c r="IO64" i="1"/>
  <c r="IQ64" i="1"/>
  <c r="IL66" i="1"/>
  <c r="IP64" i="1"/>
  <c r="IL65" i="1"/>
  <c r="IM64" i="1"/>
  <c r="IS54" i="1"/>
  <c r="IS58" i="1"/>
  <c r="IN59" i="1"/>
  <c r="IQ59" i="1"/>
  <c r="IP59" i="1"/>
  <c r="IL60" i="1"/>
  <c r="IO59" i="1"/>
  <c r="IM59" i="1"/>
  <c r="IN55" i="1"/>
  <c r="IQ55" i="1"/>
  <c r="IO55" i="1"/>
  <c r="IP55" i="1"/>
  <c r="IM55" i="1"/>
  <c r="IO56" i="1"/>
  <c r="IN56" i="1"/>
  <c r="IP56" i="1"/>
  <c r="IQ56" i="1"/>
  <c r="IM56" i="1"/>
  <c r="IS27" i="1"/>
  <c r="IN24" i="1"/>
  <c r="IQ24" i="1"/>
  <c r="IP24" i="1"/>
  <c r="IO24" i="1"/>
  <c r="IL26" i="1"/>
  <c r="IP26" i="1" s="1"/>
  <c r="IL25" i="1"/>
  <c r="IM24" i="1"/>
  <c r="IO17" i="1"/>
  <c r="IQ17" i="1"/>
  <c r="IN17" i="1"/>
  <c r="IP17" i="1"/>
  <c r="IM17" i="1"/>
  <c r="IL14" i="1"/>
  <c r="AJ77" i="4" l="1"/>
  <c r="AO55" i="4"/>
  <c r="AO53" i="4"/>
  <c r="AO61" i="4"/>
  <c r="AO33" i="4"/>
  <c r="AO35" i="4"/>
  <c r="JL67" i="1"/>
  <c r="HZ15" i="1"/>
  <c r="AJ39" i="4" s="1"/>
  <c r="JL87" i="1"/>
  <c r="HZ19" i="1"/>
  <c r="JL117" i="1"/>
  <c r="HZ25" i="1"/>
  <c r="AJ49" i="4" s="1"/>
  <c r="JL237" i="1"/>
  <c r="HZ49" i="1"/>
  <c r="AJ75" i="4" s="1"/>
  <c r="JL127" i="1"/>
  <c r="HZ27" i="1"/>
  <c r="JL227" i="1"/>
  <c r="HZ47" i="1"/>
  <c r="AJ73" i="4" s="1"/>
  <c r="JL27" i="1"/>
  <c r="HZ7" i="1"/>
  <c r="JL47" i="1"/>
  <c r="HZ11" i="1"/>
  <c r="AJ37" i="4" s="1"/>
  <c r="JL77" i="1"/>
  <c r="HZ17" i="1"/>
  <c r="JL147" i="1"/>
  <c r="HZ31" i="1"/>
  <c r="JL177" i="1"/>
  <c r="HZ37" i="1"/>
  <c r="JL207" i="1"/>
  <c r="HZ43" i="1"/>
  <c r="JL217" i="1"/>
  <c r="HZ45" i="1"/>
  <c r="AJ71" i="4" s="1"/>
  <c r="JL197" i="1"/>
  <c r="HZ41" i="1"/>
  <c r="AJ67" i="4" s="1"/>
  <c r="IQ138" i="1"/>
  <c r="IQ34" i="1"/>
  <c r="IN34" i="1"/>
  <c r="IO38" i="1"/>
  <c r="IL35" i="1"/>
  <c r="IQ35" i="1" s="1"/>
  <c r="IM34" i="1"/>
  <c r="IL39" i="1"/>
  <c r="IN39" i="1" s="1"/>
  <c r="IP34" i="1"/>
  <c r="IN38" i="1"/>
  <c r="IP38" i="1"/>
  <c r="IO34" i="1"/>
  <c r="IM38" i="1"/>
  <c r="IS37" i="1"/>
  <c r="IS44" i="1"/>
  <c r="IM46" i="1"/>
  <c r="IN46" i="1"/>
  <c r="IP46" i="1"/>
  <c r="IQ46" i="1"/>
  <c r="IP45" i="1"/>
  <c r="IQ45" i="1"/>
  <c r="IM45" i="1"/>
  <c r="IN45" i="1"/>
  <c r="IM138" i="1"/>
  <c r="IN138" i="1"/>
  <c r="IO138" i="1"/>
  <c r="IP138" i="1"/>
  <c r="IL130" i="1"/>
  <c r="IL131" i="1" s="1"/>
  <c r="IM134" i="1"/>
  <c r="IN134" i="1"/>
  <c r="IP134" i="1"/>
  <c r="IS137" i="1"/>
  <c r="IL136" i="1"/>
  <c r="IP136" i="1" s="1"/>
  <c r="IL135" i="1"/>
  <c r="IP135" i="1" s="1"/>
  <c r="IQ134" i="1"/>
  <c r="IP226" i="1"/>
  <c r="IM226" i="1"/>
  <c r="IO226" i="1"/>
  <c r="IN226" i="1"/>
  <c r="IS228" i="1"/>
  <c r="IN225" i="1"/>
  <c r="IO225" i="1"/>
  <c r="IM225" i="1"/>
  <c r="IQ225" i="1"/>
  <c r="IS224" i="1"/>
  <c r="IS17" i="1"/>
  <c r="IO49" i="1"/>
  <c r="IP49" i="1"/>
  <c r="IQ49" i="1"/>
  <c r="IS48" i="1"/>
  <c r="IM49" i="1"/>
  <c r="IL50" i="1"/>
  <c r="IP50" i="1" s="1"/>
  <c r="IQ125" i="1"/>
  <c r="IN125" i="1"/>
  <c r="IM125" i="1"/>
  <c r="IP125" i="1"/>
  <c r="IQ129" i="1"/>
  <c r="IP126" i="1"/>
  <c r="IS128" i="1"/>
  <c r="IM98" i="1"/>
  <c r="IN129" i="1"/>
  <c r="IO129" i="1"/>
  <c r="IM129" i="1"/>
  <c r="IO126" i="1"/>
  <c r="IN126" i="1"/>
  <c r="IM126" i="1"/>
  <c r="IS124" i="1"/>
  <c r="IS249" i="1"/>
  <c r="IS255" i="1"/>
  <c r="IS259" i="1"/>
  <c r="IS238" i="1"/>
  <c r="IS187" i="1"/>
  <c r="IS256" i="1"/>
  <c r="IS157" i="1"/>
  <c r="IS167" i="1"/>
  <c r="IL189" i="1"/>
  <c r="IN188" i="1"/>
  <c r="IO188" i="1"/>
  <c r="IM188" i="1"/>
  <c r="IP188" i="1"/>
  <c r="IQ188" i="1"/>
  <c r="IL261" i="1"/>
  <c r="IN260" i="1"/>
  <c r="IO260" i="1"/>
  <c r="IP260" i="1"/>
  <c r="IM260" i="1"/>
  <c r="IN164" i="1"/>
  <c r="IQ164" i="1"/>
  <c r="IL166" i="1"/>
  <c r="IM164" i="1"/>
  <c r="IO164" i="1"/>
  <c r="IL165" i="1"/>
  <c r="IP164" i="1"/>
  <c r="IP184" i="1"/>
  <c r="IL185" i="1"/>
  <c r="IQ184" i="1"/>
  <c r="IO184" i="1"/>
  <c r="IN184" i="1"/>
  <c r="IM184" i="1"/>
  <c r="IL186" i="1"/>
  <c r="IN154" i="1"/>
  <c r="IM154" i="1"/>
  <c r="IO154" i="1"/>
  <c r="IL155" i="1"/>
  <c r="IP154" i="1"/>
  <c r="IL156" i="1"/>
  <c r="IQ154" i="1"/>
  <c r="IQ168" i="1"/>
  <c r="IL169" i="1"/>
  <c r="IP168" i="1"/>
  <c r="IN168" i="1"/>
  <c r="IM168" i="1"/>
  <c r="IO168" i="1"/>
  <c r="IP158" i="1"/>
  <c r="IQ158" i="1"/>
  <c r="IM158" i="1"/>
  <c r="IN158" i="1"/>
  <c r="IL159" i="1"/>
  <c r="IO158" i="1"/>
  <c r="IS246" i="1"/>
  <c r="IS245" i="1"/>
  <c r="IN250" i="1"/>
  <c r="IO250" i="1"/>
  <c r="IP250" i="1"/>
  <c r="IL251" i="1"/>
  <c r="IQ250" i="1"/>
  <c r="IM250" i="1"/>
  <c r="IS234" i="1"/>
  <c r="IN236" i="1"/>
  <c r="IQ236" i="1"/>
  <c r="IP236" i="1"/>
  <c r="IO236" i="1"/>
  <c r="IM236" i="1"/>
  <c r="IQ235" i="1"/>
  <c r="IN235" i="1"/>
  <c r="IO235" i="1"/>
  <c r="IP235" i="1"/>
  <c r="IM235" i="1"/>
  <c r="IQ239" i="1"/>
  <c r="IL240" i="1"/>
  <c r="IO239" i="1"/>
  <c r="IP239" i="1"/>
  <c r="IN239" i="1"/>
  <c r="IM239" i="1"/>
  <c r="IS229" i="1"/>
  <c r="IQ230" i="1"/>
  <c r="IL231" i="1"/>
  <c r="IN230" i="1"/>
  <c r="IP230" i="1"/>
  <c r="IO230" i="1"/>
  <c r="IM230" i="1"/>
  <c r="IS218" i="1"/>
  <c r="IN215" i="1"/>
  <c r="IO215" i="1"/>
  <c r="IP215" i="1"/>
  <c r="IQ215" i="1"/>
  <c r="IM215" i="1"/>
  <c r="IN216" i="1"/>
  <c r="IP216" i="1"/>
  <c r="IQ216" i="1"/>
  <c r="IO216" i="1"/>
  <c r="IM216" i="1"/>
  <c r="IL220" i="1"/>
  <c r="IN219" i="1"/>
  <c r="IO219" i="1"/>
  <c r="IP219" i="1"/>
  <c r="IQ219" i="1"/>
  <c r="IM219" i="1"/>
  <c r="IS204" i="1"/>
  <c r="IS214" i="1"/>
  <c r="IL210" i="1"/>
  <c r="IQ209" i="1"/>
  <c r="IN209" i="1"/>
  <c r="IO209" i="1"/>
  <c r="IP209" i="1"/>
  <c r="IM209" i="1"/>
  <c r="IQ205" i="1"/>
  <c r="IN205" i="1"/>
  <c r="IO205" i="1"/>
  <c r="IP205" i="1"/>
  <c r="IM205" i="1"/>
  <c r="IS208" i="1"/>
  <c r="IQ206" i="1"/>
  <c r="IN206" i="1"/>
  <c r="IP206" i="1"/>
  <c r="IO206" i="1"/>
  <c r="IM206" i="1"/>
  <c r="IS194" i="1"/>
  <c r="IN199" i="1"/>
  <c r="IO199" i="1"/>
  <c r="IP199" i="1"/>
  <c r="IL200" i="1"/>
  <c r="IQ199" i="1"/>
  <c r="IM199" i="1"/>
  <c r="IN196" i="1"/>
  <c r="IO196" i="1"/>
  <c r="IQ196" i="1"/>
  <c r="IP196" i="1"/>
  <c r="IM196" i="1"/>
  <c r="IS198" i="1"/>
  <c r="IN195" i="1"/>
  <c r="IO195" i="1"/>
  <c r="IP195" i="1"/>
  <c r="IQ195" i="1"/>
  <c r="IM195" i="1"/>
  <c r="IO99" i="1"/>
  <c r="IN99" i="1"/>
  <c r="IP98" i="1"/>
  <c r="IM99" i="1"/>
  <c r="IL100" i="1"/>
  <c r="IL101" i="1" s="1"/>
  <c r="IS174" i="1"/>
  <c r="IQ175" i="1"/>
  <c r="IN175" i="1"/>
  <c r="IO175" i="1"/>
  <c r="IP175" i="1"/>
  <c r="IM175" i="1"/>
  <c r="IQ99" i="1"/>
  <c r="IQ98" i="1"/>
  <c r="IS178" i="1"/>
  <c r="IO179" i="1"/>
  <c r="IP179" i="1"/>
  <c r="IL180" i="1"/>
  <c r="IQ179" i="1"/>
  <c r="IN179" i="1"/>
  <c r="IM179" i="1"/>
  <c r="IO176" i="1"/>
  <c r="IP176" i="1"/>
  <c r="IQ176" i="1"/>
  <c r="IN176" i="1"/>
  <c r="IM176" i="1"/>
  <c r="IL150" i="1"/>
  <c r="IP149" i="1"/>
  <c r="IQ149" i="1"/>
  <c r="IN149" i="1"/>
  <c r="IO149" i="1"/>
  <c r="IM149" i="1"/>
  <c r="IS144" i="1"/>
  <c r="IN98" i="1"/>
  <c r="IO146" i="1"/>
  <c r="IQ146" i="1"/>
  <c r="IN146" i="1"/>
  <c r="IP146" i="1"/>
  <c r="IM146" i="1"/>
  <c r="IS148" i="1"/>
  <c r="IP145" i="1"/>
  <c r="IQ145" i="1"/>
  <c r="IN145" i="1"/>
  <c r="IO145" i="1"/>
  <c r="IM145" i="1"/>
  <c r="IL140" i="1"/>
  <c r="IQ139" i="1"/>
  <c r="IN139" i="1"/>
  <c r="IO139" i="1"/>
  <c r="IP139" i="1"/>
  <c r="IM139" i="1"/>
  <c r="IP85" i="1"/>
  <c r="IS97" i="1"/>
  <c r="IO98" i="1"/>
  <c r="IL96" i="1"/>
  <c r="IP94" i="1"/>
  <c r="IO94" i="1"/>
  <c r="IL95" i="1"/>
  <c r="IN94" i="1"/>
  <c r="IM94" i="1"/>
  <c r="IQ94" i="1"/>
  <c r="IS114" i="1"/>
  <c r="IM115" i="1"/>
  <c r="IO115" i="1"/>
  <c r="IN115" i="1"/>
  <c r="IQ115" i="1"/>
  <c r="IP115" i="1"/>
  <c r="IS118" i="1"/>
  <c r="IM116" i="1"/>
  <c r="IP116" i="1"/>
  <c r="IO116" i="1"/>
  <c r="IN116" i="1"/>
  <c r="IQ116" i="1"/>
  <c r="IO119" i="1"/>
  <c r="IN119" i="1"/>
  <c r="IQ119" i="1"/>
  <c r="IP119" i="1"/>
  <c r="IL120" i="1"/>
  <c r="IM119" i="1"/>
  <c r="IO110" i="1"/>
  <c r="IN110" i="1"/>
  <c r="IQ110" i="1"/>
  <c r="IP110" i="1"/>
  <c r="IL111" i="1"/>
  <c r="IM110" i="1"/>
  <c r="IO85" i="1"/>
  <c r="IS109" i="1"/>
  <c r="IQ85" i="1"/>
  <c r="IS106" i="1"/>
  <c r="IN85" i="1"/>
  <c r="IS105" i="1"/>
  <c r="IP89" i="1"/>
  <c r="IL90" i="1"/>
  <c r="IO89" i="1"/>
  <c r="IN89" i="1"/>
  <c r="IQ89" i="1"/>
  <c r="IM89" i="1"/>
  <c r="IS88" i="1"/>
  <c r="IS84" i="1"/>
  <c r="IS86" i="1"/>
  <c r="IL80" i="1"/>
  <c r="IP79" i="1"/>
  <c r="IN79" i="1"/>
  <c r="IO79" i="1"/>
  <c r="IQ79" i="1"/>
  <c r="IM79" i="1"/>
  <c r="IS78" i="1"/>
  <c r="IP75" i="1"/>
  <c r="IN75" i="1"/>
  <c r="IO75" i="1"/>
  <c r="IQ75" i="1"/>
  <c r="IM75" i="1"/>
  <c r="IO76" i="1"/>
  <c r="IQ76" i="1"/>
  <c r="IP76" i="1"/>
  <c r="IN76" i="1"/>
  <c r="IM76" i="1"/>
  <c r="IS74" i="1"/>
  <c r="IS64" i="1"/>
  <c r="IP69" i="1"/>
  <c r="IL70" i="1"/>
  <c r="IO69" i="1"/>
  <c r="IQ69" i="1"/>
  <c r="IM69" i="1"/>
  <c r="IQ66" i="1"/>
  <c r="IP66" i="1"/>
  <c r="IO66" i="1"/>
  <c r="IN66" i="1"/>
  <c r="IM66" i="1"/>
  <c r="IP65" i="1"/>
  <c r="IO65" i="1"/>
  <c r="IN65" i="1"/>
  <c r="IQ65" i="1"/>
  <c r="IM65" i="1"/>
  <c r="IS68" i="1"/>
  <c r="IS55" i="1"/>
  <c r="IS59" i="1"/>
  <c r="IS56" i="1"/>
  <c r="IO60" i="1"/>
  <c r="IN60" i="1"/>
  <c r="IL61" i="1"/>
  <c r="IQ60" i="1"/>
  <c r="IP60" i="1"/>
  <c r="IM60" i="1"/>
  <c r="IS24" i="1"/>
  <c r="IP36" i="1"/>
  <c r="IO36" i="1"/>
  <c r="IN36" i="1"/>
  <c r="IQ36" i="1"/>
  <c r="IM36" i="1"/>
  <c r="IO25" i="1"/>
  <c r="IN25" i="1"/>
  <c r="IQ25" i="1"/>
  <c r="IP25" i="1"/>
  <c r="IM25" i="1"/>
  <c r="IO26" i="1"/>
  <c r="IN26" i="1"/>
  <c r="IQ26" i="1"/>
  <c r="IM26" i="1"/>
  <c r="IL15" i="1"/>
  <c r="IP14" i="1"/>
  <c r="IQ14" i="1"/>
  <c r="IN14" i="1"/>
  <c r="IO14" i="1"/>
  <c r="IQ18" i="1"/>
  <c r="IN18" i="1"/>
  <c r="IP18" i="1"/>
  <c r="IO18" i="1"/>
  <c r="IM14" i="1"/>
  <c r="IM18" i="1"/>
  <c r="IL16" i="1"/>
  <c r="AJ41" i="4" l="1"/>
  <c r="AJ69" i="4"/>
  <c r="AJ63" i="4"/>
  <c r="AJ57" i="4"/>
  <c r="AJ51" i="4"/>
  <c r="AJ53" i="4"/>
  <c r="AJ43" i="4"/>
  <c r="JL97" i="1"/>
  <c r="HZ21" i="1"/>
  <c r="JL187" i="1"/>
  <c r="HZ39" i="1"/>
  <c r="AJ65" i="4" s="1"/>
  <c r="JL137" i="1"/>
  <c r="HZ29" i="1"/>
  <c r="AJ55" i="4" s="1"/>
  <c r="JL167" i="1"/>
  <c r="HZ35" i="1"/>
  <c r="AJ61" i="4" s="1"/>
  <c r="JL157" i="1"/>
  <c r="HZ33" i="1"/>
  <c r="JL17" i="1"/>
  <c r="HZ5" i="1"/>
  <c r="AJ29" i="4" s="1"/>
  <c r="JL37" i="1"/>
  <c r="HZ9" i="1"/>
  <c r="AJ33" i="4" s="1"/>
  <c r="IN35" i="1"/>
  <c r="IM35" i="1"/>
  <c r="IP35" i="1"/>
  <c r="IO35" i="1"/>
  <c r="IQ39" i="1"/>
  <c r="IM39" i="1"/>
  <c r="IP39" i="1"/>
  <c r="IO39" i="1"/>
  <c r="IL40" i="1"/>
  <c r="IO40" i="1" s="1"/>
  <c r="IS34" i="1"/>
  <c r="IS38" i="1"/>
  <c r="IS45" i="1"/>
  <c r="IS46" i="1"/>
  <c r="IS138" i="1"/>
  <c r="IO130" i="1"/>
  <c r="IN130" i="1"/>
  <c r="IQ130" i="1"/>
  <c r="IM130" i="1"/>
  <c r="IP130" i="1"/>
  <c r="IS134" i="1"/>
  <c r="IN136" i="1"/>
  <c r="IO136" i="1"/>
  <c r="IM136" i="1"/>
  <c r="IQ136" i="1"/>
  <c r="IS226" i="1"/>
  <c r="IM135" i="1"/>
  <c r="IQ135" i="1"/>
  <c r="IN135" i="1"/>
  <c r="IO135" i="1"/>
  <c r="IS225" i="1"/>
  <c r="IS18" i="1"/>
  <c r="IL51" i="1"/>
  <c r="IP51" i="1" s="1"/>
  <c r="IO50" i="1"/>
  <c r="IN50" i="1"/>
  <c r="IQ50" i="1"/>
  <c r="IS49" i="1"/>
  <c r="IM50" i="1"/>
  <c r="IS125" i="1"/>
  <c r="IS129" i="1"/>
  <c r="IS260" i="1"/>
  <c r="IS126" i="1"/>
  <c r="IS164" i="1"/>
  <c r="IS184" i="1"/>
  <c r="IS188" i="1"/>
  <c r="IS158" i="1"/>
  <c r="IS168" i="1"/>
  <c r="IS154" i="1"/>
  <c r="IP100" i="1"/>
  <c r="IQ100" i="1"/>
  <c r="IO100" i="1"/>
  <c r="IM100" i="1"/>
  <c r="IN100" i="1"/>
  <c r="IN159" i="1"/>
  <c r="IM159" i="1"/>
  <c r="IQ159" i="1"/>
  <c r="IO159" i="1"/>
  <c r="IL160" i="1"/>
  <c r="IP159" i="1"/>
  <c r="IP156" i="1"/>
  <c r="IQ156" i="1"/>
  <c r="IN156" i="1"/>
  <c r="IM156" i="1"/>
  <c r="IO156" i="1"/>
  <c r="IP169" i="1"/>
  <c r="IL170" i="1"/>
  <c r="IM169" i="1"/>
  <c r="IQ169" i="1"/>
  <c r="IO169" i="1"/>
  <c r="IN169" i="1"/>
  <c r="IQ166" i="1"/>
  <c r="IM166" i="1"/>
  <c r="IP166" i="1"/>
  <c r="IN166" i="1"/>
  <c r="IO166" i="1"/>
  <c r="IQ261" i="1"/>
  <c r="IN261" i="1"/>
  <c r="IO261" i="1"/>
  <c r="IP261" i="1"/>
  <c r="IM261" i="1"/>
  <c r="IN155" i="1"/>
  <c r="IM155" i="1"/>
  <c r="IQ155" i="1"/>
  <c r="IO155" i="1"/>
  <c r="IP155" i="1"/>
  <c r="IP186" i="1"/>
  <c r="IQ186" i="1"/>
  <c r="IN186" i="1"/>
  <c r="IM186" i="1"/>
  <c r="IO186" i="1"/>
  <c r="IN165" i="1"/>
  <c r="IP165" i="1"/>
  <c r="IQ165" i="1"/>
  <c r="IM165" i="1"/>
  <c r="IO165" i="1"/>
  <c r="IQ185" i="1"/>
  <c r="IM185" i="1"/>
  <c r="IO185" i="1"/>
  <c r="IP185" i="1"/>
  <c r="IN185" i="1"/>
  <c r="IQ189" i="1"/>
  <c r="IL190" i="1"/>
  <c r="IN189" i="1"/>
  <c r="IP189" i="1"/>
  <c r="IO189" i="1"/>
  <c r="IM189" i="1"/>
  <c r="IS250" i="1"/>
  <c r="IN251" i="1"/>
  <c r="IO251" i="1"/>
  <c r="IQ251" i="1"/>
  <c r="IP251" i="1"/>
  <c r="IM251" i="1"/>
  <c r="IS239" i="1"/>
  <c r="IS98" i="1"/>
  <c r="IS235" i="1"/>
  <c r="IS236" i="1"/>
  <c r="IN240" i="1"/>
  <c r="IO240" i="1"/>
  <c r="IQ240" i="1"/>
  <c r="IP240" i="1"/>
  <c r="IL241" i="1"/>
  <c r="IM240" i="1"/>
  <c r="IS216" i="1"/>
  <c r="IS230" i="1"/>
  <c r="IQ231" i="1"/>
  <c r="IN231" i="1"/>
  <c r="IO231" i="1"/>
  <c r="IP231" i="1"/>
  <c r="IM231" i="1"/>
  <c r="IS219" i="1"/>
  <c r="IL221" i="1"/>
  <c r="IO220" i="1"/>
  <c r="IN220" i="1"/>
  <c r="IP220" i="1"/>
  <c r="IQ220" i="1"/>
  <c r="IM220" i="1"/>
  <c r="IS205" i="1"/>
  <c r="IS215" i="1"/>
  <c r="IS209" i="1"/>
  <c r="IS99" i="1"/>
  <c r="IS206" i="1"/>
  <c r="IL211" i="1"/>
  <c r="IQ210" i="1"/>
  <c r="IN210" i="1"/>
  <c r="IP210" i="1"/>
  <c r="IO210" i="1"/>
  <c r="IM210" i="1"/>
  <c r="IS199" i="1"/>
  <c r="IN200" i="1"/>
  <c r="IO200" i="1"/>
  <c r="IQ200" i="1"/>
  <c r="IL201" i="1"/>
  <c r="IP200" i="1"/>
  <c r="IM200" i="1"/>
  <c r="IS196" i="1"/>
  <c r="IS195" i="1"/>
  <c r="IS179" i="1"/>
  <c r="IS175" i="1"/>
  <c r="IS176" i="1"/>
  <c r="IO180" i="1"/>
  <c r="IP180" i="1"/>
  <c r="IQ180" i="1"/>
  <c r="IL181" i="1"/>
  <c r="IN180" i="1"/>
  <c r="IM180" i="1"/>
  <c r="IS149" i="1"/>
  <c r="IS145" i="1"/>
  <c r="IS146" i="1"/>
  <c r="IL151" i="1"/>
  <c r="IO150" i="1"/>
  <c r="IQ150" i="1"/>
  <c r="IN150" i="1"/>
  <c r="IP150" i="1"/>
  <c r="IM150" i="1"/>
  <c r="IS139" i="1"/>
  <c r="IL141" i="1"/>
  <c r="IQ140" i="1"/>
  <c r="IN140" i="1"/>
  <c r="IO140" i="1"/>
  <c r="IP140" i="1"/>
  <c r="IM140" i="1"/>
  <c r="IS94" i="1"/>
  <c r="IO96" i="1"/>
  <c r="IN96" i="1"/>
  <c r="IQ96" i="1"/>
  <c r="IP96" i="1"/>
  <c r="IM96" i="1"/>
  <c r="IQ95" i="1"/>
  <c r="IP95" i="1"/>
  <c r="IO95" i="1"/>
  <c r="IM95" i="1"/>
  <c r="IN95" i="1"/>
  <c r="IO131" i="1"/>
  <c r="IP131" i="1"/>
  <c r="IN131" i="1"/>
  <c r="IQ131" i="1"/>
  <c r="IM131" i="1"/>
  <c r="IS116" i="1"/>
  <c r="IS119" i="1"/>
  <c r="IS115" i="1"/>
  <c r="IP120" i="1"/>
  <c r="IO120" i="1"/>
  <c r="IN120" i="1"/>
  <c r="IQ120" i="1"/>
  <c r="IS85" i="1"/>
  <c r="IL121" i="1"/>
  <c r="IM120" i="1"/>
  <c r="IS110" i="1"/>
  <c r="IP111" i="1"/>
  <c r="IO111" i="1"/>
  <c r="IN111" i="1"/>
  <c r="IQ111" i="1"/>
  <c r="IM111" i="1"/>
  <c r="IQ101" i="1"/>
  <c r="IP101" i="1"/>
  <c r="IO101" i="1"/>
  <c r="IN101" i="1"/>
  <c r="IM101" i="1"/>
  <c r="IQ90" i="1"/>
  <c r="IP90" i="1"/>
  <c r="IL91" i="1"/>
  <c r="IO90" i="1"/>
  <c r="IN90" i="1"/>
  <c r="IM90" i="1"/>
  <c r="IS89" i="1"/>
  <c r="IS75" i="1"/>
  <c r="IS79" i="1"/>
  <c r="IS76" i="1"/>
  <c r="IO80" i="1"/>
  <c r="IQ80" i="1"/>
  <c r="IP80" i="1"/>
  <c r="IN80" i="1"/>
  <c r="IL81" i="1"/>
  <c r="IM80" i="1"/>
  <c r="IS66" i="1"/>
  <c r="IS65" i="1"/>
  <c r="IS69" i="1"/>
  <c r="IQ70" i="1"/>
  <c r="IP70" i="1"/>
  <c r="IL71" i="1"/>
  <c r="IO70" i="1"/>
  <c r="IN70" i="1"/>
  <c r="IM70" i="1"/>
  <c r="IS60" i="1"/>
  <c r="IP61" i="1"/>
  <c r="IO61" i="1"/>
  <c r="IN61" i="1"/>
  <c r="IQ61" i="1"/>
  <c r="IM61" i="1"/>
  <c r="IS36" i="1"/>
  <c r="IS14" i="1"/>
  <c r="IS25" i="1"/>
  <c r="IS26" i="1"/>
  <c r="IP15" i="1"/>
  <c r="IO15" i="1"/>
  <c r="IQ15" i="1"/>
  <c r="IN15" i="1"/>
  <c r="IP19" i="1"/>
  <c r="IO19" i="1"/>
  <c r="IQ19" i="1"/>
  <c r="IN19" i="1"/>
  <c r="IN16" i="1"/>
  <c r="IQ16" i="1"/>
  <c r="IP16" i="1"/>
  <c r="IO16" i="1"/>
  <c r="IM19" i="1"/>
  <c r="IM15" i="1"/>
  <c r="IM16" i="1"/>
  <c r="AJ59" i="4" l="1"/>
  <c r="AJ31" i="4"/>
  <c r="AJ35" i="4"/>
  <c r="AJ45" i="4"/>
  <c r="AJ47" i="4"/>
  <c r="IQ40" i="1"/>
  <c r="IL41" i="1"/>
  <c r="IO41" i="1" s="1"/>
  <c r="IN40" i="1"/>
  <c r="IP40" i="1"/>
  <c r="IS35" i="1"/>
  <c r="IM40" i="1"/>
  <c r="IS39" i="1"/>
  <c r="IS130" i="1"/>
  <c r="IS136" i="1"/>
  <c r="IS135" i="1"/>
  <c r="IS16" i="1"/>
  <c r="IO51" i="1"/>
  <c r="IN51" i="1"/>
  <c r="IM51" i="1"/>
  <c r="IQ51" i="1"/>
  <c r="IS50" i="1"/>
  <c r="IS100" i="1"/>
  <c r="IS185" i="1"/>
  <c r="IS186" i="1"/>
  <c r="IS189" i="1"/>
  <c r="IS166" i="1"/>
  <c r="IS169" i="1"/>
  <c r="IS165" i="1"/>
  <c r="IS156" i="1"/>
  <c r="IS159" i="1"/>
  <c r="IS155" i="1"/>
  <c r="IP190" i="1"/>
  <c r="IL191" i="1"/>
  <c r="IQ190" i="1"/>
  <c r="IN190" i="1"/>
  <c r="IM190" i="1"/>
  <c r="IO190" i="1"/>
  <c r="IQ170" i="1"/>
  <c r="IP170" i="1"/>
  <c r="IL171" i="1"/>
  <c r="IM170" i="1"/>
  <c r="IN170" i="1"/>
  <c r="IO170" i="1"/>
  <c r="IP160" i="1"/>
  <c r="IL161" i="1"/>
  <c r="IQ160" i="1"/>
  <c r="IN160" i="1"/>
  <c r="IM160" i="1"/>
  <c r="IO160" i="1"/>
  <c r="IS240" i="1"/>
  <c r="IQ241" i="1"/>
  <c r="IN241" i="1"/>
  <c r="IO241" i="1"/>
  <c r="IP241" i="1"/>
  <c r="IM241" i="1"/>
  <c r="IS220" i="1"/>
  <c r="IQ221" i="1"/>
  <c r="IN221" i="1"/>
  <c r="IP221" i="1"/>
  <c r="IO221" i="1"/>
  <c r="IM221" i="1"/>
  <c r="IQ211" i="1"/>
  <c r="IN211" i="1"/>
  <c r="IO211" i="1"/>
  <c r="IP211" i="1"/>
  <c r="IM211" i="1"/>
  <c r="IS210" i="1"/>
  <c r="IN201" i="1"/>
  <c r="IQ201" i="1"/>
  <c r="IO201" i="1"/>
  <c r="IP201" i="1"/>
  <c r="IM201" i="1"/>
  <c r="IS200" i="1"/>
  <c r="IN181" i="1"/>
  <c r="IO181" i="1"/>
  <c r="IP181" i="1"/>
  <c r="IQ181" i="1"/>
  <c r="IM181" i="1"/>
  <c r="IS180" i="1"/>
  <c r="IS150" i="1"/>
  <c r="IP151" i="1"/>
  <c r="IQ151" i="1"/>
  <c r="IN151" i="1"/>
  <c r="IO151" i="1"/>
  <c r="IM151" i="1"/>
  <c r="IS140" i="1"/>
  <c r="IQ141" i="1"/>
  <c r="IN141" i="1"/>
  <c r="IO141" i="1"/>
  <c r="IP141" i="1"/>
  <c r="IM141" i="1"/>
  <c r="IS95" i="1"/>
  <c r="IS96" i="1"/>
  <c r="IS120" i="1"/>
  <c r="IM121" i="1"/>
  <c r="IQ121" i="1"/>
  <c r="IP121" i="1"/>
  <c r="IO121" i="1"/>
  <c r="IN121" i="1"/>
  <c r="IS90" i="1"/>
  <c r="IO91" i="1"/>
  <c r="IN91" i="1"/>
  <c r="IQ91" i="1"/>
  <c r="IP91" i="1"/>
  <c r="IM91" i="1"/>
  <c r="IP81" i="1"/>
  <c r="IN81" i="1"/>
  <c r="IQ81" i="1"/>
  <c r="IO81" i="1"/>
  <c r="IM81" i="1"/>
  <c r="IS80" i="1"/>
  <c r="IN71" i="1"/>
  <c r="IQ71" i="1"/>
  <c r="IP71" i="1"/>
  <c r="IO71" i="1"/>
  <c r="IM71" i="1"/>
  <c r="IS70" i="1"/>
  <c r="IS15" i="1"/>
  <c r="IS19" i="1"/>
  <c r="IP20" i="1"/>
  <c r="IO20" i="1"/>
  <c r="IQ20" i="1"/>
  <c r="IN20" i="1"/>
  <c r="IM20" i="1"/>
  <c r="IQ41" i="1" l="1"/>
  <c r="IP41" i="1"/>
  <c r="IN41" i="1"/>
  <c r="IM41" i="1"/>
  <c r="IS40" i="1"/>
  <c r="IS190" i="1"/>
  <c r="IS170" i="1"/>
  <c r="IS160" i="1"/>
  <c r="IO161" i="1"/>
  <c r="IN161" i="1"/>
  <c r="IM161" i="1"/>
  <c r="IP161" i="1"/>
  <c r="IQ161" i="1"/>
  <c r="IO191" i="1"/>
  <c r="IM191" i="1"/>
  <c r="IP191" i="1"/>
  <c r="IQ191" i="1"/>
  <c r="IN191" i="1"/>
  <c r="IP171" i="1"/>
  <c r="IN171" i="1"/>
  <c r="IO171" i="1"/>
  <c r="IQ171" i="1"/>
  <c r="IM171" i="1"/>
  <c r="IS20" i="1"/>
  <c r="IQ21" i="1"/>
  <c r="IN21" i="1"/>
  <c r="IP21" i="1"/>
  <c r="IO21" i="1"/>
  <c r="IM21" i="1"/>
  <c r="IL28" i="1" l="1"/>
  <c r="IN28" i="1" l="1"/>
  <c r="IQ28" i="1"/>
  <c r="IP28" i="1"/>
  <c r="IL29" i="1"/>
  <c r="IO29" i="1" s="1"/>
  <c r="IO28" i="1"/>
  <c r="IM28" i="1"/>
  <c r="IS28" i="1" l="1"/>
  <c r="IL30" i="1"/>
  <c r="IN29" i="1"/>
  <c r="IQ29" i="1"/>
  <c r="IP29" i="1"/>
  <c r="IM29" i="1"/>
  <c r="IS29" i="1" l="1"/>
  <c r="IL31" i="1"/>
  <c r="IP30" i="1"/>
  <c r="IO30" i="1"/>
  <c r="IN30" i="1"/>
  <c r="IQ30" i="1"/>
  <c r="IM30" i="1"/>
  <c r="IS30" i="1" l="1"/>
  <c r="IQ31" i="1"/>
  <c r="IP31" i="1"/>
  <c r="IO31" i="1"/>
  <c r="IN31" i="1"/>
  <c r="IM31" i="1"/>
  <c r="ID269" i="1" l="1"/>
  <c r="IT266" i="1"/>
  <c r="IT265" i="1"/>
  <c r="ID270" i="1"/>
  <c r="IT269" i="1"/>
  <c r="ID265" i="1"/>
  <c r="IT271" i="1"/>
  <c r="IT267" i="1"/>
  <c r="IT268" i="1"/>
  <c r="IY270" i="1"/>
  <c r="JB263" i="1"/>
  <c r="JT263" i="1" s="1"/>
  <c r="IV263" i="1"/>
  <c r="ID272" i="1"/>
  <c r="IT270" i="1"/>
  <c r="ID268" i="1"/>
  <c r="ID267" i="1"/>
  <c r="ID264" i="1"/>
  <c r="JH264" i="1" s="1"/>
  <c r="IY264" i="1"/>
  <c r="ID271" i="1"/>
  <c r="ID266" i="1"/>
  <c r="IT263" i="1"/>
  <c r="JK263" i="1" s="1"/>
  <c r="IT264" i="1"/>
  <c r="IY267" i="1"/>
  <c r="ID13" i="1" l="1"/>
  <c r="JN263" i="1"/>
  <c r="JW263" i="1" s="1"/>
  <c r="IV267" i="1"/>
  <c r="IV266" i="1" s="1"/>
  <c r="IV265" i="1"/>
  <c r="IV264" i="1"/>
  <c r="JB264" i="1"/>
  <c r="JE263" i="1"/>
  <c r="JE264" i="1" s="1"/>
  <c r="IY13" i="1" l="1"/>
  <c r="IY14" i="1" s="1"/>
  <c r="IY16" i="1"/>
  <c r="IY17" i="1" s="1"/>
  <c r="IY19" i="1"/>
  <c r="IY20" i="1" s="1"/>
  <c r="JT13" i="1"/>
  <c r="IT17" i="1"/>
  <c r="JK17" i="1" s="1"/>
  <c r="IT19" i="1"/>
  <c r="IT18" i="1"/>
  <c r="ID20" i="1"/>
  <c r="IT20" i="1"/>
  <c r="IT16" i="1"/>
  <c r="IT15" i="1"/>
  <c r="ID19" i="1"/>
  <c r="ID15" i="1"/>
  <c r="ID17" i="1"/>
  <c r="ID22" i="1"/>
  <c r="JN13" i="1" s="1"/>
  <c r="JW13" i="1" s="1"/>
  <c r="IT13" i="1"/>
  <c r="IV13" i="1"/>
  <c r="IV14" i="1" s="1"/>
  <c r="JB13" i="1"/>
  <c r="JB14" i="1" s="1"/>
  <c r="ID16" i="1"/>
  <c r="ID21" i="1"/>
  <c r="JH21" i="1" s="1"/>
  <c r="IT14" i="1"/>
  <c r="ID14" i="1"/>
  <c r="JH14" i="1" s="1"/>
  <c r="ID18" i="1"/>
  <c r="IT21" i="1"/>
  <c r="JK21" i="1" s="1"/>
  <c r="ID23" i="1" l="1"/>
  <c r="IV15" i="1"/>
  <c r="JB21" i="1"/>
  <c r="JB22" i="1" s="1"/>
  <c r="IV17" i="1"/>
  <c r="IV16" i="1" s="1"/>
  <c r="JK13" i="1"/>
  <c r="JQ13" i="1"/>
  <c r="JB16" i="1"/>
  <c r="JB17" i="1" s="1"/>
  <c r="JE13" i="1"/>
  <c r="JE14" i="1" s="1"/>
  <c r="IY29" i="1" l="1"/>
  <c r="IY30" i="1" s="1"/>
  <c r="IY26" i="1"/>
  <c r="IY27" i="1" s="1"/>
  <c r="IY23" i="1"/>
  <c r="IY24" i="1" s="1"/>
  <c r="IT28" i="1"/>
  <c r="JE21" i="1"/>
  <c r="JE22" i="1" s="1"/>
  <c r="ID25" i="1"/>
  <c r="IT26" i="1"/>
  <c r="IT27" i="1"/>
  <c r="JK27" i="1" s="1"/>
  <c r="ID24" i="1"/>
  <c r="JH24" i="1" s="1"/>
  <c r="IT30" i="1"/>
  <c r="IT24" i="1"/>
  <c r="IV23" i="1"/>
  <c r="IV25" i="1" s="1"/>
  <c r="ID27" i="1"/>
  <c r="IT31" i="1"/>
  <c r="JK31" i="1" s="1"/>
  <c r="IT29" i="1"/>
  <c r="ID31" i="1"/>
  <c r="JH31" i="1" s="1"/>
  <c r="ID29" i="1"/>
  <c r="ID28" i="1"/>
  <c r="IT25" i="1"/>
  <c r="ID26" i="1"/>
  <c r="ID30" i="1"/>
  <c r="IT23" i="1"/>
  <c r="JK23" i="1" s="1"/>
  <c r="ID32" i="1"/>
  <c r="JN23" i="1" s="1"/>
  <c r="JW23" i="1" s="1"/>
  <c r="IV24" i="1" l="1"/>
  <c r="JB31" i="1"/>
  <c r="JE31" i="1" s="1"/>
  <c r="JE32" i="1" s="1"/>
  <c r="ID33" i="1"/>
  <c r="JQ23" i="1"/>
  <c r="IV27" i="1"/>
  <c r="IV26" i="1" s="1"/>
  <c r="IT33" i="1" l="1"/>
  <c r="JK33" i="1" s="1"/>
  <c r="IY39" i="1"/>
  <c r="IY40" i="1" s="1"/>
  <c r="IY33" i="1"/>
  <c r="IY34" i="1" s="1"/>
  <c r="IY36" i="1"/>
  <c r="IY37" i="1" s="1"/>
  <c r="ID38" i="1"/>
  <c r="ID34" i="1"/>
  <c r="JH34" i="1" s="1"/>
  <c r="ID39" i="1"/>
  <c r="ID36" i="1"/>
  <c r="IT39" i="1"/>
  <c r="IT41" i="1"/>
  <c r="JK41" i="1" s="1"/>
  <c r="IT38" i="1"/>
  <c r="IT37" i="1"/>
  <c r="JK37" i="1" s="1"/>
  <c r="ID37" i="1"/>
  <c r="IT36" i="1"/>
  <c r="IV33" i="1"/>
  <c r="IV34" i="1" s="1"/>
  <c r="ID42" i="1"/>
  <c r="JN33" i="1" s="1"/>
  <c r="JW33" i="1" s="1"/>
  <c r="JB32" i="1"/>
  <c r="ID41" i="1"/>
  <c r="JH41" i="1" s="1"/>
  <c r="ID35" i="1"/>
  <c r="ID40" i="1"/>
  <c r="IT40" i="1"/>
  <c r="IT34" i="1"/>
  <c r="IT35" i="1"/>
  <c r="JQ33" i="1" l="1"/>
  <c r="ID43" i="1"/>
  <c r="JB41" i="1"/>
  <c r="JB42" i="1" s="1"/>
  <c r="IV35" i="1"/>
  <c r="IV37" i="1"/>
  <c r="IV36" i="1" s="1"/>
  <c r="IT48" i="1" l="1"/>
  <c r="IY43" i="1"/>
  <c r="IY44" i="1" s="1"/>
  <c r="IY46" i="1"/>
  <c r="IY47" i="1" s="1"/>
  <c r="IY49" i="1"/>
  <c r="IY50" i="1" s="1"/>
  <c r="JE41" i="1"/>
  <c r="JE42" i="1" s="1"/>
  <c r="IV43" i="1"/>
  <c r="IV45" i="1" s="1"/>
  <c r="IT46" i="1"/>
  <c r="IT45" i="1"/>
  <c r="ID51" i="1"/>
  <c r="JH51" i="1" s="1"/>
  <c r="IT44" i="1"/>
  <c r="ID52" i="1"/>
  <c r="JN43" i="1" s="1"/>
  <c r="JW43" i="1" s="1"/>
  <c r="ID45" i="1"/>
  <c r="ID50" i="1"/>
  <c r="ID49" i="1"/>
  <c r="ID46" i="1"/>
  <c r="ID48" i="1"/>
  <c r="ID44" i="1"/>
  <c r="JH44" i="1" s="1"/>
  <c r="IT47" i="1"/>
  <c r="JK47" i="1" s="1"/>
  <c r="IT43" i="1"/>
  <c r="IT49" i="1"/>
  <c r="ID47" i="1"/>
  <c r="IT50" i="1"/>
  <c r="IT51" i="1"/>
  <c r="JK51" i="1" s="1"/>
  <c r="JQ43" i="1" l="1"/>
  <c r="ID53" i="1"/>
  <c r="IV44" i="1"/>
  <c r="JB51" i="1"/>
  <c r="JE51" i="1" s="1"/>
  <c r="JE52" i="1" s="1"/>
  <c r="JK43" i="1"/>
  <c r="IV47" i="1"/>
  <c r="IV46" i="1" s="1"/>
  <c r="IT59" i="1" l="1"/>
  <c r="IY59" i="1"/>
  <c r="IY60" i="1" s="1"/>
  <c r="IY56" i="1"/>
  <c r="IY57" i="1" s="1"/>
  <c r="IY53" i="1"/>
  <c r="IY54" i="1" s="1"/>
  <c r="IV53" i="1"/>
  <c r="IV55" i="1" s="1"/>
  <c r="IT53" i="1"/>
  <c r="IT57" i="1"/>
  <c r="JK57" i="1" s="1"/>
  <c r="ID54" i="1"/>
  <c r="JH54" i="1" s="1"/>
  <c r="IT56" i="1"/>
  <c r="ID57" i="1"/>
  <c r="ID58" i="1"/>
  <c r="IT61" i="1"/>
  <c r="JK61" i="1" s="1"/>
  <c r="ID59" i="1"/>
  <c r="ID55" i="1"/>
  <c r="IT55" i="1"/>
  <c r="ID60" i="1"/>
  <c r="IT58" i="1"/>
  <c r="IT60" i="1"/>
  <c r="ID61" i="1"/>
  <c r="JH61" i="1" s="1"/>
  <c r="IT54" i="1"/>
  <c r="ID62" i="1"/>
  <c r="JN53" i="1" s="1"/>
  <c r="JW53" i="1" s="1"/>
  <c r="ID56" i="1"/>
  <c r="JB52" i="1"/>
  <c r="JQ53" i="1" l="1"/>
  <c r="JK53" i="1"/>
  <c r="IV54" i="1"/>
  <c r="JB61" i="1"/>
  <c r="JE61" i="1" s="1"/>
  <c r="JE62" i="1" s="1"/>
  <c r="ID63" i="1"/>
  <c r="IV57" i="1"/>
  <c r="IV56" i="1" s="1"/>
  <c r="IY63" i="1" l="1"/>
  <c r="IY64" i="1" s="1"/>
  <c r="IY69" i="1"/>
  <c r="IY70" i="1" s="1"/>
  <c r="IY66" i="1"/>
  <c r="IY67" i="1" s="1"/>
  <c r="ID72" i="1"/>
  <c r="JN63" i="1" s="1"/>
  <c r="JW63" i="1" s="1"/>
  <c r="ID68" i="1"/>
  <c r="JB62" i="1"/>
  <c r="IT65" i="1"/>
  <c r="ID71" i="1"/>
  <c r="JH71" i="1" s="1"/>
  <c r="IT69" i="1"/>
  <c r="IT66" i="1"/>
  <c r="IT64" i="1"/>
  <c r="ID67" i="1"/>
  <c r="ID64" i="1"/>
  <c r="JH64" i="1" s="1"/>
  <c r="ID66" i="1"/>
  <c r="ID70" i="1"/>
  <c r="IT63" i="1"/>
  <c r="IT70" i="1"/>
  <c r="IT71" i="1"/>
  <c r="JK71" i="1" s="1"/>
  <c r="IT67" i="1"/>
  <c r="JK67" i="1" s="1"/>
  <c r="IT68" i="1"/>
  <c r="IV63" i="1"/>
  <c r="IV64" i="1" s="1"/>
  <c r="ID65" i="1"/>
  <c r="ID69" i="1"/>
  <c r="JK63" i="1"/>
  <c r="IV67" i="1" l="1"/>
  <c r="IV66" i="1" s="1"/>
  <c r="ID73" i="1"/>
  <c r="JB71" i="1"/>
  <c r="JE71" i="1" s="1"/>
  <c r="JE72" i="1" s="1"/>
  <c r="JQ63" i="1"/>
  <c r="IV65" i="1"/>
  <c r="ID74" i="1" l="1"/>
  <c r="JH74" i="1" s="1"/>
  <c r="IY73" i="1"/>
  <c r="IY74" i="1" s="1"/>
  <c r="IY76" i="1"/>
  <c r="IY77" i="1" s="1"/>
  <c r="IY79" i="1"/>
  <c r="IY80" i="1" s="1"/>
  <c r="ID80" i="1"/>
  <c r="IT80" i="1"/>
  <c r="ID82" i="1"/>
  <c r="JN73" i="1" s="1"/>
  <c r="JW73" i="1" s="1"/>
  <c r="ID81" i="1"/>
  <c r="JH81" i="1" s="1"/>
  <c r="ID75" i="1"/>
  <c r="IT73" i="1"/>
  <c r="JK73" i="1" s="1"/>
  <c r="ID76" i="1"/>
  <c r="IT79" i="1"/>
  <c r="ID77" i="1"/>
  <c r="IT74" i="1"/>
  <c r="IT75" i="1"/>
  <c r="IT81" i="1"/>
  <c r="JK81" i="1" s="1"/>
  <c r="ID78" i="1"/>
  <c r="IT76" i="1"/>
  <c r="IT78" i="1"/>
  <c r="IT77" i="1"/>
  <c r="JK77" i="1" s="1"/>
  <c r="IV73" i="1"/>
  <c r="IV74" i="1" s="1"/>
  <c r="ID79" i="1"/>
  <c r="JB72" i="1"/>
  <c r="JQ73" i="1" l="1"/>
  <c r="JB81" i="1"/>
  <c r="JB82" i="1" s="1"/>
  <c r="IV75" i="1"/>
  <c r="ID83" i="1"/>
  <c r="IV77" i="1"/>
  <c r="IV76" i="1" s="1"/>
  <c r="IT90" i="1" l="1"/>
  <c r="IY89" i="1"/>
  <c r="IY90" i="1" s="1"/>
  <c r="IY86" i="1"/>
  <c r="IY87" i="1" s="1"/>
  <c r="IY83" i="1"/>
  <c r="IY84" i="1" s="1"/>
  <c r="JE81" i="1"/>
  <c r="JE82" i="1" s="1"/>
  <c r="ID89" i="1"/>
  <c r="IT88" i="1"/>
  <c r="IT89" i="1"/>
  <c r="ID90" i="1"/>
  <c r="ID88" i="1"/>
  <c r="IT87" i="1"/>
  <c r="JK87" i="1" s="1"/>
  <c r="ID84" i="1"/>
  <c r="JH84" i="1" s="1"/>
  <c r="ID86" i="1"/>
  <c r="IV83" i="1"/>
  <c r="IV85" i="1" s="1"/>
  <c r="IT83" i="1"/>
  <c r="ID87" i="1"/>
  <c r="IT84" i="1"/>
  <c r="IT86" i="1"/>
  <c r="ID85" i="1"/>
  <c r="IT85" i="1"/>
  <c r="ID92" i="1"/>
  <c r="JN83" i="1" s="1"/>
  <c r="JW83" i="1" s="1"/>
  <c r="ID91" i="1"/>
  <c r="JH91" i="1" s="1"/>
  <c r="IT91" i="1"/>
  <c r="JK91" i="1" s="1"/>
  <c r="JQ83" i="1" l="1"/>
  <c r="JK83" i="1"/>
  <c r="IV84" i="1"/>
  <c r="ID93" i="1"/>
  <c r="IV87" i="1"/>
  <c r="IV86" i="1" s="1"/>
  <c r="JB91" i="1"/>
  <c r="JB92" i="1" s="1"/>
  <c r="IT97" i="1" l="1"/>
  <c r="JK97" i="1" s="1"/>
  <c r="IY99" i="1"/>
  <c r="IY100" i="1" s="1"/>
  <c r="IY96" i="1"/>
  <c r="IY97" i="1" s="1"/>
  <c r="IY93" i="1"/>
  <c r="IY94" i="1" s="1"/>
  <c r="JE91" i="1"/>
  <c r="JE92" i="1" s="1"/>
  <c r="ID96" i="1"/>
  <c r="IT94" i="1"/>
  <c r="IT99" i="1"/>
  <c r="ID102" i="1"/>
  <c r="JN93" i="1" s="1"/>
  <c r="JW93" i="1" s="1"/>
  <c r="ID97" i="1"/>
  <c r="IT98" i="1"/>
  <c r="IT101" i="1"/>
  <c r="JK101" i="1" s="1"/>
  <c r="IT95" i="1"/>
  <c r="IV93" i="1"/>
  <c r="IV95" i="1" s="1"/>
  <c r="ID95" i="1"/>
  <c r="ID101" i="1"/>
  <c r="JH101" i="1" s="1"/>
  <c r="IT93" i="1"/>
  <c r="JK93" i="1" s="1"/>
  <c r="ID94" i="1"/>
  <c r="JH94" i="1" s="1"/>
  <c r="ID98" i="1"/>
  <c r="ID100" i="1"/>
  <c r="ID99" i="1"/>
  <c r="IT96" i="1"/>
  <c r="IT100" i="1"/>
  <c r="ID103" i="1" l="1"/>
  <c r="JQ93" i="1"/>
  <c r="JB101" i="1"/>
  <c r="JE101" i="1" s="1"/>
  <c r="JE102" i="1" s="1"/>
  <c r="IV97" i="1"/>
  <c r="IV96" i="1" s="1"/>
  <c r="IV94" i="1"/>
  <c r="IT103" i="1" l="1"/>
  <c r="JK103" i="1" s="1"/>
  <c r="IY103" i="1"/>
  <c r="IY104" i="1" s="1"/>
  <c r="IY109" i="1"/>
  <c r="IY110" i="1" s="1"/>
  <c r="IY106" i="1"/>
  <c r="IY107" i="1" s="1"/>
  <c r="IT105" i="1"/>
  <c r="IT107" i="1"/>
  <c r="JK107" i="1" s="1"/>
  <c r="ID112" i="1"/>
  <c r="JN103" i="1" s="1"/>
  <c r="JW103" i="1" s="1"/>
  <c r="ID106" i="1"/>
  <c r="ID110" i="1"/>
  <c r="IT104" i="1"/>
  <c r="ID108" i="1"/>
  <c r="IT109" i="1"/>
  <c r="ID105" i="1"/>
  <c r="ID107" i="1"/>
  <c r="IT108" i="1"/>
  <c r="IT110" i="1"/>
  <c r="IV103" i="1"/>
  <c r="IV105" i="1" s="1"/>
  <c r="IT111" i="1"/>
  <c r="JK111" i="1" s="1"/>
  <c r="ID109" i="1"/>
  <c r="ID104" i="1"/>
  <c r="JH104" i="1" s="1"/>
  <c r="IT106" i="1"/>
  <c r="ID111" i="1"/>
  <c r="JH111" i="1" s="1"/>
  <c r="JB102" i="1"/>
  <c r="JQ103" i="1" l="1"/>
  <c r="ID113" i="1"/>
  <c r="IV104" i="1"/>
  <c r="JB111" i="1"/>
  <c r="JE111" i="1" s="1"/>
  <c r="JE112" i="1" s="1"/>
  <c r="IV107" i="1"/>
  <c r="IV106" i="1" s="1"/>
  <c r="ID119" i="1" l="1"/>
  <c r="IY116" i="1"/>
  <c r="IY117" i="1" s="1"/>
  <c r="IY113" i="1"/>
  <c r="IY114" i="1" s="1"/>
  <c r="IY119" i="1"/>
  <c r="IY120" i="1" s="1"/>
  <c r="JB112" i="1"/>
  <c r="IV113" i="1"/>
  <c r="IV115" i="1" s="1"/>
  <c r="ID121" i="1"/>
  <c r="JH121" i="1" s="1"/>
  <c r="ID120" i="1"/>
  <c r="IT113" i="1"/>
  <c r="JK113" i="1" s="1"/>
  <c r="IT114" i="1"/>
  <c r="IT117" i="1"/>
  <c r="JK117" i="1" s="1"/>
  <c r="IT119" i="1"/>
  <c r="ID122" i="1"/>
  <c r="JN113" i="1" s="1"/>
  <c r="JW113" i="1" s="1"/>
  <c r="IT121" i="1"/>
  <c r="JK121" i="1" s="1"/>
  <c r="IT116" i="1"/>
  <c r="IT118" i="1"/>
  <c r="ID116" i="1"/>
  <c r="ID118" i="1"/>
  <c r="IT120" i="1"/>
  <c r="ID114" i="1"/>
  <c r="JH114" i="1" s="1"/>
  <c r="IT115" i="1"/>
  <c r="ID115" i="1"/>
  <c r="ID117" i="1"/>
  <c r="IV114" i="1" l="1"/>
  <c r="ID123" i="1"/>
  <c r="JQ113" i="1"/>
  <c r="JB121" i="1"/>
  <c r="JE121" i="1" s="1"/>
  <c r="JE122" i="1" s="1"/>
  <c r="IV117" i="1"/>
  <c r="IV116" i="1" s="1"/>
  <c r="IT129" i="1" l="1"/>
  <c r="IY123" i="1"/>
  <c r="IY124" i="1" s="1"/>
  <c r="IY126" i="1"/>
  <c r="IY127" i="1" s="1"/>
  <c r="IY129" i="1"/>
  <c r="IY130" i="1" s="1"/>
  <c r="IT123" i="1"/>
  <c r="JK123" i="1" s="1"/>
  <c r="ID129" i="1"/>
  <c r="IT125" i="1"/>
  <c r="IT126" i="1"/>
  <c r="ID130" i="1"/>
  <c r="JB122" i="1"/>
  <c r="IT124" i="1"/>
  <c r="ID126" i="1"/>
  <c r="ID132" i="1"/>
  <c r="JN123" i="1" s="1"/>
  <c r="JW123" i="1" s="1"/>
  <c r="ID124" i="1"/>
  <c r="JH124" i="1" s="1"/>
  <c r="ID127" i="1"/>
  <c r="IT130" i="1"/>
  <c r="ID131" i="1"/>
  <c r="JH131" i="1" s="1"/>
  <c r="IT127" i="1"/>
  <c r="JK127" i="1" s="1"/>
  <c r="IV123" i="1"/>
  <c r="IV125" i="1" s="1"/>
  <c r="ID128" i="1"/>
  <c r="IT131" i="1"/>
  <c r="JK131" i="1" s="1"/>
  <c r="IT128" i="1"/>
  <c r="ID125" i="1"/>
  <c r="JQ123" i="1" l="1"/>
  <c r="IV124" i="1"/>
  <c r="JB131" i="1"/>
  <c r="JE131" i="1" s="1"/>
  <c r="JE132" i="1" s="1"/>
  <c r="IV127" i="1"/>
  <c r="IV126" i="1" s="1"/>
  <c r="ID133" i="1"/>
  <c r="ID137" i="1" l="1"/>
  <c r="IY139" i="1"/>
  <c r="IY140" i="1" s="1"/>
  <c r="IY136" i="1"/>
  <c r="IY137" i="1" s="1"/>
  <c r="IY133" i="1"/>
  <c r="IY134" i="1" s="1"/>
  <c r="JB132" i="1"/>
  <c r="ID141" i="1"/>
  <c r="JH141" i="1" s="1"/>
  <c r="IT136" i="1"/>
  <c r="ID138" i="1"/>
  <c r="IT140" i="1"/>
  <c r="IT141" i="1"/>
  <c r="JK141" i="1" s="1"/>
  <c r="ID142" i="1"/>
  <c r="JN133" i="1" s="1"/>
  <c r="JW133" i="1" s="1"/>
  <c r="ID140" i="1"/>
  <c r="IT139" i="1"/>
  <c r="ID139" i="1"/>
  <c r="IT134" i="1"/>
  <c r="IT138" i="1"/>
  <c r="IT135" i="1"/>
  <c r="IT137" i="1"/>
  <c r="JK137" i="1" s="1"/>
  <c r="ID134" i="1"/>
  <c r="JH134" i="1" s="1"/>
  <c r="ID135" i="1"/>
  <c r="IV133" i="1"/>
  <c r="IV134" i="1" s="1"/>
  <c r="ID136" i="1"/>
  <c r="IT133" i="1"/>
  <c r="JK133" i="1" s="1"/>
  <c r="ID143" i="1" l="1"/>
  <c r="IV135" i="1"/>
  <c r="JB141" i="1"/>
  <c r="JB142" i="1" s="1"/>
  <c r="IV137" i="1"/>
  <c r="IV136" i="1" s="1"/>
  <c r="JQ133" i="1"/>
  <c r="ID145" i="1" l="1"/>
  <c r="IY143" i="1"/>
  <c r="IY144" i="1" s="1"/>
  <c r="IY149" i="1"/>
  <c r="IY150" i="1" s="1"/>
  <c r="IY146" i="1"/>
  <c r="IY147" i="1" s="1"/>
  <c r="IT151" i="1"/>
  <c r="JK151" i="1" s="1"/>
  <c r="ID147" i="1"/>
  <c r="IT147" i="1"/>
  <c r="JK147" i="1" s="1"/>
  <c r="ID146" i="1"/>
  <c r="IT144" i="1"/>
  <c r="ID144" i="1"/>
  <c r="JH144" i="1" s="1"/>
  <c r="ID150" i="1"/>
  <c r="ID148" i="1"/>
  <c r="ID149" i="1"/>
  <c r="IV143" i="1"/>
  <c r="IV145" i="1" s="1"/>
  <c r="ID152" i="1"/>
  <c r="JN143" i="1" s="1"/>
  <c r="JW143" i="1" s="1"/>
  <c r="IT149" i="1"/>
  <c r="ID151" i="1"/>
  <c r="JH151" i="1" s="1"/>
  <c r="IT150" i="1"/>
  <c r="IT146" i="1"/>
  <c r="IT145" i="1"/>
  <c r="IT148" i="1"/>
  <c r="IT143" i="1"/>
  <c r="JK143" i="1" s="1"/>
  <c r="JE141" i="1"/>
  <c r="JE142" i="1" s="1"/>
  <c r="JQ143" i="1" l="1"/>
  <c r="IV144" i="1"/>
  <c r="ID153" i="1"/>
  <c r="JB151" i="1"/>
  <c r="JB152" i="1" s="1"/>
  <c r="IV147" i="1"/>
  <c r="IV146" i="1" s="1"/>
  <c r="ID158" i="1" l="1"/>
  <c r="IY153" i="1"/>
  <c r="IY154" i="1" s="1"/>
  <c r="IY156" i="1"/>
  <c r="IY157" i="1" s="1"/>
  <c r="IY159" i="1"/>
  <c r="IY160" i="1" s="1"/>
  <c r="JE151" i="1"/>
  <c r="JE152" i="1" s="1"/>
  <c r="ID156" i="1"/>
  <c r="ID159" i="1"/>
  <c r="ID160" i="1"/>
  <c r="IT161" i="1"/>
  <c r="JK161" i="1" s="1"/>
  <c r="IV153" i="1"/>
  <c r="IV155" i="1" s="1"/>
  <c r="IT158" i="1"/>
  <c r="IT156" i="1"/>
  <c r="IT155" i="1"/>
  <c r="ID162" i="1"/>
  <c r="JN153" i="1" s="1"/>
  <c r="JW153" i="1" s="1"/>
  <c r="IT153" i="1"/>
  <c r="IT154" i="1"/>
  <c r="IT159" i="1"/>
  <c r="IT160" i="1"/>
  <c r="ID157" i="1"/>
  <c r="ID161" i="1"/>
  <c r="JH161" i="1" s="1"/>
  <c r="ID154" i="1"/>
  <c r="JH154" i="1" s="1"/>
  <c r="IT157" i="1"/>
  <c r="JK157" i="1" s="1"/>
  <c r="ID155" i="1"/>
  <c r="JQ153" i="1" l="1"/>
  <c r="IV154" i="1"/>
  <c r="JK153" i="1"/>
  <c r="ID163" i="1"/>
  <c r="IV157" i="1"/>
  <c r="IV156" i="1" s="1"/>
  <c r="JB161" i="1"/>
  <c r="JE161" i="1" s="1"/>
  <c r="JE162" i="1" s="1"/>
  <c r="IT170" i="1" l="1"/>
  <c r="IY169" i="1"/>
  <c r="IY170" i="1" s="1"/>
  <c r="IY166" i="1"/>
  <c r="IY167" i="1" s="1"/>
  <c r="IY163" i="1"/>
  <c r="IY164" i="1" s="1"/>
  <c r="ID172" i="1"/>
  <c r="JN163" i="1" s="1"/>
  <c r="JW163" i="1" s="1"/>
  <c r="ID170" i="1"/>
  <c r="JB162" i="1"/>
  <c r="IT168" i="1"/>
  <c r="IT163" i="1"/>
  <c r="JK163" i="1" s="1"/>
  <c r="ID164" i="1"/>
  <c r="JH164" i="1" s="1"/>
  <c r="ID169" i="1"/>
  <c r="IT167" i="1"/>
  <c r="JK167" i="1" s="1"/>
  <c r="IT165" i="1"/>
  <c r="IT164" i="1"/>
  <c r="IV163" i="1"/>
  <c r="IV164" i="1" s="1"/>
  <c r="ID171" i="1"/>
  <c r="JH171" i="1" s="1"/>
  <c r="ID165" i="1"/>
  <c r="IT169" i="1"/>
  <c r="IT171" i="1"/>
  <c r="JK171" i="1" s="1"/>
  <c r="ID166" i="1"/>
  <c r="IT166" i="1"/>
  <c r="ID167" i="1"/>
  <c r="ID168" i="1"/>
  <c r="JQ163" i="1" l="1"/>
  <c r="IV165" i="1"/>
  <c r="ID173" i="1"/>
  <c r="JB171" i="1"/>
  <c r="JE171" i="1" s="1"/>
  <c r="JE172" i="1" s="1"/>
  <c r="IV167" i="1"/>
  <c r="IV166" i="1" s="1"/>
  <c r="IT175" i="1" l="1"/>
  <c r="IY179" i="1"/>
  <c r="IY180" i="1" s="1"/>
  <c r="IY176" i="1"/>
  <c r="IY177" i="1" s="1"/>
  <c r="IY173" i="1"/>
  <c r="IY174" i="1" s="1"/>
  <c r="JB172" i="1"/>
  <c r="IT178" i="1"/>
  <c r="ID180" i="1"/>
  <c r="ID177" i="1"/>
  <c r="ID175" i="1"/>
  <c r="ID178" i="1"/>
  <c r="IT173" i="1"/>
  <c r="IT181" i="1"/>
  <c r="JK181" i="1" s="1"/>
  <c r="IT176" i="1"/>
  <c r="ID181" i="1"/>
  <c r="JH181" i="1" s="1"/>
  <c r="IV173" i="1"/>
  <c r="IV175" i="1" s="1"/>
  <c r="IT174" i="1"/>
  <c r="ID176" i="1"/>
  <c r="ID179" i="1"/>
  <c r="IT180" i="1"/>
  <c r="ID182" i="1"/>
  <c r="JN173" i="1" s="1"/>
  <c r="JW173" i="1" s="1"/>
  <c r="IT179" i="1"/>
  <c r="ID174" i="1"/>
  <c r="JH174" i="1" s="1"/>
  <c r="IT177" i="1"/>
  <c r="JK177" i="1" s="1"/>
  <c r="JQ173" i="1" l="1"/>
  <c r="JK173" i="1"/>
  <c r="IV174" i="1"/>
  <c r="ID183" i="1"/>
  <c r="JB181" i="1"/>
  <c r="JE181" i="1" s="1"/>
  <c r="JE182" i="1" s="1"/>
  <c r="IV177" i="1"/>
  <c r="IV176" i="1" s="1"/>
  <c r="IT188" i="1" l="1"/>
  <c r="IY189" i="1"/>
  <c r="IY190" i="1" s="1"/>
  <c r="IY186" i="1"/>
  <c r="IY187" i="1" s="1"/>
  <c r="IY183" i="1"/>
  <c r="IY184" i="1" s="1"/>
  <c r="ID184" i="1"/>
  <c r="JH184" i="1" s="1"/>
  <c r="IT184" i="1"/>
  <c r="ID188" i="1"/>
  <c r="IT187" i="1"/>
  <c r="JK187" i="1" s="1"/>
  <c r="IT185" i="1"/>
  <c r="ID186" i="1"/>
  <c r="IT190" i="1"/>
  <c r="ID192" i="1"/>
  <c r="JN183" i="1" s="1"/>
  <c r="JW183" i="1" s="1"/>
  <c r="IT183" i="1"/>
  <c r="JK183" i="1" s="1"/>
  <c r="ID190" i="1"/>
  <c r="IT186" i="1"/>
  <c r="IV183" i="1"/>
  <c r="IV185" i="1" s="1"/>
  <c r="ID191" i="1"/>
  <c r="JH191" i="1" s="1"/>
  <c r="ID189" i="1"/>
  <c r="IT189" i="1"/>
  <c r="IT191" i="1"/>
  <c r="JK191" i="1" s="1"/>
  <c r="ID185" i="1"/>
  <c r="ID187" i="1"/>
  <c r="JB182" i="1"/>
  <c r="JQ183" i="1" l="1"/>
  <c r="ID193" i="1"/>
  <c r="JB191" i="1"/>
  <c r="JB192" i="1" s="1"/>
  <c r="IV187" i="1"/>
  <c r="IV186" i="1" s="1"/>
  <c r="IV184" i="1"/>
  <c r="ID194" i="1" l="1"/>
  <c r="JH194" i="1" s="1"/>
  <c r="IY193" i="1"/>
  <c r="IY194" i="1" s="1"/>
  <c r="IY199" i="1"/>
  <c r="IY200" i="1" s="1"/>
  <c r="IY196" i="1"/>
  <c r="IY197" i="1" s="1"/>
  <c r="IV193" i="1"/>
  <c r="IV195" i="1" s="1"/>
  <c r="IT200" i="1"/>
  <c r="IT196" i="1"/>
  <c r="IT194" i="1"/>
  <c r="ID195" i="1"/>
  <c r="ID202" i="1"/>
  <c r="JN193" i="1" s="1"/>
  <c r="JW193" i="1" s="1"/>
  <c r="IT193" i="1"/>
  <c r="JK193" i="1" s="1"/>
  <c r="IT201" i="1"/>
  <c r="JK201" i="1" s="1"/>
  <c r="ID200" i="1"/>
  <c r="IT198" i="1"/>
  <c r="IT197" i="1"/>
  <c r="JK197" i="1" s="1"/>
  <c r="ID201" i="1"/>
  <c r="JH201" i="1" s="1"/>
  <c r="ID199" i="1"/>
  <c r="ID198" i="1"/>
  <c r="IT195" i="1"/>
  <c r="ID197" i="1"/>
  <c r="IT199" i="1"/>
  <c r="ID196" i="1"/>
  <c r="JE191" i="1"/>
  <c r="JE192" i="1" s="1"/>
  <c r="IV194" i="1" l="1"/>
  <c r="JQ193" i="1"/>
  <c r="IV197" i="1"/>
  <c r="IV196" i="1" s="1"/>
  <c r="ID203" i="1"/>
  <c r="JB201" i="1"/>
  <c r="JE201" i="1" s="1"/>
  <c r="JE202" i="1" s="1"/>
  <c r="IT206" i="1" l="1"/>
  <c r="IY209" i="1"/>
  <c r="IY210" i="1" s="1"/>
  <c r="IY203" i="1"/>
  <c r="IY204" i="1" s="1"/>
  <c r="IY206" i="1"/>
  <c r="IY207" i="1" s="1"/>
  <c r="IT204" i="1"/>
  <c r="IT205" i="1"/>
  <c r="JB202" i="1"/>
  <c r="IT208" i="1"/>
  <c r="ID204" i="1"/>
  <c r="JH204" i="1" s="1"/>
  <c r="ID205" i="1"/>
  <c r="ID212" i="1"/>
  <c r="JN203" i="1" s="1"/>
  <c r="JW203" i="1" s="1"/>
  <c r="IT209" i="1"/>
  <c r="ID211" i="1"/>
  <c r="JH211" i="1" s="1"/>
  <c r="IT203" i="1"/>
  <c r="JK203" i="1" s="1"/>
  <c r="ID207" i="1"/>
  <c r="IV203" i="1"/>
  <c r="IV205" i="1" s="1"/>
  <c r="IT210" i="1"/>
  <c r="IT211" i="1"/>
  <c r="JK211" i="1" s="1"/>
  <c r="ID210" i="1"/>
  <c r="ID208" i="1"/>
  <c r="ID206" i="1"/>
  <c r="ID209" i="1"/>
  <c r="IT207" i="1"/>
  <c r="JK207" i="1" s="1"/>
  <c r="IV204" i="1"/>
  <c r="JB211" i="1" l="1"/>
  <c r="JB212" i="1" s="1"/>
  <c r="JQ203" i="1"/>
  <c r="ID213" i="1"/>
  <c r="IV207" i="1"/>
  <c r="IV206" i="1" s="1"/>
  <c r="ID221" i="1" l="1"/>
  <c r="JH221" i="1" s="1"/>
  <c r="IY216" i="1"/>
  <c r="IY217" i="1" s="1"/>
  <c r="IY213" i="1"/>
  <c r="IY214" i="1" s="1"/>
  <c r="IY219" i="1"/>
  <c r="IY220" i="1" s="1"/>
  <c r="JE211" i="1"/>
  <c r="JE212" i="1" s="1"/>
  <c r="ID217" i="1"/>
  <c r="ID215" i="1"/>
  <c r="ID216" i="1"/>
  <c r="IT221" i="1"/>
  <c r="JK221" i="1" s="1"/>
  <c r="ID214" i="1"/>
  <c r="JH214" i="1" s="1"/>
  <c r="ID218" i="1"/>
  <c r="ID222" i="1"/>
  <c r="JN213" i="1" s="1"/>
  <c r="JW213" i="1" s="1"/>
  <c r="IT213" i="1"/>
  <c r="JK213" i="1" s="1"/>
  <c r="IT217" i="1"/>
  <c r="JK217" i="1" s="1"/>
  <c r="ID220" i="1"/>
  <c r="IT218" i="1"/>
  <c r="ID219" i="1"/>
  <c r="IT220" i="1"/>
  <c r="IT215" i="1"/>
  <c r="IV213" i="1"/>
  <c r="IV214" i="1" s="1"/>
  <c r="IT219" i="1"/>
  <c r="IT216" i="1"/>
  <c r="IT214" i="1"/>
  <c r="JQ213" i="1" l="1"/>
  <c r="IV217" i="1"/>
  <c r="IV216" i="1" s="1"/>
  <c r="IV215" i="1"/>
  <c r="JB221" i="1"/>
  <c r="JE221" i="1" s="1"/>
  <c r="JE222" i="1" s="1"/>
  <c r="ID223" i="1"/>
  <c r="ID225" i="1" l="1"/>
  <c r="IY223" i="1"/>
  <c r="IY224" i="1" s="1"/>
  <c r="IY229" i="1"/>
  <c r="IY230" i="1" s="1"/>
  <c r="IY226" i="1"/>
  <c r="IY227" i="1" s="1"/>
  <c r="JB222" i="1"/>
  <c r="IT224" i="1"/>
  <c r="ID227" i="1"/>
  <c r="IT231" i="1"/>
  <c r="JK231" i="1" s="1"/>
  <c r="ID226" i="1"/>
  <c r="IV223" i="1"/>
  <c r="IV224" i="1" s="1"/>
  <c r="IT226" i="1"/>
  <c r="IT230" i="1"/>
  <c r="IT227" i="1"/>
  <c r="JK227" i="1" s="1"/>
  <c r="IT229" i="1"/>
  <c r="IT223" i="1"/>
  <c r="ID229" i="1"/>
  <c r="ID232" i="1"/>
  <c r="JN223" i="1" s="1"/>
  <c r="JW223" i="1" s="1"/>
  <c r="ID230" i="1"/>
  <c r="IT228" i="1"/>
  <c r="ID228" i="1"/>
  <c r="IT225" i="1"/>
  <c r="ID224" i="1"/>
  <c r="JH224" i="1" s="1"/>
  <c r="ID231" i="1"/>
  <c r="JH231" i="1" s="1"/>
  <c r="JQ223" i="1" l="1"/>
  <c r="IV225" i="1"/>
  <c r="JK223" i="1"/>
  <c r="JB231" i="1"/>
  <c r="JE231" i="1" s="1"/>
  <c r="JE232" i="1" s="1"/>
  <c r="ID233" i="1"/>
  <c r="IV227" i="1"/>
  <c r="IV226" i="1" s="1"/>
  <c r="IT234" i="1" l="1"/>
  <c r="IY236" i="1"/>
  <c r="IY237" i="1" s="1"/>
  <c r="IY239" i="1"/>
  <c r="IY240" i="1" s="1"/>
  <c r="IY233" i="1"/>
  <c r="IY234" i="1" s="1"/>
  <c r="ID240" i="1"/>
  <c r="JB232" i="1"/>
  <c r="ID235" i="1"/>
  <c r="ID236" i="1"/>
  <c r="IT233" i="1"/>
  <c r="JK233" i="1" s="1"/>
  <c r="ID234" i="1"/>
  <c r="JH234" i="1" s="1"/>
  <c r="ID239" i="1"/>
  <c r="ID242" i="1"/>
  <c r="JN233" i="1" s="1"/>
  <c r="JW233" i="1" s="1"/>
  <c r="ID241" i="1"/>
  <c r="JH241" i="1" s="1"/>
  <c r="IT235" i="1"/>
  <c r="ID238" i="1"/>
  <c r="IT238" i="1"/>
  <c r="IT239" i="1"/>
  <c r="ID237" i="1"/>
  <c r="IT236" i="1"/>
  <c r="IV233" i="1"/>
  <c r="IV234" i="1" s="1"/>
  <c r="IT237" i="1"/>
  <c r="JK237" i="1" s="1"/>
  <c r="IT240" i="1"/>
  <c r="IT241" i="1"/>
  <c r="JK241" i="1" s="1"/>
  <c r="JQ233" i="1" l="1"/>
  <c r="ID243" i="1"/>
  <c r="JB241" i="1"/>
  <c r="JE241" i="1" s="1"/>
  <c r="JE242" i="1" s="1"/>
  <c r="IV237" i="1"/>
  <c r="IV236" i="1" s="1"/>
  <c r="IV235" i="1"/>
  <c r="IT248" i="1" l="1"/>
  <c r="IY243" i="1"/>
  <c r="IY244" i="1" s="1"/>
  <c r="IY249" i="1"/>
  <c r="IY250" i="1" s="1"/>
  <c r="IY246" i="1"/>
  <c r="IY247" i="1" s="1"/>
  <c r="ID244" i="1"/>
  <c r="JH244" i="1" s="1"/>
  <c r="ID249" i="1"/>
  <c r="ID247" i="1"/>
  <c r="JB242" i="1"/>
  <c r="ID245" i="1"/>
  <c r="ID248" i="1"/>
  <c r="ID252" i="1"/>
  <c r="JN243" i="1" s="1"/>
  <c r="JW243" i="1" s="1"/>
  <c r="IT249" i="1"/>
  <c r="ID251" i="1"/>
  <c r="JH251" i="1" s="1"/>
  <c r="IT243" i="1"/>
  <c r="JK243" i="1" s="1"/>
  <c r="ID246" i="1"/>
  <c r="IV243" i="1"/>
  <c r="IV244" i="1" s="1"/>
  <c r="IT245" i="1"/>
  <c r="IT247" i="1"/>
  <c r="JK247" i="1" s="1"/>
  <c r="IT244" i="1"/>
  <c r="IT250" i="1"/>
  <c r="ID250" i="1"/>
  <c r="IT251" i="1"/>
  <c r="JK251" i="1" s="1"/>
  <c r="IT246" i="1"/>
  <c r="JQ243" i="1" l="1"/>
  <c r="IV245" i="1"/>
  <c r="ID253" i="1"/>
  <c r="JB251" i="1"/>
  <c r="JE251" i="1" s="1"/>
  <c r="JE252" i="1" s="1"/>
  <c r="IV247" i="1"/>
  <c r="IV246" i="1" s="1"/>
  <c r="IT256" i="1" l="1"/>
  <c r="IY256" i="1"/>
  <c r="IY257" i="1" s="1"/>
  <c r="IY253" i="1"/>
  <c r="IY254" i="1" s="1"/>
  <c r="IY259" i="1"/>
  <c r="IY260" i="1" s="1"/>
  <c r="ID258" i="1"/>
  <c r="JB252" i="1"/>
  <c r="ID257" i="1"/>
  <c r="ID256" i="1"/>
  <c r="IT261" i="1"/>
  <c r="JK261" i="1" s="1"/>
  <c r="IT259" i="1"/>
  <c r="IT258" i="1"/>
  <c r="ID259" i="1"/>
  <c r="IT257" i="1"/>
  <c r="JK257" i="1" s="1"/>
  <c r="IV253" i="1"/>
  <c r="IV254" i="1" s="1"/>
  <c r="ID254" i="1"/>
  <c r="JH254" i="1" s="1"/>
  <c r="ID262" i="1"/>
  <c r="JB261" i="1" s="1"/>
  <c r="IT254" i="1"/>
  <c r="ID260" i="1"/>
  <c r="ID255" i="1"/>
  <c r="ID261" i="1"/>
  <c r="JH261" i="1" s="1"/>
  <c r="IT255" i="1"/>
  <c r="IT253" i="1"/>
  <c r="JK253" i="1" s="1"/>
  <c r="IT260" i="1"/>
  <c r="JN253" i="1" l="1"/>
  <c r="JW253" i="1" s="1"/>
  <c r="IV255" i="1"/>
  <c r="JQ253" i="1"/>
  <c r="JB257" i="1"/>
  <c r="JT262" i="1" s="1"/>
  <c r="IV257" i="1"/>
  <c r="IV256" i="1" s="1"/>
  <c r="JE261" i="1"/>
  <c r="JE262" i="1" s="1"/>
  <c r="JB262" i="1"/>
  <c r="JB258" i="1" l="1"/>
</calcChain>
</file>

<file path=xl/sharedStrings.xml><?xml version="1.0" encoding="utf-8"?>
<sst xmlns="http://schemas.openxmlformats.org/spreadsheetml/2006/main" count="1147" uniqueCount="202">
  <si>
    <t>No of Spans</t>
  </si>
  <si>
    <t>No.</t>
  </si>
  <si>
    <t>Spans</t>
  </si>
  <si>
    <t>Beam Width</t>
  </si>
  <si>
    <t>Beam Depth</t>
  </si>
  <si>
    <t>Length</t>
  </si>
  <si>
    <t>Line Load</t>
  </si>
  <si>
    <t>m</t>
  </si>
  <si>
    <t>DL</t>
  </si>
  <si>
    <t>LL</t>
  </si>
  <si>
    <t>Point Load 1</t>
  </si>
  <si>
    <t>Point Load 2</t>
  </si>
  <si>
    <t>Point Load 3</t>
  </si>
  <si>
    <t>L0</t>
  </si>
  <si>
    <t>R0</t>
  </si>
  <si>
    <t>line</t>
  </si>
  <si>
    <t>beam</t>
  </si>
  <si>
    <t>P1</t>
  </si>
  <si>
    <t>S</t>
  </si>
  <si>
    <t>P2</t>
  </si>
  <si>
    <t>P3</t>
  </si>
  <si>
    <t>MA.L1+2MB(L1+L2)+MC.L2 = -L0-R0</t>
  </si>
  <si>
    <t>V</t>
  </si>
  <si>
    <t>M</t>
  </si>
  <si>
    <t>a1</t>
  </si>
  <si>
    <t>b1</t>
  </si>
  <si>
    <t>a2</t>
  </si>
  <si>
    <t>b2</t>
  </si>
  <si>
    <t>a3</t>
  </si>
  <si>
    <t>b3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</si>
  <si>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</si>
  <si>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</si>
  <si>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</si>
  <si>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</si>
  <si>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</si>
  <si>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</si>
  <si>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</si>
  <si>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</si>
  <si>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</si>
  <si>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</si>
  <si>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</si>
  <si>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</si>
  <si>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</si>
  <si>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</si>
  <si>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</si>
  <si>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</si>
  <si>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>R</t>
  </si>
  <si>
    <t>T</t>
  </si>
  <si>
    <t>U</t>
  </si>
  <si>
    <t>W</t>
  </si>
  <si>
    <t>X</t>
  </si>
  <si>
    <t>Y</t>
  </si>
  <si>
    <t>Z</t>
  </si>
  <si>
    <t>L1</t>
  </si>
  <si>
    <t>L2</t>
  </si>
  <si>
    <t>MB</t>
  </si>
  <si>
    <t>MC</t>
  </si>
  <si>
    <t>=</t>
  </si>
  <si>
    <t>Pa/L(L^2-a^2)</t>
  </si>
  <si>
    <t>Pb/L(L^2-b^2)</t>
  </si>
  <si>
    <t>-L0-R0</t>
  </si>
  <si>
    <t>MD</t>
  </si>
  <si>
    <t>Left Support</t>
  </si>
  <si>
    <t>Right Support</t>
  </si>
  <si>
    <t>Hinge</t>
  </si>
  <si>
    <t>Cantilever</t>
  </si>
  <si>
    <t>A'</t>
  </si>
  <si>
    <t>Z'</t>
  </si>
  <si>
    <t>BCD</t>
  </si>
  <si>
    <t>CDE</t>
  </si>
  <si>
    <t>ME</t>
  </si>
  <si>
    <t>DEF</t>
  </si>
  <si>
    <t>MF</t>
  </si>
  <si>
    <t>Fixed</t>
  </si>
  <si>
    <t>m.</t>
  </si>
  <si>
    <t>Load Factor</t>
  </si>
  <si>
    <t>ABC</t>
  </si>
  <si>
    <t>EFG</t>
  </si>
  <si>
    <t>FGH</t>
  </si>
  <si>
    <t>MG</t>
  </si>
  <si>
    <t>GHI</t>
  </si>
  <si>
    <t>MH</t>
  </si>
  <si>
    <t>HIJ</t>
  </si>
  <si>
    <t>IJK</t>
  </si>
  <si>
    <t>MI</t>
  </si>
  <si>
    <t>MJ</t>
  </si>
  <si>
    <t>JKL</t>
  </si>
  <si>
    <t>MK</t>
  </si>
  <si>
    <t>KLM</t>
  </si>
  <si>
    <t>ML</t>
  </si>
  <si>
    <t>LMN</t>
  </si>
  <si>
    <t>MM</t>
  </si>
  <si>
    <t>MN0</t>
  </si>
  <si>
    <t>MN</t>
  </si>
  <si>
    <t>MO</t>
  </si>
  <si>
    <t>OPQ</t>
  </si>
  <si>
    <t>NOP</t>
  </si>
  <si>
    <t>PQR</t>
  </si>
  <si>
    <t>MP</t>
  </si>
  <si>
    <t>MQ</t>
  </si>
  <si>
    <t>QRS</t>
  </si>
  <si>
    <t>MR</t>
  </si>
  <si>
    <t>RST</t>
  </si>
  <si>
    <t>MS</t>
  </si>
  <si>
    <t>STU</t>
  </si>
  <si>
    <t>MT</t>
  </si>
  <si>
    <t>TUV</t>
  </si>
  <si>
    <t>MU</t>
  </si>
  <si>
    <t>UVW</t>
  </si>
  <si>
    <t>MV</t>
  </si>
  <si>
    <t>WXY</t>
  </si>
  <si>
    <t>MW</t>
  </si>
  <si>
    <t>MX</t>
  </si>
  <si>
    <t>VWX</t>
  </si>
  <si>
    <t>XYZ</t>
  </si>
  <si>
    <t>MY</t>
  </si>
  <si>
    <t>YZZ'</t>
  </si>
  <si>
    <t>MZ</t>
  </si>
  <si>
    <t>RO</t>
  </si>
  <si>
    <t>A'AB</t>
  </si>
  <si>
    <t>MA</t>
  </si>
  <si>
    <t>LO</t>
  </si>
  <si>
    <t>MZ'</t>
  </si>
  <si>
    <t>MA'</t>
  </si>
  <si>
    <t>H &amp; C</t>
  </si>
  <si>
    <t>CH - F</t>
  </si>
  <si>
    <t>F - CH</t>
  </si>
  <si>
    <t>F - F</t>
  </si>
  <si>
    <t>H - H</t>
  </si>
  <si>
    <t>H - C</t>
  </si>
  <si>
    <t>C - H</t>
  </si>
  <si>
    <t>F - C</t>
  </si>
  <si>
    <t>F - H</t>
  </si>
  <si>
    <t>C - F</t>
  </si>
  <si>
    <t>H - F</t>
  </si>
  <si>
    <t>C - C</t>
  </si>
  <si>
    <t>span</t>
  </si>
  <si>
    <t>length</t>
  </si>
  <si>
    <t>M,support</t>
  </si>
  <si>
    <t>L-shear</t>
  </si>
  <si>
    <t>R-shear</t>
  </si>
  <si>
    <t>Reaction</t>
  </si>
  <si>
    <t>Mmax</t>
  </si>
  <si>
    <t>-</t>
  </si>
  <si>
    <t xml:space="preserve">                                 </t>
  </si>
  <si>
    <t>INTERIOR SPAN</t>
  </si>
  <si>
    <t>CANTILEVER SPAN</t>
  </si>
  <si>
    <t xml:space="preserve">Dist </t>
  </si>
  <si>
    <t>shear</t>
  </si>
  <si>
    <t>V1-</t>
  </si>
  <si>
    <t>V1+</t>
  </si>
  <si>
    <t>V2-</t>
  </si>
  <si>
    <t>V2+</t>
  </si>
  <si>
    <t>V3-</t>
  </si>
  <si>
    <t>V3+</t>
  </si>
  <si>
    <t>V4-</t>
  </si>
  <si>
    <t>V4+</t>
  </si>
  <si>
    <t>V5-</t>
  </si>
  <si>
    <t>V5+</t>
  </si>
  <si>
    <t>Dis.X1</t>
  </si>
  <si>
    <t>Dis.X2</t>
  </si>
  <si>
    <t>Dis.X3</t>
  </si>
  <si>
    <t xml:space="preserve"> </t>
  </si>
  <si>
    <t>SHEAR</t>
  </si>
  <si>
    <t>DIS</t>
  </si>
  <si>
    <t>Dis.</t>
  </si>
  <si>
    <t>VA.X</t>
  </si>
  <si>
    <t>- WX^2/2</t>
  </si>
  <si>
    <t>- P1(X-a1)</t>
  </si>
  <si>
    <t>- P2(X-a2)</t>
  </si>
  <si>
    <t>- P3(X-a3)</t>
  </si>
  <si>
    <t>+ MA</t>
  </si>
  <si>
    <t xml:space="preserve">  </t>
  </si>
  <si>
    <t>THREE MOMENT EQUATION METHOD</t>
  </si>
  <si>
    <t>หมายเหตุ</t>
  </si>
  <si>
    <t>1.  วิเคราะห์โครงสร้างได้สูงสุด 25 ช่วง และปลายคานยื่นได้ 2 ด้านเท่านั้น</t>
  </si>
  <si>
    <t>3.  การวิเคราะห์โครงสร้างขนาดหน้าตัดคานใช้สำหรับคำนวณน้ำหนักเท่านั้น โดยมิได้นำไปคิดค่า EI</t>
  </si>
  <si>
    <t>4.  ค่าอีลาสติกโมดูลัส ค่าโมเมนต์อินเนเชีย และค่าความแข็งเกร็ง ไม่มีผลต่อการวิเคราะห์โครงสร้าง</t>
  </si>
  <si>
    <t>5.  น้ำหนักแผ่กระจาย Uniform Load ใส่ได้แบบสม่ำเสมอ 1 แรงต่อคาน 1 ช่วงเท่านั้น</t>
  </si>
  <si>
    <t>6.  น้ำหนักกระทำจุด Point Load ใส่ได้ไม่เกินช่วงคานละ 3 จุดเท่านั้น</t>
  </si>
  <si>
    <t>7.  ไม่สามารถคำนวณคานรับแรงบิด แรงลม แรงแผ่นดินไหว และแรงกระทำทางข้างได้</t>
  </si>
  <si>
    <t>8.  วิเคราะห์โครงสร้างด้วยวิธี Three Moment Equation</t>
  </si>
  <si>
    <t xml:space="preserve">2.  สามารถกำหนดชนิดของจุดรองรับที่ปลายทั้งสองด้านได้ 3 ชนิด ( Hing , Fixed , Cantilever ) </t>
  </si>
  <si>
    <t>อาคารคอนกรีตเสริมเหล็ก</t>
  </si>
  <si>
    <t>B-01</t>
  </si>
  <si>
    <t>โครงการ</t>
  </si>
  <si>
    <t>เจ้าของโครงการ</t>
  </si>
  <si>
    <t>สถานที่ก่อสร้าง</t>
  </si>
  <si>
    <t>หมายเลขคาน</t>
  </si>
  <si>
    <t>วิศวกรโครงสร้าง</t>
  </si>
  <si>
    <t>เลขทะเบียน</t>
  </si>
  <si>
    <t>ความยาวช่วง</t>
  </si>
  <si>
    <t>(เมตร)</t>
  </si>
  <si>
    <t>ช่วงที่</t>
  </si>
  <si>
    <t>แรงปฏิกิริยา</t>
  </si>
  <si>
    <t>(กิโลกรัม)</t>
  </si>
  <si>
    <t>แรงเฉือน-ซ้าย</t>
  </si>
  <si>
    <t>แรงเฉือน-ขวา</t>
  </si>
  <si>
    <t>(กิโลกรัม-เมตร)</t>
  </si>
  <si>
    <t>โมเมนต์ที่จุดรองรับ</t>
  </si>
  <si>
    <t>โมเมนต์กลางช่วง</t>
  </si>
  <si>
    <t>ระยะ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</si>
</sst>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General\ &quot;kg/m&quot;"/>
    <numFmt numFmtId="166" formatCode="General\ &quot;kg&quot;"/>
    <numFmt numFmtId="167" formatCode="0.00\ &quot;kg&quot;"/>
    <numFmt numFmtId="168" formatCode="0.00\ &quot;m&quot;"/>
    <numFmt numFmtId="169" formatCode="0.000"/>
    <numFmt numFmtId="170" formatCode="0.00\ &quot;kg-m&quot;"/>
  </numFmts>
  <fonts count="18" x14ac:knownFonts="1">
    <font>
      <sz val="11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8"/>
      <color rgb="FF0000FF"/>
      <name val="Tahoma"/>
      <family val="2"/>
      <charset val="222"/>
      <scheme val="minor"/>
    </font>
    <font>
      <sz val="8"/>
      <color theme="1"/>
      <name val="Symbol"/>
      <family val="1"/>
      <charset val="2"/>
    </font>
    <font>
      <sz val="8"/>
      <color rgb="FFFF0000"/>
      <name val="Tahoma"/>
      <family val="2"/>
      <charset val="222"/>
      <scheme val="minor"/>
    </font>
    <font>
      <b/>
      <sz val="8"/>
      <color rgb="FFFF0000"/>
      <name val="Tahoma"/>
      <family val="2"/>
      <scheme val="minor"/>
    </font>
    <font>
      <b/>
      <sz val="8"/>
      <color theme="1"/>
      <name val="Tahoma"/>
      <family val="2"/>
      <scheme val="minor"/>
    </font>
    <font>
      <sz val="8"/>
      <name val="Tahoma"/>
      <family val="2"/>
      <scheme val="minor"/>
    </font>
    <font>
      <sz val="8"/>
      <name val="Tahoma"/>
      <family val="2"/>
      <charset val="222"/>
      <scheme val="minor"/>
    </font>
    <font>
      <sz val="8"/>
      <color theme="1"/>
      <name val="Tahoma"/>
      <family val="2"/>
      <scheme val="minor"/>
    </font>
    <font>
      <sz val="8"/>
      <color theme="1"/>
      <name val="Tahoma"/>
      <family val="2"/>
      <charset val="222"/>
    </font>
    <font>
      <b/>
      <u/>
      <sz val="10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9"/>
      <name val="Tahoma"/>
      <family val="2"/>
      <scheme val="minor"/>
    </font>
    <font>
      <sz val="9"/>
      <color rgb="FF0000FF"/>
      <name val="Tahoma"/>
      <family val="2"/>
      <scheme val="minor"/>
    </font>
    <font>
      <sz val="8"/>
      <color rgb="FF00B050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FF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rgb="FFFF0000"/>
      </right>
      <top style="thick">
        <color indexed="64"/>
      </top>
      <bottom/>
      <diagonal/>
    </border>
    <border>
      <left style="dashed">
        <color rgb="FF00B050"/>
      </left>
      <right/>
      <top/>
      <bottom style="dashed">
        <color rgb="FF00B050"/>
      </bottom>
      <diagonal/>
    </border>
    <border>
      <left/>
      <right/>
      <top/>
      <bottom style="dashed">
        <color rgb="FF00B050"/>
      </bottom>
      <diagonal/>
    </border>
    <border>
      <left/>
      <right style="dashed">
        <color rgb="FF00B050"/>
      </right>
      <top/>
      <bottom style="dashed">
        <color rgb="FF00B05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14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14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Alignment="1" applyProtection="1">
      <alignment vertical="center" textRotation="90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1" fillId="7" borderId="1" xfId="0" quotePrefix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" fillId="10" borderId="1" xfId="0" applyNumberFormat="1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" fontId="1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2" fontId="1" fillId="0" borderId="10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170" fontId="1" fillId="11" borderId="1" xfId="0" applyNumberFormat="1" applyFont="1" applyFill="1" applyBorder="1" applyAlignment="1" applyProtection="1">
      <alignment horizontal="center" vertical="center"/>
      <protection hidden="1"/>
    </xf>
    <xf numFmtId="2" fontId="1" fillId="11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10" xfId="0" applyNumberFormat="1" applyFont="1" applyBorder="1" applyAlignment="1" applyProtection="1">
      <alignment vertical="center"/>
      <protection hidden="1"/>
    </xf>
    <xf numFmtId="0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vertical="center"/>
      <protection hidden="1"/>
    </xf>
    <xf numFmtId="0" fontId="1" fillId="9" borderId="8" xfId="0" applyFont="1" applyFill="1" applyBorder="1" applyAlignment="1" applyProtection="1">
      <alignment horizontal="center" vertical="center"/>
      <protection hidden="1"/>
    </xf>
    <xf numFmtId="1" fontId="1" fillId="9" borderId="1" xfId="0" applyNumberFormat="1" applyFont="1" applyFill="1" applyBorder="1" applyAlignment="1" applyProtection="1">
      <alignment horizontal="center" vertical="center"/>
      <protection hidden="1"/>
    </xf>
    <xf numFmtId="2" fontId="1" fillId="9" borderId="10" xfId="0" applyNumberFormat="1" applyFont="1" applyFill="1" applyBorder="1" applyAlignment="1" applyProtection="1">
      <alignment horizontal="center" vertical="center"/>
      <protection hidden="1"/>
    </xf>
    <xf numFmtId="2" fontId="1" fillId="9" borderId="1" xfId="0" applyNumberFormat="1" applyFont="1" applyFill="1" applyBorder="1" applyAlignment="1" applyProtection="1">
      <alignment horizontal="center" vertical="center"/>
      <protection hidden="1"/>
    </xf>
    <xf numFmtId="2" fontId="1" fillId="13" borderId="1" xfId="0" applyNumberFormat="1" applyFont="1" applyFill="1" applyBorder="1" applyAlignment="1" applyProtection="1">
      <alignment horizontal="center" vertical="center"/>
      <protection hidden="1"/>
    </xf>
    <xf numFmtId="168" fontId="1" fillId="9" borderId="1" xfId="0" applyNumberFormat="1" applyFont="1" applyFill="1" applyBorder="1" applyAlignment="1" applyProtection="1">
      <alignment horizontal="center" vertical="center"/>
      <protection hidden="1"/>
    </xf>
    <xf numFmtId="169" fontId="1" fillId="9" borderId="1" xfId="0" applyNumberFormat="1" applyFont="1" applyFill="1" applyBorder="1" applyAlignment="1" applyProtection="1">
      <alignment horizontal="center" vertical="center"/>
      <protection hidden="1"/>
    </xf>
    <xf numFmtId="170" fontId="1" fillId="13" borderId="1" xfId="0" applyNumberFormat="1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Alignment="1" applyProtection="1">
      <alignment horizontal="center" vertical="center"/>
      <protection hidden="1"/>
    </xf>
    <xf numFmtId="166" fontId="1" fillId="9" borderId="1" xfId="0" applyNumberFormat="1" applyFont="1" applyFill="1" applyBorder="1" applyAlignment="1" applyProtection="1">
      <alignment horizontal="center" vertical="center"/>
      <protection hidden="1"/>
    </xf>
    <xf numFmtId="167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11" borderId="8" xfId="0" applyFont="1" applyFill="1" applyBorder="1" applyAlignment="1" applyProtection="1">
      <alignment horizontal="center" vertical="center"/>
      <protection hidden="1"/>
    </xf>
    <xf numFmtId="0" fontId="1" fillId="11" borderId="1" xfId="0" applyFont="1" applyFill="1" applyBorder="1" applyAlignment="1" applyProtection="1">
      <alignment horizontal="center" vertical="center"/>
      <protection hidden="1"/>
    </xf>
    <xf numFmtId="1" fontId="1" fillId="11" borderId="1" xfId="0" applyNumberFormat="1" applyFont="1" applyFill="1" applyBorder="1" applyAlignment="1" applyProtection="1">
      <alignment horizontal="center" vertical="center"/>
      <protection hidden="1"/>
    </xf>
    <xf numFmtId="2" fontId="1" fillId="11" borderId="10" xfId="0" applyNumberFormat="1" applyFont="1" applyFill="1" applyBorder="1" applyAlignment="1" applyProtection="1">
      <alignment horizontal="center" vertical="center"/>
      <protection hidden="1"/>
    </xf>
    <xf numFmtId="167" fontId="1" fillId="13" borderId="1" xfId="0" applyNumberFormat="1" applyFont="1" applyFill="1" applyBorder="1" applyAlignment="1" applyProtection="1">
      <alignment horizontal="center" vertical="center"/>
      <protection hidden="1"/>
    </xf>
    <xf numFmtId="165" fontId="1" fillId="9" borderId="1" xfId="0" applyNumberFormat="1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vertical="center"/>
      <protection hidden="1"/>
    </xf>
    <xf numFmtId="2" fontId="1" fillId="9" borderId="1" xfId="0" applyNumberFormat="1" applyFont="1" applyFill="1" applyBorder="1" applyAlignment="1" applyProtection="1">
      <alignment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27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1" fontId="1" fillId="7" borderId="1" xfId="0" applyNumberFormat="1" applyFont="1" applyFill="1" applyBorder="1" applyAlignment="1" applyProtection="1">
      <alignment vertical="center"/>
      <protection hidden="1"/>
    </xf>
    <xf numFmtId="0" fontId="4" fillId="7" borderId="1" xfId="0" applyFont="1" applyFill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" fontId="1" fillId="0" borderId="1" xfId="0" applyNumberFormat="1" applyFont="1" applyBorder="1" applyAlignment="1" applyProtection="1">
      <alignment vertical="center"/>
      <protection hidden="1"/>
    </xf>
    <xf numFmtId="1" fontId="1" fillId="0" borderId="0" xfId="0" applyNumberFormat="1" applyFont="1" applyBorder="1" applyAlignment="1" applyProtection="1">
      <alignment vertical="center"/>
      <protection hidden="1"/>
    </xf>
    <xf numFmtId="0" fontId="1" fillId="0" borderId="0" xfId="0" quotePrefix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4" fillId="0" borderId="50" xfId="0" applyFont="1" applyFill="1" applyBorder="1" applyAlignment="1" applyProtection="1">
      <alignment vertical="center"/>
      <protection hidden="1"/>
    </xf>
    <xf numFmtId="0" fontId="13" fillId="0" borderId="49" xfId="0" applyFont="1" applyFill="1" applyBorder="1" applyProtection="1">
      <protection hidden="1"/>
    </xf>
    <xf numFmtId="0" fontId="13" fillId="0" borderId="50" xfId="0" applyFont="1" applyFill="1" applyBorder="1" applyProtection="1">
      <protection hidden="1"/>
    </xf>
    <xf numFmtId="0" fontId="14" fillId="0" borderId="50" xfId="0" applyFont="1" applyFill="1" applyBorder="1" applyAlignment="1" applyProtection="1">
      <alignment horizontal="center" vertical="center"/>
      <protection hidden="1"/>
    </xf>
    <xf numFmtId="0" fontId="14" fillId="0" borderId="53" xfId="0" applyFont="1" applyFill="1" applyBorder="1" applyAlignment="1" applyProtection="1">
      <alignment vertical="center"/>
      <protection hidden="1"/>
    </xf>
    <xf numFmtId="0" fontId="17" fillId="0" borderId="49" xfId="0" applyFont="1" applyFill="1" applyBorder="1" applyAlignment="1" applyProtection="1">
      <alignment horizontal="left" vertical="center"/>
      <protection hidden="1"/>
    </xf>
    <xf numFmtId="0" fontId="0" fillId="0" borderId="49" xfId="0" applyBorder="1" applyProtection="1">
      <protection hidden="1"/>
    </xf>
    <xf numFmtId="0" fontId="0" fillId="0" borderId="0" xfId="0" applyBorder="1" applyProtection="1">
      <protection hidden="1"/>
    </xf>
    <xf numFmtId="0" fontId="17" fillId="0" borderId="50" xfId="0" applyFont="1" applyFill="1" applyBorder="1" applyAlignment="1" applyProtection="1">
      <alignment horizontal="left" vertical="center"/>
      <protection hidden="1"/>
    </xf>
    <xf numFmtId="0" fontId="0" fillId="0" borderId="50" xfId="0" applyBorder="1" applyProtection="1">
      <protection hidden="1"/>
    </xf>
    <xf numFmtId="0" fontId="0" fillId="14" borderId="51" xfId="0" applyFill="1" applyBorder="1" applyProtection="1">
      <protection hidden="1"/>
    </xf>
    <xf numFmtId="0" fontId="0" fillId="14" borderId="49" xfId="0" applyFill="1" applyBorder="1" applyProtection="1">
      <protection hidden="1"/>
    </xf>
    <xf numFmtId="0" fontId="0" fillId="14" borderId="52" xfId="0" applyFill="1" applyBorder="1" applyProtection="1">
      <protection hidden="1"/>
    </xf>
    <xf numFmtId="0" fontId="0" fillId="14" borderId="55" xfId="0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0" fillId="14" borderId="56" xfId="0" applyFill="1" applyBorder="1" applyProtection="1">
      <protection hidden="1"/>
    </xf>
    <xf numFmtId="0" fontId="0" fillId="14" borderId="53" xfId="0" applyFill="1" applyBorder="1" applyProtection="1">
      <protection hidden="1"/>
    </xf>
    <xf numFmtId="0" fontId="0" fillId="14" borderId="50" xfId="0" applyFill="1" applyBorder="1" applyProtection="1">
      <protection hidden="1"/>
    </xf>
    <xf numFmtId="0" fontId="0" fillId="14" borderId="54" xfId="0" applyFill="1" applyBorder="1" applyProtection="1">
      <protection hidden="1"/>
    </xf>
    <xf numFmtId="0" fontId="14" fillId="15" borderId="46" xfId="0" applyFont="1" applyFill="1" applyBorder="1" applyAlignment="1" applyProtection="1">
      <alignment vertical="center"/>
      <protection hidden="1"/>
    </xf>
    <xf numFmtId="0" fontId="13" fillId="15" borderId="46" xfId="0" applyFont="1" applyFill="1" applyBorder="1" applyAlignment="1" applyProtection="1">
      <alignment vertical="center"/>
      <protection hidden="1"/>
    </xf>
    <xf numFmtId="0" fontId="14" fillId="15" borderId="46" xfId="0" applyFont="1" applyFill="1" applyBorder="1" applyAlignment="1" applyProtection="1">
      <alignment horizontal="left" vertical="center"/>
      <protection hidden="1"/>
    </xf>
    <xf numFmtId="0" fontId="15" fillId="15" borderId="46" xfId="0" applyFont="1" applyFill="1" applyBorder="1" applyAlignment="1" applyProtection="1">
      <alignment horizontal="left" vertical="center"/>
      <protection hidden="1"/>
    </xf>
    <xf numFmtId="0" fontId="13" fillId="15" borderId="46" xfId="0" applyFont="1" applyFill="1" applyBorder="1" applyProtection="1"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1" fillId="9" borderId="35" xfId="0" applyFont="1" applyFill="1" applyBorder="1" applyAlignment="1" applyProtection="1">
      <alignment horizontal="center" vertical="center"/>
      <protection hidden="1"/>
    </xf>
    <xf numFmtId="0" fontId="1" fillId="9" borderId="36" xfId="0" applyFont="1" applyFill="1" applyBorder="1" applyAlignment="1" applyProtection="1">
      <alignment horizontal="center" vertical="center"/>
      <protection hidden="1"/>
    </xf>
    <xf numFmtId="2" fontId="1" fillId="9" borderId="35" xfId="0" applyNumberFormat="1" applyFont="1" applyFill="1" applyBorder="1" applyAlignment="1" applyProtection="1">
      <alignment horizontal="center" vertical="center"/>
      <protection hidden="1"/>
    </xf>
    <xf numFmtId="2" fontId="1" fillId="9" borderId="36" xfId="0" applyNumberFormat="1" applyFont="1" applyFill="1" applyBorder="1" applyAlignment="1" applyProtection="1">
      <alignment horizontal="center" vertical="center"/>
      <protection hidden="1"/>
    </xf>
    <xf numFmtId="2" fontId="1" fillId="0" borderId="35" xfId="0" applyNumberFormat="1" applyFont="1" applyBorder="1" applyAlignment="1" applyProtection="1">
      <alignment horizontal="center" vertical="center"/>
      <protection hidden="1"/>
    </xf>
    <xf numFmtId="2" fontId="1" fillId="0" borderId="36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 vertical="center"/>
      <protection hidden="1"/>
    </xf>
    <xf numFmtId="2" fontId="1" fillId="10" borderId="35" xfId="0" applyNumberFormat="1" applyFont="1" applyFill="1" applyBorder="1" applyAlignment="1" applyProtection="1">
      <alignment horizontal="center" vertical="center"/>
      <protection hidden="1"/>
    </xf>
    <xf numFmtId="2" fontId="1" fillId="10" borderId="36" xfId="0" applyNumberFormat="1" applyFont="1" applyFill="1" applyBorder="1" applyAlignment="1" applyProtection="1">
      <alignment horizontal="center" vertical="center"/>
      <protection hidden="1"/>
    </xf>
    <xf numFmtId="2" fontId="1" fillId="1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6" xfId="0" applyNumberFormat="1" applyFont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10" borderId="35" xfId="0" applyFont="1" applyFill="1" applyBorder="1" applyAlignment="1" applyProtection="1">
      <alignment horizontal="center" vertical="center"/>
      <protection hidden="1"/>
    </xf>
    <xf numFmtId="0" fontId="1" fillId="10" borderId="36" xfId="0" applyFont="1" applyFill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NumberFormat="1" applyFont="1" applyFill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8" borderId="0" xfId="0" applyNumberFormat="1" applyFont="1" applyFill="1" applyAlignment="1" applyProtection="1">
      <alignment horizontal="center" vertical="center"/>
      <protection hidden="1"/>
    </xf>
    <xf numFmtId="0" fontId="1" fillId="0" borderId="1" xfId="0" quotePrefix="1" applyNumberFormat="1" applyFont="1" applyBorder="1" applyAlignment="1" applyProtection="1">
      <alignment horizontal="center" vertical="center"/>
      <protection hidden="1"/>
    </xf>
    <xf numFmtId="0" fontId="2" fillId="12" borderId="29" xfId="0" applyFont="1" applyFill="1" applyBorder="1" applyAlignment="1" applyProtection="1">
      <alignment horizontal="center" vertical="center"/>
      <protection locked="0"/>
    </xf>
    <xf numFmtId="0" fontId="2" fillId="12" borderId="37" xfId="0" applyFont="1" applyFill="1" applyBorder="1" applyAlignment="1" applyProtection="1">
      <alignment horizontal="center" vertical="center"/>
      <protection locked="0"/>
    </xf>
    <xf numFmtId="0" fontId="2" fillId="12" borderId="40" xfId="0" applyFont="1" applyFill="1" applyBorder="1" applyAlignment="1" applyProtection="1">
      <alignment horizontal="center" vertical="center"/>
      <protection locked="0"/>
    </xf>
    <xf numFmtId="0" fontId="2" fillId="12" borderId="4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12" borderId="14" xfId="0" applyFont="1" applyFill="1" applyBorder="1" applyAlignment="1" applyProtection="1">
      <alignment horizontal="center" vertical="center"/>
      <protection locked="0"/>
    </xf>
    <xf numFmtId="0" fontId="2" fillId="12" borderId="15" xfId="0" applyFont="1" applyFill="1" applyBorder="1" applyAlignment="1" applyProtection="1">
      <alignment horizontal="center" vertical="center"/>
      <protection locked="0"/>
    </xf>
    <xf numFmtId="0" fontId="2" fillId="12" borderId="17" xfId="0" applyFont="1" applyFill="1" applyBorder="1" applyAlignment="1" applyProtection="1">
      <alignment horizontal="center" vertical="center"/>
      <protection locked="0"/>
    </xf>
    <xf numFmtId="0" fontId="2" fillId="12" borderId="18" xfId="0" applyFont="1" applyFill="1" applyBorder="1" applyAlignment="1" applyProtection="1">
      <alignment horizontal="center" vertical="center"/>
      <protection locked="0"/>
    </xf>
    <xf numFmtId="0" fontId="2" fillId="12" borderId="32" xfId="0" applyFont="1" applyFill="1" applyBorder="1" applyAlignment="1" applyProtection="1">
      <alignment horizontal="center" vertical="center"/>
      <protection locked="0"/>
    </xf>
    <xf numFmtId="0" fontId="2" fillId="12" borderId="43" xfId="0" applyFont="1" applyFill="1" applyBorder="1" applyAlignment="1" applyProtection="1">
      <alignment horizontal="center" vertical="center"/>
      <protection locked="0"/>
    </xf>
    <xf numFmtId="0" fontId="2" fillId="12" borderId="42" xfId="0" applyFont="1" applyFill="1" applyBorder="1" applyAlignment="1" applyProtection="1">
      <alignment horizontal="center" vertical="center"/>
      <protection locked="0"/>
    </xf>
    <xf numFmtId="0" fontId="2" fillId="12" borderId="33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1" fillId="15" borderId="8" xfId="0" applyFont="1" applyFill="1" applyBorder="1" applyAlignment="1" applyProtection="1">
      <alignment horizontal="center" vertical="center"/>
      <protection hidden="1"/>
    </xf>
    <xf numFmtId="0" fontId="1" fillId="15" borderId="9" xfId="0" applyFont="1" applyFill="1" applyBorder="1" applyAlignment="1" applyProtection="1">
      <alignment horizontal="center" vertical="center"/>
      <protection hidden="1"/>
    </xf>
    <xf numFmtId="0" fontId="1" fillId="15" borderId="10" xfId="0" applyFont="1" applyFill="1" applyBorder="1" applyAlignment="1" applyProtection="1">
      <alignment horizontal="center" vertical="center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hidden="1"/>
    </xf>
    <xf numFmtId="0" fontId="1" fillId="15" borderId="5" xfId="0" applyFont="1" applyFill="1" applyBorder="1" applyAlignment="1" applyProtection="1">
      <alignment horizontal="center" vertical="center"/>
      <protection hidden="1"/>
    </xf>
    <xf numFmtId="0" fontId="1" fillId="15" borderId="6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2" fillId="12" borderId="11" xfId="0" applyFont="1" applyFill="1" applyBorder="1" applyAlignment="1" applyProtection="1">
      <alignment horizontal="center" vertical="center"/>
      <protection locked="0"/>
    </xf>
    <xf numFmtId="0" fontId="2" fillId="12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horizontal="center" vertical="center"/>
      <protection locked="0"/>
    </xf>
    <xf numFmtId="0" fontId="2" fillId="12" borderId="38" xfId="0" applyFont="1" applyFill="1" applyBorder="1" applyAlignment="1" applyProtection="1">
      <alignment horizontal="center" vertical="center"/>
      <protection locked="0"/>
    </xf>
    <xf numFmtId="0" fontId="2" fillId="12" borderId="31" xfId="0" applyFont="1" applyFill="1" applyBorder="1" applyAlignment="1" applyProtection="1">
      <alignment horizontal="center" vertical="center"/>
      <protection locked="0"/>
    </xf>
    <xf numFmtId="0" fontId="2" fillId="12" borderId="30" xfId="0" applyFont="1" applyFill="1" applyBorder="1" applyAlignment="1" applyProtection="1">
      <alignment horizontal="center" vertical="center"/>
      <protection locked="0"/>
    </xf>
    <xf numFmtId="0" fontId="2" fillId="12" borderId="39" xfId="0" applyFont="1" applyFill="1" applyBorder="1" applyAlignment="1" applyProtection="1">
      <alignment horizontal="center" vertical="center"/>
      <protection locked="0"/>
    </xf>
    <xf numFmtId="0" fontId="2" fillId="12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15" borderId="7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64" fontId="2" fillId="12" borderId="8" xfId="0" applyNumberFormat="1" applyFont="1" applyFill="1" applyBorder="1" applyAlignment="1" applyProtection="1">
      <alignment horizontal="center" vertical="center"/>
      <protection locked="0"/>
    </xf>
    <xf numFmtId="164" fontId="2" fillId="12" borderId="9" xfId="0" applyNumberFormat="1" applyFont="1" applyFill="1" applyBorder="1" applyAlignment="1" applyProtection="1">
      <alignment horizontal="center" vertical="center"/>
      <protection locked="0"/>
    </xf>
    <xf numFmtId="164" fontId="2" fillId="12" borderId="10" xfId="0" applyNumberFormat="1" applyFont="1" applyFill="1" applyBorder="1" applyAlignment="1" applyProtection="1">
      <alignment horizontal="center" vertical="center"/>
      <protection locked="0"/>
    </xf>
    <xf numFmtId="0" fontId="2" fillId="12" borderId="8" xfId="0" applyFont="1" applyFill="1" applyBorder="1" applyAlignment="1" applyProtection="1">
      <alignment horizontal="center" vertical="center"/>
      <protection locked="0"/>
    </xf>
    <xf numFmtId="0" fontId="2" fillId="12" borderId="9" xfId="0" applyFont="1" applyFill="1" applyBorder="1" applyAlignment="1" applyProtection="1">
      <alignment horizontal="center" vertical="center"/>
      <protection locked="0"/>
    </xf>
    <xf numFmtId="0" fontId="2" fillId="12" borderId="10" xfId="0" applyFont="1" applyFill="1" applyBorder="1" applyAlignment="1" applyProtection="1">
      <alignment horizontal="center" vertical="center"/>
      <protection locked="0"/>
    </xf>
    <xf numFmtId="164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2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35" xfId="0" applyFont="1" applyFill="1" applyBorder="1" applyAlignment="1" applyProtection="1">
      <alignment horizontal="center" vertical="center"/>
      <protection hidden="1"/>
    </xf>
    <xf numFmtId="0" fontId="1" fillId="5" borderId="36" xfId="0" applyFont="1" applyFill="1" applyBorder="1" applyAlignment="1" applyProtection="1">
      <alignment horizontal="center" vertical="center"/>
      <protection hidden="1"/>
    </xf>
    <xf numFmtId="2" fontId="1" fillId="5" borderId="35" xfId="0" applyNumberFormat="1" applyFont="1" applyFill="1" applyBorder="1" applyAlignment="1" applyProtection="1">
      <alignment horizontal="center" vertical="center"/>
      <protection hidden="1"/>
    </xf>
    <xf numFmtId="2" fontId="1" fillId="5" borderId="36" xfId="0" applyNumberFormat="1" applyFont="1" applyFill="1" applyBorder="1" applyAlignment="1" applyProtection="1">
      <alignment horizontal="center" vertical="center"/>
      <protection hidden="1"/>
    </xf>
    <xf numFmtId="0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1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9" borderId="44" xfId="0" applyFont="1" applyFill="1" applyBorder="1" applyAlignment="1" applyProtection="1">
      <alignment horizontal="center" vertical="center"/>
      <protection hidden="1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50" xfId="0" applyNumberFormat="1" applyFont="1" applyFill="1" applyBorder="1" applyAlignment="1" applyProtection="1">
      <alignment horizontal="center" vertical="center"/>
      <protection hidden="1"/>
    </xf>
    <xf numFmtId="0" fontId="14" fillId="0" borderId="50" xfId="0" applyFont="1" applyFill="1" applyBorder="1" applyAlignment="1" applyProtection="1">
      <alignment horizontal="center" vertical="center"/>
      <protection hidden="1"/>
    </xf>
    <xf numFmtId="2" fontId="1" fillId="0" borderId="49" xfId="0" applyNumberFormat="1" applyFont="1" applyFill="1" applyBorder="1" applyAlignment="1" applyProtection="1">
      <alignment horizontal="center" vertical="center"/>
      <protection hidden="1"/>
    </xf>
    <xf numFmtId="0" fontId="14" fillId="0" borderId="54" xfId="0" applyFont="1" applyFill="1" applyBorder="1" applyAlignment="1" applyProtection="1">
      <alignment horizontal="center" vertical="center"/>
      <protection hidden="1"/>
    </xf>
    <xf numFmtId="2" fontId="1" fillId="0" borderId="50" xfId="0" applyNumberFormat="1" applyFont="1" applyFill="1" applyBorder="1" applyAlignment="1" applyProtection="1">
      <alignment horizontal="left" vertical="center"/>
      <protection hidden="1"/>
    </xf>
    <xf numFmtId="2" fontId="1" fillId="0" borderId="0" xfId="0" applyNumberFormat="1" applyFont="1" applyFill="1" applyBorder="1" applyAlignment="1" applyProtection="1">
      <alignment horizontal="right" vertical="center"/>
      <protection hidden="1"/>
    </xf>
    <xf numFmtId="2" fontId="1" fillId="0" borderId="0" xfId="0" applyNumberFormat="1" applyFont="1" applyFill="1" applyBorder="1" applyAlignment="1" applyProtection="1">
      <alignment horizontal="left" vertical="center"/>
      <protection hidden="1"/>
    </xf>
    <xf numFmtId="169" fontId="1" fillId="0" borderId="0" xfId="0" applyNumberFormat="1" applyFont="1" applyFill="1" applyBorder="1" applyAlignment="1" applyProtection="1">
      <alignment horizontal="center" vertical="center"/>
      <protection hidden="1"/>
    </xf>
    <xf numFmtId="169" fontId="1" fillId="0" borderId="56" xfId="0" applyNumberFormat="1" applyFont="1" applyFill="1" applyBorder="1" applyAlignment="1" applyProtection="1">
      <alignment horizontal="center" vertical="center"/>
      <protection hidden="1"/>
    </xf>
    <xf numFmtId="169" fontId="1" fillId="0" borderId="49" xfId="0" applyNumberFormat="1" applyFont="1" applyFill="1" applyBorder="1" applyAlignment="1" applyProtection="1">
      <alignment horizontal="center" vertical="center"/>
      <protection hidden="1"/>
    </xf>
    <xf numFmtId="169" fontId="1" fillId="0" borderId="52" xfId="0" applyNumberFormat="1" applyFont="1" applyFill="1" applyBorder="1" applyAlignment="1" applyProtection="1">
      <alignment horizontal="center" vertical="center"/>
      <protection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1" fillId="0" borderId="49" xfId="0" applyFont="1" applyFill="1" applyBorder="1" applyAlignment="1" applyProtection="1">
      <alignment horizontal="center" vertical="center"/>
      <protection hidden="1"/>
    </xf>
    <xf numFmtId="0" fontId="1" fillId="0" borderId="55" xfId="0" applyFont="1" applyFill="1" applyBorder="1" applyAlignment="1" applyProtection="1">
      <alignment horizontal="center" vertical="center"/>
      <protection hidden="1"/>
    </xf>
    <xf numFmtId="2" fontId="1" fillId="0" borderId="49" xfId="0" applyNumberFormat="1" applyFont="1" applyFill="1" applyBorder="1" applyAlignment="1" applyProtection="1">
      <alignment horizontal="right" vertical="center"/>
      <protection hidden="1"/>
    </xf>
    <xf numFmtId="0" fontId="1" fillId="0" borderId="53" xfId="0" applyFont="1" applyFill="1" applyBorder="1" applyAlignment="1" applyProtection="1">
      <alignment horizontal="center" vertical="center"/>
      <protection hidden="1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16" fillId="12" borderId="46" xfId="0" applyFont="1" applyFill="1" applyBorder="1" applyAlignment="1" applyProtection="1">
      <alignment horizontal="left" vertical="center"/>
      <protection locked="0"/>
    </xf>
    <xf numFmtId="0" fontId="14" fillId="0" borderId="49" xfId="0" applyFont="1" applyFill="1" applyBorder="1" applyAlignment="1" applyProtection="1">
      <alignment horizontal="center" vertical="center"/>
      <protection hidden="1"/>
    </xf>
    <xf numFmtId="169" fontId="1" fillId="0" borderId="50" xfId="0" applyNumberFormat="1" applyFont="1" applyFill="1" applyBorder="1" applyAlignment="1" applyProtection="1">
      <alignment horizontal="center" vertical="center"/>
      <protection hidden="1"/>
    </xf>
    <xf numFmtId="169" fontId="1" fillId="0" borderId="54" xfId="0" applyNumberFormat="1" applyFont="1" applyFill="1" applyBorder="1" applyAlignment="1" applyProtection="1">
      <alignment horizontal="center" vertical="center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0" fontId="14" fillId="0" borderId="51" xfId="0" applyFont="1" applyFill="1" applyBorder="1" applyAlignment="1" applyProtection="1">
      <alignment horizontal="center" vertical="center"/>
      <protection hidden="1"/>
    </xf>
    <xf numFmtId="0" fontId="14" fillId="15" borderId="47" xfId="0" applyFont="1" applyFill="1" applyBorder="1" applyAlignment="1" applyProtection="1">
      <alignment horizontal="left" vertical="center"/>
      <protection hidden="1"/>
    </xf>
    <xf numFmtId="0" fontId="14" fillId="15" borderId="45" xfId="0" applyFont="1" applyFill="1" applyBorder="1" applyAlignment="1" applyProtection="1">
      <alignment horizontal="left" vertical="center"/>
      <protection hidden="1"/>
    </xf>
    <xf numFmtId="0" fontId="14" fillId="15" borderId="48" xfId="0" applyFont="1" applyFill="1" applyBorder="1" applyAlignment="1" applyProtection="1">
      <alignment horizontal="left" vertical="center"/>
      <protection hidden="1"/>
    </xf>
    <xf numFmtId="0" fontId="15" fillId="15" borderId="47" xfId="0" applyFont="1" applyFill="1" applyBorder="1" applyAlignment="1" applyProtection="1">
      <alignment horizontal="left" vertical="center"/>
      <protection hidden="1"/>
    </xf>
    <xf numFmtId="0" fontId="15" fillId="15" borderId="45" xfId="0" applyFont="1" applyFill="1" applyBorder="1" applyAlignment="1" applyProtection="1">
      <alignment horizontal="left" vertical="center"/>
      <protection hidden="1"/>
    </xf>
    <xf numFmtId="0" fontId="15" fillId="15" borderId="48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66FF99"/>
      <color rgb="FFFFFFCC"/>
      <color rgb="FF0000FF"/>
      <color rgb="FFFFCC00"/>
      <color rgb="FFDDF1FF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u="none">
                <a:solidFill>
                  <a:srgbClr val="FF0000"/>
                </a:solidFill>
              </a:defRPr>
            </a:pPr>
            <a:r>
              <a:rPr lang="en-US" sz="800" b="0" u="none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</a:t>
            </a:r>
            <a:r>
              <a:rPr lang="en-US" sz="800" b="0" u="none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(kg)     </a:t>
            </a: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SFD</a:t>
            </a:r>
          </a:p>
        </c:rich>
      </c:tx>
      <c:layout>
        <c:manualLayout>
          <c:xMode val="edge"/>
          <c:yMode val="edge"/>
          <c:x val="0.94979151112814719"/>
          <c:y val="0.855371240938272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Analysis!$IC$13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Analysis!$ID$13:$ID$22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</c:numCache>
            </c:numRef>
          </c:xVal>
          <c:yVal>
            <c:numRef>
              <c:f>Analysis!$IG$13:$IG$22</c:f>
              <c:numCache>
                <c:formatCode>General</c:formatCode>
                <c:ptCount val="10"/>
                <c:pt idx="0">
                  <c:v>0</c:v>
                </c:pt>
                <c:pt idx="1">
                  <c:v>2927.2959237370465</c:v>
                </c:pt>
                <c:pt idx="2">
                  <c:v>2927.2959237370465</c:v>
                </c:pt>
                <c:pt idx="3">
                  <c:v>2927.2959237370465</c:v>
                </c:pt>
                <c:pt idx="4">
                  <c:v>2927.2959237370465</c:v>
                </c:pt>
                <c:pt idx="5">
                  <c:v>2927.2959237370465</c:v>
                </c:pt>
                <c:pt idx="6">
                  <c:v>2927.2959237370465</c:v>
                </c:pt>
                <c:pt idx="7">
                  <c:v>2927.2959237370465</c:v>
                </c:pt>
                <c:pt idx="8">
                  <c:v>-2800.7040762629535</c:v>
                </c:pt>
                <c:pt idx="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Analysis!$IC$23</c:f>
              <c:strCache>
                <c:ptCount val="1"/>
                <c:pt idx="0">
                  <c:v>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Analysis!$ID$23:$ID$32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Analysis!$IG$23:$IG$32</c:f>
              <c:numCache>
                <c:formatCode>General</c:formatCode>
                <c:ptCount val="10"/>
                <c:pt idx="0">
                  <c:v>0</c:v>
                </c:pt>
                <c:pt idx="1">
                  <c:v>2674.1122287888602</c:v>
                </c:pt>
                <c:pt idx="2">
                  <c:v>2674.1122287888602</c:v>
                </c:pt>
                <c:pt idx="3">
                  <c:v>2674.1122287888602</c:v>
                </c:pt>
                <c:pt idx="4">
                  <c:v>2674.1122287888602</c:v>
                </c:pt>
                <c:pt idx="5">
                  <c:v>2674.1122287888602</c:v>
                </c:pt>
                <c:pt idx="6">
                  <c:v>2674.1122287888602</c:v>
                </c:pt>
                <c:pt idx="7">
                  <c:v>2674.1122287888602</c:v>
                </c:pt>
                <c:pt idx="8">
                  <c:v>-3053.8877712111398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UL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(Analysis!$IG$3,Analysis!$IG$272)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Analysis!$IC$33</c:f>
              <c:strCache>
                <c:ptCount val="1"/>
                <c:pt idx="0">
                  <c:v>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Analysis!$ID$33:$ID$42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10.5</c:v>
                </c:pt>
                <c:pt idx="5">
                  <c:v>10.5</c:v>
                </c:pt>
                <c:pt idx="6">
                  <c:v>11.5</c:v>
                </c:pt>
                <c:pt idx="7">
                  <c:v>11.5</c:v>
                </c:pt>
                <c:pt idx="8">
                  <c:v>12</c:v>
                </c:pt>
                <c:pt idx="9">
                  <c:v>12</c:v>
                </c:pt>
              </c:numCache>
            </c:numRef>
          </c:xVal>
          <c:yVal>
            <c:numRef>
              <c:f>Analysis!$IG$33:$IG$42</c:f>
              <c:numCache>
                <c:formatCode>General</c:formatCode>
                <c:ptCount val="10"/>
                <c:pt idx="0">
                  <c:v>0</c:v>
                </c:pt>
                <c:pt idx="1">
                  <c:v>3801.9153173575132</c:v>
                </c:pt>
                <c:pt idx="2">
                  <c:v>2829.9153173575132</c:v>
                </c:pt>
                <c:pt idx="3">
                  <c:v>1329.9153173575132</c:v>
                </c:pt>
                <c:pt idx="4">
                  <c:v>-128.08468264248677</c:v>
                </c:pt>
                <c:pt idx="5">
                  <c:v>-1378.0846826424868</c:v>
                </c:pt>
                <c:pt idx="6">
                  <c:v>-2350.0846826424868</c:v>
                </c:pt>
                <c:pt idx="7">
                  <c:v>-3850.0846826424868</c:v>
                </c:pt>
                <c:pt idx="8">
                  <c:v>-4336.0846826424868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Analysis!$IC$43</c:f>
              <c:strCache>
                <c:ptCount val="1"/>
                <c:pt idx="0">
                  <c:v>4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Analysis!$ID$43:$ID$52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</c:numCache>
            </c:numRef>
          </c:xVal>
          <c:yVal>
            <c:numRef>
              <c:f>Analysis!$IG$43:$IG$52</c:f>
              <c:numCache>
                <c:formatCode>General</c:formatCode>
                <c:ptCount val="10"/>
                <c:pt idx="0">
                  <c:v>0</c:v>
                </c:pt>
                <c:pt idx="1">
                  <c:v>2231.5624392810882</c:v>
                </c:pt>
                <c:pt idx="2">
                  <c:v>2231.5624392810882</c:v>
                </c:pt>
                <c:pt idx="3">
                  <c:v>2231.5624392810882</c:v>
                </c:pt>
                <c:pt idx="4">
                  <c:v>2231.5624392810882</c:v>
                </c:pt>
                <c:pt idx="5">
                  <c:v>2231.5624392810882</c:v>
                </c:pt>
                <c:pt idx="6">
                  <c:v>2231.5624392810882</c:v>
                </c:pt>
                <c:pt idx="7">
                  <c:v>2231.5624392810882</c:v>
                </c:pt>
                <c:pt idx="8">
                  <c:v>-1656.4375607189118</c:v>
                </c:pt>
                <c:pt idx="9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Analysis!$IC$53</c:f>
              <c:strCache>
                <c:ptCount val="1"/>
                <c:pt idx="0">
                  <c:v>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Analysis!$ID$53:$ID$62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20</c:v>
                </c:pt>
              </c:numCache>
            </c:numRef>
          </c:xVal>
          <c:yVal>
            <c:numRef>
              <c:f>Analysis!$IG$53:$IG$62</c:f>
              <c:numCache>
                <c:formatCode>General</c:formatCode>
                <c:ptCount val="10"/>
                <c:pt idx="0">
                  <c:v>0</c:v>
                </c:pt>
                <c:pt idx="1">
                  <c:v>1852.3388317681347</c:v>
                </c:pt>
                <c:pt idx="2">
                  <c:v>1852.3388317681347</c:v>
                </c:pt>
                <c:pt idx="3">
                  <c:v>1852.3388317681347</c:v>
                </c:pt>
                <c:pt idx="4">
                  <c:v>1852.3388317681347</c:v>
                </c:pt>
                <c:pt idx="5">
                  <c:v>1852.3388317681347</c:v>
                </c:pt>
                <c:pt idx="6">
                  <c:v>1852.3388317681347</c:v>
                </c:pt>
                <c:pt idx="7">
                  <c:v>1852.3388317681347</c:v>
                </c:pt>
                <c:pt idx="8">
                  <c:v>-2035.6611682318653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Analysis!$IC$63</c:f>
              <c:strCache>
                <c:ptCount val="1"/>
                <c:pt idx="0">
                  <c:v>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Analysis!$ID$63:$ID$72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</c:numCache>
            </c:numRef>
          </c:xVal>
          <c:yVal>
            <c:numRef>
              <c:f>Analysis!$IG$63:$IG$72</c:f>
              <c:numCache>
                <c:formatCode>General</c:formatCode>
                <c:ptCount val="10"/>
                <c:pt idx="0">
                  <c:v>0</c:v>
                </c:pt>
                <c:pt idx="1">
                  <c:v>2023.082233646373</c:v>
                </c:pt>
                <c:pt idx="2">
                  <c:v>2023.082233646373</c:v>
                </c:pt>
                <c:pt idx="3">
                  <c:v>2023.082233646373</c:v>
                </c:pt>
                <c:pt idx="4">
                  <c:v>2023.082233646373</c:v>
                </c:pt>
                <c:pt idx="5">
                  <c:v>2023.082233646373</c:v>
                </c:pt>
                <c:pt idx="6">
                  <c:v>2023.082233646373</c:v>
                </c:pt>
                <c:pt idx="7">
                  <c:v>2023.082233646373</c:v>
                </c:pt>
                <c:pt idx="8">
                  <c:v>-1864.917766353627</c:v>
                </c:pt>
                <c:pt idx="9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Analysis!$IC$73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Analysis!$ID$73:$ID$82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Analysis!$IG$73:$IG$82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Analysis!$IC$83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Analysis!$ID$83:$ID$92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Analysis!$IG$83:$IG$92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Analysis!$IC$93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Analysis!$ID$93:$ID$102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Analysis!$IG$93:$IG$102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Analysis!$IC$103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Analysis!$ID$103:$ID$112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Analysis!$IG$103:$IG$112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Analysis!$IC$113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Analysis!$ID$113:$ID$122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Analysis!$IG$113:$IG$122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Analysis!$IC$123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Analysis!$ID$123:$ID$132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Analysis!$IG$123:$IG$132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Analysis!$IC$133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Analysis!$ID$133:$ID$142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Analysis!$IG$133:$IG$142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Analysis!$IC$143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Analysis!$ID$143:$ID$152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Analysis!$IG$143:$IG$152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Analysis!$IC$153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Analysis!$ID$153:$ID$162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Analysis!$IG$153:$IG$162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Analysis!$IC$163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Analysis!$ID$163:$ID$172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Analysis!$IG$163:$IG$172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Analysis!$IC$173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Analysis!$ID$173:$ID$182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Analysis!$IG$173:$IG$182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Analysis!$IC$183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Analysis!$ID$183:$ID$192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Analysis!$IG$183:$IG$192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Analysis!$IC$193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Analysis!$ID$193:$ID$202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Analysis!$IG$193:$IG$202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Analysis!$IC$203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Analysis!$ID$203:$ID$212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Analysis!$IG$203:$IG$212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Analysis!$IC$213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Analysis!$ID$213:$ID$222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Analysis!$IG$213:$IG$222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Analysis!$IC$223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Analysis!$ID$223:$ID$232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Analysis!$IG$223:$IG$232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Analysis!$IC$233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Analysis!$ID$233:$ID$242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Analysis!$IG$233:$IG$242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Analysis!$IC$243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Analysis!$ID$243:$ID$252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Analysis!$IG$243:$IG$252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Analysis!$IC$253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Analysis!$ID$253:$ID$262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Analysis!$IG$253:$IG$262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Analysis!$IC$3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8"/>
            <c:bubble3D val="0"/>
          </c:dPt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Analysis!$ID$3:$ID$12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Analysis!$IG$3:$IG$12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Analysis!$IC$263</c:f>
              <c:strCache>
                <c:ptCount val="1"/>
                <c:pt idx="0">
                  <c:v>R0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Analysis!$ID$263:$ID$272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Analysis!$IG$263:$IG$272</c:f>
              <c:numCache>
                <c:formatCode>General</c:formatCode>
                <c:ptCount val="10"/>
                <c:pt idx="0">
                  <c:v>0</c:v>
                </c:pt>
                <c:pt idx="1">
                  <c:v>1458</c:v>
                </c:pt>
                <c:pt idx="2">
                  <c:v>1458</c:v>
                </c:pt>
                <c:pt idx="3">
                  <c:v>1458</c:v>
                </c:pt>
                <c:pt idx="4">
                  <c:v>1458</c:v>
                </c:pt>
                <c:pt idx="5">
                  <c:v>1458</c:v>
                </c:pt>
                <c:pt idx="6">
                  <c:v>1458</c:v>
                </c:pt>
                <c:pt idx="7">
                  <c:v>1458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8"/>
          <c:order val="2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Analysis!$JI$14</c:f>
              <c:numCache>
                <c:formatCode>General</c:formatCode>
                <c:ptCount val="1"/>
                <c:pt idx="0">
                  <c:v>2927.2959237370465</c:v>
                </c:pt>
              </c:numCache>
            </c:numRef>
          </c:yVal>
          <c:smooth val="0"/>
        </c:ser>
        <c:ser>
          <c:idx val="29"/>
          <c:order val="2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Analysis!$JI$21</c:f>
              <c:numCache>
                <c:formatCode>General</c:formatCode>
                <c:ptCount val="1"/>
                <c:pt idx="0">
                  <c:v>-2800.7040762629535</c:v>
                </c:pt>
              </c:numCache>
            </c:numRef>
          </c:yVal>
          <c:smooth val="0"/>
        </c:ser>
        <c:ser>
          <c:idx val="30"/>
          <c:order val="3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Analysis!$JI$24</c:f>
              <c:numCache>
                <c:formatCode>General</c:formatCode>
                <c:ptCount val="1"/>
                <c:pt idx="0">
                  <c:v>2674.1122287888602</c:v>
                </c:pt>
              </c:numCache>
            </c:numRef>
          </c:yVal>
          <c:smooth val="0"/>
        </c:ser>
        <c:ser>
          <c:idx val="31"/>
          <c:order val="3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Analysis!$JH$31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Analysis!$JI$31</c:f>
              <c:numCache>
                <c:formatCode>General</c:formatCode>
                <c:ptCount val="1"/>
                <c:pt idx="0">
                  <c:v>-3053.8877712111398</c:v>
                </c:pt>
              </c:numCache>
            </c:numRef>
          </c:yVal>
          <c:smooth val="0"/>
        </c:ser>
        <c:ser>
          <c:idx val="32"/>
          <c:order val="3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Analysis!$JH$34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Analysis!$JI$34</c:f>
              <c:numCache>
                <c:formatCode>General</c:formatCode>
                <c:ptCount val="1"/>
                <c:pt idx="0">
                  <c:v>3801.9153173575132</c:v>
                </c:pt>
              </c:numCache>
            </c:numRef>
          </c:yVal>
          <c:smooth val="0"/>
        </c:ser>
        <c:ser>
          <c:idx val="33"/>
          <c:order val="3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Analysis!$JH$41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Analysis!$JI$41</c:f>
              <c:numCache>
                <c:formatCode>General</c:formatCode>
                <c:ptCount val="1"/>
                <c:pt idx="0">
                  <c:v>-4336.0846826424868</c:v>
                </c:pt>
              </c:numCache>
            </c:numRef>
          </c:yVal>
          <c:smooth val="0"/>
        </c:ser>
        <c:ser>
          <c:idx val="34"/>
          <c:order val="3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Analysis!$JH$44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Analysis!$JI$44</c:f>
              <c:numCache>
                <c:formatCode>General</c:formatCode>
                <c:ptCount val="1"/>
                <c:pt idx="0">
                  <c:v>2231.5624392810882</c:v>
                </c:pt>
              </c:numCache>
            </c:numRef>
          </c:yVal>
          <c:smooth val="0"/>
        </c:ser>
        <c:ser>
          <c:idx val="35"/>
          <c:order val="3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Analysis!$JH$51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Analysis!$JI$51</c:f>
              <c:numCache>
                <c:formatCode>General</c:formatCode>
                <c:ptCount val="1"/>
                <c:pt idx="0">
                  <c:v>-1656.4375607189118</c:v>
                </c:pt>
              </c:numCache>
            </c:numRef>
          </c:yVal>
          <c:smooth val="0"/>
        </c:ser>
        <c:ser>
          <c:idx val="36"/>
          <c:order val="3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Analysis!$JH$54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Analysis!$JI$54</c:f>
              <c:numCache>
                <c:formatCode>General</c:formatCode>
                <c:ptCount val="1"/>
                <c:pt idx="0">
                  <c:v>1852.3388317681347</c:v>
                </c:pt>
              </c:numCache>
            </c:numRef>
          </c:yVal>
          <c:smooth val="0"/>
        </c:ser>
        <c:ser>
          <c:idx val="37"/>
          <c:order val="3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Analysis!$JI$61</c:f>
              <c:numCache>
                <c:formatCode>General</c:formatCode>
                <c:ptCount val="1"/>
                <c:pt idx="0">
                  <c:v>-2035.6611682318653</c:v>
                </c:pt>
              </c:numCache>
            </c:numRef>
          </c:yVal>
          <c:smooth val="0"/>
        </c:ser>
        <c:ser>
          <c:idx val="38"/>
          <c:order val="3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Analysis!$JH$64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Analysis!$JI$64</c:f>
              <c:numCache>
                <c:formatCode>General</c:formatCode>
                <c:ptCount val="1"/>
                <c:pt idx="0">
                  <c:v>2023.082233646373</c:v>
                </c:pt>
              </c:numCache>
            </c:numRef>
          </c:yVal>
          <c:smooth val="0"/>
        </c:ser>
        <c:ser>
          <c:idx val="39"/>
          <c:order val="3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Analysis!$JH$71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Analysis!$JI$71</c:f>
              <c:numCache>
                <c:formatCode>General</c:formatCode>
                <c:ptCount val="1"/>
                <c:pt idx="0">
                  <c:v>-1864.917766353627</c:v>
                </c:pt>
              </c:numCache>
            </c:numRef>
          </c:yVal>
          <c:smooth val="0"/>
        </c:ser>
        <c:ser>
          <c:idx val="40"/>
          <c:order val="4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Analysis!$JH$74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Analysis!$JI$74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1"/>
          <c:order val="4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Analysis!$JI$81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2"/>
          <c:order val="4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Analysis!$JH$84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Analysis!$JI$84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3"/>
          <c:order val="4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4"/>
          <c:order val="4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Analysis!$JH$94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Analysis!$JI$94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5"/>
          <c:order val="4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6"/>
          <c:order val="4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Analysis!$JH$104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Analysis!$JI$104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7"/>
          <c:order val="4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8"/>
          <c:order val="48"/>
          <c:marker>
            <c:symbol val="none"/>
          </c:marker>
          <c:dPt>
            <c:idx val="0"/>
            <c:marker>
              <c:symbol val="circle"/>
              <c:size val="8"/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Analysis!$JH$114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9"/>
          <c:order val="4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0"/>
          <c:order val="5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Analysis!$JH$124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1"/>
          <c:order val="5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2"/>
          <c:order val="5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Analysis!$JH$134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Analysis!$JI$134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3"/>
          <c:order val="5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4"/>
          <c:order val="5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5"/>
          <c:order val="5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6"/>
          <c:order val="5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Analysis!$JH$154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Analysis!$JI$154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7"/>
          <c:order val="5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Analysis!$JI$161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8"/>
          <c:order val="5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Analysis!$JH$164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Analysis!$JI$164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9"/>
          <c:order val="5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0"/>
          <c:order val="6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Analysis!$JH$174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Analysis!$JI$174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1"/>
          <c:order val="6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Analysis!$JI$181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2"/>
          <c:order val="6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Analysis!$JH$184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Analysis!$JI$184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3"/>
          <c:order val="6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4"/>
          <c:order val="6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Analysis!$JH$194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Analysis!$JI$194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5"/>
          <c:order val="6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Analysis!$JI$201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6"/>
          <c:order val="6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Analysis!$JH$204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7"/>
          <c:order val="6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8"/>
          <c:order val="6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9"/>
          <c:order val="6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0"/>
          <c:order val="7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Analysis!$JH$224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1"/>
          <c:order val="7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2"/>
          <c:order val="7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Analysis!$JH$234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Analysis!$JI$234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3"/>
          <c:order val="7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4"/>
          <c:order val="7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5"/>
          <c:order val="7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6"/>
          <c:order val="7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Analysis!$JH$254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Analysis!$JI$254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7"/>
          <c:order val="7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Analysis!$JI$261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8"/>
          <c:order val="7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Analysis!$JH$264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Analysis!$JI$264</c:f>
              <c:numCache>
                <c:formatCode>General</c:formatCode>
                <c:ptCount val="1"/>
                <c:pt idx="0">
                  <c:v>1458</c:v>
                </c:pt>
              </c:numCache>
            </c:numRef>
          </c:yVal>
          <c:smooth val="0"/>
        </c:ser>
        <c:ser>
          <c:idx val="79"/>
          <c:order val="7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0"/>
          <c:order val="80"/>
          <c:tx>
            <c:strRef>
              <c:f>Analysis!$JQ$14</c:f>
              <c:strCache>
                <c:ptCount val="1"/>
                <c:pt idx="0">
                  <c:v>2.044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Analysis!$JQ$13</c:f>
              <c:numCache>
                <c:formatCode>0.00</c:formatCode>
                <c:ptCount val="1"/>
                <c:pt idx="0">
                  <c:v>1.0221005320310916</c:v>
                </c:pt>
              </c:numCache>
            </c:numRef>
          </c:xVal>
          <c:yVal>
            <c:numRef>
              <c:f>Analysis!$JR$13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Analysis!$JQ$24</c:f>
              <c:strCache>
                <c:ptCount val="1"/>
                <c:pt idx="0">
                  <c:v>1.867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Analysis!$JQ$23</c:f>
              <c:numCache>
                <c:formatCode>0.00</c:formatCode>
                <c:ptCount val="1"/>
                <c:pt idx="0">
                  <c:v>4.9336984039067246</c:v>
                </c:pt>
              </c:numCache>
            </c:numRef>
          </c:xVal>
          <c:yVal>
            <c:numRef>
              <c:f>Analysis!$JR$23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Analysis!$JQ$34</c:f>
              <c:strCache>
                <c:ptCount val="1"/>
                <c:pt idx="0">
                  <c:v>2.368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Analysis!$JQ$33</c:f>
              <c:numCache>
                <c:formatCode>0.00</c:formatCode>
                <c:ptCount val="1"/>
                <c:pt idx="0">
                  <c:v>9.1841128175707372</c:v>
                </c:pt>
              </c:numCache>
            </c:numRef>
          </c:xVal>
          <c:yVal>
            <c:numRef>
              <c:f>Analysis!$JR$33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Analysis!$JQ$44</c:f>
              <c:strCache>
                <c:ptCount val="1"/>
                <c:pt idx="0">
                  <c:v>2.296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Analysis!$JQ$43</c:f>
              <c:numCache>
                <c:formatCode>0.00</c:formatCode>
                <c:ptCount val="1"/>
                <c:pt idx="0">
                  <c:v>13.147923065473812</c:v>
                </c:pt>
              </c:numCache>
            </c:numRef>
          </c:xVal>
          <c:yVal>
            <c:numRef>
              <c:f>Analysis!$JR$43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Analysis!$JQ$54</c:f>
              <c:strCache>
                <c:ptCount val="1"/>
                <c:pt idx="0">
                  <c:v>1.906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Analysis!$JQ$53</c:f>
              <c:numCache>
                <c:formatCode>0.00</c:formatCode>
                <c:ptCount val="1"/>
                <c:pt idx="0">
                  <c:v>16.952849193296366</c:v>
                </c:pt>
              </c:numCache>
            </c:numRef>
          </c:xVal>
          <c:yVal>
            <c:numRef>
              <c:f>Analysis!$JR$53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5"/>
          <c:order val="85"/>
          <c:tx>
            <c:strRef>
              <c:f>Analysis!$JQ$64</c:f>
              <c:strCache>
                <c:ptCount val="1"/>
                <c:pt idx="0">
                  <c:v>2.081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Analysis!$JQ$63</c:f>
              <c:numCache>
                <c:formatCode>0.00</c:formatCode>
                <c:ptCount val="1"/>
                <c:pt idx="0">
                  <c:v>21.040680161340727</c:v>
                </c:pt>
              </c:numCache>
            </c:numRef>
          </c:xVal>
          <c:yVal>
            <c:numRef>
              <c:f>Analysis!$JR$63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6"/>
          <c:order val="86"/>
          <c:tx>
            <c:strRef>
              <c:f>Analysis!$JQ$74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Analysis!$JR$73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7"/>
          <c:order val="87"/>
          <c:tx>
            <c:strRef>
              <c:f>Analysis!$JQ$84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Analysis!$JR$83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8"/>
          <c:order val="88"/>
          <c:tx>
            <c:strRef>
              <c:f>Analysis!$JQ$94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Analysis!$JR$93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9"/>
          <c:order val="89"/>
          <c:tx>
            <c:strRef>
              <c:f>Analysis!$JQ$104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Analysis!$JR$103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0"/>
          <c:order val="90"/>
          <c:tx>
            <c:strRef>
              <c:f>Analysis!$JQ$114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1"/>
          <c:order val="91"/>
          <c:tx>
            <c:strRef>
              <c:f>Analysis!$JQ$124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2"/>
          <c:order val="92"/>
          <c:tx>
            <c:strRef>
              <c:f>Analysis!$JQ$134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3"/>
          <c:order val="93"/>
          <c:tx>
            <c:strRef>
              <c:f>Analysis!$JQ$144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4"/>
          <c:order val="94"/>
          <c:tx>
            <c:strRef>
              <c:f>Analysis!$JQ$154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5"/>
          <c:order val="95"/>
          <c:tx>
            <c:strRef>
              <c:f>Analysis!$JQ$164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Analysis!$JR$163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6"/>
          <c:order val="96"/>
          <c:tx>
            <c:strRef>
              <c:f>Analysis!$JQ$174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Analysis!$JR$173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7"/>
          <c:order val="97"/>
          <c:tx>
            <c:strRef>
              <c:f>Analysis!$JQ$184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Analysis!$JR$183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8"/>
          <c:order val="98"/>
          <c:tx>
            <c:strRef>
              <c:f>Analysis!$JQ$194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Analysis!$JR$193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9"/>
          <c:order val="99"/>
          <c:tx>
            <c:strRef>
              <c:f>Analysis!$JQ$204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Analysis!$JR$203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0"/>
          <c:order val="100"/>
          <c:tx>
            <c:strRef>
              <c:f>Analysis!$JQ$214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1"/>
          <c:order val="101"/>
          <c:tx>
            <c:strRef>
              <c:f>Analysis!$JQ$224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2"/>
          <c:order val="102"/>
          <c:tx>
            <c:strRef>
              <c:f>Analysis!$JQ$234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3"/>
          <c:order val="103"/>
          <c:tx>
            <c:strRef>
              <c:f>Analysis!$JQ$244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Analysis!$JQ$254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08384"/>
        <c:axId val="89008960"/>
      </c:scatterChart>
      <c:valAx>
        <c:axId val="89008384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nextTo"/>
        <c:crossAx val="89008960"/>
        <c:crosses val="autoZero"/>
        <c:crossBetween val="midCat"/>
        <c:majorUnit val="1"/>
      </c:valAx>
      <c:valAx>
        <c:axId val="8900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008384"/>
        <c:crosses val="autoZero"/>
        <c:crossBetween val="midCat"/>
      </c:valAx>
      <c:spPr>
        <a:ln>
          <a:noFill/>
          <a:prstDash val="sysDot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u="none"/>
            </a:pPr>
            <a:r>
              <a:rPr lang="en-US" sz="800" b="0" u="none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 (kg-m)</a:t>
            </a:r>
            <a:r>
              <a:rPr lang="en-US" sz="800" b="0" u="none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    </a:t>
            </a: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BMD</a:t>
            </a:r>
          </a:p>
        </c:rich>
      </c:tx>
      <c:layout>
        <c:manualLayout>
          <c:xMode val="edge"/>
          <c:yMode val="edge"/>
          <c:x val="0.93822672413325769"/>
          <c:y val="0.8553712409382722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6759907407407407E-2"/>
          <c:y val="8.0634920634920712E-2"/>
          <c:w val="0.96792074074074053"/>
          <c:h val="0.83700793650793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Analysis!$IS$17</c:f>
              <c:strCache>
                <c:ptCount val="1"/>
                <c:pt idx="0">
                  <c:v>998.26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Analysis!$IT$13:$IT$17</c:f>
              <c:numCache>
                <c:formatCode>General</c:formatCode>
                <c:ptCount val="5"/>
                <c:pt idx="0">
                  <c:v>0</c:v>
                </c:pt>
                <c:pt idx="1">
                  <c:v>0.51105026601554582</c:v>
                </c:pt>
                <c:pt idx="2">
                  <c:v>1.0221005320310916</c:v>
                </c:pt>
                <c:pt idx="3">
                  <c:v>1.5331507980466375</c:v>
                </c:pt>
                <c:pt idx="4">
                  <c:v>2.0442010640621833</c:v>
                </c:pt>
              </c:numCache>
            </c:numRef>
          </c:xVal>
          <c:yVal>
            <c:numRef>
              <c:f>Analysis!$IS$13:$IS$17</c:f>
              <c:numCache>
                <c:formatCode>0.00</c:formatCode>
                <c:ptCount val="5"/>
                <c:pt idx="0">
                  <c:v>-1993.73</c:v>
                </c:pt>
                <c:pt idx="1">
                  <c:v>-684.73195785052599</c:v>
                </c:pt>
                <c:pt idx="2">
                  <c:v>250.26514248199919</c:v>
                </c:pt>
                <c:pt idx="3">
                  <c:v>811.26340268151489</c:v>
                </c:pt>
                <c:pt idx="4">
                  <c:v>998.26</c:v>
                </c:pt>
              </c:numCache>
            </c:numRef>
          </c:yVal>
          <c:smooth val="1"/>
        </c:ser>
        <c:ser>
          <c:idx val="1"/>
          <c:order val="1"/>
          <c:tx>
            <c:v>UL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(Analysis!$IG$13,Analysis!$IG$22)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Analysis!$IS$13</c:f>
              <c:strCache>
                <c:ptCount val="1"/>
                <c:pt idx="0">
                  <c:v>-1993.73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(Analysis!$JK$13,Analysis!$JK$13)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(Analysis!$IG$13,Analysis!$IS$13)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-1993.73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Analysis!$IS$21</c:f>
              <c:strCache>
                <c:ptCount val="1"/>
                <c:pt idx="0">
                  <c:v>-1740.54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(Analysis!$IT$21,Analysis!$IT$21)</c:f>
              <c:numCache>
                <c:formatCode>General</c:formatCode>
                <c:ptCount val="2"/>
                <c:pt idx="0">
                  <c:v>4.0000000000000009</c:v>
                </c:pt>
                <c:pt idx="1">
                  <c:v>4.0000000000000009</c:v>
                </c:pt>
              </c:numCache>
            </c:numRef>
          </c:xVal>
          <c:yVal>
            <c:numRef>
              <c:f>(Analysis!$IG$22,Analysis!$IS$21)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-1740.54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Analysis!$IS$27</c:f>
              <c:strCache>
                <c:ptCount val="1"/>
                <c:pt idx="0">
                  <c:v>756.27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Analysis!$IT$23:$IT$27</c:f>
              <c:numCache>
                <c:formatCode>General</c:formatCode>
                <c:ptCount val="5"/>
                <c:pt idx="0">
                  <c:v>4</c:v>
                </c:pt>
                <c:pt idx="1">
                  <c:v>4.4668492019533623</c:v>
                </c:pt>
                <c:pt idx="2">
                  <c:v>4.9336984039067246</c:v>
                </c:pt>
                <c:pt idx="3">
                  <c:v>5.400547605860087</c:v>
                </c:pt>
                <c:pt idx="4">
                  <c:v>5.8673968078134502</c:v>
                </c:pt>
              </c:numCache>
            </c:numRef>
          </c:xVal>
          <c:yVal>
            <c:numRef>
              <c:f>Analysis!$IS$23:$IS$27</c:f>
              <c:numCache>
                <c:formatCode>0.00</c:formatCode>
                <c:ptCount val="5"/>
                <c:pt idx="0">
                  <c:v>-1740.5442033678758</c:v>
                </c:pt>
                <c:pt idx="1">
                  <c:v>-648.18793841704473</c:v>
                </c:pt>
                <c:pt idx="2">
                  <c:v>132.06653654783463</c:v>
                </c:pt>
                <c:pt idx="3">
                  <c:v>600.21922152676211</c:v>
                </c:pt>
                <c:pt idx="4">
                  <c:v>756.27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Analysis!$IS$31</c:f>
              <c:strCache>
                <c:ptCount val="1"/>
                <c:pt idx="0">
                  <c:v>-2500.10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(Analysis!$IT$31,Analysis!$IT$31)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(Analysis!$IG$32,Analysis!$IS$31)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-2500.1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Analysis!$IS$37</c:f>
              <c:strCache>
                <c:ptCount val="1"/>
                <c:pt idx="0">
                  <c:v>1725.63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Analysis!$IT$33:$IT$37</c:f>
              <c:numCache>
                <c:formatCode>General</c:formatCode>
                <c:ptCount val="5"/>
                <c:pt idx="0">
                  <c:v>8</c:v>
                </c:pt>
                <c:pt idx="1">
                  <c:v>8.5920564087853677</c:v>
                </c:pt>
                <c:pt idx="2">
                  <c:v>9.1841128175707372</c:v>
                </c:pt>
                <c:pt idx="3">
                  <c:v>9.7761692263561066</c:v>
                </c:pt>
                <c:pt idx="4">
                  <c:v>10.368225635141474</c:v>
                </c:pt>
              </c:numCache>
            </c:numRef>
          </c:xVal>
          <c:yVal>
            <c:numRef>
              <c:f>Analysis!$IS$33:$IS$37</c:f>
              <c:numCache>
                <c:formatCode>0.00</c:formatCode>
                <c:ptCount val="5"/>
                <c:pt idx="0">
                  <c:v>-2500.0952882124352</c:v>
                </c:pt>
                <c:pt idx="1">
                  <c:v>-419.5049234270009</c:v>
                </c:pt>
                <c:pt idx="2">
                  <c:v>1044.2002859716467</c:v>
                </c:pt>
                <c:pt idx="3">
                  <c:v>1555.2741795176676</c:v>
                </c:pt>
                <c:pt idx="4">
                  <c:v>1725.63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Analysis!$IS$41</c:f>
              <c:strCache>
                <c:ptCount val="1"/>
                <c:pt idx="0">
                  <c:v>-2193.43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(Analysis!$IT$41,Analysis!$IT$41)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(Analysis!$IG$42,Analysis!$IS$41)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-2193.4299999999998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Analysis!$IS$47</c:f>
              <c:strCache>
                <c:ptCount val="1"/>
                <c:pt idx="0">
                  <c:v>368.23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Analysis!$IT$43:$IT$47</c:f>
              <c:numCache>
                <c:formatCode>General</c:formatCode>
                <c:ptCount val="5"/>
                <c:pt idx="0">
                  <c:v>12</c:v>
                </c:pt>
                <c:pt idx="1">
                  <c:v>12.573961532736906</c:v>
                </c:pt>
                <c:pt idx="2">
                  <c:v>13.147923065473812</c:v>
                </c:pt>
                <c:pt idx="3">
                  <c:v>13.721884598210716</c:v>
                </c:pt>
                <c:pt idx="4">
                  <c:v>14.295846130947622</c:v>
                </c:pt>
              </c:numCache>
            </c:numRef>
          </c:xVal>
          <c:yVal>
            <c:numRef>
              <c:f>Analysis!$IS$43:$IS$47</c:f>
              <c:numCache>
                <c:formatCode>0.00</c:formatCode>
                <c:ptCount val="5"/>
                <c:pt idx="0">
                  <c:v>-2193.4340187823832</c:v>
                </c:pt>
                <c:pt idx="1">
                  <c:v>-1072.7068954904873</c:v>
                </c:pt>
                <c:pt idx="2">
                  <c:v>-272.18752171056167</c:v>
                </c:pt>
                <c:pt idx="3">
                  <c:v>208.12410255739314</c:v>
                </c:pt>
                <c:pt idx="4">
                  <c:v>368.23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Analysis!$IS$51</c:f>
              <c:strCache>
                <c:ptCount val="1"/>
                <c:pt idx="0">
                  <c:v>-1043.18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(Analysis!$IT$51,Analysis!$IT$51)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(Analysis!$IG$52,Analysis!$IS$51)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-1043.18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Analysis!$IS$57</c:f>
              <c:strCache>
                <c:ptCount val="1"/>
                <c:pt idx="0">
                  <c:v>721.82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Analysis!$IT$53:$IT$57</c:f>
              <c:numCache>
                <c:formatCode>General</c:formatCode>
                <c:ptCount val="5"/>
                <c:pt idx="0">
                  <c:v>16</c:v>
                </c:pt>
                <c:pt idx="1">
                  <c:v>16.476424596648183</c:v>
                </c:pt>
                <c:pt idx="2">
                  <c:v>16.952849193296366</c:v>
                </c:pt>
                <c:pt idx="3">
                  <c:v>17.429273789944549</c:v>
                </c:pt>
                <c:pt idx="4">
                  <c:v>17.905698386592732</c:v>
                </c:pt>
              </c:numCache>
            </c:numRef>
          </c:xVal>
          <c:yVal>
            <c:numRef>
              <c:f>Analysis!$IS$53:$IS$57</c:f>
              <c:numCache>
                <c:formatCode>0.00</c:formatCode>
                <c:ptCount val="5"/>
                <c:pt idx="0">
                  <c:v>-1043.1842616580311</c:v>
                </c:pt>
                <c:pt idx="1">
                  <c:v>-270.9969534747438</c:v>
                </c:pt>
                <c:pt idx="2">
                  <c:v>280.56540951331863</c:v>
                </c:pt>
                <c:pt idx="3">
                  <c:v>611.50282730615572</c:v>
                </c:pt>
                <c:pt idx="4">
                  <c:v>721.82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Analysis!$IS$61</c:f>
              <c:strCache>
                <c:ptCount val="1"/>
                <c:pt idx="0">
                  <c:v>-1409.83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(Analysis!$IT$61,Analysis!$IT$61)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(Analysis!$IG$62,Analysis!$IS$61)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-1409.83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Analysis!$IS$67</c:f>
              <c:strCache>
                <c:ptCount val="1"/>
                <c:pt idx="0">
                  <c:v>695.55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Analysis!$IT$63:$IT$67</c:f>
              <c:numCache>
                <c:formatCode>General</c:formatCode>
                <c:ptCount val="5"/>
                <c:pt idx="0">
                  <c:v>20</c:v>
                </c:pt>
                <c:pt idx="1">
                  <c:v>20.520340080670362</c:v>
                </c:pt>
                <c:pt idx="2">
                  <c:v>21.040680161340727</c:v>
                </c:pt>
                <c:pt idx="3">
                  <c:v>21.561020242011089</c:v>
                </c:pt>
                <c:pt idx="4">
                  <c:v>22.081360322681455</c:v>
                </c:pt>
              </c:numCache>
            </c:numRef>
          </c:xVal>
          <c:yVal>
            <c:numRef>
              <c:f>Analysis!$IS$63:$IS$67</c:f>
              <c:numCache>
                <c:formatCode>0.00</c:formatCode>
                <c:ptCount val="5"/>
                <c:pt idx="0">
                  <c:v>-1409.8289345854923</c:v>
                </c:pt>
                <c:pt idx="1">
                  <c:v>-488.7245085094512</c:v>
                </c:pt>
                <c:pt idx="2">
                  <c:v>169.20722440200666</c:v>
                </c:pt>
                <c:pt idx="3">
                  <c:v>563.96626414888169</c:v>
                </c:pt>
                <c:pt idx="4">
                  <c:v>695.55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Analysis!$IS$71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(Analysis!$IT$71,Analysis!$IT$71)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(Analysis!$IG$72,Analysis!$IS$71)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-1093.5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Analysis!$IS$77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Analysis!$IT$73:$IT$77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Analysis!$IS$73:$IS$77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Analysis!$IS$81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(Analysis!$IT$81,Analysis!$IT$81)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(Analysis!$IG$82,Analysis!$IS$81)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Analysis!$IS$87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Analysis!$IT$83:$IT$87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Analysis!$IS$83:$IS$87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Analysis!$IS$91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(Analysis!$IT$91,Analysis!$IT$91)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(Analysis!$IG$92,Analysis!$IS$91)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Analysis!$IS$97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Analysis!$IT$93:$IT$97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Analysis!$IS$93:$IS$97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Analysis!$IS$101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(Analysis!$IT$101,Analysis!$IT$101)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(Analysis!$IG$102,Analysis!$IS$101)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Analysis!$IS$107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Analysis!$IT$103:$IT$107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Analysis!$IS$103:$IS$107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Analysis!$IS$111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(Analysis!$IT$111,Analysis!$IT$111)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(Analysis!$IG$112,Analysis!$IS$111)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Analysis!$IS$117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Analysis!$IT$113:$IT$117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Analysis!$IS$113:$IS$117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3"/>
          <c:order val="23"/>
          <c:tx>
            <c:strRef>
              <c:f>Analysis!$IS$121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(Analysis!$IT$121,Analysis!$IT$121)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(Analysis!$IG$122,Analysis!$IS$121)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4"/>
          <c:order val="24"/>
          <c:tx>
            <c:strRef>
              <c:f>Analysis!$IS$127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Analysis!$IT$123:$IT$127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Analysis!$IS$123:$IS$127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5"/>
          <c:order val="25"/>
          <c:tx>
            <c:strRef>
              <c:f>Analysis!$IS$131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(Analysis!$IT$131,Analysis!$IT$131)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(Analysis!$IG$132,Analysis!$IS$131)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6"/>
          <c:order val="26"/>
          <c:tx>
            <c:strRef>
              <c:f>Analysis!$IS$137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Analysis!$IT$133:$IT$137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Analysis!$IS$133:$IS$137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7"/>
          <c:order val="27"/>
          <c:tx>
            <c:strRef>
              <c:f>Analysis!$IS$141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(Analysis!$IT$141,Analysis!$IT$141)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(Analysis!$IG$142,Analysis!$IS$141)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8"/>
          <c:order val="28"/>
          <c:tx>
            <c:strRef>
              <c:f>Analysis!$IS$147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Analysis!$IT$143:$IT$147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Analysis!$IS$143:$IS$147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9"/>
          <c:order val="29"/>
          <c:tx>
            <c:strRef>
              <c:f>Analysis!$IS$151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(Analysis!$IT$151,Analysis!$IT$151)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(Analysis!$IG$152,Analysis!$IS$151)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0"/>
          <c:order val="30"/>
          <c:tx>
            <c:strRef>
              <c:f>Analysis!$IS$157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Analysis!$IT$153:$IT$157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Analysis!$IS$153:$IS$157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1"/>
          <c:order val="31"/>
          <c:tx>
            <c:strRef>
              <c:f>Analysis!$IS$161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(Analysis!$IT$161,Analysis!$IT$161)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(Analysis!$IG$162,Analysis!$IS$161)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2"/>
          <c:order val="32"/>
          <c:tx>
            <c:strRef>
              <c:f>Analysis!$IS$167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Analysis!$IT$163:$IT$167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Analysis!$IS$163:$IS$167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3"/>
          <c:order val="33"/>
          <c:tx>
            <c:strRef>
              <c:f>Analysis!$IS$171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(Analysis!$IT$171,Analysis!$IT$171)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(Analysis!$IG$172,Analysis!$IS$171)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4"/>
          <c:order val="34"/>
          <c:tx>
            <c:strRef>
              <c:f>Analysis!$IS$177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Analysis!$IT$173:$IT$177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Analysis!$IS$173:$IS$177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5"/>
          <c:order val="35"/>
          <c:tx>
            <c:strRef>
              <c:f>Analysis!$IS$181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(Analysis!$IT$181,Analysis!$IT$181)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(Analysis!$IG$182,Analysis!$IS$181)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6"/>
          <c:order val="36"/>
          <c:tx>
            <c:strRef>
              <c:f>Analysis!$IS$187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Analysis!$IT$183:$IT$187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Analysis!$IS$183:$IS$187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7"/>
          <c:order val="37"/>
          <c:tx>
            <c:strRef>
              <c:f>Analysis!$IS$191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(Analysis!$IT$191,Analysis!$IT$191)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(Analysis!$IG$192,Analysis!$IS$191)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8"/>
          <c:order val="38"/>
          <c:tx>
            <c:strRef>
              <c:f>Analysis!$IS$197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Analysis!$IT$193:$IT$197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Analysis!$IS$193:$IS$197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9"/>
          <c:order val="39"/>
          <c:tx>
            <c:strRef>
              <c:f>Analysis!$IS$201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(Analysis!$IT$201,Analysis!$IT$201)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(Analysis!$IG$202,Analysis!$IS$201)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0"/>
          <c:order val="40"/>
          <c:tx>
            <c:strRef>
              <c:f>Analysis!$IS$207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Analysis!$IT$203:$IT$207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Analysis!$IS$203:$IS$207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1"/>
          <c:order val="41"/>
          <c:tx>
            <c:strRef>
              <c:f>Analysis!$IS$211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(Analysis!$IT$211,Analysis!$IT$211)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(Analysis!$IG$212,Analysis!$IS$211)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2"/>
          <c:order val="42"/>
          <c:tx>
            <c:strRef>
              <c:f>Analysis!$IS$217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Analysis!$IT$213:$IT$217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Analysis!$IS$213:$IS$217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3"/>
          <c:order val="43"/>
          <c:tx>
            <c:strRef>
              <c:f>Analysis!$IS$221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(Analysis!$IT$221,Analysis!$IT$221)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(Analysis!$IG$222,Analysis!$IS$221)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4"/>
          <c:order val="44"/>
          <c:tx>
            <c:strRef>
              <c:f>Analysis!$IS$227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Analysis!$IT$223:$IT$227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Analysis!$IS$223:$IS$227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5"/>
          <c:order val="45"/>
          <c:tx>
            <c:strRef>
              <c:f>Analysis!$IS$231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(Analysis!$IT$231,Analysis!$IT$231)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(Analysis!$IG$232,Analysis!$IS$231)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6"/>
          <c:order val="46"/>
          <c:tx>
            <c:strRef>
              <c:f>Analysis!$IS$237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Analysis!$IT$233:$IT$237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Analysis!$IS$233:$IS$237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7"/>
          <c:order val="47"/>
          <c:tx>
            <c:strRef>
              <c:f>Analysis!$IS$241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(Analysis!$IT$241,Analysis!$IT$241)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(Analysis!$IG$242,Analysis!$IS$241)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8"/>
          <c:order val="48"/>
          <c:tx>
            <c:strRef>
              <c:f>Analysis!$IS$247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Analysis!$IT$243:$IT$247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Analysis!$IS$243:$IS$247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9"/>
          <c:order val="49"/>
          <c:tx>
            <c:strRef>
              <c:f>Analysis!$IS$251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(Analysis!$IT$251,Analysis!$IT$251)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(Analysis!$IG$252,Analysis!$IS$251)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0"/>
          <c:order val="50"/>
          <c:tx>
            <c:strRef>
              <c:f>Analysis!$IS$257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Analysis!$IT$253:$IT$257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Analysis!$IS$253:$IS$257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1"/>
          <c:order val="51"/>
          <c:tx>
            <c:strRef>
              <c:f>Analysis!$IS$261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(Analysis!$IT$261,Analysis!$IT$261)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(Analysis!$IG$262,Analysis!$IS$261)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2"/>
          <c:order val="52"/>
          <c:tx>
            <c:strRef>
              <c:f>Analysis!$IS$263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Analysis!$IT$263:$IT$271</c:f>
              <c:numCache>
                <c:formatCode>General</c:formatCode>
                <c:ptCount val="9"/>
                <c:pt idx="0">
                  <c:v>24</c:v>
                </c:pt>
                <c:pt idx="1">
                  <c:v>24.1875</c:v>
                </c:pt>
                <c:pt idx="2">
                  <c:v>24.375</c:v>
                </c:pt>
                <c:pt idx="3">
                  <c:v>24.5625</c:v>
                </c:pt>
                <c:pt idx="4">
                  <c:v>24.75</c:v>
                </c:pt>
                <c:pt idx="5">
                  <c:v>24.9375</c:v>
                </c:pt>
                <c:pt idx="6">
                  <c:v>25.125</c:v>
                </c:pt>
                <c:pt idx="7">
                  <c:v>25.3125</c:v>
                </c:pt>
                <c:pt idx="8">
                  <c:v>25.5</c:v>
                </c:pt>
              </c:numCache>
            </c:numRef>
          </c:xVal>
          <c:yVal>
            <c:numRef>
              <c:f>Analysis!$IS$263:$IS$271</c:f>
              <c:numCache>
                <c:formatCode>0.00</c:formatCode>
                <c:ptCount val="9"/>
                <c:pt idx="0">
                  <c:v>-1093.5</c:v>
                </c:pt>
                <c:pt idx="1">
                  <c:v>-837.2109375</c:v>
                </c:pt>
                <c:pt idx="2">
                  <c:v>-615.09375</c:v>
                </c:pt>
                <c:pt idx="3">
                  <c:v>-427.1484375</c:v>
                </c:pt>
                <c:pt idx="4">
                  <c:v>-273.38</c:v>
                </c:pt>
                <c:pt idx="5">
                  <c:v>-153.7734375</c:v>
                </c:pt>
                <c:pt idx="6">
                  <c:v>-68.34375</c:v>
                </c:pt>
                <c:pt idx="7">
                  <c:v>-17.0859375</c:v>
                </c:pt>
                <c:pt idx="8">
                  <c:v>0</c:v>
                </c:pt>
              </c:numCache>
            </c:numRef>
          </c:yVal>
          <c:smooth val="1"/>
        </c:ser>
        <c:ser>
          <c:idx val="53"/>
          <c:order val="53"/>
          <c:tx>
            <c:strRef>
              <c:f>Analysis!$IS$263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(Analysis!$IT$263,Analysis!$IT$263)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(Analysis!$IG$263,Analysis!$IS$263)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-1093.5</c:v>
                </c:pt>
              </c:numCache>
            </c:numRef>
          </c:yVal>
          <c:smooth val="1"/>
        </c:ser>
        <c:ser>
          <c:idx val="54"/>
          <c:order val="54"/>
          <c:tx>
            <c:strRef>
              <c:f>Analysis!$IS$11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Analysis!$IT$3:$IT$11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Analysis!$IS$3:$IS$11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55"/>
          <c:order val="55"/>
          <c:tx>
            <c:strRef>
              <c:f>Analysis!$IS$11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(Analysis!$IT$11,Analysis!$IT$11)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(Analysis!$IG$12,Analysis!$IS$11)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6"/>
          <c:order val="56"/>
          <c:tx>
            <c:strRef>
              <c:f>Analysis!$IS$17</c:f>
              <c:strCache>
                <c:ptCount val="1"/>
                <c:pt idx="0">
                  <c:v>998.26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Analysis!$IT$17:$IT$21</c:f>
              <c:numCache>
                <c:formatCode>General</c:formatCode>
                <c:ptCount val="5"/>
                <c:pt idx="0">
                  <c:v>2.0442010640621833</c:v>
                </c:pt>
                <c:pt idx="1">
                  <c:v>2.5331507980466377</c:v>
                </c:pt>
                <c:pt idx="2">
                  <c:v>3.0221005320310921</c:v>
                </c:pt>
                <c:pt idx="3">
                  <c:v>3.5110502660155465</c:v>
                </c:pt>
                <c:pt idx="4">
                  <c:v>4.0000000000000009</c:v>
                </c:pt>
              </c:numCache>
            </c:numRef>
          </c:xVal>
          <c:yVal>
            <c:numRef>
              <c:f>Analysis!$IS$17:$IS$21</c:f>
              <c:numCache>
                <c:formatCode>0.00</c:formatCode>
                <c:ptCount val="5"/>
                <c:pt idx="0">
                  <c:v>998.26</c:v>
                </c:pt>
                <c:pt idx="1">
                  <c:v>827.08738361577616</c:v>
                </c:pt>
                <c:pt idx="2">
                  <c:v>313.56106621904473</c:v>
                </c:pt>
                <c:pt idx="3">
                  <c:v>-542.31612944217341</c:v>
                </c:pt>
                <c:pt idx="4">
                  <c:v>-1740.54</c:v>
                </c:pt>
              </c:numCache>
            </c:numRef>
          </c:yVal>
          <c:smooth val="1"/>
        </c:ser>
        <c:ser>
          <c:idx val="57"/>
          <c:order val="57"/>
          <c:tx>
            <c:strRef>
              <c:f>Analysis!$IS$27</c:f>
              <c:strCache>
                <c:ptCount val="1"/>
                <c:pt idx="0">
                  <c:v>756.27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Analysis!$IT$27:$IT$31</c:f>
              <c:numCache>
                <c:formatCode>General</c:formatCode>
                <c:ptCount val="5"/>
                <c:pt idx="0">
                  <c:v>5.8673968078134502</c:v>
                </c:pt>
                <c:pt idx="1">
                  <c:v>6.400547605860087</c:v>
                </c:pt>
                <c:pt idx="2">
                  <c:v>6.9336984039067246</c:v>
                </c:pt>
                <c:pt idx="3">
                  <c:v>7.4668492019533623</c:v>
                </c:pt>
                <c:pt idx="4">
                  <c:v>8</c:v>
                </c:pt>
              </c:numCache>
            </c:numRef>
          </c:xVal>
          <c:yVal>
            <c:numRef>
              <c:f>Analysis!$IS$27:$IS$31</c:f>
              <c:numCache>
                <c:formatCode>0.00</c:formatCode>
                <c:ptCount val="5"/>
                <c:pt idx="0">
                  <c:v>756.27</c:v>
                </c:pt>
                <c:pt idx="1">
                  <c:v>552.74727872397739</c:v>
                </c:pt>
                <c:pt idx="2">
                  <c:v>-57.821234663304722</c:v>
                </c:pt>
                <c:pt idx="3">
                  <c:v>-1075.4354236421098</c:v>
                </c:pt>
                <c:pt idx="4">
                  <c:v>-2500.1</c:v>
                </c:pt>
              </c:numCache>
            </c:numRef>
          </c:yVal>
          <c:smooth val="1"/>
        </c:ser>
        <c:ser>
          <c:idx val="58"/>
          <c:order val="58"/>
          <c:tx>
            <c:strRef>
              <c:f>Analysis!$IS$37</c:f>
              <c:strCache>
                <c:ptCount val="1"/>
                <c:pt idx="0">
                  <c:v>1725.63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Analysis!$IT$37:$IT$41</c:f>
              <c:numCache>
                <c:formatCode>General</c:formatCode>
                <c:ptCount val="5"/>
                <c:pt idx="0">
                  <c:v>10.368225635141474</c:v>
                </c:pt>
                <c:pt idx="1">
                  <c:v>10.776169226356107</c:v>
                </c:pt>
                <c:pt idx="2">
                  <c:v>11.184112817570737</c:v>
                </c:pt>
                <c:pt idx="3">
                  <c:v>11.592056408785368</c:v>
                </c:pt>
                <c:pt idx="4">
                  <c:v>12</c:v>
                </c:pt>
              </c:numCache>
            </c:numRef>
          </c:xVal>
          <c:yVal>
            <c:numRef>
              <c:f>Analysis!$IS$37:$IS$41</c:f>
              <c:numCache>
                <c:formatCode>0.00</c:formatCode>
                <c:ptCount val="5"/>
                <c:pt idx="0">
                  <c:v>1725.63</c:v>
                </c:pt>
                <c:pt idx="1">
                  <c:v>1299.541475911913</c:v>
                </c:pt>
                <c:pt idx="2">
                  <c:v>546.9745813657396</c:v>
                </c:pt>
                <c:pt idx="3">
                  <c:v>-505.43519671041281</c:v>
                </c:pt>
                <c:pt idx="4">
                  <c:v>-2193.4299999999998</c:v>
                </c:pt>
              </c:numCache>
            </c:numRef>
          </c:yVal>
          <c:smooth val="1"/>
        </c:ser>
        <c:ser>
          <c:idx val="59"/>
          <c:order val="59"/>
          <c:tx>
            <c:strRef>
              <c:f>Analysis!$IS$47</c:f>
              <c:strCache>
                <c:ptCount val="1"/>
                <c:pt idx="0">
                  <c:v>368.23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Analysis!$IT$47:$IT$51</c:f>
              <c:numCache>
                <c:formatCode>General</c:formatCode>
                <c:ptCount val="5"/>
                <c:pt idx="0">
                  <c:v>14.295846130947622</c:v>
                </c:pt>
                <c:pt idx="1">
                  <c:v>14.721884598210716</c:v>
                </c:pt>
                <c:pt idx="2">
                  <c:v>15.147923065473812</c:v>
                </c:pt>
                <c:pt idx="3">
                  <c:v>15.573961532736906</c:v>
                </c:pt>
                <c:pt idx="4">
                  <c:v>16</c:v>
                </c:pt>
              </c:numCache>
            </c:numRef>
          </c:xVal>
          <c:yVal>
            <c:numRef>
              <c:f>Analysis!$IS$47:$IS$51</c:f>
              <c:numCache>
                <c:formatCode>0.00</c:formatCode>
                <c:ptCount val="5"/>
                <c:pt idx="0">
                  <c:v>368.23</c:v>
                </c:pt>
                <c:pt idx="1">
                  <c:v>280.01471237766509</c:v>
                </c:pt>
                <c:pt idx="2">
                  <c:v>15.374917570526577</c:v>
                </c:pt>
                <c:pt idx="3">
                  <c:v>-425.69140710803867</c:v>
                </c:pt>
                <c:pt idx="4">
                  <c:v>-1043.18</c:v>
                </c:pt>
              </c:numCache>
            </c:numRef>
          </c:yVal>
          <c:smooth val="1"/>
        </c:ser>
        <c:ser>
          <c:idx val="60"/>
          <c:order val="60"/>
          <c:tx>
            <c:strRef>
              <c:f>Analysis!$IS$57</c:f>
              <c:strCache>
                <c:ptCount val="1"/>
                <c:pt idx="0">
                  <c:v>721.82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Analysis!$IT$57:$IT$61</c:f>
              <c:numCache>
                <c:formatCode>General</c:formatCode>
                <c:ptCount val="5"/>
                <c:pt idx="0">
                  <c:v>17.905698386592732</c:v>
                </c:pt>
                <c:pt idx="1">
                  <c:v>18.429273789944549</c:v>
                </c:pt>
                <c:pt idx="2">
                  <c:v>18.952849193296366</c:v>
                </c:pt>
                <c:pt idx="3">
                  <c:v>19.476424596648183</c:v>
                </c:pt>
                <c:pt idx="4">
                  <c:v>20</c:v>
                </c:pt>
              </c:numCache>
            </c:numRef>
          </c:xVal>
          <c:yVal>
            <c:numRef>
              <c:f>Analysis!$IS$57:$IS$61</c:f>
              <c:numCache>
                <c:formatCode>0.00</c:formatCode>
                <c:ptCount val="5"/>
                <c:pt idx="0">
                  <c:v>721.82</c:v>
                </c:pt>
                <c:pt idx="1">
                  <c:v>588.5875352481894</c:v>
                </c:pt>
                <c:pt idx="2">
                  <c:v>188.90424128145378</c:v>
                </c:pt>
                <c:pt idx="3">
                  <c:v>-477.23458199643983</c:v>
                </c:pt>
                <c:pt idx="4">
                  <c:v>-1409.83</c:v>
                </c:pt>
              </c:numCache>
            </c:numRef>
          </c:yVal>
          <c:smooth val="1"/>
        </c:ser>
        <c:ser>
          <c:idx val="61"/>
          <c:order val="61"/>
          <c:tx>
            <c:strRef>
              <c:f>Analysis!$IS$67</c:f>
              <c:strCache>
                <c:ptCount val="1"/>
                <c:pt idx="0">
                  <c:v>695.55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Analysis!$IT$67:$IT$71</c:f>
              <c:numCache>
                <c:formatCode>General</c:formatCode>
                <c:ptCount val="5"/>
                <c:pt idx="0">
                  <c:v>22.081360322681455</c:v>
                </c:pt>
                <c:pt idx="1">
                  <c:v>22.561020242011089</c:v>
                </c:pt>
                <c:pt idx="2">
                  <c:v>23.040680161340727</c:v>
                </c:pt>
                <c:pt idx="3">
                  <c:v>23.520340080670366</c:v>
                </c:pt>
                <c:pt idx="4">
                  <c:v>24</c:v>
                </c:pt>
              </c:numCache>
            </c:numRef>
          </c:xVal>
          <c:yVal>
            <c:numRef>
              <c:f>Analysis!$IS$67:$IS$71</c:f>
              <c:numCache>
                <c:formatCode>0.00</c:formatCode>
                <c:ptCount val="5"/>
                <c:pt idx="0">
                  <c:v>695.55</c:v>
                </c:pt>
                <c:pt idx="1">
                  <c:v>583.73682256047459</c:v>
                </c:pt>
                <c:pt idx="2">
                  <c:v>248.2894580483794</c:v>
                </c:pt>
                <c:pt idx="3">
                  <c:v>-310.78948280511258</c:v>
                </c:pt>
                <c:pt idx="4">
                  <c:v>-1093.5</c:v>
                </c:pt>
              </c:numCache>
            </c:numRef>
          </c:yVal>
          <c:smooth val="1"/>
        </c:ser>
        <c:ser>
          <c:idx val="62"/>
          <c:order val="62"/>
          <c:tx>
            <c:strRef>
              <c:f>Analysis!$IS$77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Analysis!$IT$77:$IT$81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Analysis!$IS$77:$IS$81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3"/>
          <c:order val="63"/>
          <c:tx>
            <c:strRef>
              <c:f>Analysis!$IS$87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Analysis!$IT$87:$IT$91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Analysis!$IS$87:$IS$91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4"/>
          <c:order val="64"/>
          <c:tx>
            <c:strRef>
              <c:f>Analysis!$IS$97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Analysis!$IT$97:$IT$101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Analysis!$IS$97:$IS$101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5"/>
          <c:order val="65"/>
          <c:tx>
            <c:strRef>
              <c:f>Analysis!$IS$107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Analysis!$IT$107:$IT$111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Analysis!$IS$107:$IS$111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6"/>
          <c:order val="66"/>
          <c:tx>
            <c:strRef>
              <c:f>Analysis!$IS$117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Analysis!$IT$117:$IT$121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Analysis!$IS$117:$IS$121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7"/>
          <c:order val="67"/>
          <c:tx>
            <c:strRef>
              <c:f>Analysis!$IS$127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Analysis!$IT$127:$IT$131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Analysis!$IS$127:$IS$131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8"/>
          <c:order val="68"/>
          <c:tx>
            <c:strRef>
              <c:f>Analysis!$IS$137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Analysis!$IT$137:$IT$141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Analysis!$IS$137:$IS$141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9"/>
          <c:order val="69"/>
          <c:tx>
            <c:strRef>
              <c:f>Analysis!$IS$147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Analysis!$IT$147:$IT$151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Analysis!$IS$147:$IS$151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0"/>
          <c:order val="70"/>
          <c:tx>
            <c:strRef>
              <c:f>Analysis!$IS$157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Analysis!$IT$157:$IT$161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Analysis!$IS$157:$IS$161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1"/>
          <c:order val="71"/>
          <c:tx>
            <c:strRef>
              <c:f>Analysis!$IS$167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Analysis!$IT$167:$IT$171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Analysis!$IS$167:$IS$171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2"/>
          <c:order val="72"/>
          <c:tx>
            <c:strRef>
              <c:f>Analysis!$IS$177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Analysis!$IT$177:$IT$181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Analysis!$IS$177:$IS$181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3"/>
          <c:order val="73"/>
          <c:tx>
            <c:strRef>
              <c:f>Analysis!$IS$187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Analysis!$IT$187:$IT$191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Analysis!$IS$187:$IS$191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4"/>
          <c:order val="74"/>
          <c:tx>
            <c:strRef>
              <c:f>Analysis!$IS$197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Analysis!$IT$197:$IT$201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Analysis!$IS$197:$IS$201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5"/>
          <c:order val="75"/>
          <c:tx>
            <c:strRef>
              <c:f>Analysis!$IS$207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Analysis!$IT$207:$IT$211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Analysis!$IS$207:$IS$211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6"/>
          <c:order val="76"/>
          <c:tx>
            <c:strRef>
              <c:f>Analysis!$IS$217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Analysis!$IT$217:$IT$221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Analysis!$IS$217:$IS$221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7"/>
          <c:order val="77"/>
          <c:tx>
            <c:strRef>
              <c:f>Analysis!$IS$227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Analysis!$IT$227:$IT$231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Analysis!$IS$227:$IS$231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8"/>
          <c:order val="78"/>
          <c:tx>
            <c:strRef>
              <c:f>Analysis!$IS$237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Analysis!$IT$237:$IT$241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Analysis!$IS$237:$IS$241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9"/>
          <c:order val="79"/>
          <c:tx>
            <c:strRef>
              <c:f>Analysis!$IS$247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Analysis!$IT$247:$IT$251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Analysis!$IS$247:$IS$251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80"/>
          <c:order val="80"/>
          <c:tx>
            <c:strRef>
              <c:f>Analysis!$IS$257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Analysis!$IT$257:$IT$261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Analysis!$IS$257:$IS$261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81"/>
          <c:order val="8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Analysis!$JK$17</c:f>
              <c:numCache>
                <c:formatCode>General</c:formatCode>
                <c:ptCount val="1"/>
                <c:pt idx="0">
                  <c:v>2.0442010640621833</c:v>
                </c:pt>
              </c:numCache>
            </c:numRef>
          </c:xVal>
          <c:yVal>
            <c:numRef>
              <c:f>Analysis!$JL$17</c:f>
              <c:numCache>
                <c:formatCode>0.00</c:formatCode>
                <c:ptCount val="1"/>
                <c:pt idx="0">
                  <c:v>998.26</c:v>
                </c:pt>
              </c:numCache>
            </c:numRef>
          </c:yVal>
          <c:smooth val="1"/>
        </c:ser>
        <c:ser>
          <c:idx val="83"/>
          <c:order val="82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Analysis!$JK$27</c:f>
              <c:numCache>
                <c:formatCode>General</c:formatCode>
                <c:ptCount val="1"/>
                <c:pt idx="0">
                  <c:v>5.8673968078134502</c:v>
                </c:pt>
              </c:numCache>
            </c:numRef>
          </c:xVal>
          <c:yVal>
            <c:numRef>
              <c:f>Analysis!$JL$27</c:f>
              <c:numCache>
                <c:formatCode>0.00</c:formatCode>
                <c:ptCount val="1"/>
                <c:pt idx="0">
                  <c:v>756.27</c:v>
                </c:pt>
              </c:numCache>
            </c:numRef>
          </c:yVal>
          <c:smooth val="1"/>
        </c:ser>
        <c:ser>
          <c:idx val="82"/>
          <c:order val="8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Analysis!$JL$23</c:f>
              <c:numCache>
                <c:formatCode>0.00</c:formatCode>
                <c:ptCount val="1"/>
                <c:pt idx="0">
                  <c:v>-1740.5442033678758</c:v>
                </c:pt>
              </c:numCache>
            </c:numRef>
          </c:yVal>
          <c:smooth val="1"/>
        </c:ser>
        <c:ser>
          <c:idx val="84"/>
          <c:order val="8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Analysis!$JK$33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Analysis!$JL$33</c:f>
              <c:numCache>
                <c:formatCode>0.00</c:formatCode>
                <c:ptCount val="1"/>
                <c:pt idx="0">
                  <c:v>-2500.0952882124352</c:v>
                </c:pt>
              </c:numCache>
            </c:numRef>
          </c:yVal>
          <c:smooth val="1"/>
        </c:ser>
        <c:ser>
          <c:idx val="85"/>
          <c:order val="8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Analysis!$JK$37</c:f>
              <c:numCache>
                <c:formatCode>General</c:formatCode>
                <c:ptCount val="1"/>
                <c:pt idx="0">
                  <c:v>10.368225635141474</c:v>
                </c:pt>
              </c:numCache>
            </c:numRef>
          </c:xVal>
          <c:yVal>
            <c:numRef>
              <c:f>Analysis!$JL$37</c:f>
              <c:numCache>
                <c:formatCode>0.00</c:formatCode>
                <c:ptCount val="1"/>
                <c:pt idx="0">
                  <c:v>1725.63</c:v>
                </c:pt>
              </c:numCache>
            </c:numRef>
          </c:yVal>
          <c:smooth val="1"/>
        </c:ser>
        <c:ser>
          <c:idx val="86"/>
          <c:order val="8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Analysis!$JK$43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Analysis!$JL$43</c:f>
              <c:numCache>
                <c:formatCode>0.00</c:formatCode>
                <c:ptCount val="1"/>
                <c:pt idx="0">
                  <c:v>-2193.4340187823832</c:v>
                </c:pt>
              </c:numCache>
            </c:numRef>
          </c:yVal>
          <c:smooth val="1"/>
        </c:ser>
        <c:ser>
          <c:idx val="87"/>
          <c:order val="8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Analysis!$JK$47</c:f>
              <c:numCache>
                <c:formatCode>General</c:formatCode>
                <c:ptCount val="1"/>
                <c:pt idx="0">
                  <c:v>14.295846130947622</c:v>
                </c:pt>
              </c:numCache>
            </c:numRef>
          </c:xVal>
          <c:yVal>
            <c:numRef>
              <c:f>Analysis!$JL$47</c:f>
              <c:numCache>
                <c:formatCode>0.00</c:formatCode>
                <c:ptCount val="1"/>
                <c:pt idx="0">
                  <c:v>368.23</c:v>
                </c:pt>
              </c:numCache>
            </c:numRef>
          </c:yVal>
          <c:smooth val="1"/>
        </c:ser>
        <c:ser>
          <c:idx val="88"/>
          <c:order val="8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Analysis!$JK$53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Analysis!$JL$53</c:f>
              <c:numCache>
                <c:formatCode>0.00</c:formatCode>
                <c:ptCount val="1"/>
                <c:pt idx="0">
                  <c:v>-1043.1842616580311</c:v>
                </c:pt>
              </c:numCache>
            </c:numRef>
          </c:yVal>
          <c:smooth val="1"/>
        </c:ser>
        <c:ser>
          <c:idx val="89"/>
          <c:order val="8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Analysis!$JK$57</c:f>
              <c:numCache>
                <c:formatCode>General</c:formatCode>
                <c:ptCount val="1"/>
                <c:pt idx="0">
                  <c:v>17.905698386592732</c:v>
                </c:pt>
              </c:numCache>
            </c:numRef>
          </c:xVal>
          <c:yVal>
            <c:numRef>
              <c:f>Analysis!$JL$57</c:f>
              <c:numCache>
                <c:formatCode>0.00</c:formatCode>
                <c:ptCount val="1"/>
                <c:pt idx="0">
                  <c:v>721.82</c:v>
                </c:pt>
              </c:numCache>
            </c:numRef>
          </c:yVal>
          <c:smooth val="1"/>
        </c:ser>
        <c:ser>
          <c:idx val="90"/>
          <c:order val="9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Analysis!$JK$63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Analysis!$JL$63</c:f>
              <c:numCache>
                <c:formatCode>0.00</c:formatCode>
                <c:ptCount val="1"/>
                <c:pt idx="0">
                  <c:v>-1409.8289345854923</c:v>
                </c:pt>
              </c:numCache>
            </c:numRef>
          </c:yVal>
          <c:smooth val="1"/>
        </c:ser>
        <c:ser>
          <c:idx val="91"/>
          <c:order val="9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Analysis!$JK$67</c:f>
              <c:numCache>
                <c:formatCode>General</c:formatCode>
                <c:ptCount val="1"/>
                <c:pt idx="0">
                  <c:v>22.081360322681455</c:v>
                </c:pt>
              </c:numCache>
            </c:numRef>
          </c:xVal>
          <c:yVal>
            <c:numRef>
              <c:f>Analysis!$JL$67</c:f>
              <c:numCache>
                <c:formatCode>0.00</c:formatCode>
                <c:ptCount val="1"/>
                <c:pt idx="0">
                  <c:v>695.55</c:v>
                </c:pt>
              </c:numCache>
            </c:numRef>
          </c:yVal>
          <c:smooth val="1"/>
        </c:ser>
        <c:ser>
          <c:idx val="92"/>
          <c:order val="9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Analysis!$JK$73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3"/>
          <c:order val="9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Analysis!$JK$77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4"/>
          <c:order val="9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Analysis!$JK$83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5"/>
          <c:order val="9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Analysis!$JK$87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6"/>
          <c:order val="9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Analysis!$JK$93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7"/>
          <c:order val="9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Analysis!$JK$97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8"/>
          <c:order val="9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Analysis!$JK$103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9"/>
          <c:order val="9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Analysis!$JK$107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0"/>
          <c:order val="10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1"/>
          <c:order val="10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Analysis!$JK$117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2"/>
          <c:order val="10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Analysis!$JK$123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3"/>
          <c:order val="10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Analysis!$JK$127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4"/>
          <c:order val="10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5"/>
          <c:order val="10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Analysis!$JK$137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6"/>
          <c:order val="10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Analysis!$JK$143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7"/>
          <c:order val="10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Analysis!$JK$147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8"/>
          <c:order val="10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Analysis!$JK$153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9"/>
          <c:order val="10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Analysis!$JK$157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0"/>
          <c:order val="11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1"/>
          <c:order val="11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Analysis!$JK$167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2"/>
          <c:order val="11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Analysis!$JK$173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3"/>
          <c:order val="11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Analysis!$JK$177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4"/>
          <c:order val="11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Analysis!$JK$183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5"/>
          <c:order val="11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Analysis!$JK$187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6"/>
          <c:order val="11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Analysis!$JK$193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7"/>
          <c:order val="11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Analysis!$JK$197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8"/>
          <c:order val="11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Analysis!$JK$203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9"/>
          <c:order val="11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Analysis!$JK$207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0"/>
          <c:order val="12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1"/>
          <c:order val="12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Analysis!$JK$217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2"/>
          <c:order val="12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Analysis!$JK$223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3"/>
          <c:order val="12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Analysis!$JK$227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4"/>
          <c:order val="12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5"/>
          <c:order val="12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Analysis!$JK$237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6"/>
          <c:order val="12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Analysis!$JK$243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7"/>
          <c:order val="12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Analysis!$JK$247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8"/>
          <c:order val="12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Analysis!$JK$253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9"/>
          <c:order val="12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Analysis!$JK$257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0"/>
          <c:order val="13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Analysis!$JL$13</c:f>
              <c:numCache>
                <c:formatCode>0.00</c:formatCode>
                <c:ptCount val="1"/>
                <c:pt idx="0">
                  <c:v>-1993.73</c:v>
                </c:pt>
              </c:numCache>
            </c:numRef>
          </c:yVal>
          <c:smooth val="1"/>
        </c:ser>
        <c:ser>
          <c:idx val="131"/>
          <c:order val="13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2"/>
          <c:order val="13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Analysis!$JL$261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3"/>
          <c:order val="13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4"/>
          <c:order val="13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5"/>
          <c:order val="13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6"/>
          <c:order val="13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7"/>
          <c:order val="13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8"/>
          <c:order val="13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9"/>
          <c:order val="13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0"/>
          <c:order val="14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1"/>
          <c:order val="14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2"/>
          <c:order val="14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3"/>
          <c:order val="14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4"/>
          <c:order val="14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5"/>
          <c:order val="14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6"/>
          <c:order val="14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7"/>
          <c:order val="14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8"/>
          <c:order val="14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9"/>
          <c:order val="14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50"/>
          <c:order val="15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51"/>
          <c:order val="15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Analysis!$JL$71</c:f>
              <c:numCache>
                <c:formatCode>0.00</c:formatCode>
                <c:ptCount val="1"/>
                <c:pt idx="0">
                  <c:v>-1093.5</c:v>
                </c:pt>
              </c:numCache>
            </c:numRef>
          </c:yVal>
          <c:smooth val="1"/>
        </c:ser>
        <c:ser>
          <c:idx val="152"/>
          <c:order val="15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Analysis!$JL$61</c:f>
              <c:numCache>
                <c:formatCode>0.00</c:formatCode>
                <c:ptCount val="1"/>
                <c:pt idx="0">
                  <c:v>-1409.83</c:v>
                </c:pt>
              </c:numCache>
            </c:numRef>
          </c:yVal>
          <c:smooth val="1"/>
        </c:ser>
        <c:ser>
          <c:idx val="153"/>
          <c:order val="15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Analysis!$JL$51</c:f>
              <c:numCache>
                <c:formatCode>0.00</c:formatCode>
                <c:ptCount val="1"/>
                <c:pt idx="0">
                  <c:v>-1043.18</c:v>
                </c:pt>
              </c:numCache>
            </c:numRef>
          </c:yVal>
          <c:smooth val="1"/>
        </c:ser>
        <c:ser>
          <c:idx val="154"/>
          <c:order val="15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Analysis!$JL$41</c:f>
              <c:numCache>
                <c:formatCode>0.00</c:formatCode>
                <c:ptCount val="1"/>
                <c:pt idx="0">
                  <c:v>-2193.4299999999998</c:v>
                </c:pt>
              </c:numCache>
            </c:numRef>
          </c:yVal>
          <c:smooth val="1"/>
        </c:ser>
        <c:ser>
          <c:idx val="155"/>
          <c:order val="15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Analysis!$JL$31</c:f>
              <c:numCache>
                <c:formatCode>0.00</c:formatCode>
                <c:ptCount val="1"/>
                <c:pt idx="0">
                  <c:v>-2500.1</c:v>
                </c:pt>
              </c:numCache>
            </c:numRef>
          </c:yVal>
          <c:smooth val="1"/>
        </c:ser>
        <c:ser>
          <c:idx val="156"/>
          <c:order val="15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</c:f>
              <c:numCache>
                <c:formatCode>0.00</c:formatCode>
                <c:ptCount val="1"/>
                <c:pt idx="0">
                  <c:v>-1740.54</c:v>
                </c:pt>
              </c:numCache>
            </c:numRef>
          </c:yVal>
          <c:smooth val="1"/>
        </c:ser>
        <c:ser>
          <c:idx val="157"/>
          <c:order val="15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Analysis!$JK$263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Analysis!$JL$263</c:f>
              <c:numCache>
                <c:formatCode>0.00</c:formatCode>
                <c:ptCount val="1"/>
                <c:pt idx="0">
                  <c:v>-1093.5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11264"/>
        <c:axId val="89011840"/>
      </c:scatterChart>
      <c:valAx>
        <c:axId val="89011264"/>
        <c:scaling>
          <c:orientation val="minMax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89011840"/>
        <c:crosses val="autoZero"/>
        <c:crossBetween val="midCat"/>
        <c:majorUnit val="1"/>
      </c:valAx>
      <c:valAx>
        <c:axId val="890118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9011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u="sng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FBD</a:t>
            </a:r>
          </a:p>
        </c:rich>
      </c:tx>
      <c:layout>
        <c:manualLayout>
          <c:xMode val="edge"/>
          <c:yMode val="edge"/>
          <c:x val="0.97581770293669101"/>
          <c:y val="0.855371240938272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2"/>
          <c:order val="0"/>
          <c:tx>
            <c:v>UL</c:v>
          </c:tx>
          <c:spPr>
            <a:ln w="44450" cap="flat">
              <a:gradFill flip="none" rotWithShape="1">
                <a:gsLst>
                  <a:gs pos="0">
                    <a:schemeClr val="bg1">
                      <a:lumMod val="65000"/>
                    </a:schemeClr>
                  </a:gs>
                  <a:gs pos="49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tx1"/>
                  </a:gs>
                </a:gsLst>
                <a:lin ang="5400000" scaled="1"/>
                <a:tileRect/>
              </a:gradFill>
            </a:ln>
            <a:effectLst>
              <a:glow>
                <a:schemeClr val="tx1"/>
              </a:glow>
              <a:outerShdw blurRad="50800" dist="38100" dir="2700000" algn="tl" rotWithShape="0">
                <a:schemeClr val="tx1">
                  <a:alpha val="40000"/>
                </a:schemeClr>
              </a:outerShdw>
              <a:softEdge rad="0"/>
            </a:effectLst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numFmt formatCode="#,##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(Analysis!$IG$3,Analysis!$IG$272)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Analysis!$IV$19</c:f>
              <c:strCache>
                <c:ptCount val="1"/>
                <c:pt idx="0">
                  <c:v>1432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w="sm" len="sm"/>
            </a:ln>
          </c:spPr>
          <c:marker>
            <c:symbol val="none"/>
          </c:marker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numFmt formatCode="General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Analysis!$IV$13:$IV$17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Analysis!$IW$13:$IW$17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Analysis!$IV$29</c:f>
              <c:strCache>
                <c:ptCount val="1"/>
                <c:pt idx="0">
                  <c:v>1432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none"/>
              <a:tailEnd type="none" w="sm" len="sm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008000"/>
                </a:solidFill>
                <a:headEnd type="none" w="med" len="sm"/>
                <a:tailEnd type="none"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Analysis!$IV$23:$IV$27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Analysis!$IW$23:$IW$27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Analysis!$IV$39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Analysis!$IV$33:$IV$37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</c:numCache>
            </c:numRef>
          </c:xVal>
          <c:yVal>
            <c:numRef>
              <c:f>Analysis!$IW$33:$IW$37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Analysis!$IV$49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Analysis!$IV$43:$IV$47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Analysis!$IW$43:$IW$47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Analysis!$IV$59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Analysis!$IV$53:$IV$57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Analysis!$IW$53:$IW$57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Analysis!$IV$69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Analysis!$IV$63:$IV$67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</c:numCache>
            </c:numRef>
          </c:xVal>
          <c:yVal>
            <c:numRef>
              <c:f>Analysis!$IW$63:$IW$67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Analysis!$IV$79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Analysis!$IV$73:$IV$77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Analysis!$IW$73:$IW$77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Analysis!$IV$89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Analysis!$IV$83:$IV$87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Analysis!$IW$83:$IW$87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Analysis!$IV$99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Analysis!$IV$93:$IV$97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Analysis!$IW$93:$IW$97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Analysis!$IV$109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Analysis!$IV$103:$IV$107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Analysis!$IW$103:$IW$107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Analysis!$IV$119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Analysis!$IV$113:$IV$117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Analysis!$IW$113:$IW$117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Analysis!$IV$129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Analysis!$IV$123:$IV$127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Analysis!$IW$123:$IW$127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Analysis!$IV$139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Analysis!$IV$133:$IV$137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Analysis!$IW$133:$IW$137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Analysis!$IV$149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Analysis!$IV$143:$IV$147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Analysis!$IW$143:$IW$147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Analysis!$IV$159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Analysis!$IV$153:$IV$157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Analysis!$IW$153:$IW$157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Analysis!$IV$169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Analysis!$IV$163:$IV$167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Analysis!$IW$163:$IW$167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Analysis!$IV$179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Analysis!$IV$173:$IV$177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Analysis!$IW$173:$IW$177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Analysis!$IV$189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Analysis!$IV$183:$IV$187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Analysis!$IW$183:$IW$187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Analysis!$IV$199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Analysis!$IV$193:$IV$197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Analysis!$IW$193:$IW$197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Analysis!$IV$209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Analysis!$IV$203:$IV$207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Analysis!$IW$203:$IW$207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Analysis!$IV$219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Analysis!$IV$213:$IV$217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Analysis!$IW$213:$IW$217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Analysis!$IV$229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Analysis!$IV$223:$IV$227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Analysis!$IW$223:$IW$227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Analysis!$IV$239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Analysis!$IV$233:$IV$237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Analysis!$IW$233:$IW$237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Analysis!$IV$249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Analysis!$IV$243:$IV$247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Analysis!$IW$243:$IW$247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Analysis!$IV$259</c:f>
              <c:strCache>
                <c:ptCount val="1"/>
              </c:strCache>
            </c:strRef>
          </c:tx>
          <c:spPr>
            <a:ln w="19050" cap="rnd">
              <a:solidFill>
                <a:srgbClr val="008000"/>
              </a:solidFill>
              <a:round/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 cap="rnd">
                <a:solidFill>
                  <a:srgbClr val="008000"/>
                </a:solidFill>
                <a:round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Analysis!$IV$253:$IV$257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Analysis!$IW$253:$IW$257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Analysis!$IV$269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w="sm" len="sm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008000"/>
                </a:solidFill>
                <a:headEnd type="arrow" w="sm" len="sm"/>
                <a:tailEnd type="arrow" w="sm" len="sm"/>
              </a:ln>
            </c:spPr>
          </c:dPt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Analysis!$IV$9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type="arrow" w="sm" len="sm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008000"/>
                </a:solidFill>
                <a:headEnd type="arrow" w="sm" len="sm"/>
                <a:tailEnd type="none" w="sm" len="sm"/>
              </a:ln>
            </c:spPr>
          </c:dPt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none"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none"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Analysis!$IY$15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  <a:tailEnd type="none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 rot="0" vert="horz"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Analysis!$IY$13:$IY$14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Analysis!$IZ$13:$IZ$14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Analysis!$IY$18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Analysis!$IY$16:$IY$17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Analysis!$IZ$16:$IZ$17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Analysis!$IY$21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Analysis!$IY$19:$IY$20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Analysis!$IZ$19:$IZ$20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Analysis!$IY$25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Analysis!$IY$23:$IY$24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Analysis!$IZ$23:$IZ$24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Analysis!$IY$28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Analysis!$IY$26:$IY$27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Analysis!$IZ$26:$IZ$27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Analysis!$IY$31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Analysis!$IY$29:$IY$30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Analysis!$IZ$29:$IZ$30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Analysis!$IY$35</c:f>
              <c:strCache>
                <c:ptCount val="1"/>
                <c:pt idx="0">
                  <c:v>1500 kg</c:v>
                </c:pt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Analysis!$IY$33:$IY$34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Analysis!$IZ$33:$IZ$34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Analysis!$IY$38</c:f>
              <c:strCache>
                <c:ptCount val="1"/>
                <c:pt idx="0">
                  <c:v>1250 kg</c:v>
                </c:pt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Analysis!$IY$36:$IY$37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Analysis!$IZ$36:$IZ$37</c:f>
              <c:numCache>
                <c:formatCode>General</c:formatCode>
                <c:ptCount val="2"/>
                <c:pt idx="0">
                  <c:v>0</c:v>
                </c:pt>
                <c:pt idx="1">
                  <c:v>62.5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Analysis!$IY$41</c:f>
              <c:strCache>
                <c:ptCount val="1"/>
                <c:pt idx="0">
                  <c:v>1500 kg</c:v>
                </c:pt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Analysis!$IY$39:$IY$40</c:f>
              <c:numCache>
                <c:formatCode>General</c:formatCode>
                <c:ptCount val="2"/>
                <c:pt idx="0">
                  <c:v>11.5</c:v>
                </c:pt>
                <c:pt idx="1">
                  <c:v>11.5</c:v>
                </c:pt>
              </c:numCache>
            </c:numRef>
          </c:xVal>
          <c:yVal>
            <c:numRef>
              <c:f>Analysis!$IZ$39:$IZ$40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Analysis!$IY$45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Analysis!$IY$43:$IY$44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Analysis!$IZ$43:$IZ$44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Analysis!$IY$48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Analysis!$IY$46:$IY$47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Analysis!$IZ$46:$IZ$47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Analysis!$IY$51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Analysis!$IY$49:$IY$50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Analysis!$IZ$49:$IZ$50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Analysis!$IY$55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Analysis!$IY$53:$IY$54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Analysis!$IZ$53:$IZ$54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Analysis!$IY$58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Analysis!$IY$56:$IY$57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Analysis!$IZ$56:$IZ$57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Analysis!$IY$61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Analysis!$IY$59:$IY$60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Analysis!$IZ$59:$IZ$60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Analysis!$IY$65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Analysis!$IY$63:$IY$64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Analysis!$IZ$63:$IZ$64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Analysis!$IY$68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Analysis!$IY$66:$IY$67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Analysis!$IZ$66:$IZ$67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Analysis!$IY$71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Analysis!$IY$69:$IY$70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Analysis!$IZ$69:$IZ$70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Analysis!$IY$75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Analysis!$IY$73:$IY$74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Analysis!$IZ$73:$IZ$74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Analysis!$IY$78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Analysis!$IY$76:$IY$77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Analysis!$IZ$76:$IZ$77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Analysis!$IY$81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Analysis!$IY$79:$IY$80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Analysis!$IZ$79:$IZ$80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Analysis!$IY$85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Analysis!$IY$83:$IY$84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Analysis!$IZ$83:$IZ$84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Analysis!$IY$88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Analysis!$IY$86:$IY$87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Analysis!$IZ$86:$IZ$87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Analysis!$IY$91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Analysis!$IY$89:$IY$90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Analysis!$IZ$89:$IZ$90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Analysis!$IY$95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Analysis!$IY$93:$IY$94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Analysis!$IZ$93:$IZ$94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Analysis!$IY$98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Analysis!$IY$96:$IY$97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Analysis!$IZ$96:$IZ$97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Analysis!$IY$101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Analysis!$IY$99:$IY$100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Analysis!$IZ$99:$IZ$100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Analysis!$IY$105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Analysis!$IY$103:$IY$104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Analysis!$IZ$103:$IZ$104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Analysis!$IY$108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Analysis!$IY$106:$IY$107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Analysis!$IZ$106:$IZ$107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Analysis!$IY$111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Analysis!$IY$109:$IY$110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Analysis!$IZ$109:$IZ$110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Analysis!$IY$125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Analysis!$IY$123:$IY$124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Analysis!$IZ$123:$IZ$124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Analysis!$IY$128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Analysis!$IY$126:$IY$127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Analysis!$IZ$126:$IZ$127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Analysis!$IY$131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Analysis!$IY$129:$IY$130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Analysis!$IZ$129:$IZ$130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Analysis!$IY$115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Analysis!$IY$113:$IY$114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Analysis!$IZ$113:$IZ$114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2"/>
          <c:order val="62"/>
          <c:tx>
            <c:strRef>
              <c:f>Analysis!$IY$118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Analysis!$IY$116:$IY$117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Analysis!$IZ$116:$IZ$117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3"/>
          <c:order val="63"/>
          <c:tx>
            <c:strRef>
              <c:f>Analysis!$IY$121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Analysis!$IY$119:$IY$120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Analysis!$IZ$119:$IZ$120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4"/>
          <c:order val="64"/>
          <c:tx>
            <c:strRef>
              <c:f>Analysis!$IY$135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Analysis!$IY$133:$IY$134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Analysis!$IZ$133:$IZ$134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5"/>
          <c:order val="65"/>
          <c:tx>
            <c:strRef>
              <c:f>Analysis!$IY$138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Analysis!$IY$136:$IY$137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Analysis!$IZ$136:$IZ$137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6"/>
          <c:order val="66"/>
          <c:tx>
            <c:strRef>
              <c:f>Analysis!$IY$141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Analysis!$IY$139:$IY$140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Analysis!$IZ$139:$IZ$140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7"/>
          <c:order val="67"/>
          <c:tx>
            <c:strRef>
              <c:f>Analysis!$IY$145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Analysis!$IY$143:$IY$144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Analysis!$IZ$143:$IZ$144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8"/>
          <c:order val="68"/>
          <c:tx>
            <c:strRef>
              <c:f>Analysis!$IY$148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Analysis!$IY$146:$IY$147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Analysis!$IZ$146:$IZ$147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9"/>
          <c:order val="69"/>
          <c:tx>
            <c:strRef>
              <c:f>Analysis!$IY$151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Analysis!$IY$149:$IY$150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Analysis!$IZ$149:$IZ$150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0"/>
          <c:order val="70"/>
          <c:tx>
            <c:strRef>
              <c:f>Analysis!$IY$155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Analysis!$IY$153:$IY$154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Analysis!$IZ$153:$IZ$154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1"/>
          <c:order val="71"/>
          <c:tx>
            <c:strRef>
              <c:f>Analysis!$IY$158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Analysis!$IY$156:$IY$157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Analysis!$IZ$156:$IZ$157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2"/>
          <c:order val="72"/>
          <c:tx>
            <c:strRef>
              <c:f>Analysis!$IY$161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Analysis!$IY$159:$IY$160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Analysis!$IZ$159:$IZ$160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3"/>
          <c:order val="73"/>
          <c:tx>
            <c:strRef>
              <c:f>Analysis!$IY$165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Analysis!$IY$163:$IY$164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Analysis!$IZ$163:$IZ$164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4"/>
          <c:order val="74"/>
          <c:tx>
            <c:strRef>
              <c:f>Analysis!$IY$168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Analysis!$IY$166:$IY$167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Analysis!$IZ$166:$IZ$167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5"/>
          <c:order val="75"/>
          <c:tx>
            <c:strRef>
              <c:f>Analysis!$IY$171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Analysis!$IY$169:$IY$170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Analysis!$IZ$169:$IZ$170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9"/>
          <c:order val="76"/>
          <c:tx>
            <c:strRef>
              <c:f>Analysis!$IY$175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Analysis!$IY$173:$IY$174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Analysis!$IZ$173:$IZ$174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0"/>
          <c:order val="77"/>
          <c:tx>
            <c:strRef>
              <c:f>Analysis!$IY$178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Analysis!$IY$176:$IY$177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Analysis!$IZ$176:$IZ$177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1"/>
          <c:order val="78"/>
          <c:tx>
            <c:strRef>
              <c:f>Analysis!$IY$181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Analysis!$IY$179:$IY$180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Analysis!$IZ$179:$IZ$180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2"/>
          <c:order val="79"/>
          <c:tx>
            <c:strRef>
              <c:f>Analysis!$IY$185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Analysis!$IY$183:$IY$184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Analysis!$IZ$183:$IZ$184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3"/>
          <c:order val="80"/>
          <c:tx>
            <c:strRef>
              <c:f>Analysis!$IY$188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Analysis!$IY$186:$IY$187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Analysis!$IZ$186:$IZ$187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4"/>
          <c:order val="81"/>
          <c:tx>
            <c:strRef>
              <c:f>Analysis!$IY$191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Analysis!$IY$189:$IY$190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Analysis!$IZ$189:$IZ$190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5"/>
          <c:order val="82"/>
          <c:tx>
            <c:strRef>
              <c:f>Analysis!$IY$195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Analysis!$IY$193:$IY$194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Analysis!$IZ$193:$IZ$194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6"/>
          <c:order val="83"/>
          <c:tx>
            <c:strRef>
              <c:f>Analysis!$IY$198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Analysis!$IY$196:$IY$197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Analysis!$IZ$196:$IZ$197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7"/>
          <c:order val="84"/>
          <c:tx>
            <c:strRef>
              <c:f>Analysis!$IY$201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Analysis!$IY$199:$IY$200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Analysis!$IZ$199:$IZ$200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8"/>
          <c:order val="85"/>
          <c:tx>
            <c:strRef>
              <c:f>Analysis!$IY$205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Analysis!$IY$203:$IY$204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Analysis!$IZ$203:$IZ$204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9"/>
          <c:order val="86"/>
          <c:tx>
            <c:strRef>
              <c:f>Analysis!$IY$208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Analysis!$IY$206:$IY$207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Analysis!$IZ$206:$IZ$207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0"/>
          <c:order val="87"/>
          <c:tx>
            <c:strRef>
              <c:f>Analysis!$IY$211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Analysis!$IY$209:$IY$210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Analysis!$IZ$209:$IZ$210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1"/>
          <c:order val="88"/>
          <c:tx>
            <c:strRef>
              <c:f>Analysis!$IY$215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Analysis!$IY$213:$IY$214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Analysis!$IZ$213:$IZ$214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2"/>
          <c:order val="89"/>
          <c:tx>
            <c:strRef>
              <c:f>Analysis!$IY$218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Analysis!$IY$216:$IY$217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Analysis!$IZ$216:$IZ$217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3"/>
          <c:order val="90"/>
          <c:tx>
            <c:strRef>
              <c:f>Analysis!$IY$221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Analysis!$IY$219:$IY$220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Analysis!$IZ$219:$IZ$220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4"/>
          <c:order val="91"/>
          <c:tx>
            <c:strRef>
              <c:f>Analysis!$IY$225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Analysis!$IY$223:$IY$224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Analysis!$IZ$223:$IZ$224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5"/>
          <c:order val="92"/>
          <c:tx>
            <c:strRef>
              <c:f>Analysis!$IY$228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Analysis!$IY$226:$IY$227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Analysis!$IZ$226:$IZ$227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6"/>
          <c:order val="93"/>
          <c:tx>
            <c:strRef>
              <c:f>Analysis!$IY$231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Analysis!$IY$229:$IY$230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Analysis!$IZ$229:$IZ$230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7"/>
          <c:order val="94"/>
          <c:tx>
            <c:strRef>
              <c:f>Analysis!$IY$235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Analysis!$IY$233:$IY$234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Analysis!$IZ$233:$IZ$234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8"/>
          <c:order val="95"/>
          <c:tx>
            <c:strRef>
              <c:f>Analysis!$IY$238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Analysis!$IY$236:$IY$237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Analysis!$IZ$236:$IZ$237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9"/>
          <c:order val="96"/>
          <c:tx>
            <c:strRef>
              <c:f>Analysis!$IY$241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Analysis!$IY$239:$IY$240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Analysis!$IZ$239:$IZ$240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0"/>
          <c:order val="97"/>
          <c:tx>
            <c:strRef>
              <c:f>Analysis!$IY$245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Analysis!$IY$243:$IY$244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Analysis!$IZ$243:$IZ$244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1"/>
          <c:order val="98"/>
          <c:tx>
            <c:strRef>
              <c:f>Analysis!$IY$248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Analysis!$IY$246:$IY$247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Analysis!$IZ$246:$IZ$247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2"/>
          <c:order val="99"/>
          <c:tx>
            <c:strRef>
              <c:f>Analysis!$IY$251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Analysis!$IY$249:$IY$250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Analysis!$IZ$249:$IZ$250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3"/>
          <c:order val="100"/>
          <c:tx>
            <c:strRef>
              <c:f>Analysis!$IY$255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Analysis!$IY$253:$IY$254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Analysis!$IZ$253:$IZ$254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4"/>
          <c:order val="101"/>
          <c:tx>
            <c:strRef>
              <c:f>Analysis!$IY$258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Analysis!$IY$256:$IY$257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Analysis!$IZ$256:$IZ$257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5"/>
          <c:order val="102"/>
          <c:tx>
            <c:strRef>
              <c:f>Analysis!$IY$261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Analysis!$IY$259:$IY$260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Analysis!$IZ$259:$IZ$260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6"/>
          <c:order val="103"/>
          <c:tx>
            <c:strRef>
              <c:f>Analysis!$IY$5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7"/>
          <c:order val="104"/>
          <c:tx>
            <c:strRef>
              <c:f>Analysis!$IY$8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8"/>
          <c:order val="105"/>
          <c:tx>
            <c:strRef>
              <c:f>Analysis!$IY$11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9"/>
          <c:order val="106"/>
          <c:tx>
            <c:strRef>
              <c:f>Analysis!$IY$265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Analysis!$IY$263:$IY$264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Analysis!$IZ$263:$IZ$264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0"/>
          <c:order val="107"/>
          <c:tx>
            <c:strRef>
              <c:f>Analysis!$IY$268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Analysis!$IY$266:$IY$267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Analysis!$IZ$266:$IZ$267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1"/>
          <c:order val="108"/>
          <c:tx>
            <c:strRef>
              <c:f>Analysis!$IY$271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lg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Analysis!$IY$269:$IY$270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Analysis!$IZ$269:$IZ$270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6"/>
          <c:order val="109"/>
          <c:tx>
            <c:strRef>
              <c:f>Analysis!$JB$15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 w="med" len="med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Analysis!$JB$13:$JB$14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Analysis!$JC$13:$JC$14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7"/>
          <c:order val="110"/>
          <c:tx>
            <c:strRef>
              <c:f>Analysis!$JB$20</c:f>
              <c:strCache>
                <c:ptCount val="1"/>
                <c:pt idx="0">
                  <c:v>5474.82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Analysis!$JB$21:$JB$22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Analysis!$JC$21:$JC$22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78"/>
          <c:order val="111"/>
          <c:tx>
            <c:strRef>
              <c:f>Analysis!$JB$30</c:f>
              <c:strCache>
                <c:ptCount val="1"/>
                <c:pt idx="0">
                  <c:v>6855.80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Analysis!$JB$31:$JB$32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Analysis!$JC$31:$JC$32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2"/>
          <c:order val="112"/>
          <c:tx>
            <c:strRef>
              <c:f>Analysis!$JB$40</c:f>
              <c:strCache>
                <c:ptCount val="1"/>
                <c:pt idx="0">
                  <c:v>6567.65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Analysis!$JB$41:$JB$42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Analysis!$JC$41:$JC$42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Analysis!$JB$50</c:f>
              <c:strCache>
                <c:ptCount val="1"/>
                <c:pt idx="0">
                  <c:v>3508.78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Analysis!$JB$51:$JB$52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Analysis!$JC$51:$JC$52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4"/>
          <c:order val="114"/>
          <c:tx>
            <c:strRef>
              <c:f>Analysis!$JB$60</c:f>
              <c:strCache>
                <c:ptCount val="1"/>
                <c:pt idx="0">
                  <c:v>4058.74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Analysis!$JB$61:$JB$62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Analysis!$JC$61:$JC$62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5"/>
          <c:order val="115"/>
          <c:tx>
            <c:strRef>
              <c:f>Analysis!$JB$70</c:f>
              <c:strCache>
                <c:ptCount val="1"/>
                <c:pt idx="0">
                  <c:v>3322.92 kg</c:v>
                </c:pt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Analysis!$JB$71:$JB$72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Analysis!$JC$71:$JC$72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Analysis!$JB$80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Analysis!$JB$81:$JB$82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Analysis!$JC$81:$JC$82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7"/>
          <c:order val="117"/>
          <c:tx>
            <c:strRef>
              <c:f>Analysis!$JB$90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Analysis!$JB$91:$JB$92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Analysis!$JC$91:$JC$92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8"/>
          <c:order val="118"/>
          <c:tx>
            <c:strRef>
              <c:f>Analysis!$JB$100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Analysis!$JB$101:$JB$102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Analysis!$JC$101:$JC$102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9"/>
          <c:order val="119"/>
          <c:tx>
            <c:strRef>
              <c:f>Analysis!$JB$110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Analysis!$JB$111:$JB$112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Analysis!$JC$111:$JC$112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Analysis!$JB$120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Analysis!$JB$121:$JB$122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Analysis!$JC$121:$JC$122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1"/>
          <c:order val="121"/>
          <c:tx>
            <c:strRef>
              <c:f>Analysis!$JB$130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Analysis!$JB$131:$JB$132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Analysis!$JC$131:$JC$132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2"/>
          <c:order val="122"/>
          <c:tx>
            <c:strRef>
              <c:f>Analysis!$JB$140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Analysis!$JB$141:$JB$142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Analysis!$JC$141:$JC$142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3"/>
          <c:order val="123"/>
          <c:tx>
            <c:strRef>
              <c:f>Analysis!$JB$150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Analysis!$JB$151:$JB$152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Analysis!$JC$151:$JC$152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Analysis!$JB$160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Analysis!$JB$161:$JB$162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Analysis!$JC$161:$JC$162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5"/>
          <c:order val="125"/>
          <c:tx>
            <c:strRef>
              <c:f>Analysis!$JB$170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Analysis!$JB$171:$JB$172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Analysis!$JC$171:$JC$172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6"/>
          <c:order val="126"/>
          <c:tx>
            <c:strRef>
              <c:f>Analysis!$JB$180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Analysis!$JB$181:$JB$182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Analysis!$JC$181:$JC$182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7"/>
          <c:order val="127"/>
          <c:tx>
            <c:strRef>
              <c:f>Analysis!$JB$190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Analysis!$JB$191:$JB$192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Analysis!$JC$191:$JC$192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8"/>
          <c:order val="128"/>
          <c:tx>
            <c:strRef>
              <c:f>Analysis!$JB$200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Analysis!$JB$201:$JB$202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Analysis!$JC$201:$JC$202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Analysis!$JB$210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Analysis!$JB$211:$JB$212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Analysis!$JC$211:$JC$212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0"/>
          <c:order val="130"/>
          <c:tx>
            <c:strRef>
              <c:f>Analysis!$JB$220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Analysis!$JB$221:$JB$222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Analysis!$JC$221:$JC$222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1"/>
          <c:order val="131"/>
          <c:tx>
            <c:strRef>
              <c:f>Analysis!$JB$230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Analysis!$JB$231:$JB$232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Analysis!$JC$231:$JC$232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2"/>
          <c:order val="132"/>
          <c:tx>
            <c:strRef>
              <c:f>Analysis!$JB$240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Analysis!$JB$241:$JB$242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Analysis!$JC$241:$JC$242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Analysis!$JB$250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Analysis!$JB$251:$JB$252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Analysis!$JC$251:$JC$252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4"/>
          <c:order val="134"/>
          <c:tx>
            <c:strRef>
              <c:f>Analysis!$JB$260</c:f>
              <c:strCache>
                <c:ptCount val="1"/>
              </c:strCache>
            </c:strRef>
          </c:tx>
          <c:spPr>
            <a:ln w="57150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Analysis!$JB$261:$JB$262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Analysis!$JC$261:$JC$262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5"/>
          <c:order val="135"/>
          <c:tx>
            <c:strRef>
              <c:f>Analysis!$JB$18</c:f>
              <c:strCache>
                <c:ptCount val="1"/>
                <c:pt idx="0">
                  <c:v>2927.30 kg</c:v>
                </c:pt>
              </c:strCache>
            </c:strRef>
          </c:tx>
          <c:spPr>
            <a:ln w="101600" cap="flat" cmpd="sng">
              <a:gradFill flip="none" rotWithShape="1"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0800000" scaled="0"/>
                <a:tileRect/>
              </a:gradFill>
            </a:ln>
            <a:effectLst/>
          </c:spPr>
          <c:marker>
            <c:symbol val="none"/>
          </c:marker>
          <c:xVal>
            <c:numRef>
              <c:f>Analysis!$JB$16:$JB$17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Analysis!$JC$16:$JC$17</c:f>
              <c:numCache>
                <c:formatCode>General</c:formatCode>
                <c:ptCount val="2"/>
                <c:pt idx="0">
                  <c:v>56.25</c:v>
                </c:pt>
                <c:pt idx="1">
                  <c:v>-56.25</c:v>
                </c:pt>
              </c:numCache>
            </c:numRef>
          </c:yVal>
          <c:smooth val="0"/>
        </c:ser>
        <c:ser>
          <c:idx val="136"/>
          <c:order val="136"/>
          <c:tx>
            <c:strRef>
              <c:f>Analysis!$JB$25</c:f>
              <c:strCache>
                <c:ptCount val="1"/>
              </c:strCache>
            </c:strRef>
          </c:tx>
          <c:spPr>
            <a:ln w="139700" cap="sq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Analysis!$JB$23:$JB$24</c:f>
              <c:numCache>
                <c:formatCode>General</c:formatCode>
                <c:ptCount val="2"/>
              </c:numCache>
            </c:numRef>
          </c:xVal>
          <c:yVal>
            <c:numRef>
              <c:f>Analysis!$JC$23:$JC$24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137"/>
          <c:order val="137"/>
          <c:tx>
            <c:strRef>
              <c:f>Analysis!$JB$259</c:f>
              <c:strCache>
                <c:ptCount val="1"/>
                <c:pt idx="0">
                  <c:v>FALSE</c:v>
                </c:pt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xVal>
            <c:numRef>
              <c:f>Analysis!$JB$257:$JB$258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Analysis!$JC$257:$JC$258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8"/>
          <c:order val="138"/>
          <c:tx>
            <c:strRef>
              <c:f>Analysis!$JB$10</c:f>
              <c:strCache>
                <c:ptCount val="1"/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xVal>
            <c:numRef>
              <c:f>Analysis!$JB$11:$JB$12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Analysis!$JC$11:$JC$12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9"/>
          <c:order val="139"/>
          <c:tx>
            <c:strRef>
              <c:f>Analysis!$JB$265</c:f>
              <c:strCache>
                <c:ptCount val="1"/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0800000" scaled="0"/>
              </a:gradFill>
            </a:ln>
          </c:spPr>
          <c:marker>
            <c:symbol val="none"/>
          </c:marker>
          <c:xVal>
            <c:numRef>
              <c:f>Analysis!$JB$263:$JB$264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Analysis!$JC$263:$JC$264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40"/>
          <c:order val="140"/>
          <c:tx>
            <c:strRef>
              <c:f>Analysis!$JE$15</c:f>
              <c:strCache>
                <c:ptCount val="1"/>
                <c:pt idx="0">
                  <c:v>2927.30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Analysis!$JE$13:$JE$14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Analysis!$JF$13:$JF$14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Analysis!$JE$20</c:f>
              <c:strCache>
                <c:ptCount val="1"/>
                <c:pt idx="0">
                  <c:v>5474.82 kg</c:v>
                </c:pt>
              </c:strCache>
            </c:strRef>
          </c:tx>
          <c:spPr>
            <a:ln w="28575"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Analysis!$JE$21:$JE$22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Analysis!$JF$21:$JF$22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2"/>
          <c:order val="142"/>
          <c:tx>
            <c:strRef>
              <c:f>Analysis!$JE$30</c:f>
              <c:strCache>
                <c:ptCount val="1"/>
                <c:pt idx="0">
                  <c:v>6855.80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Analysis!$JE$31:$JE$32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Analysis!$JF$31:$JF$32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3"/>
          <c:order val="143"/>
          <c:tx>
            <c:strRef>
              <c:f>Analysis!$JE$40</c:f>
              <c:strCache>
                <c:ptCount val="1"/>
                <c:pt idx="0">
                  <c:v>6567.65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Analysis!$JE$41:$JE$42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Analysis!$JF$41:$JF$42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4"/>
          <c:order val="144"/>
          <c:tx>
            <c:strRef>
              <c:f>Analysis!$JE$50</c:f>
              <c:strCache>
                <c:ptCount val="1"/>
                <c:pt idx="0">
                  <c:v>3508.78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Analysis!$JE$51:$JE$52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Analysis!$JF$51:$JF$52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Analysis!$JE$60</c:f>
              <c:strCache>
                <c:ptCount val="1"/>
                <c:pt idx="0">
                  <c:v>4058.74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Analysis!$JE$61:$JE$62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Analysis!$JF$61:$JF$62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7"/>
          <c:order val="146"/>
          <c:tx>
            <c:strRef>
              <c:f>Analysis!$JE$70</c:f>
              <c:strCache>
                <c:ptCount val="1"/>
                <c:pt idx="0">
                  <c:v>3322.92 kg</c:v>
                </c:pt>
              </c:strCache>
            </c:strRef>
          </c:tx>
          <c:spPr>
            <a:ln w="28575"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Analysis!$JE$71:$JE$72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Analysis!$JF$71:$JF$72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8"/>
          <c:order val="147"/>
          <c:tx>
            <c:strRef>
              <c:f>Analysis!$JE$80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Analysis!$JE$81:$JE$82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Analysis!$JF$81:$JF$82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49"/>
          <c:order val="148"/>
          <c:tx>
            <c:strRef>
              <c:f>Analysis!$JE$90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Analysis!$JE$91:$JE$92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Analysis!$JF$91:$JF$92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0"/>
          <c:order val="149"/>
          <c:tx>
            <c:strRef>
              <c:f>Analysis!$JE$100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Analysis!$JE$101:$JE$102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Analysis!$JF$101:$JF$102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1"/>
          <c:order val="150"/>
          <c:tx>
            <c:strRef>
              <c:f>Analysis!$JE$110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Analysis!$JE$111:$JE$112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Analysis!$JF$111:$JF$112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2"/>
          <c:order val="151"/>
          <c:tx>
            <c:strRef>
              <c:f>Analysis!$JE$120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Analysis!$JE$121:$JE$122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Analysis!$JF$121:$JF$122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3"/>
          <c:order val="152"/>
          <c:tx>
            <c:strRef>
              <c:f>Analysis!$JE$130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Analysis!$JE$131:$JE$132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Analysis!$JF$131:$JF$132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4"/>
          <c:order val="153"/>
          <c:tx>
            <c:strRef>
              <c:f>Analysis!$JE$140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Analysis!$JE$141:$JE$142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Analysis!$JF$141:$JF$142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5"/>
          <c:order val="154"/>
          <c:tx>
            <c:strRef>
              <c:f>Analysis!$JE$150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Analysis!$JE$151:$JE$152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Analysis!$JF$151:$JF$152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6"/>
          <c:order val="155"/>
          <c:tx>
            <c:strRef>
              <c:f>Analysis!$JE$160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Analysis!$JE$161:$JE$162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Analysis!$JF$161:$JF$162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7"/>
          <c:order val="156"/>
          <c:tx>
            <c:strRef>
              <c:f>Analysis!$JE$170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Analysis!$JE$171:$JE$172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Analysis!$JF$171:$JF$172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8"/>
          <c:order val="157"/>
          <c:tx>
            <c:strRef>
              <c:f>Analysis!$JE$180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Analysis!$JE$181:$JE$182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Analysis!$JF$181:$JF$182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9"/>
          <c:order val="158"/>
          <c:tx>
            <c:strRef>
              <c:f>Analysis!$JE$190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Analysis!$JE$191:$JE$192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Analysis!$JF$191:$JF$192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0"/>
          <c:order val="159"/>
          <c:tx>
            <c:strRef>
              <c:f>Analysis!$JE$200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Analysis!$JE$201:$JE$202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Analysis!$JF$201:$JF$202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1"/>
          <c:order val="160"/>
          <c:tx>
            <c:strRef>
              <c:f>Analysis!$JE$210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Analysis!$JE$211:$JE$212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Analysis!$JF$211:$JF$212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2"/>
          <c:order val="161"/>
          <c:tx>
            <c:strRef>
              <c:f>Analysis!$JE$220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Analysis!$JE$221:$JE$222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Analysis!$JF$221:$JF$222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3"/>
          <c:order val="162"/>
          <c:tx>
            <c:strRef>
              <c:f>Analysis!$JE$230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Analysis!$JE$231:$JE$232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Analysis!$JF$231:$JF$232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4"/>
          <c:order val="163"/>
          <c:tx>
            <c:strRef>
              <c:f>Analysis!$JE$240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Analysis!$JE$241:$JE$242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Analysis!$JF$241:$JF$242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5"/>
          <c:order val="164"/>
          <c:tx>
            <c:strRef>
              <c:f>Analysis!$JE$250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Analysis!$JE$251:$JE$252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Analysis!$JF$251:$JF$252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6"/>
          <c:order val="165"/>
          <c:tx>
            <c:strRef>
              <c:f>Analysis!$JE$260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Analysis!$JE$261:$JE$262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Analysis!$JF$261:$JF$262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7"/>
          <c:order val="166"/>
          <c:tx>
            <c:strRef>
              <c:f>Analysis!$JE$10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Analysis!$JE$11:$JE$12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Analysis!$JF$11:$JF$12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8"/>
          <c:order val="167"/>
          <c:tx>
            <c:strRef>
              <c:f>Analysis!$JE$265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Analysis!$JE$263:$JE$264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Analysis!$JF$263:$JF$264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69"/>
          <c:order val="168"/>
          <c:tx>
            <c:strRef>
              <c:f>Analysis!$JN$14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numFmt formatCode="&quot;C = &quot;General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Analysis!$JN$13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Analysis!$JO$13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0"/>
          <c:order val="169"/>
          <c:tx>
            <c:strRef>
              <c:f>Analysis!$JN$24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numFmt formatCode="General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Analysis!$JN$23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Analysis!$JO$23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1"/>
          <c:order val="170"/>
          <c:tx>
            <c:strRef>
              <c:f>Analysis!$JN$34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Analysis!$JN$33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Analysis!$JO$33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2"/>
          <c:order val="171"/>
          <c:tx>
            <c:strRef>
              <c:f>Analysis!$JN$44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Analysis!$JN$43</c:f>
              <c:numCache>
                <c:formatCode>0.00</c:formatCode>
                <c:ptCount val="1"/>
                <c:pt idx="0">
                  <c:v>14</c:v>
                </c:pt>
              </c:numCache>
            </c:numRef>
          </c:xVal>
          <c:yVal>
            <c:numRef>
              <c:f>Analysis!$JO$43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3"/>
          <c:order val="172"/>
          <c:tx>
            <c:strRef>
              <c:f>Analysis!$JN$54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Analysis!$JN$53</c:f>
              <c:numCache>
                <c:formatCode>0.00</c:formatCode>
                <c:ptCount val="1"/>
                <c:pt idx="0">
                  <c:v>18</c:v>
                </c:pt>
              </c:numCache>
            </c:numRef>
          </c:xVal>
          <c:yVal>
            <c:numRef>
              <c:f>Analysis!$JO$53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4"/>
          <c:order val="173"/>
          <c:tx>
            <c:strRef>
              <c:f>Analysis!$JN$64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Analysis!$JN$63</c:f>
              <c:numCache>
                <c:formatCode>0.00</c:formatCode>
                <c:ptCount val="1"/>
                <c:pt idx="0">
                  <c:v>22</c:v>
                </c:pt>
              </c:numCache>
            </c:numRef>
          </c:xVal>
          <c:yVal>
            <c:numRef>
              <c:f>Analysis!$JO$63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5"/>
          <c:order val="174"/>
          <c:tx>
            <c:strRef>
              <c:f>Analysis!$JN$74</c:f>
              <c:strCache>
                <c:ptCount val="1"/>
                <c:pt idx="0">
                  <c:v>1.50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Analysis!$JO$73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6"/>
          <c:order val="175"/>
          <c:tx>
            <c:strRef>
              <c:f>Analysis!$JN$84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Analysis!$JO$83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7"/>
          <c:order val="176"/>
          <c:tx>
            <c:strRef>
              <c:f>Analysis!$JN$94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Analysis!$JO$93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8"/>
          <c:order val="177"/>
          <c:tx>
            <c:strRef>
              <c:f>Analysis!$JN$104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Analysis!$JO$103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9"/>
          <c:order val="178"/>
          <c:tx>
            <c:strRef>
              <c:f>Analysis!$JN$114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0"/>
          <c:order val="179"/>
          <c:tx>
            <c:strRef>
              <c:f>Analysis!$JN$124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1"/>
          <c:order val="180"/>
          <c:tx>
            <c:strRef>
              <c:f>Analysis!$JN$134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2"/>
          <c:order val="181"/>
          <c:tx>
            <c:strRef>
              <c:f>Analysis!$JN$144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3"/>
          <c:order val="182"/>
          <c:tx>
            <c:strRef>
              <c:f>Analysis!$JN$154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4"/>
          <c:order val="183"/>
          <c:tx>
            <c:strRef>
              <c:f>Analysis!$JN$164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5"/>
          <c:order val="184"/>
          <c:tx>
            <c:strRef>
              <c:f>Analysis!$JN$174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Analysis!$JO$173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6"/>
          <c:order val="185"/>
          <c:tx>
            <c:strRef>
              <c:f>Analysis!$JN$184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Analysis!$JO$183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7"/>
          <c:order val="186"/>
          <c:tx>
            <c:strRef>
              <c:f>Analysis!$JN$194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Analysis!$JO$193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8"/>
          <c:order val="187"/>
          <c:tx>
            <c:strRef>
              <c:f>Analysis!$JN$204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Analysis!$JO$203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9"/>
          <c:order val="188"/>
          <c:tx>
            <c:strRef>
              <c:f>Analysis!$JN$214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0"/>
          <c:order val="189"/>
          <c:tx>
            <c:strRef>
              <c:f>Analysis!$JN$224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1"/>
          <c:order val="190"/>
          <c:tx>
            <c:strRef>
              <c:f>Analysis!$JN$234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2"/>
          <c:order val="191"/>
          <c:tx>
            <c:strRef>
              <c:f>Analysis!$JN$244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3"/>
          <c:order val="192"/>
          <c:tx>
            <c:strRef>
              <c:f>Analysis!$JN$254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4"/>
          <c:order val="193"/>
          <c:tx>
            <c:strRef>
              <c:f>Analysis!$JN$264</c:f>
              <c:strCache>
                <c:ptCount val="1"/>
                <c:pt idx="0">
                  <c:v>1.50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Analysis!$JN$263</c:f>
              <c:numCache>
                <c:formatCode>0.00</c:formatCode>
                <c:ptCount val="1"/>
                <c:pt idx="0">
                  <c:v>24.75</c:v>
                </c:pt>
              </c:numCache>
            </c:numRef>
          </c:xVal>
          <c:yVal>
            <c:numRef>
              <c:f>Analysis!$JO$263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5"/>
          <c:order val="194"/>
          <c:tx>
            <c:strRef>
              <c:f>Analysis!$JN$4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241"/>
          <c:order val="195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Analysis!$IY$163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Analysis!$IZ$163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13568"/>
        <c:axId val="116400128"/>
      </c:scatterChart>
      <c:valAx>
        <c:axId val="89013568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low"/>
        <c:crossAx val="116400128"/>
        <c:crosses val="autoZero"/>
        <c:crossBetween val="midCat"/>
        <c:majorUnit val="1"/>
      </c:valAx>
      <c:valAx>
        <c:axId val="11640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013568"/>
        <c:crosses val="autoZero"/>
        <c:crossBetween val="midCat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28"/>
          <c:order val="0"/>
          <c:tx>
            <c:strRef>
              <c:f>Analysis!$IF$15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  <a:tailEnd type="none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 rot="0" vert="horz"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Analysis!$IY$13:$IY$14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Analysis!$IZ$13:$IZ$14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9"/>
          <c:order val="1"/>
          <c:tx>
            <c:strRef>
              <c:f>Analysis!$IF$17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Analysis!$IY$16:$IY$17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Analysis!$IZ$16:$IZ$17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0"/>
          <c:order val="2"/>
          <c:tx>
            <c:strRef>
              <c:f>Analysis!$IF$19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Analysis!$IY$19:$IY$20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Analysis!$IZ$19:$IZ$20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1"/>
          <c:order val="3"/>
          <c:tx>
            <c:strRef>
              <c:f>Analysis!$IF$25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Analysis!$IY$23:$IY$24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Analysis!$IZ$23:$IZ$24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2"/>
          <c:order val="4"/>
          <c:tx>
            <c:strRef>
              <c:f>Analysis!$IF$27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Analysis!$IY$26:$IY$27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Analysis!$IZ$26:$IZ$27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3"/>
          <c:order val="5"/>
          <c:tx>
            <c:strRef>
              <c:f>Analysis!$IF$29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Analysis!$IY$29:$IY$30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Analysis!$IZ$29:$IZ$30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4"/>
          <c:order val="6"/>
          <c:tx>
            <c:strRef>
              <c:f>Analysis!$IK$35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Analysis!$IY$33:$IY$34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Analysis!$IZ$33:$IZ$34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5"/>
          <c:order val="7"/>
          <c:tx>
            <c:strRef>
              <c:f>Analysis!$IK$37</c:f>
              <c:strCache>
                <c:ptCount val="1"/>
                <c:pt idx="0">
                  <c:v>2.5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Analysis!$IY$36:$IY$37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Analysis!$IZ$36:$IZ$37</c:f>
              <c:numCache>
                <c:formatCode>General</c:formatCode>
                <c:ptCount val="2"/>
                <c:pt idx="0">
                  <c:v>0</c:v>
                </c:pt>
                <c:pt idx="1">
                  <c:v>62.5</c:v>
                </c:pt>
              </c:numCache>
            </c:numRef>
          </c:yVal>
          <c:smooth val="0"/>
        </c:ser>
        <c:ser>
          <c:idx val="36"/>
          <c:order val="8"/>
          <c:tx>
            <c:strRef>
              <c:f>Analysis!$IK$39</c:f>
              <c:strCache>
                <c:ptCount val="1"/>
                <c:pt idx="0">
                  <c:v>3.5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Analysis!$IY$39:$IY$40</c:f>
              <c:numCache>
                <c:formatCode>General</c:formatCode>
                <c:ptCount val="2"/>
                <c:pt idx="0">
                  <c:v>11.5</c:v>
                </c:pt>
                <c:pt idx="1">
                  <c:v>11.5</c:v>
                </c:pt>
              </c:numCache>
            </c:numRef>
          </c:xVal>
          <c:yVal>
            <c:numRef>
              <c:f>Analysis!$IZ$39:$IZ$40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7"/>
          <c:order val="9"/>
          <c:tx>
            <c:strRef>
              <c:f>Analysis!$IK$45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Analysis!$IY$43:$IY$44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Analysis!$IZ$43:$IZ$44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8"/>
          <c:order val="10"/>
          <c:tx>
            <c:strRef>
              <c:f>Analysis!$IK$47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Analysis!$IY$46:$IY$47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Analysis!$IZ$46:$IZ$47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9"/>
          <c:order val="11"/>
          <c:tx>
            <c:strRef>
              <c:f>Analysis!$IK$49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Analysis!$IY$49:$IY$50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Analysis!$IZ$49:$IZ$50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0"/>
          <c:order val="12"/>
          <c:tx>
            <c:strRef>
              <c:f>Analysis!$IK$55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Analysis!$IY$53:$IY$54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Analysis!$IZ$53:$IZ$54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1"/>
          <c:order val="13"/>
          <c:tx>
            <c:strRef>
              <c:f>Analysis!$IK$57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Analysis!$IY$56:$IY$57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Analysis!$IZ$56:$IZ$57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2"/>
          <c:order val="14"/>
          <c:tx>
            <c:strRef>
              <c:f>Analysis!$IK$59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Analysis!$IY$59:$IY$60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Analysis!$IZ$59:$IZ$60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3"/>
          <c:order val="15"/>
          <c:tx>
            <c:strRef>
              <c:f>Analysis!$IK$65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Analysis!$IY$63:$IY$64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Analysis!$IZ$63:$IZ$64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4"/>
          <c:order val="16"/>
          <c:tx>
            <c:strRef>
              <c:f>Analysis!$IK$67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Analysis!$IY$66:$IY$67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Analysis!$IZ$66:$IZ$67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5"/>
          <c:order val="17"/>
          <c:tx>
            <c:strRef>
              <c:f>Analysis!$IK$69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Analysis!$IY$69:$IY$70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Analysis!$IZ$69:$IZ$70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6"/>
          <c:order val="18"/>
          <c:tx>
            <c:strRef>
              <c:f>Analysis!$IK$75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Analysis!$IY$73:$IY$74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Analysis!$IZ$73:$IZ$74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7"/>
          <c:order val="19"/>
          <c:tx>
            <c:strRef>
              <c:f>Analysis!$IK$77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Analysis!$IY$76:$IY$77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Analysis!$IZ$76:$IZ$77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8"/>
          <c:order val="20"/>
          <c:tx>
            <c:strRef>
              <c:f>Analysis!$IK$79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Analysis!$IY$79:$IY$80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Analysis!$IZ$79:$IZ$80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9"/>
          <c:order val="21"/>
          <c:tx>
            <c:strRef>
              <c:f>Analysis!$IK$85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Analysis!$IY$83:$IY$84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Analysis!$IZ$83:$IZ$84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0"/>
          <c:order val="22"/>
          <c:tx>
            <c:strRef>
              <c:f>Analysis!$IK$87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Analysis!$IY$86:$IY$87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Analysis!$IZ$86:$IZ$87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1"/>
          <c:order val="23"/>
          <c:tx>
            <c:strRef>
              <c:f>Analysis!$IK$89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Analysis!$IY$89:$IY$90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Analysis!$IZ$89:$IZ$90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2"/>
          <c:order val="24"/>
          <c:tx>
            <c:strRef>
              <c:f>Analysis!$IK$95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Analysis!$IY$93:$IY$94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Analysis!$IZ$93:$IZ$94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3"/>
          <c:order val="25"/>
          <c:tx>
            <c:strRef>
              <c:f>Analysis!$IK$97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Analysis!$IY$96:$IY$97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Analysis!$IZ$96:$IZ$97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4"/>
          <c:order val="26"/>
          <c:tx>
            <c:strRef>
              <c:f>Analysis!$IK$99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Analysis!$IY$99:$IY$100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Analysis!$IZ$99:$IZ$100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5"/>
          <c:order val="27"/>
          <c:tx>
            <c:strRef>
              <c:f>Analysis!$IK$105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Analysis!$IY$103:$IY$104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Analysis!$IZ$103:$IZ$104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6"/>
          <c:order val="28"/>
          <c:tx>
            <c:strRef>
              <c:f>Analysis!$IK$107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Analysis!$IY$106:$IY$107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Analysis!$IZ$106:$IZ$107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7"/>
          <c:order val="29"/>
          <c:tx>
            <c:strRef>
              <c:f>Analysis!$IK$109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Analysis!$IY$109:$IY$110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Analysis!$IZ$109:$IZ$110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8"/>
          <c:order val="30"/>
          <c:tx>
            <c:strRef>
              <c:f>Analysis!$IF$125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Analysis!$IY$123:$IY$124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Analysis!$IZ$123:$IZ$124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9"/>
          <c:order val="31"/>
          <c:tx>
            <c:strRef>
              <c:f>Analysis!$IF$127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Analysis!$IY$126:$IY$127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Analysis!$IZ$126:$IZ$127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0"/>
          <c:order val="32"/>
          <c:tx>
            <c:strRef>
              <c:f>Analysis!$IF$129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Analysis!$IY$129:$IY$130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Analysis!$IZ$129:$IZ$130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1"/>
          <c:order val="33"/>
          <c:tx>
            <c:strRef>
              <c:f>Analysis!$IF$115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Analysis!$IY$113:$IY$114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Analysis!$IZ$113:$IZ$114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2"/>
          <c:order val="34"/>
          <c:tx>
            <c:strRef>
              <c:f>Analysis!$IF$117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Analysis!$IY$116:$IY$117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Analysis!$IZ$116:$IZ$117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3"/>
          <c:order val="35"/>
          <c:tx>
            <c:strRef>
              <c:f>Analysis!$IF$119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Analysis!$IY$119:$IY$120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Analysis!$IZ$119:$IZ$120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4"/>
          <c:order val="36"/>
          <c:tx>
            <c:strRef>
              <c:f>Analysis!$IF$135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Analysis!$IY$133:$IY$134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Analysis!$IZ$133:$IZ$134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5"/>
          <c:order val="37"/>
          <c:tx>
            <c:strRef>
              <c:f>Analysis!$IF$137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Analysis!$IY$136:$IY$137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Analysis!$IZ$136:$IZ$137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6"/>
          <c:order val="38"/>
          <c:tx>
            <c:strRef>
              <c:f>Analysis!$IF$139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Analysis!$IY$139:$IY$140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Analysis!$IZ$139:$IZ$140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7"/>
          <c:order val="39"/>
          <c:tx>
            <c:strRef>
              <c:f>Analysis!$IF$145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Analysis!$IY$143:$IY$144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Analysis!$IZ$143:$IZ$144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8"/>
          <c:order val="40"/>
          <c:tx>
            <c:strRef>
              <c:f>Analysis!$IF$147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Analysis!$IY$146:$IY$147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Analysis!$IZ$146:$IZ$147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9"/>
          <c:order val="41"/>
          <c:tx>
            <c:strRef>
              <c:f>Analysis!$IF$149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Analysis!$IY$149:$IY$150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Analysis!$IZ$149:$IZ$150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0"/>
          <c:order val="42"/>
          <c:tx>
            <c:strRef>
              <c:f>Analysis!$IF$155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Analysis!$IY$153:$IY$154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Analysis!$IZ$153:$IZ$154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1"/>
          <c:order val="43"/>
          <c:tx>
            <c:strRef>
              <c:f>Analysis!$IF$157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Analysis!$IY$156:$IY$157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Analysis!$IZ$156:$IZ$157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2"/>
          <c:order val="44"/>
          <c:tx>
            <c:strRef>
              <c:f>Analysis!$IF$159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Analysis!$IY$159:$IY$160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Analysis!$IZ$159:$IZ$160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3"/>
          <c:order val="45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Analysis!$IY$163:$IY$164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Analysis!$IZ$163:$IZ$164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4"/>
          <c:order val="46"/>
          <c:tx>
            <c:strRef>
              <c:f>Analysis!$IF$167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Analysis!$IY$166:$IY$167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Analysis!$IZ$166:$IZ$167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5"/>
          <c:order val="47"/>
          <c:tx>
            <c:strRef>
              <c:f>Analysis!$IF$169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Analysis!$IY$169:$IY$170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Analysis!$IZ$169:$IZ$170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9"/>
          <c:order val="48"/>
          <c:tx>
            <c:strRef>
              <c:f>Analysis!$IF$175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Analysis!$IY$173:$IY$174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Analysis!$IZ$173:$IZ$174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0"/>
          <c:order val="49"/>
          <c:tx>
            <c:strRef>
              <c:f>Analysis!$IF$177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Analysis!$IY$176:$IY$177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Analysis!$IZ$176:$IZ$177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1"/>
          <c:order val="50"/>
          <c:tx>
            <c:strRef>
              <c:f>Analysis!$IF$179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Analysis!$IY$179:$IY$180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Analysis!$IZ$179:$IZ$180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2"/>
          <c:order val="51"/>
          <c:tx>
            <c:strRef>
              <c:f>Analysis!$IF$185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Analysis!$IY$183:$IY$184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Analysis!$IZ$183:$IZ$184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3"/>
          <c:order val="52"/>
          <c:tx>
            <c:strRef>
              <c:f>Analysis!$IF$187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Analysis!$IY$186:$IY$187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Analysis!$IZ$186:$IZ$187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4"/>
          <c:order val="53"/>
          <c:tx>
            <c:strRef>
              <c:f>Analysis!$IF$189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Analysis!$IY$189:$IY$190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Analysis!$IZ$189:$IZ$190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5"/>
          <c:order val="54"/>
          <c:tx>
            <c:strRef>
              <c:f>Analysis!$IF$195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Analysis!$IY$193:$IY$194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Analysis!$IZ$193:$IZ$194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6"/>
          <c:order val="55"/>
          <c:tx>
            <c:strRef>
              <c:f>Analysis!$IF$197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Analysis!$IY$196:$IY$197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Analysis!$IZ$196:$IZ$197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7"/>
          <c:order val="56"/>
          <c:tx>
            <c:strRef>
              <c:f>Analysis!$IF$199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Analysis!$IY$199:$IY$200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Analysis!$IZ$199:$IZ$200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8"/>
          <c:order val="57"/>
          <c:tx>
            <c:strRef>
              <c:f>Analysis!$IF$205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Analysis!$IY$203:$IY$204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Analysis!$IZ$203:$IZ$204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9"/>
          <c:order val="58"/>
          <c:tx>
            <c:strRef>
              <c:f>Analysis!$IF$207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Analysis!$IY$206:$IY$207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Analysis!$IZ$206:$IZ$207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0"/>
          <c:order val="59"/>
          <c:tx>
            <c:strRef>
              <c:f>Analysis!$IF$209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Analysis!$IY$209:$IY$210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Analysis!$IZ$209:$IZ$210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1"/>
          <c:order val="60"/>
          <c:tx>
            <c:strRef>
              <c:f>Analysis!$IF$215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Analysis!$IY$213:$IY$214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Analysis!$IZ$213:$IZ$214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2"/>
          <c:order val="61"/>
          <c:tx>
            <c:strRef>
              <c:f>Analysis!$IF$217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Analysis!$IY$216:$IY$217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Analysis!$IZ$216:$IZ$217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3"/>
          <c:order val="62"/>
          <c:tx>
            <c:strRef>
              <c:f>Analysis!$IF$219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Analysis!$IY$219:$IY$220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Analysis!$IZ$219:$IZ$220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4"/>
          <c:order val="63"/>
          <c:tx>
            <c:strRef>
              <c:f>Analysis!$IF$225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Analysis!$IY$223:$IY$224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Analysis!$IZ$223:$IZ$224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5"/>
          <c:order val="64"/>
          <c:tx>
            <c:strRef>
              <c:f>Analysis!$IF$227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Analysis!$IY$226:$IY$227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Analysis!$IZ$226:$IZ$227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6"/>
          <c:order val="65"/>
          <c:tx>
            <c:strRef>
              <c:f>Analysis!$IF$229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Analysis!$IY$229:$IY$230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Analysis!$IZ$229:$IZ$230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7"/>
          <c:order val="66"/>
          <c:tx>
            <c:strRef>
              <c:f>Analysis!$IF$235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Analysis!$IY$233:$IY$234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Analysis!$IZ$233:$IZ$234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8"/>
          <c:order val="67"/>
          <c:tx>
            <c:strRef>
              <c:f>Analysis!$IF$237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Analysis!$IY$236:$IY$237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Analysis!$IZ$236:$IZ$237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9"/>
          <c:order val="68"/>
          <c:tx>
            <c:strRef>
              <c:f>Analysis!$IF$239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Analysis!$IY$239:$IY$240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Analysis!$IZ$239:$IZ$240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0"/>
          <c:order val="69"/>
          <c:tx>
            <c:strRef>
              <c:f>Analysis!$IF$245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Analysis!$IY$243:$IY$244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Analysis!$IZ$243:$IZ$244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1"/>
          <c:order val="70"/>
          <c:tx>
            <c:strRef>
              <c:f>Analysis!$IF$247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Analysis!$IY$246:$IY$247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Analysis!$IZ$246:$IZ$247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2"/>
          <c:order val="71"/>
          <c:tx>
            <c:strRef>
              <c:f>Analysis!$IF$249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Analysis!$IY$249:$IY$250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Analysis!$IZ$249:$IZ$250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3"/>
          <c:order val="72"/>
          <c:tx>
            <c:strRef>
              <c:f>Analysis!$IF$255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Analysis!$IY$253:$IY$254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Analysis!$IZ$253:$IZ$254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4"/>
          <c:order val="73"/>
          <c:tx>
            <c:strRef>
              <c:f>Analysis!$IF$257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Analysis!$IY$256:$IY$257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Analysis!$IZ$256:$IZ$257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5"/>
          <c:order val="74"/>
          <c:tx>
            <c:strRef>
              <c:f>Analysis!$IF$259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Analysis!$IY$259:$IY$260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Analysis!$IZ$259:$IZ$260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6"/>
          <c:order val="75"/>
          <c:tx>
            <c:strRef>
              <c:f>Analysis!$IF$5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7"/>
          <c:order val="76"/>
          <c:tx>
            <c:strRef>
              <c:f>Analysis!$IF$7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8"/>
          <c:order val="77"/>
          <c:tx>
            <c:strRef>
              <c:f>Analysis!$IF$9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9"/>
          <c:order val="78"/>
          <c:tx>
            <c:strRef>
              <c:f>Analysis!$IF$269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Analysis!$IY$263:$IY$264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Analysis!$IZ$263:$IZ$264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0"/>
          <c:order val="79"/>
          <c:tx>
            <c:strRef>
              <c:f>Analysis!$IF$267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Analysis!$IY$266:$IY$267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Analysis!$IZ$266:$IZ$267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1"/>
          <c:order val="80"/>
          <c:tx>
            <c:strRef>
              <c:f>Analysis!$IF$265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Analysis!$IY$269:$IY$270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Analysis!$IZ$269:$IZ$270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5"/>
          <c:order val="81"/>
          <c:tx>
            <c:strRef>
              <c:f>Analysis!$JB$18</c:f>
              <c:strCache>
                <c:ptCount val="1"/>
                <c:pt idx="0">
                  <c:v>2927.30 kg</c:v>
                </c:pt>
              </c:strCache>
            </c:strRef>
          </c:tx>
          <c:spPr>
            <a:ln w="127000" cap="flat" cmpd="sng">
              <a:noFill/>
            </a:ln>
            <a:effectLst/>
          </c:spPr>
          <c:marker>
            <c:symbol val="none"/>
          </c:marker>
          <c:xVal>
            <c:numRef>
              <c:f>Analysis!$JB$16:$JB$17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Analysis!$JC$16:$JC$17</c:f>
              <c:numCache>
                <c:formatCode>General</c:formatCode>
                <c:ptCount val="2"/>
                <c:pt idx="0">
                  <c:v>56.25</c:v>
                </c:pt>
                <c:pt idx="1">
                  <c:v>-56.25</c:v>
                </c:pt>
              </c:numCache>
            </c:numRef>
          </c:yVal>
          <c:smooth val="0"/>
        </c:ser>
        <c:ser>
          <c:idx val="136"/>
          <c:order val="82"/>
          <c:tx>
            <c:strRef>
              <c:f>Analysis!$JB$25</c:f>
              <c:strCache>
                <c:ptCount val="1"/>
              </c:strCache>
            </c:strRef>
          </c:tx>
          <c:spPr>
            <a:ln w="139700" cap="sq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Analysis!$JB$23:$JB$24</c:f>
              <c:numCache>
                <c:formatCode>General</c:formatCode>
                <c:ptCount val="2"/>
              </c:numCache>
            </c:numRef>
          </c:xVal>
          <c:yVal>
            <c:numRef>
              <c:f>Analysis!$JC$23:$JC$24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137"/>
          <c:order val="83"/>
          <c:tx>
            <c:strRef>
              <c:f>Analysis!$JB$259</c:f>
              <c:strCache>
                <c:ptCount val="1"/>
                <c:pt idx="0">
                  <c:v>FALSE</c:v>
                </c:pt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Analysis!$JB$257:$JB$258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Analysis!$JC$257:$JC$258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8"/>
          <c:order val="84"/>
          <c:tx>
            <c:strRef>
              <c:f>Analysis!$JB$10</c:f>
              <c:strCache>
                <c:ptCount val="1"/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Analysis!$JB$11:$JB$12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Analysis!$JC$11:$JC$12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9"/>
          <c:order val="85"/>
          <c:tx>
            <c:strRef>
              <c:f>Analysis!$JB$265</c:f>
              <c:strCache>
                <c:ptCount val="1"/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Analysis!$JB$263:$JB$264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Analysis!$JC$263:$JC$264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41"/>
          <c:order val="86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Analysis!$IY$163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Analysis!$IZ$163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0"/>
          <c:order val="87"/>
          <c:tx>
            <c:strRef>
              <c:f>Analysis!$JT$14</c:f>
              <c:strCache>
                <c:ptCount val="1"/>
                <c:pt idx="0">
                  <c:v>-1993.73 kg-m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Analysis!$JT$13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Analysis!$JU$13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88"/>
          <c:spPr>
            <a:ln w="28575">
              <a:noFill/>
            </a:ln>
          </c:spPr>
          <c:marker>
            <c:symbol val="none"/>
          </c:marker>
          <c:xVal>
            <c:numRef>
              <c:f>Analysis!$JT$262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89"/>
          <c:tx>
            <c:strRef>
              <c:f>Analysis!$JT$261</c:f>
              <c:strCache>
                <c:ptCount val="1"/>
                <c:pt idx="0">
                  <c:v>FALSE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Analysis!$JT$262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90"/>
          <c:tx>
            <c:strRef>
              <c:f>Analysis!$JT$11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Analysis!$JT$12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91"/>
          <c:tx>
            <c:strRef>
              <c:f>Analysis!$JT$264</c:f>
              <c:strCache>
                <c:ptCount val="1"/>
                <c:pt idx="0">
                  <c:v>-1093.50 kg-m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Analysis!$JT$263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92"/>
          <c:spPr>
            <a:ln w="28575">
              <a:noFill/>
            </a:ln>
          </c:spPr>
          <c:marker>
            <c:symbol val="none"/>
          </c:marker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6"/>
          <c:order val="93"/>
          <c:spPr>
            <a:ln w="28575">
              <a:noFill/>
            </a:ln>
          </c:spPr>
          <c:marker>
            <c:symbol val="none"/>
          </c:marker>
          <c:xVal>
            <c:numRef>
              <c:f>Analysis!$IV$13:$IV$17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Analysis!$IW$13:$IW$17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7"/>
          <c:order val="94"/>
          <c:spPr>
            <a:ln w="28575">
              <a:noFill/>
            </a:ln>
          </c:spPr>
          <c:marker>
            <c:symbol val="none"/>
          </c:marker>
          <c:xVal>
            <c:numRef>
              <c:f>Analysis!$IV$23:$IV$27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Analysis!$IW$23:$IW$27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8"/>
          <c:order val="95"/>
          <c:spPr>
            <a:ln w="28575">
              <a:noFill/>
            </a:ln>
          </c:spPr>
          <c:marker>
            <c:symbol val="none"/>
          </c:marker>
          <c:xVal>
            <c:numRef>
              <c:f>Analysis!$IV$33:$IV$37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</c:numCache>
            </c:numRef>
          </c:xVal>
          <c:yVal>
            <c:numRef>
              <c:f>Analysis!$IW$33:$IW$37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9"/>
          <c:order val="96"/>
          <c:spPr>
            <a:ln w="28575">
              <a:noFill/>
            </a:ln>
          </c:spPr>
          <c:marker>
            <c:symbol val="none"/>
          </c:marker>
          <c:xVal>
            <c:numRef>
              <c:f>Analysis!$IV$43:$IV$47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Analysis!$IW$43:$IW$47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0"/>
          <c:order val="97"/>
          <c:spPr>
            <a:ln w="28575">
              <a:noFill/>
            </a:ln>
          </c:spPr>
          <c:marker>
            <c:symbol val="none"/>
          </c:marker>
          <c:xVal>
            <c:numRef>
              <c:f>Analysis!$IV$53:$IV$57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Analysis!$IW$53:$IW$57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"/>
          <c:order val="98"/>
          <c:spPr>
            <a:ln w="28575">
              <a:noFill/>
            </a:ln>
          </c:spPr>
          <c:marker>
            <c:symbol val="none"/>
          </c:marker>
          <c:xVal>
            <c:numRef>
              <c:f>Analysis!$IV$63:$IV$67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</c:numCache>
            </c:numRef>
          </c:xVal>
          <c:yVal>
            <c:numRef>
              <c:f>Analysis!$IW$63:$IW$67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2"/>
          <c:order val="99"/>
          <c:spPr>
            <a:ln w="28575">
              <a:noFill/>
            </a:ln>
          </c:spPr>
          <c:marker>
            <c:symbol val="none"/>
          </c:marker>
          <c:xVal>
            <c:numRef>
              <c:f>Analysis!$IV$73:$IV$77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Analysis!$IW$73:$IW$77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3"/>
          <c:order val="100"/>
          <c:spPr>
            <a:ln w="28575">
              <a:noFill/>
            </a:ln>
          </c:spPr>
          <c:marker>
            <c:symbol val="none"/>
          </c:marker>
          <c:xVal>
            <c:numRef>
              <c:f>Analysis!$IV$83:$IV$87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Analysis!$IW$83:$IW$87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4"/>
          <c:order val="101"/>
          <c:spPr>
            <a:ln w="28575">
              <a:noFill/>
            </a:ln>
          </c:spPr>
          <c:marker>
            <c:symbol val="none"/>
          </c:marker>
          <c:xVal>
            <c:numRef>
              <c:f>Analysis!$IV$93:$IV$97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Analysis!$IW$93:$IW$97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5"/>
          <c:order val="102"/>
          <c:spPr>
            <a:ln w="28575">
              <a:noFill/>
            </a:ln>
          </c:spPr>
          <c:marker>
            <c:symbol val="none"/>
          </c:marker>
          <c:xVal>
            <c:numRef>
              <c:f>Analysis!$IV$103:$IV$107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Analysis!$IW$103:$IW$107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6"/>
          <c:order val="103"/>
          <c:spPr>
            <a:ln w="28575">
              <a:noFill/>
            </a:ln>
          </c:spPr>
          <c:marker>
            <c:symbol val="none"/>
          </c:marker>
          <c:xVal>
            <c:numRef>
              <c:f>Analysis!$IV$113:$IV$117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Analysis!$IW$113:$IW$117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7"/>
          <c:order val="104"/>
          <c:spPr>
            <a:ln w="28575">
              <a:noFill/>
            </a:ln>
          </c:spPr>
          <c:marker>
            <c:symbol val="none"/>
          </c:marker>
          <c:xVal>
            <c:numRef>
              <c:f>Analysis!$IV$123:$IV$127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Analysis!$IW$123:$IW$127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8"/>
          <c:order val="105"/>
          <c:spPr>
            <a:ln w="28575">
              <a:noFill/>
            </a:ln>
          </c:spPr>
          <c:marker>
            <c:symbol val="none"/>
          </c:marker>
          <c:xVal>
            <c:numRef>
              <c:f>Analysis!$IV$133:$IV$137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Analysis!$IW$133:$IW$137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9"/>
          <c:order val="106"/>
          <c:spPr>
            <a:ln w="28575">
              <a:noFill/>
            </a:ln>
          </c:spPr>
          <c:marker>
            <c:symbol val="none"/>
          </c:marker>
          <c:xVal>
            <c:numRef>
              <c:f>Analysis!$IV$143:$IV$147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Analysis!$IW$143:$IW$147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0"/>
          <c:order val="107"/>
          <c:spPr>
            <a:ln w="28575">
              <a:noFill/>
            </a:ln>
          </c:spPr>
          <c:marker>
            <c:symbol val="none"/>
          </c:marker>
          <c:xVal>
            <c:numRef>
              <c:f>Analysis!$IV$153:$IV$157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Analysis!$IW$153:$IW$157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1"/>
          <c:order val="108"/>
          <c:spPr>
            <a:ln w="28575">
              <a:noFill/>
            </a:ln>
          </c:spPr>
          <c:marker>
            <c:symbol val="none"/>
          </c:marker>
          <c:xVal>
            <c:numRef>
              <c:f>Analysis!$IV$163:$IV$167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Analysis!$IW$163:$IW$167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2"/>
          <c:order val="109"/>
          <c:spPr>
            <a:ln w="28575">
              <a:noFill/>
            </a:ln>
          </c:spPr>
          <c:marker>
            <c:symbol val="none"/>
          </c:marker>
          <c:xVal>
            <c:numRef>
              <c:f>Analysis!$IV$173:$IV$177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Analysis!$IW$173:$IW$177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3"/>
          <c:order val="110"/>
          <c:spPr>
            <a:ln w="28575">
              <a:noFill/>
            </a:ln>
          </c:spPr>
          <c:marker>
            <c:symbol val="none"/>
          </c:marker>
          <c:xVal>
            <c:numRef>
              <c:f>Analysis!$IV$183:$IV$187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Analysis!$IW$183:$IW$187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4"/>
          <c:order val="111"/>
          <c:spPr>
            <a:ln w="28575">
              <a:noFill/>
            </a:ln>
          </c:spPr>
          <c:marker>
            <c:symbol val="none"/>
          </c:marker>
          <c:xVal>
            <c:numRef>
              <c:f>Analysis!$IV$193:$IV$197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Analysis!$IW$193:$IW$197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5"/>
          <c:order val="112"/>
          <c:spPr>
            <a:ln w="28575">
              <a:noFill/>
            </a:ln>
          </c:spPr>
          <c:marker>
            <c:symbol val="none"/>
          </c:marker>
          <c:xVal>
            <c:numRef>
              <c:f>Analysis!$IV$203:$IV$207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Analysis!$IW$203:$IW$207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6"/>
          <c:order val="113"/>
          <c:spPr>
            <a:ln w="28575">
              <a:noFill/>
            </a:ln>
          </c:spPr>
          <c:marker>
            <c:symbol val="none"/>
          </c:marker>
          <c:xVal>
            <c:numRef>
              <c:f>Analysis!$IV$213:$IV$217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Analysis!$IW$213:$IW$217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7"/>
          <c:order val="114"/>
          <c:spPr>
            <a:ln w="28575">
              <a:noFill/>
            </a:ln>
          </c:spPr>
          <c:marker>
            <c:symbol val="none"/>
          </c:marker>
          <c:xVal>
            <c:numRef>
              <c:f>Analysis!$IV$223:$IV$227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Analysis!$IW$223:$IW$227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6"/>
          <c:order val="115"/>
          <c:spPr>
            <a:ln w="28575">
              <a:noFill/>
            </a:ln>
          </c:spPr>
          <c:marker>
            <c:symbol val="none"/>
          </c:marker>
          <c:xVal>
            <c:numRef>
              <c:f>Analysis!$IV$233:$IV$237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Analysis!$IW$233:$IW$237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7"/>
          <c:order val="116"/>
          <c:spPr>
            <a:ln w="28575">
              <a:noFill/>
            </a:ln>
          </c:spPr>
          <c:marker>
            <c:symbol val="none"/>
          </c:marker>
          <c:xVal>
            <c:numRef>
              <c:f>Analysis!$IV$243:$IV$247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Analysis!$IW$243:$IW$247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8"/>
          <c:order val="117"/>
          <c:spPr>
            <a:ln w="28575">
              <a:noFill/>
            </a:ln>
          </c:spPr>
          <c:marker>
            <c:symbol val="none"/>
          </c:marker>
          <c:xVal>
            <c:numRef>
              <c:f>Analysis!$IV$253:$IV$257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Analysis!$IW$253:$IW$257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2"/>
          <c:order val="118"/>
          <c:spPr>
            <a:ln w="28575">
              <a:noFill/>
            </a:ln>
          </c:spPr>
          <c:marker>
            <c:symbol val="none"/>
          </c:marker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3"/>
          <c:order val="119"/>
          <c:spPr>
            <a:ln w="28575">
              <a:noFill/>
            </a:ln>
          </c:spPr>
          <c:marker>
            <c:symbol val="none"/>
          </c:marker>
          <c:xVal>
            <c:numRef>
              <c:f>Analysis!$JE$13:$JE$14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Analysis!$JF$13:$JF$14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14"/>
          <c:order val="120"/>
          <c:spPr>
            <a:ln w="28575">
              <a:noFill/>
            </a:ln>
          </c:spPr>
          <c:marker>
            <c:symbol val="none"/>
          </c:marker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5"/>
          <c:order val="121"/>
          <c:spPr>
            <a:ln w="28575">
              <a:noFill/>
            </a:ln>
          </c:spPr>
          <c:marker>
            <c:symbol val="none"/>
          </c:marker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6"/>
          <c:order val="122"/>
          <c:spPr>
            <a:ln w="28575">
              <a:noFill/>
            </a:ln>
          </c:spPr>
          <c:marker>
            <c:symbol val="none"/>
          </c:marker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7"/>
          <c:order val="123"/>
          <c:tx>
            <c:strRef>
              <c:f>Analysis!$IY$5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8"/>
          <c:order val="124"/>
          <c:tx>
            <c:strRef>
              <c:f>Analysis!$IY$8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9"/>
          <c:order val="125"/>
          <c:tx>
            <c:strRef>
              <c:f>Analysis!$IY$11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0"/>
          <c:order val="126"/>
          <c:spPr>
            <a:ln w="28575">
              <a:noFill/>
            </a:ln>
          </c:spPr>
          <c:marker>
            <c:symbol val="none"/>
          </c:marker>
          <c:xVal>
            <c:numRef>
              <c:f>Analysis!$JE$11:$JE$12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Analysis!$JF$11:$JF$12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21"/>
          <c:order val="127"/>
          <c:spPr>
            <a:ln w="28575">
              <a:noFill/>
            </a:ln>
          </c:spPr>
          <c:marker>
            <c:symbol val="none"/>
          </c:marker>
          <c:xVal>
            <c:numRef>
              <c:f>Analysis!$JE$263:$JE$264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Analysis!$JF$263:$JF$264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22"/>
          <c:order val="128"/>
          <c:tx>
            <c:strRef>
              <c:f>Analysis!$JW$4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23"/>
          <c:order val="129"/>
          <c:tx>
            <c:strRef>
              <c:f>Analysis!$JW$14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Analysis!$JW$13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Analysis!$JX$13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4"/>
          <c:order val="130"/>
          <c:tx>
            <c:strRef>
              <c:f>Analysis!$JW$24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Analysis!$JW$23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Analysis!$JX$23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5"/>
          <c:order val="131"/>
          <c:tx>
            <c:strRef>
              <c:f>Analysis!$JW$34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Analysis!$JW$33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Analysis!$JX$33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6"/>
          <c:order val="132"/>
          <c:tx>
            <c:strRef>
              <c:f>Analysis!$JW$44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Analysis!$JW$43</c:f>
              <c:numCache>
                <c:formatCode>0.00</c:formatCode>
                <c:ptCount val="1"/>
                <c:pt idx="0">
                  <c:v>14</c:v>
                </c:pt>
              </c:numCache>
            </c:numRef>
          </c:xVal>
          <c:yVal>
            <c:numRef>
              <c:f>Analysis!$JX$43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7"/>
          <c:order val="133"/>
          <c:tx>
            <c:strRef>
              <c:f>Analysis!$JW$54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Analysis!$JW$53</c:f>
              <c:numCache>
                <c:formatCode>0.00</c:formatCode>
                <c:ptCount val="1"/>
                <c:pt idx="0">
                  <c:v>18</c:v>
                </c:pt>
              </c:numCache>
            </c:numRef>
          </c:xVal>
          <c:yVal>
            <c:numRef>
              <c:f>Analysis!$JX$53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8"/>
          <c:order val="134"/>
          <c:tx>
            <c:strRef>
              <c:f>Analysis!$JW$64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Analysis!$JW$63</c:f>
              <c:numCache>
                <c:formatCode>0.00</c:formatCode>
                <c:ptCount val="1"/>
                <c:pt idx="0">
                  <c:v>22</c:v>
                </c:pt>
              </c:numCache>
            </c:numRef>
          </c:xVal>
          <c:yVal>
            <c:numRef>
              <c:f>Analysis!$JX$63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9"/>
          <c:order val="135"/>
          <c:tx>
            <c:strRef>
              <c:f>Analysis!$JW$74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Analysis!$JW$73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Analysis!$JX$73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0"/>
          <c:order val="136"/>
          <c:tx>
            <c:strRef>
              <c:f>Analysis!$JW$84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Analysis!$JX$83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1"/>
          <c:order val="137"/>
          <c:tx>
            <c:strRef>
              <c:f>Analysis!$JW$94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Analysis!$JX$93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2"/>
          <c:order val="138"/>
          <c:tx>
            <c:strRef>
              <c:f>Analysis!$JW$104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Analysis!$JX$103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3"/>
          <c:order val="139"/>
          <c:tx>
            <c:strRef>
              <c:f>Analysis!$JW$114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Analysis!$JX$113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4"/>
          <c:order val="140"/>
          <c:tx>
            <c:strRef>
              <c:f>Analysis!$JW$124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Analysis!$JX$123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0"/>
          <c:order val="141"/>
          <c:tx>
            <c:strRef>
              <c:f>Analysis!$JW$134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Analysis!$JX$133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1"/>
          <c:order val="142"/>
          <c:tx>
            <c:strRef>
              <c:f>Analysis!$JW$144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Analysis!$JX$143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2"/>
          <c:order val="143"/>
          <c:tx>
            <c:strRef>
              <c:f>Analysis!$JW$154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Analysis!$JX$153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3"/>
          <c:order val="144"/>
          <c:tx>
            <c:strRef>
              <c:f>Analysis!$JW$164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Analysis!$JX$163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4"/>
          <c:order val="145"/>
          <c:tx>
            <c:strRef>
              <c:f>Analysis!$JW$174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Analysis!$JX$173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5"/>
          <c:order val="146"/>
          <c:tx>
            <c:strRef>
              <c:f>Analysis!$JW$184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Analysis!$JX$183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6"/>
          <c:order val="147"/>
          <c:tx>
            <c:strRef>
              <c:f>Analysis!$JW$194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Analysis!$JX$193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7"/>
          <c:order val="148"/>
          <c:tx>
            <c:strRef>
              <c:f>Analysis!$JW$204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Analysis!$JX$203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8"/>
          <c:order val="149"/>
          <c:tx>
            <c:strRef>
              <c:f>Analysis!$JW$214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Analysis!$JX$213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9"/>
          <c:order val="150"/>
          <c:tx>
            <c:strRef>
              <c:f>Analysis!$JW$224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Analysis!$JX$223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0"/>
          <c:order val="151"/>
          <c:tx>
            <c:strRef>
              <c:f>Analysis!$JW$234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Analysis!$JX$233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1"/>
          <c:order val="152"/>
          <c:tx>
            <c:strRef>
              <c:f>Analysis!$JW$244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Analysis!$JX$243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2"/>
          <c:order val="153"/>
          <c:tx>
            <c:strRef>
              <c:f>Analysis!$JW$254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Analysis!$JX$253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3"/>
          <c:order val="154"/>
          <c:tx>
            <c:strRef>
              <c:f>Analysis!$JW$264</c:f>
              <c:strCache>
                <c:ptCount val="1"/>
                <c:pt idx="0">
                  <c:v>R0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spPr>
                <a:solidFill>
                  <a:schemeClr val="accent3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chemeClr val="accent4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Analysis!$JW$263</c:f>
              <c:numCache>
                <c:formatCode>0.00</c:formatCode>
                <c:ptCount val="1"/>
                <c:pt idx="0">
                  <c:v>24.75</c:v>
                </c:pt>
              </c:numCache>
            </c:numRef>
          </c:xVal>
          <c:yVal>
            <c:numRef>
              <c:f>Analysis!$JX$263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01856"/>
        <c:axId val="116402432"/>
      </c:scatterChart>
      <c:valAx>
        <c:axId val="116401856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nextTo"/>
        <c:crossAx val="116402432"/>
        <c:crosses val="autoZero"/>
        <c:crossBetween val="midCat"/>
        <c:majorUnit val="1"/>
      </c:valAx>
      <c:valAx>
        <c:axId val="116402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401856"/>
        <c:crosses val="autoZero"/>
        <c:crossBetween val="midCat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u="none">
                <a:solidFill>
                  <a:srgbClr val="FF0000"/>
                </a:solidFill>
              </a:defRPr>
            </a:pPr>
            <a:r>
              <a:rPr lang="en-US" sz="800" b="0" u="none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</a:t>
            </a:r>
            <a:r>
              <a:rPr lang="en-US" sz="800" b="0" u="none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(kg)     </a:t>
            </a: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SFD</a:t>
            </a:r>
          </a:p>
        </c:rich>
      </c:tx>
      <c:layout>
        <c:manualLayout>
          <c:xMode val="edge"/>
          <c:yMode val="edge"/>
          <c:x val="0.94979151112814719"/>
          <c:y val="0.855371240938272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Analysis!$IC$13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Analysis!$ID$13:$ID$22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</c:numCache>
            </c:numRef>
          </c:xVal>
          <c:yVal>
            <c:numRef>
              <c:f>Analysis!$IG$13:$IG$22</c:f>
              <c:numCache>
                <c:formatCode>General</c:formatCode>
                <c:ptCount val="10"/>
                <c:pt idx="0">
                  <c:v>0</c:v>
                </c:pt>
                <c:pt idx="1">
                  <c:v>2927.2959237370465</c:v>
                </c:pt>
                <c:pt idx="2">
                  <c:v>2927.2959237370465</c:v>
                </c:pt>
                <c:pt idx="3">
                  <c:v>2927.2959237370465</c:v>
                </c:pt>
                <c:pt idx="4">
                  <c:v>2927.2959237370465</c:v>
                </c:pt>
                <c:pt idx="5">
                  <c:v>2927.2959237370465</c:v>
                </c:pt>
                <c:pt idx="6">
                  <c:v>2927.2959237370465</c:v>
                </c:pt>
                <c:pt idx="7">
                  <c:v>2927.2959237370465</c:v>
                </c:pt>
                <c:pt idx="8">
                  <c:v>-2800.7040762629535</c:v>
                </c:pt>
                <c:pt idx="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Analysis!$IC$23</c:f>
              <c:strCache>
                <c:ptCount val="1"/>
                <c:pt idx="0">
                  <c:v>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Analysis!$ID$23:$ID$32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Analysis!$IG$23:$IG$32</c:f>
              <c:numCache>
                <c:formatCode>General</c:formatCode>
                <c:ptCount val="10"/>
                <c:pt idx="0">
                  <c:v>0</c:v>
                </c:pt>
                <c:pt idx="1">
                  <c:v>2674.1122287888602</c:v>
                </c:pt>
                <c:pt idx="2">
                  <c:v>2674.1122287888602</c:v>
                </c:pt>
                <c:pt idx="3">
                  <c:v>2674.1122287888602</c:v>
                </c:pt>
                <c:pt idx="4">
                  <c:v>2674.1122287888602</c:v>
                </c:pt>
                <c:pt idx="5">
                  <c:v>2674.1122287888602</c:v>
                </c:pt>
                <c:pt idx="6">
                  <c:v>2674.1122287888602</c:v>
                </c:pt>
                <c:pt idx="7">
                  <c:v>2674.1122287888602</c:v>
                </c:pt>
                <c:pt idx="8">
                  <c:v>-3053.8877712111398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UL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(Analysis!$IG$3,Analysis!$IG$272)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Analysis!$IC$33</c:f>
              <c:strCache>
                <c:ptCount val="1"/>
                <c:pt idx="0">
                  <c:v>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Analysis!$ID$33:$ID$42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10.5</c:v>
                </c:pt>
                <c:pt idx="5">
                  <c:v>10.5</c:v>
                </c:pt>
                <c:pt idx="6">
                  <c:v>11.5</c:v>
                </c:pt>
                <c:pt idx="7">
                  <c:v>11.5</c:v>
                </c:pt>
                <c:pt idx="8">
                  <c:v>12</c:v>
                </c:pt>
                <c:pt idx="9">
                  <c:v>12</c:v>
                </c:pt>
              </c:numCache>
            </c:numRef>
          </c:xVal>
          <c:yVal>
            <c:numRef>
              <c:f>Analysis!$IG$33:$IG$42</c:f>
              <c:numCache>
                <c:formatCode>General</c:formatCode>
                <c:ptCount val="10"/>
                <c:pt idx="0">
                  <c:v>0</c:v>
                </c:pt>
                <c:pt idx="1">
                  <c:v>3801.9153173575132</c:v>
                </c:pt>
                <c:pt idx="2">
                  <c:v>2829.9153173575132</c:v>
                </c:pt>
                <c:pt idx="3">
                  <c:v>1329.9153173575132</c:v>
                </c:pt>
                <c:pt idx="4">
                  <c:v>-128.08468264248677</c:v>
                </c:pt>
                <c:pt idx="5">
                  <c:v>-1378.0846826424868</c:v>
                </c:pt>
                <c:pt idx="6">
                  <c:v>-2350.0846826424868</c:v>
                </c:pt>
                <c:pt idx="7">
                  <c:v>-3850.0846826424868</c:v>
                </c:pt>
                <c:pt idx="8">
                  <c:v>-4336.0846826424868</c:v>
                </c:pt>
                <c:pt idx="9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Analysis!$IC$43</c:f>
              <c:strCache>
                <c:ptCount val="1"/>
                <c:pt idx="0">
                  <c:v>4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Analysis!$ID$43:$ID$52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</c:numCache>
            </c:numRef>
          </c:xVal>
          <c:yVal>
            <c:numRef>
              <c:f>Analysis!$IG$43:$IG$52</c:f>
              <c:numCache>
                <c:formatCode>General</c:formatCode>
                <c:ptCount val="10"/>
                <c:pt idx="0">
                  <c:v>0</c:v>
                </c:pt>
                <c:pt idx="1">
                  <c:v>2231.5624392810882</c:v>
                </c:pt>
                <c:pt idx="2">
                  <c:v>2231.5624392810882</c:v>
                </c:pt>
                <c:pt idx="3">
                  <c:v>2231.5624392810882</c:v>
                </c:pt>
                <c:pt idx="4">
                  <c:v>2231.5624392810882</c:v>
                </c:pt>
                <c:pt idx="5">
                  <c:v>2231.5624392810882</c:v>
                </c:pt>
                <c:pt idx="6">
                  <c:v>2231.5624392810882</c:v>
                </c:pt>
                <c:pt idx="7">
                  <c:v>2231.5624392810882</c:v>
                </c:pt>
                <c:pt idx="8">
                  <c:v>-1656.4375607189118</c:v>
                </c:pt>
                <c:pt idx="9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Analysis!$IC$53</c:f>
              <c:strCache>
                <c:ptCount val="1"/>
                <c:pt idx="0">
                  <c:v>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Analysis!$ID$53:$ID$62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20</c:v>
                </c:pt>
              </c:numCache>
            </c:numRef>
          </c:xVal>
          <c:yVal>
            <c:numRef>
              <c:f>Analysis!$IG$53:$IG$62</c:f>
              <c:numCache>
                <c:formatCode>General</c:formatCode>
                <c:ptCount val="10"/>
                <c:pt idx="0">
                  <c:v>0</c:v>
                </c:pt>
                <c:pt idx="1">
                  <c:v>1852.3388317681347</c:v>
                </c:pt>
                <c:pt idx="2">
                  <c:v>1852.3388317681347</c:v>
                </c:pt>
                <c:pt idx="3">
                  <c:v>1852.3388317681347</c:v>
                </c:pt>
                <c:pt idx="4">
                  <c:v>1852.3388317681347</c:v>
                </c:pt>
                <c:pt idx="5">
                  <c:v>1852.3388317681347</c:v>
                </c:pt>
                <c:pt idx="6">
                  <c:v>1852.3388317681347</c:v>
                </c:pt>
                <c:pt idx="7">
                  <c:v>1852.3388317681347</c:v>
                </c:pt>
                <c:pt idx="8">
                  <c:v>-2035.6611682318653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Analysis!$IC$63</c:f>
              <c:strCache>
                <c:ptCount val="1"/>
                <c:pt idx="0">
                  <c:v>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Analysis!$ID$63:$ID$72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</c:numCache>
            </c:numRef>
          </c:xVal>
          <c:yVal>
            <c:numRef>
              <c:f>Analysis!$IG$63:$IG$72</c:f>
              <c:numCache>
                <c:formatCode>General</c:formatCode>
                <c:ptCount val="10"/>
                <c:pt idx="0">
                  <c:v>0</c:v>
                </c:pt>
                <c:pt idx="1">
                  <c:v>2023.082233646373</c:v>
                </c:pt>
                <c:pt idx="2">
                  <c:v>2023.082233646373</c:v>
                </c:pt>
                <c:pt idx="3">
                  <c:v>2023.082233646373</c:v>
                </c:pt>
                <c:pt idx="4">
                  <c:v>2023.082233646373</c:v>
                </c:pt>
                <c:pt idx="5">
                  <c:v>2023.082233646373</c:v>
                </c:pt>
                <c:pt idx="6">
                  <c:v>2023.082233646373</c:v>
                </c:pt>
                <c:pt idx="7">
                  <c:v>2023.082233646373</c:v>
                </c:pt>
                <c:pt idx="8">
                  <c:v>-1864.917766353627</c:v>
                </c:pt>
                <c:pt idx="9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Analysis!$IC$73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Analysis!$ID$73:$ID$82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Analysis!$IG$73:$IG$82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Analysis!$IC$83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Analysis!$ID$83:$ID$92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Analysis!$IG$83:$IG$92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Analysis!$IC$93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Analysis!$ID$93:$ID$102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Analysis!$IG$93:$IG$102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Analysis!$IC$103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Analysis!$ID$103:$ID$112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Analysis!$IG$103:$IG$112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Analysis!$IC$113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Analysis!$ID$113:$ID$122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Analysis!$IG$113:$IG$122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Analysis!$IC$123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Analysis!$ID$123:$ID$132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Analysis!$IG$123:$IG$132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Analysis!$IC$133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Analysis!$ID$133:$ID$142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Analysis!$IG$133:$IG$142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Analysis!$IC$143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Analysis!$ID$143:$ID$152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Analysis!$IG$143:$IG$152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Analysis!$IC$153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Analysis!$ID$153:$ID$162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Analysis!$IG$153:$IG$162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Analysis!$IC$163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Analysis!$ID$163:$ID$172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Analysis!$IG$163:$IG$172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Analysis!$IC$173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Analysis!$ID$173:$ID$182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Analysis!$IG$173:$IG$182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Analysis!$IC$183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Analysis!$ID$183:$ID$192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Analysis!$IG$183:$IG$192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Analysis!$IC$193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Analysis!$ID$193:$ID$202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Analysis!$IG$193:$IG$202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Analysis!$IC$203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Analysis!$ID$203:$ID$212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Analysis!$IG$203:$IG$212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Analysis!$IC$213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Analysis!$ID$213:$ID$222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Analysis!$IG$213:$IG$222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Analysis!$IC$223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Analysis!$ID$223:$ID$232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Analysis!$IG$223:$IG$232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Analysis!$IC$233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Analysis!$ID$233:$ID$242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Analysis!$IG$233:$IG$242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Analysis!$IC$243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Analysis!$ID$243:$ID$252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Analysis!$IG$243:$IG$252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Analysis!$IC$253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Pt>
            <c:idx val="8"/>
            <c:bubble3D val="0"/>
          </c:dPt>
          <c:dLbls>
            <c:dLbl>
              <c:idx val="0"/>
              <c:delete val="1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Analysis!$ID$253:$ID$262</c:f>
              <c:numCache>
                <c:formatCode>General</c:formatCode>
                <c:ptCount val="10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25.5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Analysis!$IG$253:$IG$262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Analysis!$IC$3</c:f>
              <c:strCache>
                <c:ptCount val="1"/>
                <c:pt idx="0">
                  <c:v>-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8"/>
            <c:bubble3D val="0"/>
          </c:dPt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Analysis!$ID$3:$ID$12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Analysis!$IG$3:$IG$12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Analysis!$IC$263</c:f>
              <c:strCache>
                <c:ptCount val="1"/>
                <c:pt idx="0">
                  <c:v>R0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Analysis!$ID$263:$ID$272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25.5</c:v>
                </c:pt>
                <c:pt idx="9">
                  <c:v>25.5</c:v>
                </c:pt>
              </c:numCache>
            </c:numRef>
          </c:xVal>
          <c:yVal>
            <c:numRef>
              <c:f>Analysis!$IG$263:$IG$272</c:f>
              <c:numCache>
                <c:formatCode>General</c:formatCode>
                <c:ptCount val="10"/>
                <c:pt idx="0">
                  <c:v>0</c:v>
                </c:pt>
                <c:pt idx="1">
                  <c:v>1458</c:v>
                </c:pt>
                <c:pt idx="2">
                  <c:v>1458</c:v>
                </c:pt>
                <c:pt idx="3">
                  <c:v>1458</c:v>
                </c:pt>
                <c:pt idx="4">
                  <c:v>1458</c:v>
                </c:pt>
                <c:pt idx="5">
                  <c:v>1458</c:v>
                </c:pt>
                <c:pt idx="6">
                  <c:v>1458</c:v>
                </c:pt>
                <c:pt idx="7">
                  <c:v>1458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8"/>
          <c:order val="2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Analysis!$JI$14</c:f>
              <c:numCache>
                <c:formatCode>General</c:formatCode>
                <c:ptCount val="1"/>
                <c:pt idx="0">
                  <c:v>2927.2959237370465</c:v>
                </c:pt>
              </c:numCache>
            </c:numRef>
          </c:yVal>
          <c:smooth val="0"/>
        </c:ser>
        <c:ser>
          <c:idx val="29"/>
          <c:order val="2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Analysis!$JI$21</c:f>
              <c:numCache>
                <c:formatCode>General</c:formatCode>
                <c:ptCount val="1"/>
                <c:pt idx="0">
                  <c:v>-2800.7040762629535</c:v>
                </c:pt>
              </c:numCache>
            </c:numRef>
          </c:yVal>
          <c:smooth val="0"/>
        </c:ser>
        <c:ser>
          <c:idx val="30"/>
          <c:order val="3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Analysis!$JI$24</c:f>
              <c:numCache>
                <c:formatCode>General</c:formatCode>
                <c:ptCount val="1"/>
                <c:pt idx="0">
                  <c:v>2674.1122287888602</c:v>
                </c:pt>
              </c:numCache>
            </c:numRef>
          </c:yVal>
          <c:smooth val="0"/>
        </c:ser>
        <c:ser>
          <c:idx val="31"/>
          <c:order val="3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Analysis!$JH$31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Analysis!$JI$31</c:f>
              <c:numCache>
                <c:formatCode>General</c:formatCode>
                <c:ptCount val="1"/>
                <c:pt idx="0">
                  <c:v>-3053.8877712111398</c:v>
                </c:pt>
              </c:numCache>
            </c:numRef>
          </c:yVal>
          <c:smooth val="0"/>
        </c:ser>
        <c:ser>
          <c:idx val="32"/>
          <c:order val="3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Analysis!$JH$34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Analysis!$JI$34</c:f>
              <c:numCache>
                <c:formatCode>General</c:formatCode>
                <c:ptCount val="1"/>
                <c:pt idx="0">
                  <c:v>3801.9153173575132</c:v>
                </c:pt>
              </c:numCache>
            </c:numRef>
          </c:yVal>
          <c:smooth val="0"/>
        </c:ser>
        <c:ser>
          <c:idx val="33"/>
          <c:order val="3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Analysis!$JH$41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Analysis!$JI$41</c:f>
              <c:numCache>
                <c:formatCode>General</c:formatCode>
                <c:ptCount val="1"/>
                <c:pt idx="0">
                  <c:v>-4336.0846826424868</c:v>
                </c:pt>
              </c:numCache>
            </c:numRef>
          </c:yVal>
          <c:smooth val="0"/>
        </c:ser>
        <c:ser>
          <c:idx val="34"/>
          <c:order val="3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Analysis!$JH$44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Analysis!$JI$44</c:f>
              <c:numCache>
                <c:formatCode>General</c:formatCode>
                <c:ptCount val="1"/>
                <c:pt idx="0">
                  <c:v>2231.5624392810882</c:v>
                </c:pt>
              </c:numCache>
            </c:numRef>
          </c:yVal>
          <c:smooth val="0"/>
        </c:ser>
        <c:ser>
          <c:idx val="35"/>
          <c:order val="3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Analysis!$JH$51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Analysis!$JI$51</c:f>
              <c:numCache>
                <c:formatCode>General</c:formatCode>
                <c:ptCount val="1"/>
                <c:pt idx="0">
                  <c:v>-1656.4375607189118</c:v>
                </c:pt>
              </c:numCache>
            </c:numRef>
          </c:yVal>
          <c:smooth val="0"/>
        </c:ser>
        <c:ser>
          <c:idx val="36"/>
          <c:order val="3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Analysis!$JH$54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Analysis!$JI$54</c:f>
              <c:numCache>
                <c:formatCode>General</c:formatCode>
                <c:ptCount val="1"/>
                <c:pt idx="0">
                  <c:v>1852.3388317681347</c:v>
                </c:pt>
              </c:numCache>
            </c:numRef>
          </c:yVal>
          <c:smooth val="0"/>
        </c:ser>
        <c:ser>
          <c:idx val="37"/>
          <c:order val="3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Analysis!$JI$61</c:f>
              <c:numCache>
                <c:formatCode>General</c:formatCode>
                <c:ptCount val="1"/>
                <c:pt idx="0">
                  <c:v>-2035.6611682318653</c:v>
                </c:pt>
              </c:numCache>
            </c:numRef>
          </c:yVal>
          <c:smooth val="0"/>
        </c:ser>
        <c:ser>
          <c:idx val="38"/>
          <c:order val="3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Analysis!$JH$64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Analysis!$JI$64</c:f>
              <c:numCache>
                <c:formatCode>General</c:formatCode>
                <c:ptCount val="1"/>
                <c:pt idx="0">
                  <c:v>2023.082233646373</c:v>
                </c:pt>
              </c:numCache>
            </c:numRef>
          </c:yVal>
          <c:smooth val="0"/>
        </c:ser>
        <c:ser>
          <c:idx val="39"/>
          <c:order val="3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Analysis!$JH$71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Analysis!$JI$71</c:f>
              <c:numCache>
                <c:formatCode>General</c:formatCode>
                <c:ptCount val="1"/>
                <c:pt idx="0">
                  <c:v>-1864.917766353627</c:v>
                </c:pt>
              </c:numCache>
            </c:numRef>
          </c:yVal>
          <c:smooth val="0"/>
        </c:ser>
        <c:ser>
          <c:idx val="40"/>
          <c:order val="4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Analysis!$JH$74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Analysis!$JI$74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1"/>
          <c:order val="4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Analysis!$JI$81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2"/>
          <c:order val="4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Analysis!$JH$84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Analysis!$JI$84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3"/>
          <c:order val="4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4"/>
          <c:order val="4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Analysis!$JH$94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Analysis!$JI$94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5"/>
          <c:order val="4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6"/>
          <c:order val="4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Analysis!$JH$104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Analysis!$JI$104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7"/>
          <c:order val="4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8"/>
          <c:order val="48"/>
          <c:marker>
            <c:symbol val="none"/>
          </c:marker>
          <c:dPt>
            <c:idx val="0"/>
            <c:marker>
              <c:symbol val="circle"/>
              <c:size val="8"/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Analysis!$JH$114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9"/>
          <c:order val="4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0"/>
          <c:order val="5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Analysis!$JH$124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1"/>
          <c:order val="5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2"/>
          <c:order val="5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Analysis!$JH$134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Analysis!$JI$134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3"/>
          <c:order val="5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4"/>
          <c:order val="5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Analysis!$JH$144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5"/>
          <c:order val="5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6"/>
          <c:order val="5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Analysis!$JH$154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Analysis!$JI$154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7"/>
          <c:order val="5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Analysis!$JI$161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8"/>
          <c:order val="5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Analysis!$JH$164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Analysis!$JI$164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9"/>
          <c:order val="5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0"/>
          <c:order val="6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Analysis!$JH$174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Analysis!$JI$174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1"/>
          <c:order val="6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Analysis!$JI$181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2"/>
          <c:order val="6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Analysis!$JH$184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Analysis!$JI$184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3"/>
          <c:order val="6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4"/>
          <c:order val="6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Analysis!$JH$194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Analysis!$JI$194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5"/>
          <c:order val="6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Analysis!$JI$201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6"/>
          <c:order val="6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Analysis!$JH$204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7"/>
          <c:order val="6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8"/>
          <c:order val="6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Analysis!$JH$214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9"/>
          <c:order val="6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0"/>
          <c:order val="7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Analysis!$JH$224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1"/>
          <c:order val="7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2"/>
          <c:order val="7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Analysis!$JH$234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Analysis!$JI$234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3"/>
          <c:order val="7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Analysis!$JI$241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4"/>
          <c:order val="7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Analysis!$JH$244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Analysis!$JI$244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5"/>
          <c:order val="7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Analysis!$JI$251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6"/>
          <c:order val="7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Analysis!$JH$254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Analysis!$JI$254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7"/>
          <c:order val="7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Analysis!$JI$261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8"/>
          <c:order val="7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Analysis!$JH$264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Analysis!$JI$264</c:f>
              <c:numCache>
                <c:formatCode>General</c:formatCode>
                <c:ptCount val="1"/>
                <c:pt idx="0">
                  <c:v>1458</c:v>
                </c:pt>
              </c:numCache>
            </c:numRef>
          </c:yVal>
          <c:smooth val="0"/>
        </c:ser>
        <c:ser>
          <c:idx val="79"/>
          <c:order val="7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Analysis!$JH$11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0"/>
          <c:order val="80"/>
          <c:tx>
            <c:strRef>
              <c:f>Analysis!$JQ$14</c:f>
              <c:strCache>
                <c:ptCount val="1"/>
                <c:pt idx="0">
                  <c:v>2.044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Analysis!$JQ$13</c:f>
              <c:numCache>
                <c:formatCode>0.00</c:formatCode>
                <c:ptCount val="1"/>
                <c:pt idx="0">
                  <c:v>1.0221005320310916</c:v>
                </c:pt>
              </c:numCache>
            </c:numRef>
          </c:xVal>
          <c:yVal>
            <c:numRef>
              <c:f>Analysis!$JR$13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1"/>
          <c:order val="81"/>
          <c:tx>
            <c:strRef>
              <c:f>Analysis!$JQ$24</c:f>
              <c:strCache>
                <c:ptCount val="1"/>
                <c:pt idx="0">
                  <c:v>1.867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Analysis!$JQ$23</c:f>
              <c:numCache>
                <c:formatCode>0.00</c:formatCode>
                <c:ptCount val="1"/>
                <c:pt idx="0">
                  <c:v>4.9336984039067246</c:v>
                </c:pt>
              </c:numCache>
            </c:numRef>
          </c:xVal>
          <c:yVal>
            <c:numRef>
              <c:f>Analysis!$JR$23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2"/>
          <c:order val="82"/>
          <c:tx>
            <c:strRef>
              <c:f>Analysis!$JQ$34</c:f>
              <c:strCache>
                <c:ptCount val="1"/>
                <c:pt idx="0">
                  <c:v>2.368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Analysis!$JQ$33</c:f>
              <c:numCache>
                <c:formatCode>0.00</c:formatCode>
                <c:ptCount val="1"/>
                <c:pt idx="0">
                  <c:v>9.1841128175707372</c:v>
                </c:pt>
              </c:numCache>
            </c:numRef>
          </c:xVal>
          <c:yVal>
            <c:numRef>
              <c:f>Analysis!$JR$33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3"/>
          <c:order val="83"/>
          <c:tx>
            <c:strRef>
              <c:f>Analysis!$JQ$44</c:f>
              <c:strCache>
                <c:ptCount val="1"/>
                <c:pt idx="0">
                  <c:v>2.296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Analysis!$JQ$43</c:f>
              <c:numCache>
                <c:formatCode>0.00</c:formatCode>
                <c:ptCount val="1"/>
                <c:pt idx="0">
                  <c:v>13.147923065473812</c:v>
                </c:pt>
              </c:numCache>
            </c:numRef>
          </c:xVal>
          <c:yVal>
            <c:numRef>
              <c:f>Analysis!$JR$43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4"/>
          <c:order val="84"/>
          <c:tx>
            <c:strRef>
              <c:f>Analysis!$JQ$54</c:f>
              <c:strCache>
                <c:ptCount val="1"/>
                <c:pt idx="0">
                  <c:v>1.906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Analysis!$JQ$53</c:f>
              <c:numCache>
                <c:formatCode>0.00</c:formatCode>
                <c:ptCount val="1"/>
                <c:pt idx="0">
                  <c:v>16.952849193296366</c:v>
                </c:pt>
              </c:numCache>
            </c:numRef>
          </c:xVal>
          <c:yVal>
            <c:numRef>
              <c:f>Analysis!$JR$53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5"/>
          <c:order val="85"/>
          <c:tx>
            <c:strRef>
              <c:f>Analysis!$JQ$64</c:f>
              <c:strCache>
                <c:ptCount val="1"/>
                <c:pt idx="0">
                  <c:v>2.081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Analysis!$JQ$63</c:f>
              <c:numCache>
                <c:formatCode>0.00</c:formatCode>
                <c:ptCount val="1"/>
                <c:pt idx="0">
                  <c:v>21.040680161340727</c:v>
                </c:pt>
              </c:numCache>
            </c:numRef>
          </c:xVal>
          <c:yVal>
            <c:numRef>
              <c:f>Analysis!$JR$63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6"/>
          <c:order val="86"/>
          <c:tx>
            <c:strRef>
              <c:f>Analysis!$JQ$74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Analysis!$JR$73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7"/>
          <c:order val="87"/>
          <c:tx>
            <c:strRef>
              <c:f>Analysis!$JQ$84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Analysis!$JR$83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8"/>
          <c:order val="88"/>
          <c:tx>
            <c:strRef>
              <c:f>Analysis!$JQ$94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Analysis!$JR$93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89"/>
          <c:order val="89"/>
          <c:tx>
            <c:strRef>
              <c:f>Analysis!$JQ$104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Analysis!$JR$103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0"/>
          <c:order val="90"/>
          <c:tx>
            <c:strRef>
              <c:f>Analysis!$JQ$114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1"/>
          <c:order val="91"/>
          <c:tx>
            <c:strRef>
              <c:f>Analysis!$JQ$124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2"/>
          <c:order val="92"/>
          <c:tx>
            <c:strRef>
              <c:f>Analysis!$JQ$134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3"/>
          <c:order val="93"/>
          <c:tx>
            <c:strRef>
              <c:f>Analysis!$JQ$144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4"/>
          <c:order val="94"/>
          <c:tx>
            <c:strRef>
              <c:f>Analysis!$JQ$154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5"/>
          <c:order val="95"/>
          <c:tx>
            <c:strRef>
              <c:f>Analysis!$JQ$164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Analysis!$JR$163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6"/>
          <c:order val="96"/>
          <c:tx>
            <c:strRef>
              <c:f>Analysis!$JQ$174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Analysis!$JR$173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7"/>
          <c:order val="97"/>
          <c:tx>
            <c:strRef>
              <c:f>Analysis!$JQ$184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Analysis!$JR$183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8"/>
          <c:order val="98"/>
          <c:tx>
            <c:strRef>
              <c:f>Analysis!$JQ$194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Analysis!$JR$193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99"/>
          <c:order val="99"/>
          <c:tx>
            <c:strRef>
              <c:f>Analysis!$JQ$204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Analysis!$JR$203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0"/>
          <c:order val="100"/>
          <c:tx>
            <c:strRef>
              <c:f>Analysis!$JQ$214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Analysis!$JR$213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1"/>
          <c:order val="101"/>
          <c:tx>
            <c:strRef>
              <c:f>Analysis!$JQ$224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Analysis!$JR$223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2"/>
          <c:order val="102"/>
          <c:tx>
            <c:strRef>
              <c:f>Analysis!$JQ$234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Analysis!$JR$233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3"/>
          <c:order val="103"/>
          <c:tx>
            <c:strRef>
              <c:f>Analysis!$JQ$244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Analysis!$JR$243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ser>
          <c:idx val="104"/>
          <c:order val="104"/>
          <c:tx>
            <c:strRef>
              <c:f>Analysis!$JQ$254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600">
                    <a:solidFill>
                      <a:srgbClr val="008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Analysis!$JQ$253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Analysis!$JR$253</c:f>
              <c:numCache>
                <c:formatCode>0.00</c:formatCode>
                <c:ptCount val="1"/>
                <c:pt idx="0">
                  <c:v>-760.38306347150262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04160"/>
        <c:axId val="116404736"/>
      </c:scatterChart>
      <c:valAx>
        <c:axId val="116404160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nextTo"/>
        <c:crossAx val="116404736"/>
        <c:crosses val="autoZero"/>
        <c:crossBetween val="midCat"/>
        <c:majorUnit val="1"/>
      </c:valAx>
      <c:valAx>
        <c:axId val="116404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404160"/>
        <c:crosses val="autoZero"/>
        <c:crossBetween val="midCat"/>
      </c:valAx>
      <c:spPr>
        <a:ln>
          <a:noFill/>
          <a:prstDash val="sysDot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u="none"/>
            </a:pPr>
            <a:r>
              <a:rPr lang="en-US" sz="800" b="0" u="none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 (kg-m)</a:t>
            </a:r>
            <a:r>
              <a:rPr lang="en-US" sz="800" b="0" u="none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    </a:t>
            </a: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BMD</a:t>
            </a:r>
          </a:p>
        </c:rich>
      </c:tx>
      <c:layout>
        <c:manualLayout>
          <c:xMode val="edge"/>
          <c:yMode val="edge"/>
          <c:x val="0.93822672413325769"/>
          <c:y val="0.8553712409382722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6759907407407407E-2"/>
          <c:y val="8.0634920634920712E-2"/>
          <c:w val="0.96792074074074053"/>
          <c:h val="0.83700793650793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Analysis!$IS$17</c:f>
              <c:strCache>
                <c:ptCount val="1"/>
                <c:pt idx="0">
                  <c:v>998.26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Analysis!$IT$13:$IT$17</c:f>
              <c:numCache>
                <c:formatCode>General</c:formatCode>
                <c:ptCount val="5"/>
                <c:pt idx="0">
                  <c:v>0</c:v>
                </c:pt>
                <c:pt idx="1">
                  <c:v>0.51105026601554582</c:v>
                </c:pt>
                <c:pt idx="2">
                  <c:v>1.0221005320310916</c:v>
                </c:pt>
                <c:pt idx="3">
                  <c:v>1.5331507980466375</c:v>
                </c:pt>
                <c:pt idx="4">
                  <c:v>2.0442010640621833</c:v>
                </c:pt>
              </c:numCache>
            </c:numRef>
          </c:xVal>
          <c:yVal>
            <c:numRef>
              <c:f>Analysis!$IS$13:$IS$17</c:f>
              <c:numCache>
                <c:formatCode>0.00</c:formatCode>
                <c:ptCount val="5"/>
                <c:pt idx="0">
                  <c:v>-1993.73</c:v>
                </c:pt>
                <c:pt idx="1">
                  <c:v>-684.73195785052599</c:v>
                </c:pt>
                <c:pt idx="2">
                  <c:v>250.26514248199919</c:v>
                </c:pt>
                <c:pt idx="3">
                  <c:v>811.26340268151489</c:v>
                </c:pt>
                <c:pt idx="4">
                  <c:v>998.26</c:v>
                </c:pt>
              </c:numCache>
            </c:numRef>
          </c:yVal>
          <c:smooth val="1"/>
        </c:ser>
        <c:ser>
          <c:idx val="1"/>
          <c:order val="1"/>
          <c:tx>
            <c:v>UL</c:v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(Analysis!$IG$13,Analysis!$IG$22)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Analysis!$IS$13</c:f>
              <c:strCache>
                <c:ptCount val="1"/>
                <c:pt idx="0">
                  <c:v>-1993.73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(Analysis!$JK$13,Analysis!$JK$13)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(Analysis!$IG$13,Analysis!$IS$13)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-1993.73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Analysis!$IS$21</c:f>
              <c:strCache>
                <c:ptCount val="1"/>
                <c:pt idx="0">
                  <c:v>-1740.54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(Analysis!$IT$21,Analysis!$IT$21)</c:f>
              <c:numCache>
                <c:formatCode>General</c:formatCode>
                <c:ptCount val="2"/>
                <c:pt idx="0">
                  <c:v>4.0000000000000009</c:v>
                </c:pt>
                <c:pt idx="1">
                  <c:v>4.0000000000000009</c:v>
                </c:pt>
              </c:numCache>
            </c:numRef>
          </c:xVal>
          <c:yVal>
            <c:numRef>
              <c:f>(Analysis!$IG$22,Analysis!$IS$21)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-1740.54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Analysis!$IS$27</c:f>
              <c:strCache>
                <c:ptCount val="1"/>
                <c:pt idx="0">
                  <c:v>756.27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Analysis!$IT$23:$IT$27</c:f>
              <c:numCache>
                <c:formatCode>General</c:formatCode>
                <c:ptCount val="5"/>
                <c:pt idx="0">
                  <c:v>4</c:v>
                </c:pt>
                <c:pt idx="1">
                  <c:v>4.4668492019533623</c:v>
                </c:pt>
                <c:pt idx="2">
                  <c:v>4.9336984039067246</c:v>
                </c:pt>
                <c:pt idx="3">
                  <c:v>5.400547605860087</c:v>
                </c:pt>
                <c:pt idx="4">
                  <c:v>5.8673968078134502</c:v>
                </c:pt>
              </c:numCache>
            </c:numRef>
          </c:xVal>
          <c:yVal>
            <c:numRef>
              <c:f>Analysis!$IS$23:$IS$27</c:f>
              <c:numCache>
                <c:formatCode>0.00</c:formatCode>
                <c:ptCount val="5"/>
                <c:pt idx="0">
                  <c:v>-1740.5442033678758</c:v>
                </c:pt>
                <c:pt idx="1">
                  <c:v>-648.18793841704473</c:v>
                </c:pt>
                <c:pt idx="2">
                  <c:v>132.06653654783463</c:v>
                </c:pt>
                <c:pt idx="3">
                  <c:v>600.21922152676211</c:v>
                </c:pt>
                <c:pt idx="4">
                  <c:v>756.27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Analysis!$IS$31</c:f>
              <c:strCache>
                <c:ptCount val="1"/>
                <c:pt idx="0">
                  <c:v>-2500.10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(Analysis!$IT$31,Analysis!$IT$31)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(Analysis!$IG$32,Analysis!$IS$31)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-2500.1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Analysis!$IS$37</c:f>
              <c:strCache>
                <c:ptCount val="1"/>
                <c:pt idx="0">
                  <c:v>1725.63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Analysis!$IT$33:$IT$37</c:f>
              <c:numCache>
                <c:formatCode>General</c:formatCode>
                <c:ptCount val="5"/>
                <c:pt idx="0">
                  <c:v>8</c:v>
                </c:pt>
                <c:pt idx="1">
                  <c:v>8.5920564087853677</c:v>
                </c:pt>
                <c:pt idx="2">
                  <c:v>9.1841128175707372</c:v>
                </c:pt>
                <c:pt idx="3">
                  <c:v>9.7761692263561066</c:v>
                </c:pt>
                <c:pt idx="4">
                  <c:v>10.368225635141474</c:v>
                </c:pt>
              </c:numCache>
            </c:numRef>
          </c:xVal>
          <c:yVal>
            <c:numRef>
              <c:f>Analysis!$IS$33:$IS$37</c:f>
              <c:numCache>
                <c:formatCode>0.00</c:formatCode>
                <c:ptCount val="5"/>
                <c:pt idx="0">
                  <c:v>-2500.0952882124352</c:v>
                </c:pt>
                <c:pt idx="1">
                  <c:v>-419.5049234270009</c:v>
                </c:pt>
                <c:pt idx="2">
                  <c:v>1044.2002859716467</c:v>
                </c:pt>
                <c:pt idx="3">
                  <c:v>1555.2741795176676</c:v>
                </c:pt>
                <c:pt idx="4">
                  <c:v>1725.63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Analysis!$IS$41</c:f>
              <c:strCache>
                <c:ptCount val="1"/>
                <c:pt idx="0">
                  <c:v>-2193.43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(Analysis!$IT$41,Analysis!$IT$41)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(Analysis!$IG$42,Analysis!$IS$41)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-2193.4299999999998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Analysis!$IS$47</c:f>
              <c:strCache>
                <c:ptCount val="1"/>
                <c:pt idx="0">
                  <c:v>368.23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Analysis!$IT$43:$IT$47</c:f>
              <c:numCache>
                <c:formatCode>General</c:formatCode>
                <c:ptCount val="5"/>
                <c:pt idx="0">
                  <c:v>12</c:v>
                </c:pt>
                <c:pt idx="1">
                  <c:v>12.573961532736906</c:v>
                </c:pt>
                <c:pt idx="2">
                  <c:v>13.147923065473812</c:v>
                </c:pt>
                <c:pt idx="3">
                  <c:v>13.721884598210716</c:v>
                </c:pt>
                <c:pt idx="4">
                  <c:v>14.295846130947622</c:v>
                </c:pt>
              </c:numCache>
            </c:numRef>
          </c:xVal>
          <c:yVal>
            <c:numRef>
              <c:f>Analysis!$IS$43:$IS$47</c:f>
              <c:numCache>
                <c:formatCode>0.00</c:formatCode>
                <c:ptCount val="5"/>
                <c:pt idx="0">
                  <c:v>-2193.4340187823832</c:v>
                </c:pt>
                <c:pt idx="1">
                  <c:v>-1072.7068954904873</c:v>
                </c:pt>
                <c:pt idx="2">
                  <c:v>-272.18752171056167</c:v>
                </c:pt>
                <c:pt idx="3">
                  <c:v>208.12410255739314</c:v>
                </c:pt>
                <c:pt idx="4">
                  <c:v>368.23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Analysis!$IS$51</c:f>
              <c:strCache>
                <c:ptCount val="1"/>
                <c:pt idx="0">
                  <c:v>-1043.18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(Analysis!$IT$51,Analysis!$IT$51)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(Analysis!$IG$52,Analysis!$IS$51)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-1043.18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Analysis!$IS$57</c:f>
              <c:strCache>
                <c:ptCount val="1"/>
                <c:pt idx="0">
                  <c:v>721.82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Analysis!$IT$53:$IT$57</c:f>
              <c:numCache>
                <c:formatCode>General</c:formatCode>
                <c:ptCount val="5"/>
                <c:pt idx="0">
                  <c:v>16</c:v>
                </c:pt>
                <c:pt idx="1">
                  <c:v>16.476424596648183</c:v>
                </c:pt>
                <c:pt idx="2">
                  <c:v>16.952849193296366</c:v>
                </c:pt>
                <c:pt idx="3">
                  <c:v>17.429273789944549</c:v>
                </c:pt>
                <c:pt idx="4">
                  <c:v>17.905698386592732</c:v>
                </c:pt>
              </c:numCache>
            </c:numRef>
          </c:xVal>
          <c:yVal>
            <c:numRef>
              <c:f>Analysis!$IS$53:$IS$57</c:f>
              <c:numCache>
                <c:formatCode>0.00</c:formatCode>
                <c:ptCount val="5"/>
                <c:pt idx="0">
                  <c:v>-1043.1842616580311</c:v>
                </c:pt>
                <c:pt idx="1">
                  <c:v>-270.9969534747438</c:v>
                </c:pt>
                <c:pt idx="2">
                  <c:v>280.56540951331863</c:v>
                </c:pt>
                <c:pt idx="3">
                  <c:v>611.50282730615572</c:v>
                </c:pt>
                <c:pt idx="4">
                  <c:v>721.82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Analysis!$IS$61</c:f>
              <c:strCache>
                <c:ptCount val="1"/>
                <c:pt idx="0">
                  <c:v>-1409.83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(Analysis!$IT$61,Analysis!$IT$61)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(Analysis!$IG$62,Analysis!$IS$61)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-1409.83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Analysis!$IS$67</c:f>
              <c:strCache>
                <c:ptCount val="1"/>
                <c:pt idx="0">
                  <c:v>695.55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Analysis!$IT$63:$IT$67</c:f>
              <c:numCache>
                <c:formatCode>General</c:formatCode>
                <c:ptCount val="5"/>
                <c:pt idx="0">
                  <c:v>20</c:v>
                </c:pt>
                <c:pt idx="1">
                  <c:v>20.520340080670362</c:v>
                </c:pt>
                <c:pt idx="2">
                  <c:v>21.040680161340727</c:v>
                </c:pt>
                <c:pt idx="3">
                  <c:v>21.561020242011089</c:v>
                </c:pt>
                <c:pt idx="4">
                  <c:v>22.081360322681455</c:v>
                </c:pt>
              </c:numCache>
            </c:numRef>
          </c:xVal>
          <c:yVal>
            <c:numRef>
              <c:f>Analysis!$IS$63:$IS$67</c:f>
              <c:numCache>
                <c:formatCode>0.00</c:formatCode>
                <c:ptCount val="5"/>
                <c:pt idx="0">
                  <c:v>-1409.8289345854923</c:v>
                </c:pt>
                <c:pt idx="1">
                  <c:v>-488.7245085094512</c:v>
                </c:pt>
                <c:pt idx="2">
                  <c:v>169.20722440200666</c:v>
                </c:pt>
                <c:pt idx="3">
                  <c:v>563.96626414888169</c:v>
                </c:pt>
                <c:pt idx="4">
                  <c:v>695.55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Analysis!$IS$71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(Analysis!$IT$71,Analysis!$IT$71)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(Analysis!$IG$72,Analysis!$IS$71)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-1093.5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Analysis!$IS$77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Analysis!$IT$73:$IT$77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Analysis!$IS$73:$IS$77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Analysis!$IS$81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(Analysis!$IT$81,Analysis!$IT$81)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(Analysis!$IG$82,Analysis!$IS$81)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Analysis!$IS$87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Analysis!$IT$83:$IT$87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Analysis!$IS$83:$IS$87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Analysis!$IS$91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(Analysis!$IT$91,Analysis!$IT$91)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(Analysis!$IG$92,Analysis!$IS$91)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Analysis!$IS$97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Analysis!$IT$93:$IT$97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Analysis!$IS$93:$IS$97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Analysis!$IS$101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(Analysis!$IT$101,Analysis!$IT$101)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(Analysis!$IG$102,Analysis!$IS$101)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Analysis!$IS$107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Analysis!$IT$103:$IT$107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Analysis!$IS$103:$IS$107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Analysis!$IS$111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(Analysis!$IT$111,Analysis!$IT$111)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(Analysis!$IG$112,Analysis!$IS$111)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Analysis!$IS$117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Analysis!$IT$113:$IT$117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Analysis!$IS$113:$IS$117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3"/>
          <c:order val="23"/>
          <c:tx>
            <c:strRef>
              <c:f>Analysis!$IS$121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(Analysis!$IT$121,Analysis!$IT$121)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(Analysis!$IG$122,Analysis!$IS$121)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4"/>
          <c:order val="24"/>
          <c:tx>
            <c:strRef>
              <c:f>Analysis!$IS$127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Analysis!$IT$123:$IT$127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Analysis!$IS$123:$IS$127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5"/>
          <c:order val="25"/>
          <c:tx>
            <c:strRef>
              <c:f>Analysis!$IS$131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(Analysis!$IT$131,Analysis!$IT$131)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(Analysis!$IG$132,Analysis!$IS$131)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6"/>
          <c:order val="26"/>
          <c:tx>
            <c:strRef>
              <c:f>Analysis!$IS$137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Analysis!$IT$133:$IT$137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Analysis!$IS$133:$IS$137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7"/>
          <c:order val="27"/>
          <c:tx>
            <c:strRef>
              <c:f>Analysis!$IS$141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(Analysis!$IT$141,Analysis!$IT$141)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(Analysis!$IG$142,Analysis!$IS$141)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28"/>
          <c:order val="28"/>
          <c:tx>
            <c:strRef>
              <c:f>Analysis!$IS$147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Analysis!$IT$143:$IT$147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Analysis!$IS$143:$IS$147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29"/>
          <c:order val="29"/>
          <c:tx>
            <c:strRef>
              <c:f>Analysis!$IS$151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(Analysis!$IT$151,Analysis!$IT$151)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(Analysis!$IG$152,Analysis!$IS$151)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0"/>
          <c:order val="30"/>
          <c:tx>
            <c:strRef>
              <c:f>Analysis!$IS$157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Analysis!$IT$153:$IT$157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Analysis!$IS$153:$IS$157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1"/>
          <c:order val="31"/>
          <c:tx>
            <c:strRef>
              <c:f>Analysis!$IS$161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(Analysis!$IT$161,Analysis!$IT$161)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(Analysis!$IG$162,Analysis!$IS$161)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2"/>
          <c:order val="32"/>
          <c:tx>
            <c:strRef>
              <c:f>Analysis!$IS$167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Analysis!$IT$163:$IT$167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Analysis!$IS$163:$IS$167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3"/>
          <c:order val="33"/>
          <c:tx>
            <c:strRef>
              <c:f>Analysis!$IS$171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(Analysis!$IT$171,Analysis!$IT$171)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(Analysis!$IG$172,Analysis!$IS$171)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4"/>
          <c:order val="34"/>
          <c:tx>
            <c:strRef>
              <c:f>Analysis!$IS$177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Analysis!$IT$173:$IT$177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Analysis!$IS$173:$IS$177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5"/>
          <c:order val="35"/>
          <c:tx>
            <c:strRef>
              <c:f>Analysis!$IS$181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(Analysis!$IT$181,Analysis!$IT$181)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(Analysis!$IG$182,Analysis!$IS$181)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6"/>
          <c:order val="36"/>
          <c:tx>
            <c:strRef>
              <c:f>Analysis!$IS$187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Analysis!$IT$183:$IT$187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Analysis!$IS$183:$IS$187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7"/>
          <c:order val="37"/>
          <c:tx>
            <c:strRef>
              <c:f>Analysis!$IS$191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(Analysis!$IT$191,Analysis!$IT$191)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(Analysis!$IG$192,Analysis!$IS$191)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38"/>
          <c:order val="38"/>
          <c:tx>
            <c:strRef>
              <c:f>Analysis!$IS$197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Analysis!$IT$193:$IT$197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Analysis!$IS$193:$IS$197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39"/>
          <c:order val="39"/>
          <c:tx>
            <c:strRef>
              <c:f>Analysis!$IS$201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(Analysis!$IT$201,Analysis!$IT$201)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(Analysis!$IG$202,Analysis!$IS$201)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0"/>
          <c:order val="40"/>
          <c:tx>
            <c:strRef>
              <c:f>Analysis!$IS$207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Analysis!$IT$203:$IT$207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Analysis!$IS$203:$IS$207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1"/>
          <c:order val="41"/>
          <c:tx>
            <c:strRef>
              <c:f>Analysis!$IS$211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(Analysis!$IT$211,Analysis!$IT$211)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(Analysis!$IG$212,Analysis!$IS$211)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2"/>
          <c:order val="42"/>
          <c:tx>
            <c:strRef>
              <c:f>Analysis!$IS$217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Analysis!$IT$213:$IT$217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Analysis!$IS$213:$IS$217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3"/>
          <c:order val="43"/>
          <c:tx>
            <c:strRef>
              <c:f>Analysis!$IS$221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(Analysis!$IT$221,Analysis!$IT$221)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(Analysis!$IG$222,Analysis!$IS$221)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4"/>
          <c:order val="44"/>
          <c:tx>
            <c:strRef>
              <c:f>Analysis!$IS$227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Analysis!$IT$223:$IT$227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Analysis!$IS$223:$IS$227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5"/>
          <c:order val="45"/>
          <c:tx>
            <c:strRef>
              <c:f>Analysis!$IS$231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(Analysis!$IT$231,Analysis!$IT$231)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(Analysis!$IG$232,Analysis!$IS$231)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6"/>
          <c:order val="46"/>
          <c:tx>
            <c:strRef>
              <c:f>Analysis!$IS$237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Analysis!$IT$233:$IT$237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Analysis!$IS$233:$IS$237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7"/>
          <c:order val="47"/>
          <c:tx>
            <c:strRef>
              <c:f>Analysis!$IS$241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(Analysis!$IT$241,Analysis!$IT$241)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(Analysis!$IG$242,Analysis!$IS$241)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48"/>
          <c:order val="48"/>
          <c:tx>
            <c:strRef>
              <c:f>Analysis!$IS$247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Analysis!$IT$243:$IT$247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Analysis!$IS$243:$IS$247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49"/>
          <c:order val="49"/>
          <c:tx>
            <c:strRef>
              <c:f>Analysis!$IS$251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(Analysis!$IT$251,Analysis!$IT$251)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(Analysis!$IG$252,Analysis!$IS$251)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0"/>
          <c:order val="50"/>
          <c:tx>
            <c:strRef>
              <c:f>Analysis!$IS$257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4"/>
            <c:bubble3D val="0"/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Analysis!$IT$253:$IT$257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Analysis!$IS$253:$IS$257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51"/>
          <c:order val="51"/>
          <c:tx>
            <c:strRef>
              <c:f>Analysis!$IS$261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(Analysis!$IT$261,Analysis!$IT$261)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(Analysis!$IG$262,Analysis!$IS$261)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2"/>
          <c:order val="52"/>
          <c:tx>
            <c:strRef>
              <c:f>Analysis!$IS$263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Analysis!$IT$263:$IT$271</c:f>
              <c:numCache>
                <c:formatCode>General</c:formatCode>
                <c:ptCount val="9"/>
                <c:pt idx="0">
                  <c:v>24</c:v>
                </c:pt>
                <c:pt idx="1">
                  <c:v>24.1875</c:v>
                </c:pt>
                <c:pt idx="2">
                  <c:v>24.375</c:v>
                </c:pt>
                <c:pt idx="3">
                  <c:v>24.5625</c:v>
                </c:pt>
                <c:pt idx="4">
                  <c:v>24.75</c:v>
                </c:pt>
                <c:pt idx="5">
                  <c:v>24.9375</c:v>
                </c:pt>
                <c:pt idx="6">
                  <c:v>25.125</c:v>
                </c:pt>
                <c:pt idx="7">
                  <c:v>25.3125</c:v>
                </c:pt>
                <c:pt idx="8">
                  <c:v>25.5</c:v>
                </c:pt>
              </c:numCache>
            </c:numRef>
          </c:xVal>
          <c:yVal>
            <c:numRef>
              <c:f>Analysis!$IS$263:$IS$271</c:f>
              <c:numCache>
                <c:formatCode>0.00</c:formatCode>
                <c:ptCount val="9"/>
                <c:pt idx="0">
                  <c:v>-1093.5</c:v>
                </c:pt>
                <c:pt idx="1">
                  <c:v>-837.2109375</c:v>
                </c:pt>
                <c:pt idx="2">
                  <c:v>-615.09375</c:v>
                </c:pt>
                <c:pt idx="3">
                  <c:v>-427.1484375</c:v>
                </c:pt>
                <c:pt idx="4">
                  <c:v>-273.38</c:v>
                </c:pt>
                <c:pt idx="5">
                  <c:v>-153.7734375</c:v>
                </c:pt>
                <c:pt idx="6">
                  <c:v>-68.34375</c:v>
                </c:pt>
                <c:pt idx="7">
                  <c:v>-17.0859375</c:v>
                </c:pt>
                <c:pt idx="8">
                  <c:v>0</c:v>
                </c:pt>
              </c:numCache>
            </c:numRef>
          </c:yVal>
          <c:smooth val="1"/>
        </c:ser>
        <c:ser>
          <c:idx val="53"/>
          <c:order val="53"/>
          <c:tx>
            <c:strRef>
              <c:f>Analysis!$IS$263</c:f>
              <c:strCache>
                <c:ptCount val="1"/>
                <c:pt idx="0">
                  <c:v>-1093.50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(Analysis!$IT$263,Analysis!$IT$263)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(Analysis!$IG$263,Analysis!$IS$263)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-1093.5</c:v>
                </c:pt>
              </c:numCache>
            </c:numRef>
          </c:yVal>
          <c:smooth val="1"/>
        </c:ser>
        <c:ser>
          <c:idx val="54"/>
          <c:order val="54"/>
          <c:tx>
            <c:strRef>
              <c:f>Analysis!$IS$11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Analysis!$IT$3:$IT$11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Analysis!$IS$3:$IS$11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</c:ser>
        <c:ser>
          <c:idx val="55"/>
          <c:order val="55"/>
          <c:tx>
            <c:strRef>
              <c:f>Analysis!$IS$11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(Analysis!$IT$11,Analysis!$IT$11)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(Analysis!$IG$12,Analysis!$IS$11)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</c:ser>
        <c:ser>
          <c:idx val="56"/>
          <c:order val="56"/>
          <c:tx>
            <c:strRef>
              <c:f>Analysis!$IS$17</c:f>
              <c:strCache>
                <c:ptCount val="1"/>
                <c:pt idx="0">
                  <c:v>998.26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Analysis!$IT$17:$IT$21</c:f>
              <c:numCache>
                <c:formatCode>General</c:formatCode>
                <c:ptCount val="5"/>
                <c:pt idx="0">
                  <c:v>2.0442010640621833</c:v>
                </c:pt>
                <c:pt idx="1">
                  <c:v>2.5331507980466377</c:v>
                </c:pt>
                <c:pt idx="2">
                  <c:v>3.0221005320310921</c:v>
                </c:pt>
                <c:pt idx="3">
                  <c:v>3.5110502660155465</c:v>
                </c:pt>
                <c:pt idx="4">
                  <c:v>4.0000000000000009</c:v>
                </c:pt>
              </c:numCache>
            </c:numRef>
          </c:xVal>
          <c:yVal>
            <c:numRef>
              <c:f>Analysis!$IS$17:$IS$21</c:f>
              <c:numCache>
                <c:formatCode>0.00</c:formatCode>
                <c:ptCount val="5"/>
                <c:pt idx="0">
                  <c:v>998.26</c:v>
                </c:pt>
                <c:pt idx="1">
                  <c:v>827.08738361577616</c:v>
                </c:pt>
                <c:pt idx="2">
                  <c:v>313.56106621904473</c:v>
                </c:pt>
                <c:pt idx="3">
                  <c:v>-542.31612944217341</c:v>
                </c:pt>
                <c:pt idx="4">
                  <c:v>-1740.54</c:v>
                </c:pt>
              </c:numCache>
            </c:numRef>
          </c:yVal>
          <c:smooth val="1"/>
        </c:ser>
        <c:ser>
          <c:idx val="57"/>
          <c:order val="57"/>
          <c:tx>
            <c:strRef>
              <c:f>Analysis!$IS$27</c:f>
              <c:strCache>
                <c:ptCount val="1"/>
                <c:pt idx="0">
                  <c:v>756.27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Analysis!$IT$27:$IT$31</c:f>
              <c:numCache>
                <c:formatCode>General</c:formatCode>
                <c:ptCount val="5"/>
                <c:pt idx="0">
                  <c:v>5.8673968078134502</c:v>
                </c:pt>
                <c:pt idx="1">
                  <c:v>6.400547605860087</c:v>
                </c:pt>
                <c:pt idx="2">
                  <c:v>6.9336984039067246</c:v>
                </c:pt>
                <c:pt idx="3">
                  <c:v>7.4668492019533623</c:v>
                </c:pt>
                <c:pt idx="4">
                  <c:v>8</c:v>
                </c:pt>
              </c:numCache>
            </c:numRef>
          </c:xVal>
          <c:yVal>
            <c:numRef>
              <c:f>Analysis!$IS$27:$IS$31</c:f>
              <c:numCache>
                <c:formatCode>0.00</c:formatCode>
                <c:ptCount val="5"/>
                <c:pt idx="0">
                  <c:v>756.27</c:v>
                </c:pt>
                <c:pt idx="1">
                  <c:v>552.74727872397739</c:v>
                </c:pt>
                <c:pt idx="2">
                  <c:v>-57.821234663304722</c:v>
                </c:pt>
                <c:pt idx="3">
                  <c:v>-1075.4354236421098</c:v>
                </c:pt>
                <c:pt idx="4">
                  <c:v>-2500.1</c:v>
                </c:pt>
              </c:numCache>
            </c:numRef>
          </c:yVal>
          <c:smooth val="1"/>
        </c:ser>
        <c:ser>
          <c:idx val="58"/>
          <c:order val="58"/>
          <c:tx>
            <c:strRef>
              <c:f>Analysis!$IS$37</c:f>
              <c:strCache>
                <c:ptCount val="1"/>
                <c:pt idx="0">
                  <c:v>1725.63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Analysis!$IT$37:$IT$41</c:f>
              <c:numCache>
                <c:formatCode>General</c:formatCode>
                <c:ptCount val="5"/>
                <c:pt idx="0">
                  <c:v>10.368225635141474</c:v>
                </c:pt>
                <c:pt idx="1">
                  <c:v>10.776169226356107</c:v>
                </c:pt>
                <c:pt idx="2">
                  <c:v>11.184112817570737</c:v>
                </c:pt>
                <c:pt idx="3">
                  <c:v>11.592056408785368</c:v>
                </c:pt>
                <c:pt idx="4">
                  <c:v>12</c:v>
                </c:pt>
              </c:numCache>
            </c:numRef>
          </c:xVal>
          <c:yVal>
            <c:numRef>
              <c:f>Analysis!$IS$37:$IS$41</c:f>
              <c:numCache>
                <c:formatCode>0.00</c:formatCode>
                <c:ptCount val="5"/>
                <c:pt idx="0">
                  <c:v>1725.63</c:v>
                </c:pt>
                <c:pt idx="1">
                  <c:v>1299.541475911913</c:v>
                </c:pt>
                <c:pt idx="2">
                  <c:v>546.9745813657396</c:v>
                </c:pt>
                <c:pt idx="3">
                  <c:v>-505.43519671041281</c:v>
                </c:pt>
                <c:pt idx="4">
                  <c:v>-2193.4299999999998</c:v>
                </c:pt>
              </c:numCache>
            </c:numRef>
          </c:yVal>
          <c:smooth val="1"/>
        </c:ser>
        <c:ser>
          <c:idx val="59"/>
          <c:order val="59"/>
          <c:tx>
            <c:strRef>
              <c:f>Analysis!$IS$47</c:f>
              <c:strCache>
                <c:ptCount val="1"/>
                <c:pt idx="0">
                  <c:v>368.23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Analysis!$IT$47:$IT$51</c:f>
              <c:numCache>
                <c:formatCode>General</c:formatCode>
                <c:ptCount val="5"/>
                <c:pt idx="0">
                  <c:v>14.295846130947622</c:v>
                </c:pt>
                <c:pt idx="1">
                  <c:v>14.721884598210716</c:v>
                </c:pt>
                <c:pt idx="2">
                  <c:v>15.147923065473812</c:v>
                </c:pt>
                <c:pt idx="3">
                  <c:v>15.573961532736906</c:v>
                </c:pt>
                <c:pt idx="4">
                  <c:v>16</c:v>
                </c:pt>
              </c:numCache>
            </c:numRef>
          </c:xVal>
          <c:yVal>
            <c:numRef>
              <c:f>Analysis!$IS$47:$IS$51</c:f>
              <c:numCache>
                <c:formatCode>0.00</c:formatCode>
                <c:ptCount val="5"/>
                <c:pt idx="0">
                  <c:v>368.23</c:v>
                </c:pt>
                <c:pt idx="1">
                  <c:v>280.01471237766509</c:v>
                </c:pt>
                <c:pt idx="2">
                  <c:v>15.374917570526577</c:v>
                </c:pt>
                <c:pt idx="3">
                  <c:v>-425.69140710803867</c:v>
                </c:pt>
                <c:pt idx="4">
                  <c:v>-1043.18</c:v>
                </c:pt>
              </c:numCache>
            </c:numRef>
          </c:yVal>
          <c:smooth val="1"/>
        </c:ser>
        <c:ser>
          <c:idx val="60"/>
          <c:order val="60"/>
          <c:tx>
            <c:strRef>
              <c:f>Analysis!$IS$57</c:f>
              <c:strCache>
                <c:ptCount val="1"/>
                <c:pt idx="0">
                  <c:v>721.82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Analysis!$IT$57:$IT$61</c:f>
              <c:numCache>
                <c:formatCode>General</c:formatCode>
                <c:ptCount val="5"/>
                <c:pt idx="0">
                  <c:v>17.905698386592732</c:v>
                </c:pt>
                <c:pt idx="1">
                  <c:v>18.429273789944549</c:v>
                </c:pt>
                <c:pt idx="2">
                  <c:v>18.952849193296366</c:v>
                </c:pt>
                <c:pt idx="3">
                  <c:v>19.476424596648183</c:v>
                </c:pt>
                <c:pt idx="4">
                  <c:v>20</c:v>
                </c:pt>
              </c:numCache>
            </c:numRef>
          </c:xVal>
          <c:yVal>
            <c:numRef>
              <c:f>Analysis!$IS$57:$IS$61</c:f>
              <c:numCache>
                <c:formatCode>0.00</c:formatCode>
                <c:ptCount val="5"/>
                <c:pt idx="0">
                  <c:v>721.82</c:v>
                </c:pt>
                <c:pt idx="1">
                  <c:v>588.5875352481894</c:v>
                </c:pt>
                <c:pt idx="2">
                  <c:v>188.90424128145378</c:v>
                </c:pt>
                <c:pt idx="3">
                  <c:v>-477.23458199643983</c:v>
                </c:pt>
                <c:pt idx="4">
                  <c:v>-1409.83</c:v>
                </c:pt>
              </c:numCache>
            </c:numRef>
          </c:yVal>
          <c:smooth val="1"/>
        </c:ser>
        <c:ser>
          <c:idx val="61"/>
          <c:order val="61"/>
          <c:tx>
            <c:strRef>
              <c:f>Analysis!$IS$67</c:f>
              <c:strCache>
                <c:ptCount val="1"/>
                <c:pt idx="0">
                  <c:v>695.55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Analysis!$IT$67:$IT$71</c:f>
              <c:numCache>
                <c:formatCode>General</c:formatCode>
                <c:ptCount val="5"/>
                <c:pt idx="0">
                  <c:v>22.081360322681455</c:v>
                </c:pt>
                <c:pt idx="1">
                  <c:v>22.561020242011089</c:v>
                </c:pt>
                <c:pt idx="2">
                  <c:v>23.040680161340727</c:v>
                </c:pt>
                <c:pt idx="3">
                  <c:v>23.520340080670366</c:v>
                </c:pt>
                <c:pt idx="4">
                  <c:v>24</c:v>
                </c:pt>
              </c:numCache>
            </c:numRef>
          </c:xVal>
          <c:yVal>
            <c:numRef>
              <c:f>Analysis!$IS$67:$IS$71</c:f>
              <c:numCache>
                <c:formatCode>0.00</c:formatCode>
                <c:ptCount val="5"/>
                <c:pt idx="0">
                  <c:v>695.55</c:v>
                </c:pt>
                <c:pt idx="1">
                  <c:v>583.73682256047459</c:v>
                </c:pt>
                <c:pt idx="2">
                  <c:v>248.2894580483794</c:v>
                </c:pt>
                <c:pt idx="3">
                  <c:v>-310.78948280511258</c:v>
                </c:pt>
                <c:pt idx="4">
                  <c:v>-1093.5</c:v>
                </c:pt>
              </c:numCache>
            </c:numRef>
          </c:yVal>
          <c:smooth val="1"/>
        </c:ser>
        <c:ser>
          <c:idx val="62"/>
          <c:order val="62"/>
          <c:tx>
            <c:strRef>
              <c:f>Analysis!$IS$77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Analysis!$IT$77:$IT$81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Analysis!$IS$77:$IS$81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3"/>
          <c:order val="63"/>
          <c:tx>
            <c:strRef>
              <c:f>Analysis!$IS$87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Analysis!$IT$87:$IT$91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Analysis!$IS$87:$IS$91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4"/>
          <c:order val="64"/>
          <c:tx>
            <c:strRef>
              <c:f>Analysis!$IS$97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Analysis!$IT$97:$IT$101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Analysis!$IS$97:$IS$101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5"/>
          <c:order val="65"/>
          <c:tx>
            <c:strRef>
              <c:f>Analysis!$IS$107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Analysis!$IT$107:$IT$111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Analysis!$IS$107:$IS$111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6"/>
          <c:order val="66"/>
          <c:tx>
            <c:strRef>
              <c:f>Analysis!$IS$117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Analysis!$IT$117:$IT$121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Analysis!$IS$117:$IS$121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7"/>
          <c:order val="67"/>
          <c:tx>
            <c:strRef>
              <c:f>Analysis!$IS$127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Analysis!$IT$127:$IT$131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Analysis!$IS$127:$IS$131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8"/>
          <c:order val="68"/>
          <c:tx>
            <c:strRef>
              <c:f>Analysis!$IS$137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Analysis!$IT$137:$IT$141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Analysis!$IS$137:$IS$141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69"/>
          <c:order val="69"/>
          <c:tx>
            <c:strRef>
              <c:f>Analysis!$IS$147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Analysis!$IT$147:$IT$151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Analysis!$IS$147:$IS$151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0"/>
          <c:order val="70"/>
          <c:tx>
            <c:strRef>
              <c:f>Analysis!$IS$157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Analysis!$IT$157:$IT$161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Analysis!$IS$157:$IS$161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1"/>
          <c:order val="71"/>
          <c:tx>
            <c:strRef>
              <c:f>Analysis!$IS$167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Analysis!$IT$167:$IT$171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Analysis!$IS$167:$IS$171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2"/>
          <c:order val="72"/>
          <c:tx>
            <c:strRef>
              <c:f>Analysis!$IS$177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Analysis!$IT$177:$IT$181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Analysis!$IS$177:$IS$181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3"/>
          <c:order val="73"/>
          <c:tx>
            <c:strRef>
              <c:f>Analysis!$IS$187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Analysis!$IT$187:$IT$191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Analysis!$IS$187:$IS$191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4"/>
          <c:order val="74"/>
          <c:tx>
            <c:strRef>
              <c:f>Analysis!$IS$197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Analysis!$IT$197:$IT$201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Analysis!$IS$197:$IS$201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5"/>
          <c:order val="75"/>
          <c:tx>
            <c:strRef>
              <c:f>Analysis!$IS$207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Analysis!$IT$207:$IT$211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Analysis!$IS$207:$IS$211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6"/>
          <c:order val="76"/>
          <c:tx>
            <c:strRef>
              <c:f>Analysis!$IS$217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Analysis!$IT$217:$IT$221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Analysis!$IS$217:$IS$221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7"/>
          <c:order val="77"/>
          <c:tx>
            <c:strRef>
              <c:f>Analysis!$IS$227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Analysis!$IT$227:$IT$231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Analysis!$IS$227:$IS$231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8"/>
          <c:order val="78"/>
          <c:tx>
            <c:strRef>
              <c:f>Analysis!$IS$237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Analysis!$IT$237:$IT$241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Analysis!$IS$237:$IS$241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79"/>
          <c:order val="79"/>
          <c:tx>
            <c:strRef>
              <c:f>Analysis!$IS$247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dPt>
            <c:idx val="0"/>
            <c:bubble3D val="0"/>
          </c:dPt>
          <c:xVal>
            <c:numRef>
              <c:f>Analysis!$IT$247:$IT$251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Analysis!$IS$247:$IS$251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80"/>
          <c:order val="80"/>
          <c:tx>
            <c:strRef>
              <c:f>Analysis!$IS$257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Analysis!$IT$257:$IT$261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Analysis!$IS$257:$IS$261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</c:ser>
        <c:ser>
          <c:idx val="81"/>
          <c:order val="8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Analysis!$JK$17</c:f>
              <c:numCache>
                <c:formatCode>General</c:formatCode>
                <c:ptCount val="1"/>
                <c:pt idx="0">
                  <c:v>2.0442010640621833</c:v>
                </c:pt>
              </c:numCache>
            </c:numRef>
          </c:xVal>
          <c:yVal>
            <c:numRef>
              <c:f>Analysis!$JL$17</c:f>
              <c:numCache>
                <c:formatCode>0.00</c:formatCode>
                <c:ptCount val="1"/>
                <c:pt idx="0">
                  <c:v>998.26</c:v>
                </c:pt>
              </c:numCache>
            </c:numRef>
          </c:yVal>
          <c:smooth val="1"/>
        </c:ser>
        <c:ser>
          <c:idx val="83"/>
          <c:order val="82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Analysis!$JK$27</c:f>
              <c:numCache>
                <c:formatCode>General</c:formatCode>
                <c:ptCount val="1"/>
                <c:pt idx="0">
                  <c:v>5.8673968078134502</c:v>
                </c:pt>
              </c:numCache>
            </c:numRef>
          </c:xVal>
          <c:yVal>
            <c:numRef>
              <c:f>Analysis!$JL$27</c:f>
              <c:numCache>
                <c:formatCode>0.00</c:formatCode>
                <c:ptCount val="1"/>
                <c:pt idx="0">
                  <c:v>756.27</c:v>
                </c:pt>
              </c:numCache>
            </c:numRef>
          </c:yVal>
          <c:smooth val="1"/>
        </c:ser>
        <c:ser>
          <c:idx val="82"/>
          <c:order val="8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Analysis!$JL$23</c:f>
              <c:numCache>
                <c:formatCode>0.00</c:formatCode>
                <c:ptCount val="1"/>
                <c:pt idx="0">
                  <c:v>-1740.5442033678758</c:v>
                </c:pt>
              </c:numCache>
            </c:numRef>
          </c:yVal>
          <c:smooth val="1"/>
        </c:ser>
        <c:ser>
          <c:idx val="84"/>
          <c:order val="8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Analysis!$JK$33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Analysis!$JL$33</c:f>
              <c:numCache>
                <c:formatCode>0.00</c:formatCode>
                <c:ptCount val="1"/>
                <c:pt idx="0">
                  <c:v>-2500.0952882124352</c:v>
                </c:pt>
              </c:numCache>
            </c:numRef>
          </c:yVal>
          <c:smooth val="1"/>
        </c:ser>
        <c:ser>
          <c:idx val="85"/>
          <c:order val="8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Analysis!$JK$37</c:f>
              <c:numCache>
                <c:formatCode>General</c:formatCode>
                <c:ptCount val="1"/>
                <c:pt idx="0">
                  <c:v>10.368225635141474</c:v>
                </c:pt>
              </c:numCache>
            </c:numRef>
          </c:xVal>
          <c:yVal>
            <c:numRef>
              <c:f>Analysis!$JL$37</c:f>
              <c:numCache>
                <c:formatCode>0.00</c:formatCode>
                <c:ptCount val="1"/>
                <c:pt idx="0">
                  <c:v>1725.63</c:v>
                </c:pt>
              </c:numCache>
            </c:numRef>
          </c:yVal>
          <c:smooth val="1"/>
        </c:ser>
        <c:ser>
          <c:idx val="86"/>
          <c:order val="8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Analysis!$JK$43</c:f>
              <c:numCache>
                <c:formatCode>General</c:formatCode>
                <c:ptCount val="1"/>
                <c:pt idx="0">
                  <c:v>12</c:v>
                </c:pt>
              </c:numCache>
            </c:numRef>
          </c:xVal>
          <c:yVal>
            <c:numRef>
              <c:f>Analysis!$JL$43</c:f>
              <c:numCache>
                <c:formatCode>0.00</c:formatCode>
                <c:ptCount val="1"/>
                <c:pt idx="0">
                  <c:v>-2193.4340187823832</c:v>
                </c:pt>
              </c:numCache>
            </c:numRef>
          </c:yVal>
          <c:smooth val="1"/>
        </c:ser>
        <c:ser>
          <c:idx val="87"/>
          <c:order val="8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Analysis!$JK$47</c:f>
              <c:numCache>
                <c:formatCode>General</c:formatCode>
                <c:ptCount val="1"/>
                <c:pt idx="0">
                  <c:v>14.295846130947622</c:v>
                </c:pt>
              </c:numCache>
            </c:numRef>
          </c:xVal>
          <c:yVal>
            <c:numRef>
              <c:f>Analysis!$JL$47</c:f>
              <c:numCache>
                <c:formatCode>0.00</c:formatCode>
                <c:ptCount val="1"/>
                <c:pt idx="0">
                  <c:v>368.23</c:v>
                </c:pt>
              </c:numCache>
            </c:numRef>
          </c:yVal>
          <c:smooth val="1"/>
        </c:ser>
        <c:ser>
          <c:idx val="88"/>
          <c:order val="8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Analysis!$JK$53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Analysis!$JL$53</c:f>
              <c:numCache>
                <c:formatCode>0.00</c:formatCode>
                <c:ptCount val="1"/>
                <c:pt idx="0">
                  <c:v>-1043.1842616580311</c:v>
                </c:pt>
              </c:numCache>
            </c:numRef>
          </c:yVal>
          <c:smooth val="1"/>
        </c:ser>
        <c:ser>
          <c:idx val="89"/>
          <c:order val="8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Analysis!$JK$57</c:f>
              <c:numCache>
                <c:formatCode>General</c:formatCode>
                <c:ptCount val="1"/>
                <c:pt idx="0">
                  <c:v>17.905698386592732</c:v>
                </c:pt>
              </c:numCache>
            </c:numRef>
          </c:xVal>
          <c:yVal>
            <c:numRef>
              <c:f>Analysis!$JL$57</c:f>
              <c:numCache>
                <c:formatCode>0.00</c:formatCode>
                <c:ptCount val="1"/>
                <c:pt idx="0">
                  <c:v>721.82</c:v>
                </c:pt>
              </c:numCache>
            </c:numRef>
          </c:yVal>
          <c:smooth val="1"/>
        </c:ser>
        <c:ser>
          <c:idx val="90"/>
          <c:order val="9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Analysis!$JK$63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Analysis!$JL$63</c:f>
              <c:numCache>
                <c:formatCode>0.00</c:formatCode>
                <c:ptCount val="1"/>
                <c:pt idx="0">
                  <c:v>-1409.8289345854923</c:v>
                </c:pt>
              </c:numCache>
            </c:numRef>
          </c:yVal>
          <c:smooth val="1"/>
        </c:ser>
        <c:ser>
          <c:idx val="91"/>
          <c:order val="9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Analysis!$JK$67</c:f>
              <c:numCache>
                <c:formatCode>General</c:formatCode>
                <c:ptCount val="1"/>
                <c:pt idx="0">
                  <c:v>22.081360322681455</c:v>
                </c:pt>
              </c:numCache>
            </c:numRef>
          </c:xVal>
          <c:yVal>
            <c:numRef>
              <c:f>Analysis!$JL$67</c:f>
              <c:numCache>
                <c:formatCode>0.00</c:formatCode>
                <c:ptCount val="1"/>
                <c:pt idx="0">
                  <c:v>695.55</c:v>
                </c:pt>
              </c:numCache>
            </c:numRef>
          </c:yVal>
          <c:smooth val="1"/>
        </c:ser>
        <c:ser>
          <c:idx val="92"/>
          <c:order val="9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Analysis!$JK$73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3"/>
          <c:order val="9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Analysis!$JK$77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4"/>
          <c:order val="9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Analysis!$JK$83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5"/>
          <c:order val="9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Analysis!$JK$87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6"/>
          <c:order val="9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Analysis!$JK$93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7"/>
          <c:order val="9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Analysis!$JK$97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8"/>
          <c:order val="9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Analysis!$JK$103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99"/>
          <c:order val="9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Analysis!$JK$107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0"/>
          <c:order val="10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1"/>
          <c:order val="10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Analysis!$JK$117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2"/>
          <c:order val="10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Analysis!$JK$123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3"/>
          <c:order val="10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Analysis!$JK$127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4"/>
          <c:order val="10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5"/>
          <c:order val="10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Analysis!$JK$137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6"/>
          <c:order val="10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Analysis!$JK$143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7"/>
          <c:order val="10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Analysis!$JK$147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8"/>
          <c:order val="10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Analysis!$JK$153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09"/>
          <c:order val="10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Analysis!$JK$157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0"/>
          <c:order val="11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1"/>
          <c:order val="11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Analysis!$JK$167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2"/>
          <c:order val="11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Analysis!$JK$173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3"/>
          <c:order val="11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Analysis!$JK$177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4"/>
          <c:order val="11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Analysis!$JK$183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5"/>
          <c:order val="11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Analysis!$JK$187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6"/>
          <c:order val="11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Analysis!$JK$193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7"/>
          <c:order val="11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Analysis!$JK$197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8"/>
          <c:order val="11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Analysis!$JK$203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19"/>
          <c:order val="11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Analysis!$JK$207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0"/>
          <c:order val="12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1"/>
          <c:order val="121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Analysis!$JK$217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2"/>
          <c:order val="12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Analysis!$JK$223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3"/>
          <c:order val="123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Analysis!$JK$227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4"/>
          <c:order val="12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5"/>
          <c:order val="125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Analysis!$JK$237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6"/>
          <c:order val="12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Analysis!$JK$243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7"/>
          <c:order val="127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Analysis!$JK$247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8"/>
          <c:order val="12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Analysis!$JK$253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29"/>
          <c:order val="129"/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Analysis!$JK$257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0"/>
          <c:order val="13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Analysis!$JL$13</c:f>
              <c:numCache>
                <c:formatCode>0.00</c:formatCode>
                <c:ptCount val="1"/>
                <c:pt idx="0">
                  <c:v>-1993.73</c:v>
                </c:pt>
              </c:numCache>
            </c:numRef>
          </c:yVal>
          <c:smooth val="1"/>
        </c:ser>
        <c:ser>
          <c:idx val="131"/>
          <c:order val="13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2"/>
          <c:order val="13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Analysis!$JL$261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3"/>
          <c:order val="13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Analysis!$JL$251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4"/>
          <c:order val="13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5"/>
          <c:order val="13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6"/>
          <c:order val="13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7"/>
          <c:order val="13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8"/>
          <c:order val="13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Analysis!$JL$201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39"/>
          <c:order val="13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Analysis!$JL$191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0"/>
          <c:order val="14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Analysis!$JL$181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1"/>
          <c:order val="14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Analysis!$JL$171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2"/>
          <c:order val="14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Analysis!$JL$161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3"/>
          <c:order val="14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Analysis!$JL$151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4"/>
          <c:order val="14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5"/>
          <c:order val="14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6"/>
          <c:order val="14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7"/>
          <c:order val="14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Analysis!$JK$111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8"/>
          <c:order val="148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Analysis!$JK$101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Analysis!$JL$101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49"/>
          <c:order val="149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Analysis!$JK$91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Analysis!$JL$91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50"/>
          <c:order val="150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Analysis!$JK$81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Analysis!$JL$81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151"/>
          <c:order val="151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Analysis!$JK$71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Analysis!$JL$71</c:f>
              <c:numCache>
                <c:formatCode>0.00</c:formatCode>
                <c:ptCount val="1"/>
                <c:pt idx="0">
                  <c:v>-1093.5</c:v>
                </c:pt>
              </c:numCache>
            </c:numRef>
          </c:yVal>
          <c:smooth val="1"/>
        </c:ser>
        <c:ser>
          <c:idx val="152"/>
          <c:order val="152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Analysis!$JK$61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Analysis!$JL$61</c:f>
              <c:numCache>
                <c:formatCode>0.00</c:formatCode>
                <c:ptCount val="1"/>
                <c:pt idx="0">
                  <c:v>-1409.83</c:v>
                </c:pt>
              </c:numCache>
            </c:numRef>
          </c:yVal>
          <c:smooth val="1"/>
        </c:ser>
        <c:ser>
          <c:idx val="153"/>
          <c:order val="153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Analysis!$JK$51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Analysis!$JL$51</c:f>
              <c:numCache>
                <c:formatCode>0.00</c:formatCode>
                <c:ptCount val="1"/>
                <c:pt idx="0">
                  <c:v>-1043.18</c:v>
                </c:pt>
              </c:numCache>
            </c:numRef>
          </c:yVal>
          <c:smooth val="1"/>
        </c:ser>
        <c:ser>
          <c:idx val="154"/>
          <c:order val="154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Analysis!$JK$41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Analysis!$JL$41</c:f>
              <c:numCache>
                <c:formatCode>0.00</c:formatCode>
                <c:ptCount val="1"/>
                <c:pt idx="0">
                  <c:v>-2193.4299999999998</c:v>
                </c:pt>
              </c:numCache>
            </c:numRef>
          </c:yVal>
          <c:smooth val="1"/>
        </c:ser>
        <c:ser>
          <c:idx val="155"/>
          <c:order val="155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Analysis!$JK$31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Analysis!$JL$31</c:f>
              <c:numCache>
                <c:formatCode>0.00</c:formatCode>
                <c:ptCount val="1"/>
                <c:pt idx="0">
                  <c:v>-2500.1</c:v>
                </c:pt>
              </c:numCache>
            </c:numRef>
          </c:yVal>
          <c:smooth val="1"/>
        </c:ser>
        <c:ser>
          <c:idx val="156"/>
          <c:order val="156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Analysis!$JK$21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Analysis!$JL$21</c:f>
              <c:numCache>
                <c:formatCode>0.00</c:formatCode>
                <c:ptCount val="1"/>
                <c:pt idx="0">
                  <c:v>-1740.54</c:v>
                </c:pt>
              </c:numCache>
            </c:numRef>
          </c:yVal>
          <c:smooth val="1"/>
        </c:ser>
        <c:ser>
          <c:idx val="157"/>
          <c:order val="157"/>
          <c:marker>
            <c:symbol val="circle"/>
            <c:size val="8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Analysis!$JK$263</c:f>
              <c:numCache>
                <c:formatCode>General</c:formatCode>
                <c:ptCount val="1"/>
                <c:pt idx="0">
                  <c:v>24</c:v>
                </c:pt>
              </c:numCache>
            </c:numRef>
          </c:xVal>
          <c:yVal>
            <c:numRef>
              <c:f>Analysis!$JL$263</c:f>
              <c:numCache>
                <c:formatCode>0.00</c:formatCode>
                <c:ptCount val="1"/>
                <c:pt idx="0">
                  <c:v>-1093.5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06464"/>
        <c:axId val="116407040"/>
      </c:scatterChart>
      <c:valAx>
        <c:axId val="116406464"/>
        <c:scaling>
          <c:orientation val="minMax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116407040"/>
        <c:crosses val="autoZero"/>
        <c:crossBetween val="midCat"/>
        <c:majorUnit val="1"/>
      </c:valAx>
      <c:valAx>
        <c:axId val="116407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164064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u="sng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200" b="0" u="sng">
                <a:solidFill>
                  <a:srgbClr val="C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FBD</a:t>
            </a:r>
          </a:p>
        </c:rich>
      </c:tx>
      <c:layout>
        <c:manualLayout>
          <c:xMode val="edge"/>
          <c:yMode val="edge"/>
          <c:x val="0.97581770293669101"/>
          <c:y val="0.8553712409382722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2"/>
          <c:order val="0"/>
          <c:tx>
            <c:v>UL</c:v>
          </c:tx>
          <c:spPr>
            <a:ln w="38100" cap="flat">
              <a:gradFill flip="none" rotWithShape="1">
                <a:gsLst>
                  <a:gs pos="0">
                    <a:schemeClr val="bg1">
                      <a:lumMod val="65000"/>
                    </a:schemeClr>
                  </a:gs>
                  <a:gs pos="49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tx1"/>
                  </a:gs>
                </a:gsLst>
                <a:lin ang="5400000" scaled="1"/>
                <a:tileRect/>
              </a:gradFill>
            </a:ln>
            <a:effectLst>
              <a:glow>
                <a:schemeClr val="tx1"/>
              </a:glow>
              <a:outerShdw blurRad="50800" dist="38100" dir="2700000" algn="tl" rotWithShape="0">
                <a:schemeClr val="tx1">
                  <a:alpha val="40000"/>
                </a:schemeClr>
              </a:outerShdw>
              <a:softEdge rad="0"/>
            </a:effectLst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numFmt formatCode="#,##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(Analysis!$ID$3,Analysis!$ID$272)</c:f>
              <c:numCache>
                <c:formatCode>General</c:formatCode>
                <c:ptCount val="2"/>
                <c:pt idx="0">
                  <c:v>0</c:v>
                </c:pt>
                <c:pt idx="1">
                  <c:v>25.5</c:v>
                </c:pt>
              </c:numCache>
            </c:numRef>
          </c:xVal>
          <c:yVal>
            <c:numRef>
              <c:f>(Analysis!$IG$3,Analysis!$IG$272)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Analysis!$IV$19</c:f>
              <c:strCache>
                <c:ptCount val="1"/>
                <c:pt idx="0">
                  <c:v>1432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w="sm" len="sm"/>
            </a:ln>
          </c:spPr>
          <c:marker>
            <c:symbol val="none"/>
          </c:marker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numFmt formatCode="General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Analysis!$IV$13:$IV$17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Analysis!$IW$13:$IW$17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Analysis!$IV$29</c:f>
              <c:strCache>
                <c:ptCount val="1"/>
                <c:pt idx="0">
                  <c:v>1432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none"/>
              <a:tailEnd type="none" w="sm" len="sm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008000"/>
                </a:solidFill>
                <a:headEnd type="none" w="med" len="sm"/>
                <a:tailEnd type="none"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Analysis!$IV$23:$IV$27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Analysis!$IW$23:$IW$27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Analysis!$IV$39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Analysis!$IV$33:$IV$37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</c:numCache>
            </c:numRef>
          </c:xVal>
          <c:yVal>
            <c:numRef>
              <c:f>Analysis!$IW$33:$IW$37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Analysis!$IV$49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Analysis!$IV$43:$IV$47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Analysis!$IW$43:$IW$47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Analysis!$IV$59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Analysis!$IV$53:$IV$57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Analysis!$IW$53:$IW$57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Analysis!$IV$69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Analysis!$IV$63:$IV$67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</c:numCache>
            </c:numRef>
          </c:xVal>
          <c:yVal>
            <c:numRef>
              <c:f>Analysis!$IW$63:$IW$67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Analysis!$IV$79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Analysis!$IV$73:$IV$77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Analysis!$IW$73:$IW$77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Analysis!$IV$89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Analysis!$IV$83:$IV$87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Analysis!$IW$83:$IW$87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Analysis!$IV$99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Analysis!$IV$93:$IV$97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Analysis!$IW$93:$IW$97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Analysis!$IV$109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Analysis!$IV$103:$IV$107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Analysis!$IW$103:$IW$107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Analysis!$IV$119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Analysis!$IV$113:$IV$117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Analysis!$IW$113:$IW$117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Analysis!$IV$129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Analysis!$IV$123:$IV$127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Analysis!$IW$123:$IW$127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Analysis!$IV$139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Analysis!$IV$133:$IV$137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Analysis!$IW$133:$IW$137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Analysis!$IV$149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Analysis!$IV$143:$IV$147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Analysis!$IW$143:$IW$147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Analysis!$IV$159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Analysis!$IV$153:$IV$157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Analysis!$IW$153:$IW$157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Analysis!$IV$169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Analysis!$IV$163:$IV$167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Analysis!$IW$163:$IW$167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Analysis!$IV$179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Analysis!$IV$173:$IV$177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Analysis!$IW$173:$IW$177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Analysis!$IV$189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Analysis!$IV$183:$IV$187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Analysis!$IW$183:$IW$187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Analysis!$IV$199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Analysis!$IV$193:$IV$197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Analysis!$IW$193:$IW$197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Analysis!$IV$209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Analysis!$IV$203:$IV$207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Analysis!$IW$203:$IW$207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Analysis!$IV$219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Analysis!$IV$213:$IV$217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Analysis!$IW$213:$IW$217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Analysis!$IV$229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Analysis!$IV$223:$IV$227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Analysis!$IW$223:$IW$227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Analysis!$IV$239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Analysis!$IV$233:$IV$237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Analysis!$IW$233:$IW$237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Analysis!$IV$249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>
                <a:solidFill>
                  <a:srgbClr val="008000"/>
                </a:solidFill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Analysis!$IV$243:$IV$247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Analysis!$IW$243:$IW$247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Analysis!$IV$259</c:f>
              <c:strCache>
                <c:ptCount val="1"/>
              </c:strCache>
            </c:strRef>
          </c:tx>
          <c:spPr>
            <a:ln w="19050" cap="rnd">
              <a:solidFill>
                <a:srgbClr val="008000"/>
              </a:solidFill>
              <a:round/>
              <a:tailEnd w="sm" len="sm"/>
            </a:ln>
          </c:spPr>
          <c:marker>
            <c:symbol val="none"/>
          </c:marker>
          <c:dPt>
            <c:idx val="4"/>
            <c:bubble3D val="0"/>
            <c:spPr>
              <a:ln w="19050" cap="rnd">
                <a:solidFill>
                  <a:srgbClr val="008000"/>
                </a:solidFill>
                <a:round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Analysis!$IV$253:$IV$257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Analysis!$IW$253:$IW$257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Analysis!$IV$269</c:f>
              <c:strCache>
                <c:ptCount val="1"/>
                <c:pt idx="0">
                  <c:v>972 kg/m</c:v>
                </c:pt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w="sm" len="sm"/>
            </a:ln>
          </c:spPr>
          <c:marker>
            <c:symbol val="none"/>
          </c:marker>
          <c:dPt>
            <c:idx val="0"/>
            <c:bubble3D val="0"/>
            <c:spPr>
              <a:ln w="19050">
                <a:solidFill>
                  <a:srgbClr val="008000"/>
                </a:solidFill>
                <a:headEnd type="arrow" w="sm" len="sm"/>
                <a:tailEnd type="arrow" w="sm" len="sm"/>
              </a:ln>
            </c:spPr>
          </c:dPt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Analysis!$IV$9</c:f>
              <c:strCache>
                <c:ptCount val="1"/>
              </c:strCache>
            </c:strRef>
          </c:tx>
          <c:spPr>
            <a:ln w="19050">
              <a:solidFill>
                <a:srgbClr val="008000"/>
              </a:solidFill>
              <a:headEnd type="arrow" w="sm" len="sm"/>
              <a:tailEnd type="arrow" w="sm" len="sm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008000"/>
                </a:solidFill>
                <a:headEnd type="arrow" w="sm" len="sm"/>
                <a:tailEnd type="none" w="sm" len="sm"/>
              </a:ln>
            </c:spPr>
          </c:dPt>
          <c:dPt>
            <c:idx val="2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none" w="sm" len="sm"/>
              </a:ln>
            </c:spPr>
          </c:dPt>
          <c:dPt>
            <c:idx val="3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none" w="sm" len="sm"/>
              </a:ln>
            </c:spPr>
          </c:dPt>
          <c:dPt>
            <c:idx val="4"/>
            <c:bubble3D val="0"/>
            <c:spPr>
              <a:ln w="19050">
                <a:solidFill>
                  <a:srgbClr val="008000"/>
                </a:solidFill>
                <a:headEnd type="none" w="sm" len="sm"/>
                <a:tailEnd type="arrow" w="sm" len="sm"/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Analysis!$IY$15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  <a:tailEnd type="none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 rot="0" vert="horz"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Analysis!$IY$13:$IY$14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Analysis!$IZ$13:$IZ$14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Analysis!$IY$18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Analysis!$IY$16:$IY$17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Analysis!$IZ$16:$IZ$17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0"/>
          <c:order val="30"/>
          <c:tx>
            <c:strRef>
              <c:f>Analysis!$IY$21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Analysis!$IY$19:$IY$20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Analysis!$IZ$19:$IZ$20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1"/>
          <c:order val="31"/>
          <c:tx>
            <c:strRef>
              <c:f>Analysis!$IY$25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Analysis!$IY$23:$IY$24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Analysis!$IZ$23:$IZ$24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2"/>
          <c:order val="32"/>
          <c:tx>
            <c:strRef>
              <c:f>Analysis!$IY$28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Analysis!$IY$26:$IY$27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Analysis!$IZ$26:$IZ$27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3"/>
          <c:order val="33"/>
          <c:tx>
            <c:strRef>
              <c:f>Analysis!$IY$31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Analysis!$IY$29:$IY$30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Analysis!$IZ$29:$IZ$30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4"/>
          <c:order val="34"/>
          <c:tx>
            <c:strRef>
              <c:f>Analysis!$IY$35</c:f>
              <c:strCache>
                <c:ptCount val="1"/>
                <c:pt idx="0">
                  <c:v>1500 kg</c:v>
                </c:pt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Analysis!$IY$33:$IY$34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Analysis!$IZ$33:$IZ$34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5"/>
          <c:order val="35"/>
          <c:tx>
            <c:strRef>
              <c:f>Analysis!$IY$38</c:f>
              <c:strCache>
                <c:ptCount val="1"/>
                <c:pt idx="0">
                  <c:v>1250 kg</c:v>
                </c:pt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Analysis!$IY$36:$IY$37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Analysis!$IZ$36:$IZ$37</c:f>
              <c:numCache>
                <c:formatCode>General</c:formatCode>
                <c:ptCount val="2"/>
                <c:pt idx="0">
                  <c:v>0</c:v>
                </c:pt>
                <c:pt idx="1">
                  <c:v>62.5</c:v>
                </c:pt>
              </c:numCache>
            </c:numRef>
          </c:yVal>
          <c:smooth val="0"/>
        </c:ser>
        <c:ser>
          <c:idx val="36"/>
          <c:order val="36"/>
          <c:tx>
            <c:strRef>
              <c:f>Analysis!$IY$41</c:f>
              <c:strCache>
                <c:ptCount val="1"/>
                <c:pt idx="0">
                  <c:v>1500 kg</c:v>
                </c:pt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Analysis!$IY$39:$IY$40</c:f>
              <c:numCache>
                <c:formatCode>General</c:formatCode>
                <c:ptCount val="2"/>
                <c:pt idx="0">
                  <c:v>11.5</c:v>
                </c:pt>
                <c:pt idx="1">
                  <c:v>11.5</c:v>
                </c:pt>
              </c:numCache>
            </c:numRef>
          </c:xVal>
          <c:yVal>
            <c:numRef>
              <c:f>Analysis!$IZ$39:$IZ$40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7"/>
          <c:order val="37"/>
          <c:tx>
            <c:strRef>
              <c:f>Analysis!$IY$45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Analysis!$IY$43:$IY$44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Analysis!$IZ$43:$IZ$44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8"/>
          <c:order val="38"/>
          <c:tx>
            <c:strRef>
              <c:f>Analysis!$IY$48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Analysis!$IY$46:$IY$47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Analysis!$IZ$46:$IZ$47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9"/>
          <c:order val="39"/>
          <c:tx>
            <c:strRef>
              <c:f>Analysis!$IY$51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Analysis!$IY$49:$IY$50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Analysis!$IZ$49:$IZ$50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0"/>
          <c:order val="40"/>
          <c:tx>
            <c:strRef>
              <c:f>Analysis!$IY$55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Analysis!$IY$53:$IY$54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Analysis!$IZ$53:$IZ$54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1"/>
          <c:order val="41"/>
          <c:tx>
            <c:strRef>
              <c:f>Analysis!$IY$58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Analysis!$IY$56:$IY$57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Analysis!$IZ$56:$IZ$57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2"/>
          <c:order val="42"/>
          <c:tx>
            <c:strRef>
              <c:f>Analysis!$IY$61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Analysis!$IY$59:$IY$60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Analysis!$IZ$59:$IZ$60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3"/>
          <c:order val="43"/>
          <c:tx>
            <c:strRef>
              <c:f>Analysis!$IY$65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Analysis!$IY$63:$IY$64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Analysis!$IZ$63:$IZ$64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4"/>
          <c:order val="44"/>
          <c:tx>
            <c:strRef>
              <c:f>Analysis!$IY$68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Analysis!$IY$66:$IY$67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Analysis!$IZ$66:$IZ$67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5"/>
          <c:order val="45"/>
          <c:tx>
            <c:strRef>
              <c:f>Analysis!$IY$71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Analysis!$IY$69:$IY$70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Analysis!$IZ$69:$IZ$70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6"/>
          <c:order val="46"/>
          <c:tx>
            <c:strRef>
              <c:f>Analysis!$IY$75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Analysis!$IY$73:$IY$74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Analysis!$IZ$73:$IZ$74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7"/>
          <c:order val="47"/>
          <c:tx>
            <c:strRef>
              <c:f>Analysis!$IY$78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Analysis!$IY$76:$IY$77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Analysis!$IZ$76:$IZ$77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8"/>
          <c:order val="48"/>
          <c:tx>
            <c:strRef>
              <c:f>Analysis!$IY$81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Analysis!$IY$79:$IY$80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Analysis!$IZ$79:$IZ$80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9"/>
          <c:order val="49"/>
          <c:tx>
            <c:strRef>
              <c:f>Analysis!$IY$85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Analysis!$IY$83:$IY$84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Analysis!$IZ$83:$IZ$84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0"/>
          <c:order val="50"/>
          <c:tx>
            <c:strRef>
              <c:f>Analysis!$IY$88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Analysis!$IY$86:$IY$87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Analysis!$IZ$86:$IZ$87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1"/>
          <c:order val="51"/>
          <c:tx>
            <c:strRef>
              <c:f>Analysis!$IY$91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Analysis!$IY$89:$IY$90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Analysis!$IZ$89:$IZ$90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2"/>
          <c:order val="52"/>
          <c:tx>
            <c:strRef>
              <c:f>Analysis!$IY$95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Analysis!$IY$93:$IY$94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Analysis!$IZ$93:$IZ$94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3"/>
          <c:order val="53"/>
          <c:tx>
            <c:strRef>
              <c:f>Analysis!$IY$98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Analysis!$IY$96:$IY$97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Analysis!$IZ$96:$IZ$97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4"/>
          <c:order val="54"/>
          <c:tx>
            <c:strRef>
              <c:f>Analysis!$IY$101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Analysis!$IY$99:$IY$100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Analysis!$IZ$99:$IZ$100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5"/>
          <c:order val="55"/>
          <c:tx>
            <c:strRef>
              <c:f>Analysis!$IY$105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Analysis!$IY$103:$IY$104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Analysis!$IZ$103:$IZ$104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6"/>
          <c:order val="56"/>
          <c:tx>
            <c:strRef>
              <c:f>Analysis!$IY$108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Analysis!$IY$106:$IY$107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Analysis!$IZ$106:$IZ$107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7"/>
          <c:order val="57"/>
          <c:tx>
            <c:strRef>
              <c:f>Analysis!$IY$111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Analysis!$IY$109:$IY$110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Analysis!$IZ$109:$IZ$110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8"/>
          <c:order val="58"/>
          <c:tx>
            <c:strRef>
              <c:f>Analysis!$IY$125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Analysis!$IY$123:$IY$124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Analysis!$IZ$123:$IZ$124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9"/>
          <c:order val="59"/>
          <c:tx>
            <c:strRef>
              <c:f>Analysis!$IY$128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Analysis!$IY$126:$IY$127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Analysis!$IZ$126:$IZ$127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0"/>
          <c:order val="60"/>
          <c:tx>
            <c:strRef>
              <c:f>Analysis!$IY$131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Analysis!$IY$129:$IY$130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Analysis!$IZ$129:$IZ$130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1"/>
          <c:order val="61"/>
          <c:tx>
            <c:strRef>
              <c:f>Analysis!$IY$115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Analysis!$IY$113:$IY$114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Analysis!$IZ$113:$IZ$114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2"/>
          <c:order val="62"/>
          <c:tx>
            <c:strRef>
              <c:f>Analysis!$IY$118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Analysis!$IY$116:$IY$117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Analysis!$IZ$116:$IZ$117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3"/>
          <c:order val="63"/>
          <c:tx>
            <c:strRef>
              <c:f>Analysis!$IY$121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Analysis!$IY$119:$IY$120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Analysis!$IZ$119:$IZ$120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4"/>
          <c:order val="64"/>
          <c:tx>
            <c:strRef>
              <c:f>Analysis!$IY$135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Analysis!$IY$133:$IY$134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Analysis!$IZ$133:$IZ$134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5"/>
          <c:order val="65"/>
          <c:tx>
            <c:strRef>
              <c:f>Analysis!$IY$138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Analysis!$IY$136:$IY$137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Analysis!$IZ$136:$IZ$137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6"/>
          <c:order val="66"/>
          <c:tx>
            <c:strRef>
              <c:f>Analysis!$IY$141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Analysis!$IY$139:$IY$140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Analysis!$IZ$139:$IZ$140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7"/>
          <c:order val="67"/>
          <c:tx>
            <c:strRef>
              <c:f>Analysis!$IY$145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Analysis!$IY$143:$IY$144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Analysis!$IZ$143:$IZ$144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8"/>
          <c:order val="68"/>
          <c:tx>
            <c:strRef>
              <c:f>Analysis!$IY$148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Analysis!$IY$146:$IY$147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Analysis!$IZ$146:$IZ$147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9"/>
          <c:order val="69"/>
          <c:tx>
            <c:strRef>
              <c:f>Analysis!$IY$151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Analysis!$IY$149:$IY$150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Analysis!$IZ$149:$IZ$150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0"/>
          <c:order val="70"/>
          <c:tx>
            <c:strRef>
              <c:f>Analysis!$IY$155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Analysis!$IY$153:$IY$154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Analysis!$IZ$153:$IZ$154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1"/>
          <c:order val="71"/>
          <c:tx>
            <c:strRef>
              <c:f>Analysis!$IY$158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Analysis!$IY$156:$IY$157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Analysis!$IZ$156:$IZ$157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2"/>
          <c:order val="72"/>
          <c:tx>
            <c:strRef>
              <c:f>Analysis!$IY$161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Analysis!$IY$159:$IY$160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Analysis!$IZ$159:$IZ$160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3"/>
          <c:order val="73"/>
          <c:tx>
            <c:strRef>
              <c:f>Analysis!$IY$165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Analysis!$IY$163:$IY$164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Analysis!$IZ$163:$IZ$164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4"/>
          <c:order val="74"/>
          <c:tx>
            <c:strRef>
              <c:f>Analysis!$IY$168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Analysis!$IY$166:$IY$167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Analysis!$IZ$166:$IZ$167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5"/>
          <c:order val="75"/>
          <c:tx>
            <c:strRef>
              <c:f>Analysis!$IY$171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Analysis!$IY$169:$IY$170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Analysis!$IZ$169:$IZ$170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9"/>
          <c:order val="76"/>
          <c:tx>
            <c:strRef>
              <c:f>Analysis!$IY$175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Analysis!$IY$173:$IY$174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Analysis!$IZ$173:$IZ$174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0"/>
          <c:order val="77"/>
          <c:tx>
            <c:strRef>
              <c:f>Analysis!$IY$178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Analysis!$IY$176:$IY$177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Analysis!$IZ$176:$IZ$177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1"/>
          <c:order val="78"/>
          <c:tx>
            <c:strRef>
              <c:f>Analysis!$IY$181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Analysis!$IY$179:$IY$180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Analysis!$IZ$179:$IZ$180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2"/>
          <c:order val="79"/>
          <c:tx>
            <c:strRef>
              <c:f>Analysis!$IY$185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Analysis!$IY$183:$IY$184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Analysis!$IZ$183:$IZ$184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3"/>
          <c:order val="80"/>
          <c:tx>
            <c:strRef>
              <c:f>Analysis!$IY$188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Analysis!$IY$186:$IY$187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Analysis!$IZ$186:$IZ$187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4"/>
          <c:order val="81"/>
          <c:tx>
            <c:strRef>
              <c:f>Analysis!$IY$191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Analysis!$IY$189:$IY$190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Analysis!$IZ$189:$IZ$190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5"/>
          <c:order val="82"/>
          <c:tx>
            <c:strRef>
              <c:f>Analysis!$IY$195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Analysis!$IY$193:$IY$194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Analysis!$IZ$193:$IZ$194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6"/>
          <c:order val="83"/>
          <c:tx>
            <c:strRef>
              <c:f>Analysis!$IY$198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Analysis!$IY$196:$IY$197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Analysis!$IZ$196:$IZ$197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7"/>
          <c:order val="84"/>
          <c:tx>
            <c:strRef>
              <c:f>Analysis!$IY$201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Analysis!$IY$199:$IY$200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Analysis!$IZ$199:$IZ$200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8"/>
          <c:order val="85"/>
          <c:tx>
            <c:strRef>
              <c:f>Analysis!$IY$205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Analysis!$IY$203:$IY$204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Analysis!$IZ$203:$IZ$204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9"/>
          <c:order val="86"/>
          <c:tx>
            <c:strRef>
              <c:f>Analysis!$IY$208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Analysis!$IY$206:$IY$207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Analysis!$IZ$206:$IZ$207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0"/>
          <c:order val="87"/>
          <c:tx>
            <c:strRef>
              <c:f>Analysis!$IY$211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Analysis!$IY$209:$IY$210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Analysis!$IZ$209:$IZ$210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1"/>
          <c:order val="88"/>
          <c:tx>
            <c:strRef>
              <c:f>Analysis!$IY$215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Analysis!$IY$213:$IY$214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Analysis!$IZ$213:$IZ$214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2"/>
          <c:order val="89"/>
          <c:tx>
            <c:strRef>
              <c:f>Analysis!$IY$218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Analysis!$IY$216:$IY$217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Analysis!$IZ$216:$IZ$217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3"/>
          <c:order val="90"/>
          <c:tx>
            <c:strRef>
              <c:f>Analysis!$IY$221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Analysis!$IY$219:$IY$220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Analysis!$IZ$219:$IZ$220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4"/>
          <c:order val="91"/>
          <c:tx>
            <c:strRef>
              <c:f>Analysis!$IY$225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Analysis!$IY$223:$IY$224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Analysis!$IZ$223:$IZ$224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5"/>
          <c:order val="92"/>
          <c:tx>
            <c:strRef>
              <c:f>Analysis!$IY$228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Analysis!$IY$226:$IY$227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Analysis!$IZ$226:$IZ$227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6"/>
          <c:order val="93"/>
          <c:tx>
            <c:strRef>
              <c:f>Analysis!$IY$231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Analysis!$IY$229:$IY$230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Analysis!$IZ$229:$IZ$230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7"/>
          <c:order val="94"/>
          <c:tx>
            <c:strRef>
              <c:f>Analysis!$IY$235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Analysis!$IY$233:$IY$234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Analysis!$IZ$233:$IZ$234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8"/>
          <c:order val="95"/>
          <c:tx>
            <c:strRef>
              <c:f>Analysis!$IY$238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Analysis!$IY$236:$IY$237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Analysis!$IZ$236:$IZ$237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9"/>
          <c:order val="96"/>
          <c:tx>
            <c:strRef>
              <c:f>Analysis!$IY$241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Analysis!$IY$239:$IY$240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Analysis!$IZ$239:$IZ$240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0"/>
          <c:order val="97"/>
          <c:tx>
            <c:strRef>
              <c:f>Analysis!$IY$245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Analysis!$IY$243:$IY$244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Analysis!$IZ$243:$IZ$244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1"/>
          <c:order val="98"/>
          <c:tx>
            <c:strRef>
              <c:f>Analysis!$IY$248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Analysis!$IY$246:$IY$247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Analysis!$IZ$246:$IZ$247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2"/>
          <c:order val="99"/>
          <c:tx>
            <c:strRef>
              <c:f>Analysis!$IY$251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Analysis!$IY$249:$IY$250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Analysis!$IZ$249:$IZ$250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3"/>
          <c:order val="100"/>
          <c:tx>
            <c:strRef>
              <c:f>Analysis!$IY$255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Analysis!$IY$253:$IY$254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Analysis!$IZ$253:$IZ$254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4"/>
          <c:order val="101"/>
          <c:tx>
            <c:strRef>
              <c:f>Analysis!$IY$258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Analysis!$IY$256:$IY$257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Analysis!$IZ$256:$IZ$257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5"/>
          <c:order val="102"/>
          <c:tx>
            <c:strRef>
              <c:f>Analysis!$IY$261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Analysis!$IY$259:$IY$260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Analysis!$IZ$259:$IZ$260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6"/>
          <c:order val="103"/>
          <c:tx>
            <c:strRef>
              <c:f>Analysis!$IY$5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7"/>
          <c:order val="104"/>
          <c:tx>
            <c:strRef>
              <c:f>Analysis!$IY$8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8"/>
          <c:order val="105"/>
          <c:tx>
            <c:strRef>
              <c:f>Analysis!$IY$11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9"/>
          <c:order val="106"/>
          <c:tx>
            <c:strRef>
              <c:f>Analysis!$IY$265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Analysis!$IY$263:$IY$264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Analysis!$IZ$263:$IZ$264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0"/>
          <c:order val="107"/>
          <c:tx>
            <c:strRef>
              <c:f>Analysis!$IY$268</c:f>
              <c:strCache>
                <c:ptCount val="1"/>
              </c:strCache>
            </c:strRef>
          </c:tx>
          <c:spPr>
            <a:ln w="19050">
              <a:solidFill>
                <a:srgbClr val="7030A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Analysis!$IY$266:$IY$267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Analysis!$IZ$266:$IZ$267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1"/>
          <c:order val="108"/>
          <c:tx>
            <c:strRef>
              <c:f>Analysis!$IY$271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  <a:headEnd type="triangle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Analysis!$IY$269:$IY$270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Analysis!$IZ$269:$IZ$270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6"/>
          <c:order val="109"/>
          <c:tx>
            <c:strRef>
              <c:f>Analysis!$JB$15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 w="med" len="med"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Analysis!$JB$13:$JB$14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Analysis!$JC$13:$JC$14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7"/>
          <c:order val="110"/>
          <c:tx>
            <c:strRef>
              <c:f>Analysis!$JB$20</c:f>
              <c:strCache>
                <c:ptCount val="1"/>
                <c:pt idx="0">
                  <c:v>5474.82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Analysis!$JB$21:$JB$22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Analysis!$JC$21:$JC$22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78"/>
          <c:order val="111"/>
          <c:tx>
            <c:strRef>
              <c:f>Analysis!$JB$30</c:f>
              <c:strCache>
                <c:ptCount val="1"/>
                <c:pt idx="0">
                  <c:v>6855.80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Analysis!$JB$31:$JB$32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Analysis!$JC$31:$JC$32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2"/>
          <c:order val="112"/>
          <c:tx>
            <c:strRef>
              <c:f>Analysis!$JB$40</c:f>
              <c:strCache>
                <c:ptCount val="1"/>
                <c:pt idx="0">
                  <c:v>6567.65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Analysis!$JB$41:$JB$42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Analysis!$JC$41:$JC$42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3"/>
          <c:order val="113"/>
          <c:tx>
            <c:strRef>
              <c:f>Analysis!$JB$50</c:f>
              <c:strCache>
                <c:ptCount val="1"/>
                <c:pt idx="0">
                  <c:v>3508.78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Analysis!$JB$51:$JB$52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Analysis!$JC$51:$JC$52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4"/>
          <c:order val="114"/>
          <c:tx>
            <c:strRef>
              <c:f>Analysis!$JB$60</c:f>
              <c:strCache>
                <c:ptCount val="1"/>
                <c:pt idx="0">
                  <c:v>4058.74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Analysis!$JB$61:$JB$62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Analysis!$JC$61:$JC$62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5"/>
          <c:order val="115"/>
          <c:tx>
            <c:strRef>
              <c:f>Analysis!$JB$70</c:f>
              <c:strCache>
                <c:ptCount val="1"/>
                <c:pt idx="0">
                  <c:v>3322.92 kg</c:v>
                </c:pt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Analysis!$JB$71:$JB$72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Analysis!$JC$71:$JC$72</c:f>
              <c:numCache>
                <c:formatCode>General</c:formatCode>
                <c:ptCount val="2"/>
                <c:pt idx="0">
                  <c:v>0</c:v>
                </c:pt>
                <c:pt idx="1">
                  <c:v>-20</c:v>
                </c:pt>
              </c:numCache>
            </c:numRef>
          </c:yVal>
          <c:smooth val="0"/>
        </c:ser>
        <c:ser>
          <c:idx val="116"/>
          <c:order val="116"/>
          <c:tx>
            <c:strRef>
              <c:f>Analysis!$JB$80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Analysis!$JB$81:$JB$82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Analysis!$JC$81:$JC$82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7"/>
          <c:order val="117"/>
          <c:tx>
            <c:strRef>
              <c:f>Analysis!$JB$90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Analysis!$JB$91:$JB$92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Analysis!$JC$91:$JC$92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8"/>
          <c:order val="118"/>
          <c:tx>
            <c:strRef>
              <c:f>Analysis!$JB$100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Analysis!$JB$101:$JB$102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Analysis!$JC$101:$JC$102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9"/>
          <c:order val="119"/>
          <c:tx>
            <c:strRef>
              <c:f>Analysis!$JB$110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Analysis!$JB$111:$JB$112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Analysis!$JC$111:$JC$112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0"/>
          <c:order val="120"/>
          <c:tx>
            <c:strRef>
              <c:f>Analysis!$JB$120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Analysis!$JB$121:$JB$122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Analysis!$JC$121:$JC$122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1"/>
          <c:order val="121"/>
          <c:tx>
            <c:strRef>
              <c:f>Analysis!$JB$130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Analysis!$JB$131:$JB$132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Analysis!$JC$131:$JC$132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2"/>
          <c:order val="122"/>
          <c:tx>
            <c:strRef>
              <c:f>Analysis!$JB$140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Analysis!$JB$141:$JB$142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Analysis!$JC$141:$JC$142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3"/>
          <c:order val="123"/>
          <c:tx>
            <c:strRef>
              <c:f>Analysis!$JB$150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Analysis!$JB$151:$JB$152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Analysis!$JC$151:$JC$152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4"/>
          <c:order val="124"/>
          <c:tx>
            <c:strRef>
              <c:f>Analysis!$JB$160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Analysis!$JB$161:$JB$162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Analysis!$JC$161:$JC$162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5"/>
          <c:order val="125"/>
          <c:tx>
            <c:strRef>
              <c:f>Analysis!$JB$170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Analysis!$JB$171:$JB$172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Analysis!$JC$171:$JC$172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6"/>
          <c:order val="126"/>
          <c:tx>
            <c:strRef>
              <c:f>Analysis!$JB$180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Analysis!$JB$181:$JB$182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Analysis!$JC$181:$JC$182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7"/>
          <c:order val="127"/>
          <c:tx>
            <c:strRef>
              <c:f>Analysis!$JB$190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Analysis!$JB$191:$JB$192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Analysis!$JC$191:$JC$192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8"/>
          <c:order val="128"/>
          <c:tx>
            <c:strRef>
              <c:f>Analysis!$JB$200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Analysis!$JB$201:$JB$202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Analysis!$JC$201:$JC$202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9"/>
          <c:order val="129"/>
          <c:tx>
            <c:strRef>
              <c:f>Analysis!$JB$210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Analysis!$JB$211:$JB$212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Analysis!$JC$211:$JC$212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0"/>
          <c:order val="130"/>
          <c:tx>
            <c:strRef>
              <c:f>Analysis!$JB$220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Analysis!$JB$221:$JB$222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Analysis!$JC$221:$JC$222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1"/>
          <c:order val="131"/>
          <c:tx>
            <c:strRef>
              <c:f>Analysis!$JB$230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Analysis!$JB$231:$JB$232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Analysis!$JC$231:$JC$232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2"/>
          <c:order val="132"/>
          <c:tx>
            <c:strRef>
              <c:f>Analysis!$JB$240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Analysis!$JB$241:$JB$242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Analysis!$JC$241:$JC$242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3"/>
          <c:order val="133"/>
          <c:tx>
            <c:strRef>
              <c:f>Analysis!$JB$250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Analysis!$JB$251:$JB$252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Analysis!$JC$251:$JC$252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4"/>
          <c:order val="134"/>
          <c:tx>
            <c:strRef>
              <c:f>Analysis!$JB$260</c:f>
              <c:strCache>
                <c:ptCount val="1"/>
              </c:strCache>
            </c:strRef>
          </c:tx>
          <c:spPr>
            <a:ln w="47625">
              <a:solidFill>
                <a:schemeClr val="tx1"/>
              </a:solidFill>
              <a:headEnd type="triangle"/>
            </a:ln>
          </c:spPr>
          <c:marker>
            <c:symbol val="none"/>
          </c:marker>
          <c:xVal>
            <c:numRef>
              <c:f>Analysis!$JB$261:$JB$262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Analysis!$JC$261:$JC$262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5"/>
          <c:order val="135"/>
          <c:tx>
            <c:strRef>
              <c:f>Analysis!$JB$18</c:f>
              <c:strCache>
                <c:ptCount val="1"/>
                <c:pt idx="0">
                  <c:v>2927.30 kg</c:v>
                </c:pt>
              </c:strCache>
            </c:strRef>
          </c:tx>
          <c:spPr>
            <a:ln w="101600" cap="flat" cmpd="sng">
              <a:gradFill flip="none" rotWithShape="1"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0800000" scaled="0"/>
                <a:tileRect/>
              </a:gradFill>
            </a:ln>
            <a:effectLst/>
          </c:spPr>
          <c:marker>
            <c:symbol val="none"/>
          </c:marker>
          <c:xVal>
            <c:numRef>
              <c:f>Analysis!$JB$16:$JB$17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Analysis!$JC$16:$JC$17</c:f>
              <c:numCache>
                <c:formatCode>General</c:formatCode>
                <c:ptCount val="2"/>
                <c:pt idx="0">
                  <c:v>56.25</c:v>
                </c:pt>
                <c:pt idx="1">
                  <c:v>-56.25</c:v>
                </c:pt>
              </c:numCache>
            </c:numRef>
          </c:yVal>
          <c:smooth val="0"/>
        </c:ser>
        <c:ser>
          <c:idx val="136"/>
          <c:order val="136"/>
          <c:tx>
            <c:strRef>
              <c:f>Analysis!$JB$25</c:f>
              <c:strCache>
                <c:ptCount val="1"/>
              </c:strCache>
            </c:strRef>
          </c:tx>
          <c:spPr>
            <a:ln w="139700" cap="sq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Analysis!$JB$23:$JB$24</c:f>
              <c:numCache>
                <c:formatCode>General</c:formatCode>
                <c:ptCount val="2"/>
              </c:numCache>
            </c:numRef>
          </c:xVal>
          <c:yVal>
            <c:numRef>
              <c:f>Analysis!$JC$23:$JC$24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137"/>
          <c:order val="137"/>
          <c:tx>
            <c:strRef>
              <c:f>Analysis!$JB$259</c:f>
              <c:strCache>
                <c:ptCount val="1"/>
                <c:pt idx="0">
                  <c:v>FALSE</c:v>
                </c:pt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xVal>
            <c:numRef>
              <c:f>Analysis!$JB$257:$JB$258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Analysis!$JC$257:$JC$258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8"/>
          <c:order val="138"/>
          <c:tx>
            <c:strRef>
              <c:f>Analysis!$JB$10</c:f>
              <c:strCache>
                <c:ptCount val="1"/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xVal>
            <c:numRef>
              <c:f>Analysis!$JB$11:$JB$12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Analysis!$JC$11:$JC$12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9"/>
          <c:order val="139"/>
          <c:tx>
            <c:strRef>
              <c:f>Analysis!$JB$265</c:f>
              <c:strCache>
                <c:ptCount val="1"/>
              </c:strCache>
            </c:strRef>
          </c:tx>
          <c:spPr>
            <a:ln w="101600" cap="flat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0800000" scaled="0"/>
              </a:gradFill>
            </a:ln>
          </c:spPr>
          <c:marker>
            <c:symbol val="none"/>
          </c:marker>
          <c:xVal>
            <c:numRef>
              <c:f>Analysis!$JB$263:$JB$264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Analysis!$JC$263:$JC$264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40"/>
          <c:order val="140"/>
          <c:tx>
            <c:strRef>
              <c:f>Analysis!$JE$15</c:f>
              <c:strCache>
                <c:ptCount val="1"/>
                <c:pt idx="0">
                  <c:v>2927.30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Analysis!$JE$13:$JE$14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Analysis!$JF$13:$JF$14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1"/>
          <c:order val="141"/>
          <c:tx>
            <c:strRef>
              <c:f>Analysis!$JE$20</c:f>
              <c:strCache>
                <c:ptCount val="1"/>
                <c:pt idx="0">
                  <c:v>5474.82 kg</c:v>
                </c:pt>
              </c:strCache>
            </c:strRef>
          </c:tx>
          <c:spPr>
            <a:ln w="28575"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Analysis!$JE$21:$JE$22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Analysis!$JF$21:$JF$22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2"/>
          <c:order val="142"/>
          <c:tx>
            <c:strRef>
              <c:f>Analysis!$JE$30</c:f>
              <c:strCache>
                <c:ptCount val="1"/>
                <c:pt idx="0">
                  <c:v>6855.80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Analysis!$JE$31:$JE$32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Analysis!$JF$31:$JF$32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3"/>
          <c:order val="143"/>
          <c:tx>
            <c:strRef>
              <c:f>Analysis!$JE$40</c:f>
              <c:strCache>
                <c:ptCount val="1"/>
                <c:pt idx="0">
                  <c:v>6567.65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Analysis!$JE$41:$JE$42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Analysis!$JF$41:$JF$42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4"/>
          <c:order val="144"/>
          <c:tx>
            <c:strRef>
              <c:f>Analysis!$JE$50</c:f>
              <c:strCache>
                <c:ptCount val="1"/>
                <c:pt idx="0">
                  <c:v>3508.78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Analysis!$JE$51:$JE$52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Analysis!$JF$51:$JF$52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5"/>
          <c:order val="145"/>
          <c:tx>
            <c:strRef>
              <c:f>Analysis!$JE$60</c:f>
              <c:strCache>
                <c:ptCount val="1"/>
                <c:pt idx="0">
                  <c:v>4058.74 kg</c:v>
                </c:pt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Analysis!$JE$61:$JE$62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Analysis!$JF$61:$JF$62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7"/>
          <c:order val="146"/>
          <c:tx>
            <c:strRef>
              <c:f>Analysis!$JE$70</c:f>
              <c:strCache>
                <c:ptCount val="1"/>
                <c:pt idx="0">
                  <c:v>3322.92 kg</c:v>
                </c:pt>
              </c:strCache>
            </c:strRef>
          </c:tx>
          <c:spPr>
            <a:ln w="28575"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Analysis!$JE$71:$JE$72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Analysis!$JF$71:$JF$72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48"/>
          <c:order val="147"/>
          <c:tx>
            <c:strRef>
              <c:f>Analysis!$JE$80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Analysis!$JE$81:$JE$82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Analysis!$JF$81:$JF$82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49"/>
          <c:order val="148"/>
          <c:tx>
            <c:strRef>
              <c:f>Analysis!$JE$90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Analysis!$JE$91:$JE$92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Analysis!$JF$91:$JF$92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0"/>
          <c:order val="149"/>
          <c:tx>
            <c:strRef>
              <c:f>Analysis!$JE$100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Analysis!$JE$101:$JE$102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Analysis!$JF$101:$JF$102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1"/>
          <c:order val="150"/>
          <c:tx>
            <c:strRef>
              <c:f>Analysis!$JE$110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Analysis!$JE$111:$JE$112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Analysis!$JF$111:$JF$112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2"/>
          <c:order val="151"/>
          <c:tx>
            <c:strRef>
              <c:f>Analysis!$JE$120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Analysis!$JE$121:$JE$122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Analysis!$JF$121:$JF$122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3"/>
          <c:order val="152"/>
          <c:tx>
            <c:strRef>
              <c:f>Analysis!$JE$130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Analysis!$JE$131:$JE$132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Analysis!$JF$131:$JF$132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4"/>
          <c:order val="153"/>
          <c:tx>
            <c:strRef>
              <c:f>Analysis!$JE$140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Analysis!$JE$141:$JE$142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Analysis!$JF$141:$JF$142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5"/>
          <c:order val="154"/>
          <c:tx>
            <c:strRef>
              <c:f>Analysis!$JE$150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Analysis!$JE$151:$JE$152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Analysis!$JF$151:$JF$152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6"/>
          <c:order val="155"/>
          <c:tx>
            <c:strRef>
              <c:f>Analysis!$JE$160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Analysis!$JE$161:$JE$162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Analysis!$JF$161:$JF$162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7"/>
          <c:order val="156"/>
          <c:tx>
            <c:strRef>
              <c:f>Analysis!$JE$170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Analysis!$JE$171:$JE$172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Analysis!$JF$171:$JF$172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8"/>
          <c:order val="157"/>
          <c:tx>
            <c:strRef>
              <c:f>Analysis!$JE$180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Analysis!$JE$181:$JE$182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Analysis!$JF$181:$JF$182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59"/>
          <c:order val="158"/>
          <c:tx>
            <c:strRef>
              <c:f>Analysis!$JE$190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Analysis!$JE$191:$JE$192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Analysis!$JF$191:$JF$192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0"/>
          <c:order val="159"/>
          <c:tx>
            <c:strRef>
              <c:f>Analysis!$JE$200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Analysis!$JE$201:$JE$202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Analysis!$JF$201:$JF$202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1"/>
          <c:order val="160"/>
          <c:tx>
            <c:strRef>
              <c:f>Analysis!$JE$210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Analysis!$JE$211:$JE$212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Analysis!$JF$211:$JF$212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2"/>
          <c:order val="161"/>
          <c:tx>
            <c:strRef>
              <c:f>Analysis!$JE$220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Analysis!$JE$221:$JE$222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Analysis!$JF$221:$JF$222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3"/>
          <c:order val="162"/>
          <c:tx>
            <c:strRef>
              <c:f>Analysis!$JE$230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Analysis!$JE$231:$JE$232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Analysis!$JF$231:$JF$232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4"/>
          <c:order val="163"/>
          <c:tx>
            <c:strRef>
              <c:f>Analysis!$JE$240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Analysis!$JE$241:$JE$242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Analysis!$JF$241:$JF$242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5"/>
          <c:order val="164"/>
          <c:tx>
            <c:strRef>
              <c:f>Analysis!$JE$250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Analysis!$JE$251:$JE$252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Analysis!$JF$251:$JF$252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6"/>
          <c:order val="165"/>
          <c:tx>
            <c:strRef>
              <c:f>Analysis!$JE$260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Analysis!$JE$261:$JE$262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Analysis!$JF$261:$JF$262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7"/>
          <c:order val="166"/>
          <c:tx>
            <c:strRef>
              <c:f>Analysis!$JE$10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Analysis!$JE$11:$JE$12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Analysis!$JF$11:$JF$12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68"/>
          <c:order val="167"/>
          <c:tx>
            <c:strRef>
              <c:f>Analysis!$JE$265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headEnd type="arrow" w="med" len="med"/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Analysis!$JE$263:$JE$264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Analysis!$JF$263:$JF$264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69"/>
          <c:order val="168"/>
          <c:tx>
            <c:strRef>
              <c:f>Analysis!$JN$14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numFmt formatCode="&quot;C = &quot;General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Analysis!$JN$13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Analysis!$JO$13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0"/>
          <c:order val="169"/>
          <c:tx>
            <c:strRef>
              <c:f>Analysis!$JN$24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numFmt formatCode="General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Analysis!$JN$23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Analysis!$JO$23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1"/>
          <c:order val="170"/>
          <c:tx>
            <c:strRef>
              <c:f>Analysis!$JN$34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Analysis!$JN$33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Analysis!$JO$33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2"/>
          <c:order val="171"/>
          <c:tx>
            <c:strRef>
              <c:f>Analysis!$JN$44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Analysis!$JN$43</c:f>
              <c:numCache>
                <c:formatCode>0.00</c:formatCode>
                <c:ptCount val="1"/>
                <c:pt idx="0">
                  <c:v>14</c:v>
                </c:pt>
              </c:numCache>
            </c:numRef>
          </c:xVal>
          <c:yVal>
            <c:numRef>
              <c:f>Analysis!$JO$43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3"/>
          <c:order val="172"/>
          <c:tx>
            <c:strRef>
              <c:f>Analysis!$JN$54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Analysis!$JN$53</c:f>
              <c:numCache>
                <c:formatCode>0.00</c:formatCode>
                <c:ptCount val="1"/>
                <c:pt idx="0">
                  <c:v>18</c:v>
                </c:pt>
              </c:numCache>
            </c:numRef>
          </c:xVal>
          <c:yVal>
            <c:numRef>
              <c:f>Analysis!$JO$53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4"/>
          <c:order val="173"/>
          <c:tx>
            <c:strRef>
              <c:f>Analysis!$JN$64</c:f>
              <c:strCache>
                <c:ptCount val="1"/>
                <c:pt idx="0">
                  <c:v>4.00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Analysis!$JN$63</c:f>
              <c:numCache>
                <c:formatCode>0.00</c:formatCode>
                <c:ptCount val="1"/>
                <c:pt idx="0">
                  <c:v>22</c:v>
                </c:pt>
              </c:numCache>
            </c:numRef>
          </c:xVal>
          <c:yVal>
            <c:numRef>
              <c:f>Analysis!$JO$63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5"/>
          <c:order val="174"/>
          <c:tx>
            <c:strRef>
              <c:f>Analysis!$JN$74</c:f>
              <c:strCache>
                <c:ptCount val="1"/>
                <c:pt idx="0">
                  <c:v>1.50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Analysis!$JO$73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6"/>
          <c:order val="175"/>
          <c:tx>
            <c:strRef>
              <c:f>Analysis!$JN$84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Analysis!$JO$83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7"/>
          <c:order val="176"/>
          <c:tx>
            <c:strRef>
              <c:f>Analysis!$JN$94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Analysis!$JO$93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8"/>
          <c:order val="177"/>
          <c:tx>
            <c:strRef>
              <c:f>Analysis!$JN$104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Analysis!$JO$103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79"/>
          <c:order val="178"/>
          <c:tx>
            <c:strRef>
              <c:f>Analysis!$JN$114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0"/>
          <c:order val="179"/>
          <c:tx>
            <c:strRef>
              <c:f>Analysis!$JN$124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1"/>
          <c:order val="180"/>
          <c:tx>
            <c:strRef>
              <c:f>Analysis!$JN$134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2"/>
          <c:order val="181"/>
          <c:tx>
            <c:strRef>
              <c:f>Analysis!$JN$144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3"/>
          <c:order val="182"/>
          <c:tx>
            <c:strRef>
              <c:f>Analysis!$JN$154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4"/>
          <c:order val="183"/>
          <c:tx>
            <c:strRef>
              <c:f>Analysis!$JN$164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5"/>
          <c:order val="184"/>
          <c:tx>
            <c:strRef>
              <c:f>Analysis!$JN$174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Analysis!$JO$173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6"/>
          <c:order val="185"/>
          <c:tx>
            <c:strRef>
              <c:f>Analysis!$JN$184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Analysis!$JO$183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7"/>
          <c:order val="186"/>
          <c:tx>
            <c:strRef>
              <c:f>Analysis!$JN$194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Analysis!$JO$193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8"/>
          <c:order val="187"/>
          <c:tx>
            <c:strRef>
              <c:f>Analysis!$JN$204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Analysis!$JO$203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89"/>
          <c:order val="188"/>
          <c:tx>
            <c:strRef>
              <c:f>Analysis!$JN$214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Analysis!$JO$213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0"/>
          <c:order val="189"/>
          <c:tx>
            <c:strRef>
              <c:f>Analysis!$JN$224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Analysis!$JO$223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1"/>
          <c:order val="190"/>
          <c:tx>
            <c:strRef>
              <c:f>Analysis!$JN$234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Analysis!$JO$233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2"/>
          <c:order val="191"/>
          <c:tx>
            <c:strRef>
              <c:f>Analysis!$JN$244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Analysis!$JO$243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3"/>
          <c:order val="192"/>
          <c:tx>
            <c:strRef>
              <c:f>Analysis!$JN$254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Analysis!$JO$253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4"/>
          <c:order val="193"/>
          <c:tx>
            <c:strRef>
              <c:f>Analysis!$JN$264</c:f>
              <c:strCache>
                <c:ptCount val="1"/>
                <c:pt idx="0">
                  <c:v>1.50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Analysis!$JN$263</c:f>
              <c:numCache>
                <c:formatCode>0.00</c:formatCode>
                <c:ptCount val="1"/>
                <c:pt idx="0">
                  <c:v>24.75</c:v>
                </c:pt>
              </c:numCache>
            </c:numRef>
          </c:xVal>
          <c:yVal>
            <c:numRef>
              <c:f>Analysis!$JO$263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195"/>
          <c:order val="194"/>
          <c:tx>
            <c:strRef>
              <c:f>Analysis!$JN$4</c:f>
              <c:strCache>
                <c:ptCount val="1"/>
                <c:pt idx="0">
                  <c:v>0.00 m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Analysis!$JN$3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Analysis!$JO$3</c:f>
              <c:numCache>
                <c:formatCode>0.00</c:formatCode>
                <c:ptCount val="1"/>
                <c:pt idx="0">
                  <c:v>-52.5</c:v>
                </c:pt>
              </c:numCache>
            </c:numRef>
          </c:yVal>
          <c:smooth val="0"/>
        </c:ser>
        <c:ser>
          <c:idx val="241"/>
          <c:order val="195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Analysis!$IY$163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Analysis!$IZ$163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79904"/>
        <c:axId val="132580480"/>
      </c:scatterChart>
      <c:valAx>
        <c:axId val="132579904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low"/>
        <c:crossAx val="132580480"/>
        <c:crosses val="autoZero"/>
        <c:crossBetween val="midCat"/>
        <c:majorUnit val="1"/>
      </c:valAx>
      <c:valAx>
        <c:axId val="13258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79904"/>
        <c:crosses val="autoZero"/>
        <c:crossBetween val="midCat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91388888888899E-2"/>
          <c:y val="5.0925555555555516E-2"/>
          <c:w val="0.9675892592592592"/>
          <c:h val="0.85026975794692328"/>
        </c:manualLayout>
      </c:layout>
      <c:scatterChart>
        <c:scatterStyle val="lineMarker"/>
        <c:varyColors val="0"/>
        <c:ser>
          <c:idx val="28"/>
          <c:order val="0"/>
          <c:tx>
            <c:strRef>
              <c:f>Analysis!$IF$15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  <a:tailEnd type="none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 rot="0" vert="horz"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Analysis!$IY$13:$IY$14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Analysis!$IZ$13:$IZ$14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9"/>
          <c:order val="1"/>
          <c:tx>
            <c:strRef>
              <c:f>Analysis!$IF$17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Analysis!$IY$16:$IY$17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Analysis!$IZ$16:$IZ$17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0"/>
          <c:order val="2"/>
          <c:tx>
            <c:strRef>
              <c:f>Analysis!$IF$19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Analysis!$IY$19:$IY$20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Analysis!$IZ$19:$IZ$20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1"/>
          <c:order val="3"/>
          <c:tx>
            <c:strRef>
              <c:f>Analysis!$IF$25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Analysis!$IY$23:$IY$24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Analysis!$IZ$23:$IZ$24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2"/>
          <c:order val="4"/>
          <c:tx>
            <c:strRef>
              <c:f>Analysis!$IF$27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Analysis!$IY$26:$IY$27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Analysis!$IZ$26:$IZ$27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3"/>
          <c:order val="5"/>
          <c:tx>
            <c:strRef>
              <c:f>Analysis!$IF$29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Analysis!$IY$29:$IY$30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Analysis!$IZ$29:$IZ$30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4"/>
          <c:order val="6"/>
          <c:tx>
            <c:strRef>
              <c:f>Analysis!$IK$35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Analysis!$IY$33:$IY$34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Analysis!$IZ$33:$IZ$34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5"/>
          <c:order val="7"/>
          <c:tx>
            <c:strRef>
              <c:f>Analysis!$IK$37</c:f>
              <c:strCache>
                <c:ptCount val="1"/>
                <c:pt idx="0">
                  <c:v>2.5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Analysis!$IY$36:$IY$37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Analysis!$IZ$36:$IZ$37</c:f>
              <c:numCache>
                <c:formatCode>General</c:formatCode>
                <c:ptCount val="2"/>
                <c:pt idx="0">
                  <c:v>0</c:v>
                </c:pt>
                <c:pt idx="1">
                  <c:v>62.5</c:v>
                </c:pt>
              </c:numCache>
            </c:numRef>
          </c:yVal>
          <c:smooth val="0"/>
        </c:ser>
        <c:ser>
          <c:idx val="36"/>
          <c:order val="8"/>
          <c:tx>
            <c:strRef>
              <c:f>Analysis!$IK$39</c:f>
              <c:strCache>
                <c:ptCount val="1"/>
                <c:pt idx="0">
                  <c:v>3.5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Analysis!$IY$39:$IY$40</c:f>
              <c:numCache>
                <c:formatCode>General</c:formatCode>
                <c:ptCount val="2"/>
                <c:pt idx="0">
                  <c:v>11.5</c:v>
                </c:pt>
                <c:pt idx="1">
                  <c:v>11.5</c:v>
                </c:pt>
              </c:numCache>
            </c:numRef>
          </c:xVal>
          <c:yVal>
            <c:numRef>
              <c:f>Analysis!$IZ$39:$IZ$40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0"/>
        </c:ser>
        <c:ser>
          <c:idx val="37"/>
          <c:order val="9"/>
          <c:tx>
            <c:strRef>
              <c:f>Analysis!$IK$45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Analysis!$IY$43:$IY$44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Analysis!$IZ$43:$IZ$44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8"/>
          <c:order val="10"/>
          <c:tx>
            <c:strRef>
              <c:f>Analysis!$IK$47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Analysis!$IY$46:$IY$47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Analysis!$IZ$46:$IZ$47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9"/>
          <c:order val="11"/>
          <c:tx>
            <c:strRef>
              <c:f>Analysis!$IK$49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Analysis!$IY$49:$IY$50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Analysis!$IZ$49:$IZ$50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0"/>
          <c:order val="12"/>
          <c:tx>
            <c:strRef>
              <c:f>Analysis!$IK$55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Analysis!$IY$53:$IY$54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Analysis!$IZ$53:$IZ$54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1"/>
          <c:order val="13"/>
          <c:tx>
            <c:strRef>
              <c:f>Analysis!$IK$57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Analysis!$IY$56:$IY$57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Analysis!$IZ$56:$IZ$57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2"/>
          <c:order val="14"/>
          <c:tx>
            <c:strRef>
              <c:f>Analysis!$IK$59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Analysis!$IY$59:$IY$60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Analysis!$IZ$59:$IZ$60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3"/>
          <c:order val="15"/>
          <c:tx>
            <c:strRef>
              <c:f>Analysis!$IK$65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Analysis!$IY$63:$IY$64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Analysis!$IZ$63:$IZ$64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4"/>
          <c:order val="16"/>
          <c:tx>
            <c:strRef>
              <c:f>Analysis!$IK$67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Analysis!$IY$66:$IY$67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Analysis!$IZ$66:$IZ$67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5"/>
          <c:order val="17"/>
          <c:tx>
            <c:strRef>
              <c:f>Analysis!$IK$69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Analysis!$IY$69:$IY$70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Analysis!$IZ$69:$IZ$70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6"/>
          <c:order val="18"/>
          <c:tx>
            <c:strRef>
              <c:f>Analysis!$IK$75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Analysis!$IY$73:$IY$74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Analysis!$IZ$73:$IZ$74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7"/>
          <c:order val="19"/>
          <c:tx>
            <c:strRef>
              <c:f>Analysis!$IK$77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Analysis!$IY$76:$IY$77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Analysis!$IZ$76:$IZ$77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8"/>
          <c:order val="20"/>
          <c:tx>
            <c:strRef>
              <c:f>Analysis!$IK$79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Analysis!$IY$79:$IY$80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Analysis!$IZ$79:$IZ$80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49"/>
          <c:order val="21"/>
          <c:tx>
            <c:strRef>
              <c:f>Analysis!$IK$85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Analysis!$IY$83:$IY$84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Analysis!$IZ$83:$IZ$84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0"/>
          <c:order val="22"/>
          <c:tx>
            <c:strRef>
              <c:f>Analysis!$IK$87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Analysis!$IY$86:$IY$87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Analysis!$IZ$86:$IZ$87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1"/>
          <c:order val="23"/>
          <c:tx>
            <c:strRef>
              <c:f>Analysis!$IK$89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Analysis!$IY$89:$IY$90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Analysis!$IZ$89:$IZ$90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2"/>
          <c:order val="24"/>
          <c:tx>
            <c:strRef>
              <c:f>Analysis!$IK$95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Analysis!$IY$93:$IY$94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Analysis!$IZ$93:$IZ$94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3"/>
          <c:order val="25"/>
          <c:tx>
            <c:strRef>
              <c:f>Analysis!$IK$97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Analysis!$IY$96:$IY$97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Analysis!$IZ$96:$IZ$97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4"/>
          <c:order val="26"/>
          <c:tx>
            <c:strRef>
              <c:f>Analysis!$IK$99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Analysis!$IY$99:$IY$100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Analysis!$IZ$99:$IZ$100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5"/>
          <c:order val="27"/>
          <c:tx>
            <c:strRef>
              <c:f>Analysis!$IK$105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Analysis!$IY$103:$IY$104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Analysis!$IZ$103:$IZ$104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6"/>
          <c:order val="28"/>
          <c:tx>
            <c:strRef>
              <c:f>Analysis!$IK$107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Analysis!$IY$106:$IY$107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Analysis!$IZ$106:$IZ$107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7"/>
          <c:order val="29"/>
          <c:tx>
            <c:strRef>
              <c:f>Analysis!$IK$109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Analysis!$IY$109:$IY$110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Analysis!$IZ$109:$IZ$110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8"/>
          <c:order val="30"/>
          <c:tx>
            <c:strRef>
              <c:f>Analysis!$IF$125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Analysis!$IY$123:$IY$124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Analysis!$IZ$123:$IZ$124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59"/>
          <c:order val="31"/>
          <c:tx>
            <c:strRef>
              <c:f>Analysis!$IF$127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Analysis!$IY$126:$IY$127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Analysis!$IZ$126:$IZ$127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0"/>
          <c:order val="32"/>
          <c:tx>
            <c:strRef>
              <c:f>Analysis!$IF$129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Analysis!$IY$129:$IY$130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Analysis!$IZ$129:$IZ$130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1"/>
          <c:order val="33"/>
          <c:tx>
            <c:strRef>
              <c:f>Analysis!$IF$115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Analysis!$IY$113:$IY$114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Analysis!$IZ$113:$IZ$114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2"/>
          <c:order val="34"/>
          <c:tx>
            <c:strRef>
              <c:f>Analysis!$IF$117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Analysis!$IY$116:$IY$117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Analysis!$IZ$116:$IZ$117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3"/>
          <c:order val="35"/>
          <c:tx>
            <c:strRef>
              <c:f>Analysis!$IF$119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Analysis!$IY$119:$IY$120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Analysis!$IZ$119:$IZ$120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4"/>
          <c:order val="36"/>
          <c:tx>
            <c:strRef>
              <c:f>Analysis!$IF$135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Analysis!$IY$133:$IY$134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Analysis!$IZ$133:$IZ$134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5"/>
          <c:order val="37"/>
          <c:tx>
            <c:strRef>
              <c:f>Analysis!$IF$137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Analysis!$IY$136:$IY$137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Analysis!$IZ$136:$IZ$137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6"/>
          <c:order val="38"/>
          <c:tx>
            <c:strRef>
              <c:f>Analysis!$IF$139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Analysis!$IY$139:$IY$140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Analysis!$IZ$139:$IZ$140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7"/>
          <c:order val="39"/>
          <c:tx>
            <c:strRef>
              <c:f>Analysis!$IF$145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Analysis!$IY$143:$IY$144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Analysis!$IZ$143:$IZ$144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8"/>
          <c:order val="40"/>
          <c:tx>
            <c:strRef>
              <c:f>Analysis!$IF$147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Analysis!$IY$146:$IY$147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Analysis!$IZ$146:$IZ$147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9"/>
          <c:order val="41"/>
          <c:tx>
            <c:strRef>
              <c:f>Analysis!$IF$149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Analysis!$IY$149:$IY$150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Analysis!$IZ$149:$IZ$150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0"/>
          <c:order val="42"/>
          <c:tx>
            <c:strRef>
              <c:f>Analysis!$IF$155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Analysis!$IY$153:$IY$154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Analysis!$IZ$153:$IZ$154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1"/>
          <c:order val="43"/>
          <c:tx>
            <c:strRef>
              <c:f>Analysis!$IF$157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Analysis!$IY$156:$IY$157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Analysis!$IZ$156:$IZ$157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2"/>
          <c:order val="44"/>
          <c:tx>
            <c:strRef>
              <c:f>Analysis!$IF$159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Analysis!$IY$159:$IY$160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Analysis!$IZ$159:$IZ$160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3"/>
          <c:order val="45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Analysis!$IY$163:$IY$164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Analysis!$IZ$163:$IZ$164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4"/>
          <c:order val="46"/>
          <c:tx>
            <c:strRef>
              <c:f>Analysis!$IF$167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Analysis!$IY$166:$IY$167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Analysis!$IZ$166:$IZ$167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5"/>
          <c:order val="47"/>
          <c:tx>
            <c:strRef>
              <c:f>Analysis!$IF$169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Analysis!$IY$169:$IY$170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Analysis!$IZ$169:$IZ$170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79"/>
          <c:order val="48"/>
          <c:tx>
            <c:strRef>
              <c:f>Analysis!$IF$175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Analysis!$IY$173:$IY$174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Analysis!$IZ$173:$IZ$174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0"/>
          <c:order val="49"/>
          <c:tx>
            <c:strRef>
              <c:f>Analysis!$IF$177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Analysis!$IY$176:$IY$177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Analysis!$IZ$176:$IZ$177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1"/>
          <c:order val="50"/>
          <c:tx>
            <c:strRef>
              <c:f>Analysis!$IF$179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Analysis!$IY$179:$IY$180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Analysis!$IZ$179:$IZ$180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2"/>
          <c:order val="51"/>
          <c:tx>
            <c:strRef>
              <c:f>Analysis!$IF$185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Analysis!$IY$183:$IY$184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Analysis!$IZ$183:$IZ$184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3"/>
          <c:order val="52"/>
          <c:tx>
            <c:strRef>
              <c:f>Analysis!$IF$187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Analysis!$IY$186:$IY$187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Analysis!$IZ$186:$IZ$187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4"/>
          <c:order val="53"/>
          <c:tx>
            <c:strRef>
              <c:f>Analysis!$IF$189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Analysis!$IY$189:$IY$190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Analysis!$IZ$189:$IZ$190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5"/>
          <c:order val="54"/>
          <c:tx>
            <c:strRef>
              <c:f>Analysis!$IF$195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Analysis!$IY$193:$IY$194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Analysis!$IZ$193:$IZ$194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6"/>
          <c:order val="55"/>
          <c:tx>
            <c:strRef>
              <c:f>Analysis!$IF$197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Analysis!$IY$196:$IY$197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Analysis!$IZ$196:$IZ$197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7"/>
          <c:order val="56"/>
          <c:tx>
            <c:strRef>
              <c:f>Analysis!$IF$199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Analysis!$IY$199:$IY$200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Analysis!$IZ$199:$IZ$200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8"/>
          <c:order val="57"/>
          <c:tx>
            <c:strRef>
              <c:f>Analysis!$IF$205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Analysis!$IY$203:$IY$204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Analysis!$IZ$203:$IZ$204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89"/>
          <c:order val="58"/>
          <c:tx>
            <c:strRef>
              <c:f>Analysis!$IF$207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Analysis!$IY$206:$IY$207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Analysis!$IZ$206:$IZ$207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0"/>
          <c:order val="59"/>
          <c:tx>
            <c:strRef>
              <c:f>Analysis!$IF$209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Analysis!$IY$209:$IY$210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Analysis!$IZ$209:$IZ$210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1"/>
          <c:order val="60"/>
          <c:tx>
            <c:strRef>
              <c:f>Analysis!$IF$215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Analysis!$IY$213:$IY$214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Analysis!$IZ$213:$IZ$214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2"/>
          <c:order val="61"/>
          <c:tx>
            <c:strRef>
              <c:f>Analysis!$IF$217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Analysis!$IY$216:$IY$217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Analysis!$IZ$216:$IZ$217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3"/>
          <c:order val="62"/>
          <c:tx>
            <c:strRef>
              <c:f>Analysis!$IF$219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Analysis!$IY$219:$IY$220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Analysis!$IZ$219:$IZ$220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4"/>
          <c:order val="63"/>
          <c:tx>
            <c:strRef>
              <c:f>Analysis!$IF$225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Analysis!$IY$223:$IY$224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Analysis!$IZ$223:$IZ$224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5"/>
          <c:order val="64"/>
          <c:tx>
            <c:strRef>
              <c:f>Analysis!$IF$227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Analysis!$IY$226:$IY$227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Analysis!$IZ$226:$IZ$227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6"/>
          <c:order val="65"/>
          <c:tx>
            <c:strRef>
              <c:f>Analysis!$IF$229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Analysis!$IY$229:$IY$230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Analysis!$IZ$229:$IZ$230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7"/>
          <c:order val="66"/>
          <c:tx>
            <c:strRef>
              <c:f>Analysis!$IF$235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Analysis!$IY$233:$IY$234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Analysis!$IZ$233:$IZ$234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8"/>
          <c:order val="67"/>
          <c:tx>
            <c:strRef>
              <c:f>Analysis!$IF$237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Analysis!$IY$236:$IY$237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Analysis!$IZ$236:$IZ$237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99"/>
          <c:order val="68"/>
          <c:tx>
            <c:strRef>
              <c:f>Analysis!$IF$239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Analysis!$IY$239:$IY$240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Analysis!$IZ$239:$IZ$240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0"/>
          <c:order val="69"/>
          <c:tx>
            <c:strRef>
              <c:f>Analysis!$IF$245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Analysis!$IY$243:$IY$244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Analysis!$IZ$243:$IZ$244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1"/>
          <c:order val="70"/>
          <c:tx>
            <c:strRef>
              <c:f>Analysis!$IF$247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Analysis!$IY$246:$IY$247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Analysis!$IZ$246:$IZ$247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2"/>
          <c:order val="71"/>
          <c:tx>
            <c:strRef>
              <c:f>Analysis!$IF$249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Analysis!$IY$249:$IY$250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Analysis!$IZ$249:$IZ$250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3"/>
          <c:order val="72"/>
          <c:tx>
            <c:strRef>
              <c:f>Analysis!$IF$255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Analysis!$IY$253:$IY$254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Analysis!$IZ$253:$IZ$254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4"/>
          <c:order val="73"/>
          <c:tx>
            <c:strRef>
              <c:f>Analysis!$IF$257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Analysis!$IY$256:$IY$257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Analysis!$IZ$256:$IZ$257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5"/>
          <c:order val="74"/>
          <c:tx>
            <c:strRef>
              <c:f>Analysis!$IF$259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Analysis!$IY$259:$IY$260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Analysis!$IZ$259:$IZ$260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6"/>
          <c:order val="75"/>
          <c:tx>
            <c:strRef>
              <c:f>Analysis!$IF$5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7"/>
          <c:order val="76"/>
          <c:tx>
            <c:strRef>
              <c:f>Analysis!$IF$7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8"/>
          <c:order val="77"/>
          <c:tx>
            <c:strRef>
              <c:f>Analysis!$IF$9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09"/>
          <c:order val="78"/>
          <c:tx>
            <c:strRef>
              <c:f>Analysis!$IF$269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Analysis!$IY$263:$IY$264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Analysis!$IZ$263:$IZ$264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0"/>
          <c:order val="79"/>
          <c:tx>
            <c:strRef>
              <c:f>Analysis!$IF$267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Analysis!$IY$266:$IY$267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Analysis!$IZ$266:$IZ$267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1"/>
          <c:order val="80"/>
          <c:tx>
            <c:strRef>
              <c:f>Analysis!$IF$265</c:f>
              <c:strCache>
                <c:ptCount val="1"/>
                <c:pt idx="0">
                  <c:v>0</c:v>
                </c:pt>
              </c:strCache>
            </c:strRef>
          </c:tx>
          <c:spPr>
            <a:ln w="19050">
              <a:noFill/>
              <a:headEnd type="triangle" w="med" len="lg"/>
            </a:ln>
          </c:spPr>
          <c:marker>
            <c:symbol val="none"/>
          </c:marker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60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Analysis!$IY$269:$IY$270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Analysis!$IZ$269:$IZ$270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5"/>
          <c:order val="81"/>
          <c:tx>
            <c:strRef>
              <c:f>Analysis!$JB$18</c:f>
              <c:strCache>
                <c:ptCount val="1"/>
                <c:pt idx="0">
                  <c:v>2927.30 kg</c:v>
                </c:pt>
              </c:strCache>
            </c:strRef>
          </c:tx>
          <c:spPr>
            <a:ln w="127000" cap="flat" cmpd="sng">
              <a:noFill/>
            </a:ln>
            <a:effectLst/>
          </c:spPr>
          <c:marker>
            <c:symbol val="none"/>
          </c:marker>
          <c:xVal>
            <c:numRef>
              <c:f>Analysis!$JB$16:$JB$17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Analysis!$JC$16:$JC$17</c:f>
              <c:numCache>
                <c:formatCode>General</c:formatCode>
                <c:ptCount val="2"/>
                <c:pt idx="0">
                  <c:v>56.25</c:v>
                </c:pt>
                <c:pt idx="1">
                  <c:v>-56.25</c:v>
                </c:pt>
              </c:numCache>
            </c:numRef>
          </c:yVal>
          <c:smooth val="0"/>
        </c:ser>
        <c:ser>
          <c:idx val="136"/>
          <c:order val="82"/>
          <c:tx>
            <c:strRef>
              <c:f>Analysis!$JB$25</c:f>
              <c:strCache>
                <c:ptCount val="1"/>
              </c:strCache>
            </c:strRef>
          </c:tx>
          <c:spPr>
            <a:ln w="139700" cap="sq">
              <a:gradFill>
                <a:gsLst>
                  <a:gs pos="21000">
                    <a:schemeClr val="tx1"/>
                  </a:gs>
                  <a:gs pos="75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0" scaled="0"/>
              </a:gradFill>
            </a:ln>
          </c:spPr>
          <c:marker>
            <c:symbol val="none"/>
          </c:marke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Analysis!$JB$23:$JB$24</c:f>
              <c:numCache>
                <c:formatCode>General</c:formatCode>
                <c:ptCount val="2"/>
              </c:numCache>
            </c:numRef>
          </c:xVal>
          <c:yVal>
            <c:numRef>
              <c:f>Analysis!$JC$23:$JC$24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137"/>
          <c:order val="83"/>
          <c:tx>
            <c:strRef>
              <c:f>Analysis!$JB$259</c:f>
              <c:strCache>
                <c:ptCount val="1"/>
                <c:pt idx="0">
                  <c:v>FALSE</c:v>
                </c:pt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Analysis!$JB$257:$JB$258</c:f>
              <c:numCache>
                <c:formatCode>General</c:formatCode>
                <c:ptCount val="2"/>
                <c:pt idx="0">
                  <c:v>25.5</c:v>
                </c:pt>
                <c:pt idx="1">
                  <c:v>25.5</c:v>
                </c:pt>
              </c:numCache>
            </c:numRef>
          </c:xVal>
          <c:yVal>
            <c:numRef>
              <c:f>Analysis!$JC$257:$JC$258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8"/>
          <c:order val="84"/>
          <c:tx>
            <c:strRef>
              <c:f>Analysis!$JB$10</c:f>
              <c:strCache>
                <c:ptCount val="1"/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Analysis!$JB$11:$JB$12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Analysis!$JC$11:$JC$12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39"/>
          <c:order val="85"/>
          <c:tx>
            <c:strRef>
              <c:f>Analysis!$JB$265</c:f>
              <c:strCache>
                <c:ptCount val="1"/>
              </c:strCache>
            </c:strRef>
          </c:tx>
          <c:spPr>
            <a:ln w="127000" cap="flat">
              <a:noFill/>
            </a:ln>
          </c:spPr>
          <c:marker>
            <c:symbol val="none"/>
          </c:marker>
          <c:xVal>
            <c:numRef>
              <c:f>Analysis!$JB$263:$JB$264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Analysis!$JC$263:$JC$264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41"/>
          <c:order val="86"/>
          <c:tx>
            <c:strRef>
              <c:f>Analysis!$IF$165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Analysis!$IY$163</c:f>
              <c:numCache>
                <c:formatCode>General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Analysis!$IZ$163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0"/>
          <c:order val="87"/>
          <c:tx>
            <c:strRef>
              <c:f>Analysis!$JT$14</c:f>
              <c:strCache>
                <c:ptCount val="1"/>
                <c:pt idx="0">
                  <c:v>-1993.73 kg-m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2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Analysis!$JT$13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Analysis!$JU$13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88"/>
          <c:spPr>
            <a:ln w="28575">
              <a:noFill/>
            </a:ln>
          </c:spPr>
          <c:marker>
            <c:symbol val="none"/>
          </c:marker>
          <c:xVal>
            <c:numRef>
              <c:f>Analysis!$JT$262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89"/>
          <c:tx>
            <c:strRef>
              <c:f>Analysis!$JT$261</c:f>
              <c:strCache>
                <c:ptCount val="1"/>
                <c:pt idx="0">
                  <c:v>FALSE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2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Analysis!$JT$262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90"/>
          <c:tx>
            <c:strRef>
              <c:f>Analysis!$JT$11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32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Analysis!$JT$12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91"/>
          <c:tx>
            <c:strRef>
              <c:f>Analysis!$JT$264</c:f>
              <c:strCache>
                <c:ptCount val="1"/>
                <c:pt idx="0">
                  <c:v>-1093.50 kg-m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2"/>
            <c:spPr>
              <a:noFill/>
              <a:ln w="19050">
                <a:solidFill>
                  <a:srgbClr val="FF0000"/>
                </a:solidFill>
                <a:prstDash val="sysDash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Analysis!$JT$263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Analysis!$JU$263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92"/>
          <c:spPr>
            <a:ln w="28575">
              <a:noFill/>
            </a:ln>
          </c:spPr>
          <c:marker>
            <c:symbol val="none"/>
          </c:marker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6"/>
          <c:order val="93"/>
          <c:spPr>
            <a:ln w="28575">
              <a:noFill/>
            </a:ln>
          </c:spPr>
          <c:marker>
            <c:symbol val="none"/>
          </c:marker>
          <c:xVal>
            <c:numRef>
              <c:f>Analysis!$IV$13:$IV$17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</c:numCache>
            </c:numRef>
          </c:xVal>
          <c:yVal>
            <c:numRef>
              <c:f>Analysis!$IW$13:$IW$17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7"/>
          <c:order val="94"/>
          <c:spPr>
            <a:ln w="28575">
              <a:noFill/>
            </a:ln>
          </c:spPr>
          <c:marker>
            <c:symbol val="none"/>
          </c:marker>
          <c:xVal>
            <c:numRef>
              <c:f>Analysis!$IV$23:$IV$27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Analysis!$IW$23:$IW$27</c:f>
              <c:numCache>
                <c:formatCode>General</c:formatCode>
                <c:ptCount val="5"/>
                <c:pt idx="0">
                  <c:v>0</c:v>
                </c:pt>
                <c:pt idx="1">
                  <c:v>71.599999999999994</c:v>
                </c:pt>
                <c:pt idx="2">
                  <c:v>71.599999999999994</c:v>
                </c:pt>
                <c:pt idx="3">
                  <c:v>71.599999999999994</c:v>
                </c:pt>
                <c:pt idx="4">
                  <c:v>0</c:v>
                </c:pt>
              </c:numCache>
            </c:numRef>
          </c:yVal>
          <c:smooth val="0"/>
        </c:ser>
        <c:ser>
          <c:idx val="8"/>
          <c:order val="95"/>
          <c:spPr>
            <a:ln w="28575">
              <a:noFill/>
            </a:ln>
          </c:spPr>
          <c:marker>
            <c:symbol val="none"/>
          </c:marker>
          <c:xVal>
            <c:numRef>
              <c:f>Analysis!$IV$33:$IV$37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</c:numCache>
            </c:numRef>
          </c:xVal>
          <c:yVal>
            <c:numRef>
              <c:f>Analysis!$IW$33:$IW$37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9"/>
          <c:order val="96"/>
          <c:spPr>
            <a:ln w="28575">
              <a:noFill/>
            </a:ln>
          </c:spPr>
          <c:marker>
            <c:symbol val="none"/>
          </c:marker>
          <c:xVal>
            <c:numRef>
              <c:f>Analysis!$IV$43:$IV$47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Analysis!$IW$43:$IW$47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0"/>
          <c:order val="97"/>
          <c:spPr>
            <a:ln w="28575">
              <a:noFill/>
            </a:ln>
          </c:spPr>
          <c:marker>
            <c:symbol val="none"/>
          </c:marker>
          <c:xVal>
            <c:numRef>
              <c:f>Analysis!$IV$53:$IV$57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20</c:v>
                </c:pt>
              </c:numCache>
            </c:numRef>
          </c:xVal>
          <c:yVal>
            <c:numRef>
              <c:f>Analysis!$IW$53:$IW$57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"/>
          <c:order val="98"/>
          <c:spPr>
            <a:ln w="28575">
              <a:noFill/>
            </a:ln>
          </c:spPr>
          <c:marker>
            <c:symbol val="none"/>
          </c:marker>
          <c:xVal>
            <c:numRef>
              <c:f>Analysis!$IV$63:$IV$67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</c:numCache>
            </c:numRef>
          </c:xVal>
          <c:yVal>
            <c:numRef>
              <c:f>Analysis!$IW$63:$IW$67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2"/>
          <c:order val="99"/>
          <c:spPr>
            <a:ln w="28575">
              <a:noFill/>
            </a:ln>
          </c:spPr>
          <c:marker>
            <c:symbol val="none"/>
          </c:marker>
          <c:xVal>
            <c:numRef>
              <c:f>Analysis!$IV$73:$IV$77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Analysis!$IW$73:$IW$77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3"/>
          <c:order val="100"/>
          <c:spPr>
            <a:ln w="28575">
              <a:noFill/>
            </a:ln>
          </c:spPr>
          <c:marker>
            <c:symbol val="none"/>
          </c:marker>
          <c:xVal>
            <c:numRef>
              <c:f>Analysis!$IV$83:$IV$87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Analysis!$IW$83:$IW$87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4"/>
          <c:order val="101"/>
          <c:spPr>
            <a:ln w="28575">
              <a:noFill/>
            </a:ln>
          </c:spPr>
          <c:marker>
            <c:symbol val="none"/>
          </c:marker>
          <c:xVal>
            <c:numRef>
              <c:f>Analysis!$IV$93:$IV$97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Analysis!$IW$93:$IW$97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5"/>
          <c:order val="102"/>
          <c:spPr>
            <a:ln w="28575">
              <a:noFill/>
            </a:ln>
          </c:spPr>
          <c:marker>
            <c:symbol val="none"/>
          </c:marker>
          <c:xVal>
            <c:numRef>
              <c:f>Analysis!$IV$103:$IV$107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Analysis!$IW$103:$IW$107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6"/>
          <c:order val="103"/>
          <c:spPr>
            <a:ln w="28575">
              <a:noFill/>
            </a:ln>
          </c:spPr>
          <c:marker>
            <c:symbol val="none"/>
          </c:marker>
          <c:xVal>
            <c:numRef>
              <c:f>Analysis!$IV$113:$IV$117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Analysis!$IW$113:$IW$117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7"/>
          <c:order val="104"/>
          <c:spPr>
            <a:ln w="28575">
              <a:noFill/>
            </a:ln>
          </c:spPr>
          <c:marker>
            <c:symbol val="none"/>
          </c:marker>
          <c:xVal>
            <c:numRef>
              <c:f>Analysis!$IV$123:$IV$127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Analysis!$IW$123:$IW$127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8"/>
          <c:order val="105"/>
          <c:spPr>
            <a:ln w="28575">
              <a:noFill/>
            </a:ln>
          </c:spPr>
          <c:marker>
            <c:symbol val="none"/>
          </c:marker>
          <c:xVal>
            <c:numRef>
              <c:f>Analysis!$IV$133:$IV$137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Analysis!$IW$133:$IW$137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9"/>
          <c:order val="106"/>
          <c:spPr>
            <a:ln w="28575">
              <a:noFill/>
            </a:ln>
          </c:spPr>
          <c:marker>
            <c:symbol val="none"/>
          </c:marker>
          <c:xVal>
            <c:numRef>
              <c:f>Analysis!$IV$143:$IV$147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Analysis!$IW$143:$IW$147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0"/>
          <c:order val="107"/>
          <c:spPr>
            <a:ln w="28575">
              <a:noFill/>
            </a:ln>
          </c:spPr>
          <c:marker>
            <c:symbol val="none"/>
          </c:marker>
          <c:xVal>
            <c:numRef>
              <c:f>Analysis!$IV$153:$IV$157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Analysis!$IW$153:$IW$157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1"/>
          <c:order val="108"/>
          <c:spPr>
            <a:ln w="28575">
              <a:noFill/>
            </a:ln>
          </c:spPr>
          <c:marker>
            <c:symbol val="none"/>
          </c:marker>
          <c:xVal>
            <c:numRef>
              <c:f>Analysis!$IV$163:$IV$167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Analysis!$IW$163:$IW$167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2"/>
          <c:order val="109"/>
          <c:spPr>
            <a:ln w="28575">
              <a:noFill/>
            </a:ln>
          </c:spPr>
          <c:marker>
            <c:symbol val="none"/>
          </c:marker>
          <c:xVal>
            <c:numRef>
              <c:f>Analysis!$IV$173:$IV$177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Analysis!$IW$173:$IW$177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3"/>
          <c:order val="110"/>
          <c:spPr>
            <a:ln w="28575">
              <a:noFill/>
            </a:ln>
          </c:spPr>
          <c:marker>
            <c:symbol val="none"/>
          </c:marker>
          <c:xVal>
            <c:numRef>
              <c:f>Analysis!$IV$183:$IV$187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Analysis!$IW$183:$IW$187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4"/>
          <c:order val="111"/>
          <c:spPr>
            <a:ln w="28575">
              <a:noFill/>
            </a:ln>
          </c:spPr>
          <c:marker>
            <c:symbol val="none"/>
          </c:marker>
          <c:xVal>
            <c:numRef>
              <c:f>Analysis!$IV$193:$IV$197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Analysis!$IW$193:$IW$197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5"/>
          <c:order val="112"/>
          <c:spPr>
            <a:ln w="28575">
              <a:noFill/>
            </a:ln>
          </c:spPr>
          <c:marker>
            <c:symbol val="none"/>
          </c:marker>
          <c:xVal>
            <c:numRef>
              <c:f>Analysis!$IV$203:$IV$207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Analysis!$IW$203:$IW$207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6"/>
          <c:order val="113"/>
          <c:spPr>
            <a:ln w="28575">
              <a:noFill/>
            </a:ln>
          </c:spPr>
          <c:marker>
            <c:symbol val="none"/>
          </c:marker>
          <c:xVal>
            <c:numRef>
              <c:f>Analysis!$IV$213:$IV$217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Analysis!$IW$213:$IW$217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7"/>
          <c:order val="114"/>
          <c:spPr>
            <a:ln w="28575">
              <a:noFill/>
            </a:ln>
          </c:spPr>
          <c:marker>
            <c:symbol val="none"/>
          </c:marker>
          <c:xVal>
            <c:numRef>
              <c:f>Analysis!$IV$223:$IV$227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Analysis!$IW$223:$IW$227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6"/>
          <c:order val="115"/>
          <c:spPr>
            <a:ln w="28575">
              <a:noFill/>
            </a:ln>
          </c:spPr>
          <c:marker>
            <c:symbol val="none"/>
          </c:marker>
          <c:xVal>
            <c:numRef>
              <c:f>Analysis!$IV$233:$IV$237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Analysis!$IW$233:$IW$237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7"/>
          <c:order val="116"/>
          <c:spPr>
            <a:ln w="28575">
              <a:noFill/>
            </a:ln>
          </c:spPr>
          <c:marker>
            <c:symbol val="none"/>
          </c:marker>
          <c:xVal>
            <c:numRef>
              <c:f>Analysis!$IV$243:$IV$247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Analysis!$IW$243:$IW$247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78"/>
          <c:order val="117"/>
          <c:spPr>
            <a:ln w="28575">
              <a:noFill/>
            </a:ln>
          </c:spPr>
          <c:marker>
            <c:symbol val="none"/>
          </c:marker>
          <c:xVal>
            <c:numRef>
              <c:f>Analysis!$IV$253:$IV$257</c:f>
              <c:numCache>
                <c:formatCode>General</c:formatCode>
                <c:ptCount val="5"/>
                <c:pt idx="0">
                  <c:v>25.5</c:v>
                </c:pt>
                <c:pt idx="1">
                  <c:v>25.5</c:v>
                </c:pt>
                <c:pt idx="2">
                  <c:v>25.5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Analysis!$IW$253:$IW$257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2"/>
          <c:order val="118"/>
          <c:spPr>
            <a:ln w="28575">
              <a:noFill/>
            </a:ln>
          </c:spPr>
          <c:marker>
            <c:symbol val="none"/>
          </c:marker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3"/>
          <c:order val="119"/>
          <c:spPr>
            <a:ln w="28575">
              <a:noFill/>
            </a:ln>
          </c:spPr>
          <c:marker>
            <c:symbol val="none"/>
          </c:marker>
          <c:xVal>
            <c:numRef>
              <c:f>Analysis!$JE$13:$JE$14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Analysis!$JF$13:$JF$14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14"/>
          <c:order val="120"/>
          <c:spPr>
            <a:ln w="28575">
              <a:noFill/>
            </a:ln>
          </c:spPr>
          <c:marker>
            <c:symbol val="none"/>
          </c:marker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5"/>
          <c:order val="121"/>
          <c:spPr>
            <a:ln w="28575">
              <a:noFill/>
            </a:ln>
          </c:spPr>
          <c:marker>
            <c:symbol val="none"/>
          </c:marker>
          <c:xVal>
            <c:numRef>
              <c:f>Analysis!$IV$263:$IV$267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24.75</c:v>
                </c:pt>
                <c:pt idx="3">
                  <c:v>25.5</c:v>
                </c:pt>
                <c:pt idx="4">
                  <c:v>25.5</c:v>
                </c:pt>
              </c:numCache>
            </c:numRef>
          </c:xVal>
          <c:yVal>
            <c:numRef>
              <c:f>Analysis!$IW$263:$IW$267</c:f>
              <c:numCache>
                <c:formatCode>General</c:formatCode>
                <c:ptCount val="5"/>
                <c:pt idx="0">
                  <c:v>0</c:v>
                </c:pt>
                <c:pt idx="1">
                  <c:v>48.6</c:v>
                </c:pt>
                <c:pt idx="2">
                  <c:v>48.6</c:v>
                </c:pt>
                <c:pt idx="3">
                  <c:v>48.6</c:v>
                </c:pt>
                <c:pt idx="4">
                  <c:v>0</c:v>
                </c:pt>
              </c:numCache>
            </c:numRef>
          </c:yVal>
          <c:smooth val="0"/>
        </c:ser>
        <c:ser>
          <c:idx val="116"/>
          <c:order val="122"/>
          <c:spPr>
            <a:ln w="28575">
              <a:noFill/>
            </a:ln>
          </c:spPr>
          <c:marker>
            <c:symbol val="none"/>
          </c:marker>
          <c:xVal>
            <c:numRef>
              <c:f>Analysis!$IV$3:$IV$7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Analysis!$IW$3:$IW$7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17"/>
          <c:order val="123"/>
          <c:tx>
            <c:strRef>
              <c:f>Analysis!$IY$5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Analysis!$IY$3:$IY$4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Analysis!$IZ$3:$IZ$4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8"/>
          <c:order val="124"/>
          <c:tx>
            <c:strRef>
              <c:f>Analysis!$IY$8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Analysis!$IY$6:$IY$7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Analysis!$IZ$6:$IZ$7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19"/>
          <c:order val="125"/>
          <c:tx>
            <c:strRef>
              <c:f>Analysis!$IY$11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Analysis!$IY$9:$IY$10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Analysis!$IZ$9:$IZ$10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20"/>
          <c:order val="126"/>
          <c:spPr>
            <a:ln w="28575">
              <a:noFill/>
            </a:ln>
          </c:spPr>
          <c:marker>
            <c:symbol val="none"/>
          </c:marker>
          <c:xVal>
            <c:numRef>
              <c:f>Analysis!$JE$11:$JE$12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Analysis!$JF$11:$JF$12</c:f>
              <c:numCache>
                <c:formatCode>General</c:formatCode>
                <c:ptCount val="2"/>
                <c:pt idx="0">
                  <c:v>-37.5</c:v>
                </c:pt>
                <c:pt idx="1">
                  <c:v>-37.5</c:v>
                </c:pt>
              </c:numCache>
            </c:numRef>
          </c:yVal>
          <c:smooth val="0"/>
        </c:ser>
        <c:ser>
          <c:idx val="121"/>
          <c:order val="127"/>
          <c:spPr>
            <a:ln w="28575">
              <a:noFill/>
            </a:ln>
          </c:spPr>
          <c:marker>
            <c:symbol val="none"/>
          </c:marker>
          <c:xVal>
            <c:numRef>
              <c:f>Analysis!$JE$263:$JE$264</c:f>
              <c:numCache>
                <c:formatCode>General</c:formatCode>
                <c:ptCount val="2"/>
                <c:pt idx="0">
                  <c:v>24</c:v>
                </c:pt>
                <c:pt idx="1">
                  <c:v>24</c:v>
                </c:pt>
              </c:numCache>
            </c:numRef>
          </c:xVal>
          <c:yVal>
            <c:numRef>
              <c:f>Analysis!$JF$263:$JF$264</c:f>
              <c:numCache>
                <c:formatCode>General</c:formatCode>
                <c:ptCount val="2"/>
                <c:pt idx="0">
                  <c:v>-37.5</c:v>
                </c:pt>
                <c:pt idx="1">
                  <c:v>-112.5</c:v>
                </c:pt>
              </c:numCache>
            </c:numRef>
          </c:yVal>
          <c:smooth val="0"/>
        </c:ser>
        <c:ser>
          <c:idx val="122"/>
          <c:order val="128"/>
          <c:tx>
            <c:strRef>
              <c:f>Analysis!$JW$4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Analysis!$JW$3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23"/>
          <c:order val="129"/>
          <c:tx>
            <c:strRef>
              <c:f>Analysis!$JW$14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Analysis!$JW$13</c:f>
              <c:numCache>
                <c:formatCode>0.00</c:formatCode>
                <c:ptCount val="1"/>
                <c:pt idx="0">
                  <c:v>2</c:v>
                </c:pt>
              </c:numCache>
            </c:numRef>
          </c:xVal>
          <c:yVal>
            <c:numRef>
              <c:f>Analysis!$JX$13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4"/>
          <c:order val="130"/>
          <c:tx>
            <c:strRef>
              <c:f>Analysis!$JW$24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Analysis!$JW$23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Analysis!$JX$23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5"/>
          <c:order val="131"/>
          <c:tx>
            <c:strRef>
              <c:f>Analysis!$JW$34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Analysis!$JW$33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Analysis!$JX$33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6"/>
          <c:order val="132"/>
          <c:tx>
            <c:strRef>
              <c:f>Analysis!$JW$44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Analysis!$JW$43</c:f>
              <c:numCache>
                <c:formatCode>0.00</c:formatCode>
                <c:ptCount val="1"/>
                <c:pt idx="0">
                  <c:v>14</c:v>
                </c:pt>
              </c:numCache>
            </c:numRef>
          </c:xVal>
          <c:yVal>
            <c:numRef>
              <c:f>Analysis!$JX$43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7"/>
          <c:order val="133"/>
          <c:tx>
            <c:strRef>
              <c:f>Analysis!$JW$54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Analysis!$JW$53</c:f>
              <c:numCache>
                <c:formatCode>0.00</c:formatCode>
                <c:ptCount val="1"/>
                <c:pt idx="0">
                  <c:v>18</c:v>
                </c:pt>
              </c:numCache>
            </c:numRef>
          </c:xVal>
          <c:yVal>
            <c:numRef>
              <c:f>Analysis!$JX$53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8"/>
          <c:order val="134"/>
          <c:tx>
            <c:strRef>
              <c:f>Analysis!$JW$64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Analysis!$JW$63</c:f>
              <c:numCache>
                <c:formatCode>0.00</c:formatCode>
                <c:ptCount val="1"/>
                <c:pt idx="0">
                  <c:v>22</c:v>
                </c:pt>
              </c:numCache>
            </c:numRef>
          </c:xVal>
          <c:yVal>
            <c:numRef>
              <c:f>Analysis!$JX$63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ser>
          <c:idx val="129"/>
          <c:order val="135"/>
          <c:tx>
            <c:strRef>
              <c:f>Analysis!$JW$74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Analysis!$JX$73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0"/>
          <c:order val="136"/>
          <c:tx>
            <c:strRef>
              <c:f>Analysis!$JW$84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Analysis!$JX$83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1"/>
          <c:order val="137"/>
          <c:tx>
            <c:strRef>
              <c:f>Analysis!$JW$94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Analysis!$JX$93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2"/>
          <c:order val="138"/>
          <c:tx>
            <c:strRef>
              <c:f>Analysis!$JW$104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Analysis!$JX$103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3"/>
          <c:order val="139"/>
          <c:tx>
            <c:strRef>
              <c:f>Analysis!$JW$114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Analysis!$JX$113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34"/>
          <c:order val="140"/>
          <c:tx>
            <c:strRef>
              <c:f>Analysis!$JW$124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Analysis!$JX$123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0"/>
          <c:order val="141"/>
          <c:tx>
            <c:strRef>
              <c:f>Analysis!$JW$134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Analysis!$JX$133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1"/>
          <c:order val="142"/>
          <c:tx>
            <c:strRef>
              <c:f>Analysis!$JW$144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Analysis!$JX$143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2"/>
          <c:order val="143"/>
          <c:tx>
            <c:strRef>
              <c:f>Analysis!$JW$154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Analysis!$JX$153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3"/>
          <c:order val="144"/>
          <c:tx>
            <c:strRef>
              <c:f>Analysis!$JW$164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Analysis!$JW$163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Analysis!$JX$163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4"/>
          <c:order val="145"/>
          <c:tx>
            <c:strRef>
              <c:f>Analysis!$JW$174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Analysis!$JW$173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Analysis!$JX$173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5"/>
          <c:order val="146"/>
          <c:tx>
            <c:strRef>
              <c:f>Analysis!$JW$184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Analysis!$JW$183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Analysis!$JX$183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6"/>
          <c:order val="147"/>
          <c:tx>
            <c:strRef>
              <c:f>Analysis!$JW$194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Analysis!$JW$193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Analysis!$JX$193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7"/>
          <c:order val="148"/>
          <c:tx>
            <c:strRef>
              <c:f>Analysis!$JW$204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Analysis!$JW$203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Analysis!$JX$203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8"/>
          <c:order val="149"/>
          <c:tx>
            <c:strRef>
              <c:f>Analysis!$JW$214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Analysis!$JW$213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Analysis!$JX$213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49"/>
          <c:order val="150"/>
          <c:tx>
            <c:strRef>
              <c:f>Analysis!$JW$224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Analysis!$JW$223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Analysis!$JX$223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0"/>
          <c:order val="151"/>
          <c:tx>
            <c:strRef>
              <c:f>Analysis!$JW$234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Analysis!$JW$233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Analysis!$JX$233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1"/>
          <c:order val="152"/>
          <c:tx>
            <c:strRef>
              <c:f>Analysis!$JW$244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Analysis!$JW$243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Analysis!$JX$243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2"/>
          <c:order val="153"/>
          <c:tx>
            <c:strRef>
              <c:f>Analysis!$JW$254</c:f>
              <c:strCache>
                <c:ptCount val="1"/>
                <c:pt idx="0">
                  <c:v>-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Analysis!$JW$253</c:f>
              <c:numCache>
                <c:formatCode>0.00</c:formatCode>
                <c:ptCount val="1"/>
                <c:pt idx="0">
                  <c:v>-5</c:v>
                </c:pt>
              </c:numCache>
            </c:numRef>
          </c:xVal>
          <c:yVal>
            <c:numRef>
              <c:f>Analysis!$JX$253</c:f>
              <c:numCache>
                <c:formatCode>0.00</c:formatCode>
                <c:ptCount val="1"/>
                <c:pt idx="0">
                  <c:v>-37.5</c:v>
                </c:pt>
              </c:numCache>
            </c:numRef>
          </c:yVal>
          <c:smooth val="0"/>
        </c:ser>
        <c:ser>
          <c:idx val="153"/>
          <c:order val="154"/>
          <c:tx>
            <c:strRef>
              <c:f>Analysis!$JW$264</c:f>
              <c:strCache>
                <c:ptCount val="1"/>
                <c:pt idx="0">
                  <c:v>R0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Analysis!$JW$263</c:f>
              <c:numCache>
                <c:formatCode>0.00</c:formatCode>
                <c:ptCount val="1"/>
                <c:pt idx="0">
                  <c:v>24.75</c:v>
                </c:pt>
              </c:numCache>
            </c:numRef>
          </c:xVal>
          <c:yVal>
            <c:numRef>
              <c:f>Analysis!$JX$263</c:f>
              <c:numCache>
                <c:formatCode>0.00</c:formatCode>
                <c:ptCount val="1"/>
                <c:pt idx="0">
                  <c:v>-112.5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82208"/>
        <c:axId val="132582784"/>
      </c:scatterChart>
      <c:valAx>
        <c:axId val="132582208"/>
        <c:scaling>
          <c:orientation val="minMax"/>
          <c:min val="-1"/>
        </c:scaling>
        <c:delete val="1"/>
        <c:axPos val="b"/>
        <c:numFmt formatCode="General" sourceLinked="0"/>
        <c:majorTickMark val="out"/>
        <c:minorTickMark val="none"/>
        <c:tickLblPos val="nextTo"/>
        <c:crossAx val="132582784"/>
        <c:crosses val="autoZero"/>
        <c:crossBetween val="midCat"/>
        <c:majorUnit val="1"/>
      </c:valAx>
      <c:valAx>
        <c:axId val="132582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82208"/>
        <c:crosses val="autoZero"/>
        <c:crossBetween val="midCat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196846</xdr:colOff>
      <xdr:row>13</xdr:row>
      <xdr:rowOff>19631</xdr:rowOff>
    </xdr:from>
    <xdr:to>
      <xdr:col>11</xdr:col>
      <xdr:colOff>114456</xdr:colOff>
      <xdr:row>32</xdr:row>
      <xdr:rowOff>148645</xdr:rowOff>
    </xdr:to>
    <xdr:grpSp>
      <xdr:nvGrpSpPr>
        <xdr:cNvPr id="6" name="Group 5"/>
        <xdr:cNvGrpSpPr/>
      </xdr:nvGrpSpPr>
      <xdr:grpSpPr>
        <a:xfrm>
          <a:off x="196846" y="2372306"/>
          <a:ext cx="2117885" cy="3567539"/>
          <a:chOff x="139696" y="2553281"/>
          <a:chExt cx="2175035" cy="3567539"/>
        </a:xfrm>
      </xdr:grpSpPr>
      <xdr:grpSp>
        <xdr:nvGrpSpPr>
          <xdr:cNvPr id="57" name="กลุ่ม 230"/>
          <xdr:cNvGrpSpPr/>
        </xdr:nvGrpSpPr>
        <xdr:grpSpPr>
          <a:xfrm>
            <a:off x="139696" y="5095969"/>
            <a:ext cx="2164914" cy="1024851"/>
            <a:chOff x="1092632" y="4864097"/>
            <a:chExt cx="1867411" cy="986571"/>
          </a:xfrm>
        </xdr:grpSpPr>
        <xdr:sp macro="" textlink="">
          <xdr:nvSpPr>
            <xdr:cNvPr id="58" name="TextBox 57"/>
            <xdr:cNvSpPr txBox="1"/>
          </xdr:nvSpPr>
          <xdr:spPr>
            <a:xfrm>
              <a:off x="2105967" y="5061779"/>
              <a:ext cx="854076" cy="3498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>
              <a:spAutoFit/>
            </a:bodyPr>
            <a:lstStyle/>
            <a:p>
              <a:pPr algn="ctr"/>
              <a:r>
                <a:rPr lang="en-US" sz="900" b="1">
                  <a:solidFill>
                    <a:sysClr val="windowText" lastClr="000000"/>
                  </a:solidFill>
                </a:rPr>
                <a:t>[ Interior ]</a:t>
              </a:r>
            </a:p>
            <a:p>
              <a:pPr algn="ctr"/>
              <a:r>
                <a:rPr lang="en-US" sz="800" b="0" i="0" u="sng">
                  <a:solidFill>
                    <a:srgbClr val="C00000"/>
                  </a:solidFill>
                </a:rPr>
                <a:t>X1 &lt; X2 &lt; X3</a:t>
              </a:r>
              <a:endParaRPr lang="th-TH" sz="700" b="0" i="0" u="sng">
                <a:solidFill>
                  <a:srgbClr val="C00000"/>
                </a:solidFill>
              </a:endParaRPr>
            </a:p>
          </xdr:txBody>
        </xdr:sp>
        <xdr:grpSp>
          <xdr:nvGrpSpPr>
            <xdr:cNvPr id="59" name="กลุ่ม 162"/>
            <xdr:cNvGrpSpPr/>
          </xdr:nvGrpSpPr>
          <xdr:grpSpPr>
            <a:xfrm>
              <a:off x="1092632" y="4864097"/>
              <a:ext cx="1010566" cy="986571"/>
              <a:chOff x="1145024" y="5026025"/>
              <a:chExt cx="1010566" cy="986571"/>
            </a:xfrm>
          </xdr:grpSpPr>
          <xdr:grpSp>
            <xdr:nvGrpSpPr>
              <xdr:cNvPr id="60" name="กลุ่ม 155"/>
              <xdr:cNvGrpSpPr/>
            </xdr:nvGrpSpPr>
            <xdr:grpSpPr>
              <a:xfrm>
                <a:off x="1145024" y="5026025"/>
                <a:ext cx="1010566" cy="986571"/>
                <a:chOff x="1100574" y="5026025"/>
                <a:chExt cx="1010566" cy="986571"/>
              </a:xfrm>
            </xdr:grpSpPr>
            <xdr:grpSp>
              <xdr:nvGrpSpPr>
                <xdr:cNvPr id="63" name="กลุ่ม 152"/>
                <xdr:cNvGrpSpPr/>
              </xdr:nvGrpSpPr>
              <xdr:grpSpPr>
                <a:xfrm>
                  <a:off x="1100574" y="5172075"/>
                  <a:ext cx="1010566" cy="385762"/>
                  <a:chOff x="1100574" y="5172075"/>
                  <a:chExt cx="1010566" cy="385762"/>
                </a:xfrm>
              </xdr:grpSpPr>
              <xdr:grpSp>
                <xdr:nvGrpSpPr>
                  <xdr:cNvPr id="70" name="กลุ่ม 146"/>
                  <xdr:cNvGrpSpPr/>
                </xdr:nvGrpSpPr>
                <xdr:grpSpPr>
                  <a:xfrm>
                    <a:off x="1100574" y="5353050"/>
                    <a:ext cx="1010566" cy="204787"/>
                    <a:chOff x="1097399" y="5353050"/>
                    <a:chExt cx="1010566" cy="204787"/>
                  </a:xfrm>
                </xdr:grpSpPr>
                <xdr:sp macro="" textlink="">
                  <xdr:nvSpPr>
                    <xdr:cNvPr id="73" name="สี่เหลี่ยมผืนผ้า 141"/>
                    <xdr:cNvSpPr/>
                  </xdr:nvSpPr>
                  <xdr:spPr>
                    <a:xfrm>
                      <a:off x="1152525" y="5353050"/>
                      <a:ext cx="900000" cy="108000"/>
                    </a:xfrm>
                    <a:prstGeom prst="rect">
                      <a:avLst/>
                    </a:prstGeom>
                    <a:solidFill>
                      <a:srgbClr val="92D050"/>
                    </a:solidFill>
                    <a:ln w="9525">
                      <a:solidFill>
                        <a:schemeClr val="tx1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l"/>
                      <a:endParaRPr lang="th-TH" sz="1100">
                        <a:solidFill>
                          <a:sysClr val="windowText" lastClr="00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74" name="สามเหลี่ยมหน้าจั่ว 144"/>
                    <xdr:cNvSpPr/>
                  </xdr:nvSpPr>
                  <xdr:spPr>
                    <a:xfrm>
                      <a:off x="1097399" y="5463409"/>
                      <a:ext cx="109537" cy="94428"/>
                    </a:xfrm>
                    <a:prstGeom prst="triangle">
                      <a:avLst/>
                    </a:prstGeom>
                    <a:solidFill>
                      <a:schemeClr val="tx1"/>
                    </a:solidFill>
                    <a:ln w="3175">
                      <a:solidFill>
                        <a:schemeClr val="tx1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th-TH" sz="1100"/>
                    </a:p>
                  </xdr:txBody>
                </xdr:sp>
                <xdr:sp macro="" textlink="">
                  <xdr:nvSpPr>
                    <xdr:cNvPr id="118" name="สามเหลี่ยมหน้าจั่ว 144"/>
                    <xdr:cNvSpPr/>
                  </xdr:nvSpPr>
                  <xdr:spPr>
                    <a:xfrm>
                      <a:off x="1998428" y="5463409"/>
                      <a:ext cx="109537" cy="94428"/>
                    </a:xfrm>
                    <a:prstGeom prst="triangle">
                      <a:avLst/>
                    </a:prstGeom>
                    <a:solidFill>
                      <a:schemeClr val="tx1"/>
                    </a:solidFill>
                    <a:ln w="3175">
                      <a:solidFill>
                        <a:schemeClr val="tx1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th-TH" sz="1100"/>
                    </a:p>
                  </xdr:txBody>
                </xdr:sp>
              </xdr:grpSp>
              <xdr:cxnSp macro="">
                <xdr:nvCxnSpPr>
                  <xdr:cNvPr id="71" name="ลูกศรเชื่อมต่อแบบตรง 148"/>
                  <xdr:cNvCxnSpPr/>
                </xdr:nvCxnSpPr>
                <xdr:spPr>
                  <a:xfrm>
                    <a:off x="1326233" y="5172075"/>
                    <a:ext cx="0" cy="180000"/>
                  </a:xfrm>
                  <a:prstGeom prst="straightConnector1">
                    <a:avLst/>
                  </a:prstGeom>
                  <a:ln>
                    <a:solidFill>
                      <a:srgbClr val="C00000"/>
                    </a:solidFill>
                    <a:headEnd type="none"/>
                    <a:tailEnd type="triangle" w="sm" len="me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72" name="ลูกศรเชื่อมต่อแบบตรง 149"/>
                  <xdr:cNvCxnSpPr/>
                </xdr:nvCxnSpPr>
                <xdr:spPr>
                  <a:xfrm>
                    <a:off x="1893338" y="5172075"/>
                    <a:ext cx="0" cy="180000"/>
                  </a:xfrm>
                  <a:prstGeom prst="straightConnector1">
                    <a:avLst/>
                  </a:prstGeom>
                  <a:ln>
                    <a:solidFill>
                      <a:srgbClr val="0070C0"/>
                    </a:solidFill>
                    <a:headEnd type="none"/>
                    <a:tailEnd type="triangle" w="sm" len="me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9" name="ลูกศรเชื่อมต่อแบบตรง 148"/>
                  <xdr:cNvCxnSpPr/>
                </xdr:nvCxnSpPr>
                <xdr:spPr>
                  <a:xfrm>
                    <a:off x="1605579" y="5172075"/>
                    <a:ext cx="0" cy="180000"/>
                  </a:xfrm>
                  <a:prstGeom prst="straightConnector1">
                    <a:avLst/>
                  </a:prstGeom>
                  <a:ln>
                    <a:solidFill>
                      <a:srgbClr val="7030A0"/>
                    </a:solidFill>
                    <a:headEnd type="none"/>
                    <a:tailEnd type="triangle" w="sm" len="me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64" name="TextBox 63"/>
                <xdr:cNvSpPr txBox="1"/>
              </xdr:nvSpPr>
              <xdr:spPr>
                <a:xfrm>
                  <a:off x="1361232" y="5213350"/>
                  <a:ext cx="212725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/>
                    <a:t>W</a:t>
                  </a:r>
                  <a:endParaRPr lang="th-TH" sz="700"/>
                </a:p>
              </xdr:txBody>
            </xdr:sp>
            <xdr:sp macro="" textlink="">
              <xdr:nvSpPr>
                <xdr:cNvPr id="65" name="TextBox 64"/>
                <xdr:cNvSpPr txBox="1"/>
              </xdr:nvSpPr>
              <xdr:spPr>
                <a:xfrm>
                  <a:off x="1495425" y="5422900"/>
                  <a:ext cx="212725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/>
                    <a:t>L</a:t>
                  </a:r>
                  <a:endParaRPr lang="th-TH" sz="700"/>
                </a:p>
              </xdr:txBody>
            </xdr:sp>
            <xdr:sp macro="" textlink="">
              <xdr:nvSpPr>
                <xdr:cNvPr id="66" name="TextBox 65"/>
                <xdr:cNvSpPr txBox="1"/>
              </xdr:nvSpPr>
              <xdr:spPr>
                <a:xfrm>
                  <a:off x="1180184" y="5026025"/>
                  <a:ext cx="2984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/>
                    <a:t>P1</a:t>
                  </a:r>
                  <a:endParaRPr lang="th-TH" sz="700"/>
                </a:p>
              </xdr:txBody>
            </xdr:sp>
            <xdr:sp macro="" textlink="">
              <xdr:nvSpPr>
                <xdr:cNvPr id="67" name="TextBox 66"/>
                <xdr:cNvSpPr txBox="1"/>
              </xdr:nvSpPr>
              <xdr:spPr>
                <a:xfrm>
                  <a:off x="1747287" y="5026025"/>
                  <a:ext cx="2984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/>
                    <a:t>P3</a:t>
                  </a:r>
                  <a:endParaRPr lang="th-TH" sz="700"/>
                </a:p>
              </xdr:txBody>
            </xdr:sp>
            <xdr:sp macro="" textlink="">
              <xdr:nvSpPr>
                <xdr:cNvPr id="68" name="TextBox 67"/>
                <xdr:cNvSpPr txBox="1"/>
              </xdr:nvSpPr>
              <xdr:spPr>
                <a:xfrm>
                  <a:off x="1377635" y="5825271"/>
                  <a:ext cx="2857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>
                      <a:solidFill>
                        <a:sysClr val="windowText" lastClr="000000"/>
                      </a:solidFill>
                    </a:rPr>
                    <a:t>X3</a:t>
                  </a:r>
                  <a:endParaRPr lang="th-TH" sz="700">
                    <a:solidFill>
                      <a:sysClr val="windowText" lastClr="000000"/>
                    </a:solidFill>
                  </a:endParaRPr>
                </a:p>
              </xdr:txBody>
            </xdr:sp>
            <xdr:sp macro="" textlink="">
              <xdr:nvSpPr>
                <xdr:cNvPr id="69" name="TextBox 68"/>
                <xdr:cNvSpPr txBox="1"/>
              </xdr:nvSpPr>
              <xdr:spPr>
                <a:xfrm>
                  <a:off x="1101484" y="5554471"/>
                  <a:ext cx="2857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>
                      <a:solidFill>
                        <a:sysClr val="windowText" lastClr="000000"/>
                      </a:solidFill>
                    </a:rPr>
                    <a:t>X1</a:t>
                  </a:r>
                  <a:endParaRPr lang="th-TH" sz="700">
                    <a:solidFill>
                      <a:sysClr val="windowText" lastClr="000000"/>
                    </a:solidFill>
                  </a:endParaRPr>
                </a:p>
              </xdr:txBody>
            </xdr:sp>
            <xdr:sp macro="" textlink="">
              <xdr:nvSpPr>
                <xdr:cNvPr id="120" name="TextBox 119"/>
                <xdr:cNvSpPr txBox="1"/>
              </xdr:nvSpPr>
              <xdr:spPr>
                <a:xfrm>
                  <a:off x="1459531" y="5026025"/>
                  <a:ext cx="2984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/>
                    <a:t>P2</a:t>
                  </a:r>
                  <a:endParaRPr lang="th-TH" sz="700"/>
                </a:p>
              </xdr:txBody>
            </xdr:sp>
            <xdr:sp macro="" textlink="">
              <xdr:nvSpPr>
                <xdr:cNvPr id="123" name="TextBox 122"/>
                <xdr:cNvSpPr txBox="1"/>
              </xdr:nvSpPr>
              <xdr:spPr>
                <a:xfrm>
                  <a:off x="1243892" y="5695066"/>
                  <a:ext cx="285750" cy="18732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ctr"/>
                <a:lstStyle/>
                <a:p>
                  <a:pPr algn="ctr"/>
                  <a:r>
                    <a:rPr lang="en-US" sz="700">
                      <a:solidFill>
                        <a:sysClr val="windowText" lastClr="000000"/>
                      </a:solidFill>
                    </a:rPr>
                    <a:t>X2</a:t>
                  </a:r>
                  <a:endParaRPr lang="th-TH" sz="700">
                    <a:solidFill>
                      <a:sysClr val="windowText" lastClr="000000"/>
                    </a:solidFill>
                  </a:endParaRPr>
                </a:p>
              </xdr:txBody>
            </xdr:sp>
          </xdr:grpSp>
          <xdr:cxnSp macro="">
            <xdr:nvCxnSpPr>
              <xdr:cNvPr id="61" name="ลูกศรเชื่อมต่อแบบตรง 158"/>
              <xdr:cNvCxnSpPr/>
            </xdr:nvCxnSpPr>
            <xdr:spPr>
              <a:xfrm>
                <a:off x="1200150" y="5703724"/>
                <a:ext cx="172187" cy="0"/>
              </a:xfrm>
              <a:prstGeom prst="straightConnector1">
                <a:avLst/>
              </a:prstGeom>
              <a:ln w="6350">
                <a:solidFill>
                  <a:schemeClr val="bg1">
                    <a:lumMod val="50000"/>
                  </a:schemeClr>
                </a:solidFill>
                <a:headEnd type="oval" w="sm" len="sm"/>
                <a:tailEnd type="oval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2" name="ลูกศรเชื่อมต่อแบบตรง 159"/>
              <xdr:cNvCxnSpPr/>
            </xdr:nvCxnSpPr>
            <xdr:spPr>
              <a:xfrm flipV="1">
                <a:off x="1200150" y="5974528"/>
                <a:ext cx="739096" cy="1"/>
              </a:xfrm>
              <a:prstGeom prst="straightConnector1">
                <a:avLst/>
              </a:prstGeom>
              <a:ln w="6350">
                <a:solidFill>
                  <a:schemeClr val="bg1">
                    <a:lumMod val="50000"/>
                  </a:schemeClr>
                </a:solidFill>
                <a:headEnd type="oval" w="sm" len="sm"/>
                <a:tailEnd type="oval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2" name="ลูกศรเชื่อมต่อแบบตรง 158"/>
              <xdr:cNvCxnSpPr/>
            </xdr:nvCxnSpPr>
            <xdr:spPr>
              <a:xfrm>
                <a:off x="1200150" y="5841259"/>
                <a:ext cx="448794" cy="0"/>
              </a:xfrm>
              <a:prstGeom prst="straightConnector1">
                <a:avLst/>
              </a:prstGeom>
              <a:ln w="6350">
                <a:solidFill>
                  <a:schemeClr val="bg1">
                    <a:lumMod val="50000"/>
                  </a:schemeClr>
                </a:solidFill>
                <a:headEnd type="oval" w="sm" len="sm"/>
                <a:tailEnd type="oval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76" name="กลุ่ม 233"/>
          <xdr:cNvGrpSpPr/>
        </xdr:nvGrpSpPr>
        <xdr:grpSpPr>
          <a:xfrm>
            <a:off x="204786" y="2553281"/>
            <a:ext cx="2109945" cy="1027538"/>
            <a:chOff x="1157283" y="5888765"/>
            <a:chExt cx="1762793" cy="989113"/>
          </a:xfrm>
        </xdr:grpSpPr>
        <xdr:grpSp>
          <xdr:nvGrpSpPr>
            <xdr:cNvPr id="77" name="กลุ่ม 238"/>
            <xdr:cNvGrpSpPr/>
          </xdr:nvGrpSpPr>
          <xdr:grpSpPr>
            <a:xfrm>
              <a:off x="1157283" y="5888765"/>
              <a:ext cx="960010" cy="989113"/>
              <a:chOff x="1157283" y="5841140"/>
              <a:chExt cx="960010" cy="989113"/>
            </a:xfrm>
          </xdr:grpSpPr>
          <xdr:grpSp>
            <xdr:nvGrpSpPr>
              <xdr:cNvPr id="79" name="กลุ่ม 255"/>
              <xdr:cNvGrpSpPr/>
            </xdr:nvGrpSpPr>
            <xdr:grpSpPr>
              <a:xfrm>
                <a:off x="1157283" y="5841140"/>
                <a:ext cx="960010" cy="989113"/>
                <a:chOff x="1200150" y="5020406"/>
                <a:chExt cx="960010" cy="989113"/>
              </a:xfrm>
            </xdr:grpSpPr>
            <xdr:grpSp>
              <xdr:nvGrpSpPr>
                <xdr:cNvPr id="81" name="กลุ่ม 257"/>
                <xdr:cNvGrpSpPr/>
              </xdr:nvGrpSpPr>
              <xdr:grpSpPr>
                <a:xfrm>
                  <a:off x="1200150" y="5020406"/>
                  <a:ext cx="960010" cy="989113"/>
                  <a:chOff x="1155700" y="5020406"/>
                  <a:chExt cx="960010" cy="989113"/>
                </a:xfrm>
              </xdr:grpSpPr>
              <xdr:grpSp>
                <xdr:nvGrpSpPr>
                  <xdr:cNvPr id="84" name="กลุ่ม 260"/>
                  <xdr:cNvGrpSpPr/>
                </xdr:nvGrpSpPr>
                <xdr:grpSpPr>
                  <a:xfrm>
                    <a:off x="1155700" y="5172075"/>
                    <a:ext cx="900000" cy="288975"/>
                    <a:chOff x="1155700" y="5172075"/>
                    <a:chExt cx="900000" cy="288975"/>
                  </a:xfrm>
                </xdr:grpSpPr>
                <xdr:sp macro="" textlink="">
                  <xdr:nvSpPr>
                    <xdr:cNvPr id="91" name="สี่เหลี่ยมผืนผ้า 267"/>
                    <xdr:cNvSpPr/>
                  </xdr:nvSpPr>
                  <xdr:spPr>
                    <a:xfrm>
                      <a:off x="1155700" y="5353050"/>
                      <a:ext cx="900000" cy="108000"/>
                    </a:xfrm>
                    <a:prstGeom prst="rect">
                      <a:avLst/>
                    </a:prstGeom>
                    <a:solidFill>
                      <a:srgbClr val="92D050"/>
                    </a:solidFill>
                    <a:ln w="9525">
                      <a:solidFill>
                        <a:schemeClr val="tx1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l"/>
                      <a:endParaRPr lang="th-TH" sz="1100">
                        <a:solidFill>
                          <a:sysClr val="windowText" lastClr="000000"/>
                        </a:solidFill>
                      </a:endParaRPr>
                    </a:p>
                  </xdr:txBody>
                </xdr:sp>
                <xdr:cxnSp macro="">
                  <xdr:nvCxnSpPr>
                    <xdr:cNvPr id="92" name="ลูกศรเชื่อมต่อแบบตรง 268"/>
                    <xdr:cNvCxnSpPr/>
                  </xdr:nvCxnSpPr>
                  <xdr:spPr>
                    <a:xfrm>
                      <a:off x="1312634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C0000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3" name="ลูกศรเชื่อมต่อแบบตรง 269"/>
                    <xdr:cNvCxnSpPr/>
                  </xdr:nvCxnSpPr>
                  <xdr:spPr>
                    <a:xfrm>
                      <a:off x="1885111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0070C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2" name="ลูกศรเชื่อมต่อแบบตรง 268"/>
                    <xdr:cNvCxnSpPr/>
                  </xdr:nvCxnSpPr>
                  <xdr:spPr>
                    <a:xfrm>
                      <a:off x="1604425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7030A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85" name="TextBox 84"/>
                  <xdr:cNvSpPr txBox="1"/>
                </xdr:nvSpPr>
                <xdr:spPr>
                  <a:xfrm>
                    <a:off x="1354869" y="5207731"/>
                    <a:ext cx="212725" cy="19856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>
                    <a:spAutoFit/>
                  </a:bodyPr>
                  <a:lstStyle/>
                  <a:p>
                    <a:pPr algn="ctr"/>
                    <a:r>
                      <a:rPr lang="en-US" sz="700"/>
                      <a:t>W</a:t>
                    </a:r>
                    <a:endParaRPr lang="th-TH" sz="700"/>
                  </a:p>
                </xdr:txBody>
              </xdr:sp>
              <xdr:sp macro="" textlink="">
                <xdr:nvSpPr>
                  <xdr:cNvPr id="86" name="TextBox 85"/>
                  <xdr:cNvSpPr txBox="1"/>
                </xdr:nvSpPr>
                <xdr:spPr>
                  <a:xfrm>
                    <a:off x="1495425" y="5422900"/>
                    <a:ext cx="212725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L</a:t>
                    </a:r>
                    <a:endParaRPr lang="th-TH" sz="700"/>
                  </a:p>
                </xdr:txBody>
              </xdr:sp>
              <xdr:sp macro="" textlink="">
                <xdr:nvSpPr>
                  <xdr:cNvPr id="87" name="TextBox 86"/>
                  <xdr:cNvSpPr txBox="1"/>
                </xdr:nvSpPr>
                <xdr:spPr>
                  <a:xfrm>
                    <a:off x="1166584" y="5020406"/>
                    <a:ext cx="298450" cy="19856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>
                    <a:spAutoFit/>
                  </a:bodyPr>
                  <a:lstStyle/>
                  <a:p>
                    <a:pPr algn="ctr"/>
                    <a:r>
                      <a:rPr lang="en-US" sz="700"/>
                      <a:t>P1</a:t>
                    </a:r>
                    <a:endParaRPr lang="th-TH" sz="700"/>
                  </a:p>
                </xdr:txBody>
              </xdr:sp>
              <xdr:sp macro="" textlink="">
                <xdr:nvSpPr>
                  <xdr:cNvPr id="88" name="TextBox 87"/>
                  <xdr:cNvSpPr txBox="1"/>
                </xdr:nvSpPr>
                <xdr:spPr>
                  <a:xfrm>
                    <a:off x="1741716" y="5026025"/>
                    <a:ext cx="2984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P3</a:t>
                    </a:r>
                    <a:endParaRPr lang="th-TH" sz="700"/>
                  </a:p>
                </xdr:txBody>
              </xdr:sp>
              <xdr:sp macro="" textlink="">
                <xdr:nvSpPr>
                  <xdr:cNvPr id="89" name="TextBox 88"/>
                  <xdr:cNvSpPr txBox="1"/>
                </xdr:nvSpPr>
                <xdr:spPr>
                  <a:xfrm>
                    <a:off x="1558279" y="5822194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X1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90" name="TextBox 89"/>
                  <xdr:cNvSpPr txBox="1"/>
                </xdr:nvSpPr>
                <xdr:spPr>
                  <a:xfrm>
                    <a:off x="1697330" y="5692002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X2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113" name="TextBox 112"/>
                  <xdr:cNvSpPr txBox="1"/>
                </xdr:nvSpPr>
                <xdr:spPr>
                  <a:xfrm>
                    <a:off x="1455723" y="5020406"/>
                    <a:ext cx="298450" cy="19856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>
                    <a:spAutoFit/>
                  </a:bodyPr>
                  <a:lstStyle/>
                  <a:p>
                    <a:pPr algn="ctr"/>
                    <a:r>
                      <a:rPr lang="en-US" sz="700"/>
                      <a:t>P2</a:t>
                    </a:r>
                    <a:endParaRPr lang="th-TH" sz="700"/>
                  </a:p>
                </xdr:txBody>
              </xdr:sp>
              <xdr:sp macro="" textlink="">
                <xdr:nvSpPr>
                  <xdr:cNvPr id="116" name="TextBox 115"/>
                  <xdr:cNvSpPr txBox="1"/>
                </xdr:nvSpPr>
                <xdr:spPr>
                  <a:xfrm>
                    <a:off x="1829960" y="5554473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X3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</xdr:grpSp>
            <xdr:cxnSp macro="">
              <xdr:nvCxnSpPr>
                <xdr:cNvPr id="82" name="ลูกศรเชื่อมต่อแบบตรง 258"/>
                <xdr:cNvCxnSpPr/>
              </xdr:nvCxnSpPr>
              <xdr:spPr>
                <a:xfrm>
                  <a:off x="1652419" y="5841243"/>
                  <a:ext cx="443081" cy="0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3" name="ลูกศรเชื่อมต่อแบบตรง 259"/>
                <xdr:cNvCxnSpPr/>
              </xdr:nvCxnSpPr>
              <xdr:spPr>
                <a:xfrm>
                  <a:off x="1357981" y="5971435"/>
                  <a:ext cx="737519" cy="1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4" name="ลูกศรเชื่อมต่อแบบตรง 258"/>
                <xdr:cNvCxnSpPr/>
              </xdr:nvCxnSpPr>
              <xdr:spPr>
                <a:xfrm>
                  <a:off x="1930941" y="5703705"/>
                  <a:ext cx="164559" cy="0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0" name="ตัวเชื่อมต่อตรง 256"/>
              <xdr:cNvCxnSpPr/>
            </xdr:nvCxnSpPr>
            <xdr:spPr>
              <a:xfrm>
                <a:off x="2083041" y="6083300"/>
                <a:ext cx="0" cy="288000"/>
              </a:xfrm>
              <a:prstGeom prst="line">
                <a:avLst/>
              </a:prstGeom>
              <a:ln w="762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8" name="TextBox 77"/>
            <xdr:cNvSpPr txBox="1"/>
          </xdr:nvSpPr>
          <xdr:spPr>
            <a:xfrm>
              <a:off x="2063170" y="6101194"/>
              <a:ext cx="856906" cy="34984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>
              <a:spAutoFit/>
            </a:bodyPr>
            <a:lstStyle/>
            <a:p>
              <a:pPr algn="ctr"/>
              <a:r>
                <a:rPr lang="en-US" sz="900" b="1">
                  <a:solidFill>
                    <a:sysClr val="windowText" lastClr="000000"/>
                  </a:solidFill>
                </a:rPr>
                <a:t>[ L0 ]</a:t>
              </a:r>
            </a:p>
            <a:p>
              <a:pPr algn="ctr"/>
              <a:r>
                <a:rPr lang="en-US" sz="800" b="0" i="0" u="sng">
                  <a:solidFill>
                    <a:srgbClr val="C00000"/>
                  </a:solidFill>
                </a:rPr>
                <a:t>X1 &gt; X2 &gt; X3</a:t>
              </a:r>
              <a:endParaRPr lang="th-TH" sz="800" b="0" i="0" u="sng">
                <a:solidFill>
                  <a:srgbClr val="C00000"/>
                </a:solidFill>
              </a:endParaRPr>
            </a:p>
          </xdr:txBody>
        </xdr:sp>
      </xdr:grpSp>
      <xdr:grpSp>
        <xdr:nvGrpSpPr>
          <xdr:cNvPr id="94" name="กลุ่ม 288"/>
          <xdr:cNvGrpSpPr/>
        </xdr:nvGrpSpPr>
        <xdr:grpSpPr>
          <a:xfrm>
            <a:off x="201665" y="3825781"/>
            <a:ext cx="2088454" cy="1030828"/>
            <a:chOff x="1108357" y="6923073"/>
            <a:chExt cx="1786287" cy="992717"/>
          </a:xfrm>
        </xdr:grpSpPr>
        <xdr:grpSp>
          <xdr:nvGrpSpPr>
            <xdr:cNvPr id="95" name="กลุ่ม 294"/>
            <xdr:cNvGrpSpPr/>
          </xdr:nvGrpSpPr>
          <xdr:grpSpPr>
            <a:xfrm>
              <a:off x="1108357" y="6923073"/>
              <a:ext cx="948926" cy="992717"/>
              <a:chOff x="1108357" y="5846759"/>
              <a:chExt cx="948926" cy="992717"/>
            </a:xfrm>
          </xdr:grpSpPr>
          <xdr:cxnSp macro="">
            <xdr:nvCxnSpPr>
              <xdr:cNvPr id="98" name="ตัวเชื่อมต่อตรง 296"/>
              <xdr:cNvCxnSpPr/>
            </xdr:nvCxnSpPr>
            <xdr:spPr>
              <a:xfrm>
                <a:off x="1130553" y="6083300"/>
                <a:ext cx="0" cy="288000"/>
              </a:xfrm>
              <a:prstGeom prst="line">
                <a:avLst/>
              </a:prstGeom>
              <a:ln w="76200"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7" name="กลุ่ม 295"/>
              <xdr:cNvGrpSpPr/>
            </xdr:nvGrpSpPr>
            <xdr:grpSpPr>
              <a:xfrm>
                <a:off x="1108357" y="5846759"/>
                <a:ext cx="948926" cy="992717"/>
                <a:chOff x="1151224" y="5026025"/>
                <a:chExt cx="948926" cy="992717"/>
              </a:xfrm>
            </xdr:grpSpPr>
            <xdr:grpSp>
              <xdr:nvGrpSpPr>
                <xdr:cNvPr id="99" name="กลุ่ม 297"/>
                <xdr:cNvGrpSpPr/>
              </xdr:nvGrpSpPr>
              <xdr:grpSpPr>
                <a:xfrm>
                  <a:off x="1151224" y="5026025"/>
                  <a:ext cx="948926" cy="992717"/>
                  <a:chOff x="1106774" y="5026025"/>
                  <a:chExt cx="948926" cy="992717"/>
                </a:xfrm>
              </xdr:grpSpPr>
              <xdr:grpSp>
                <xdr:nvGrpSpPr>
                  <xdr:cNvPr id="102" name="กลุ่ม 300"/>
                  <xdr:cNvGrpSpPr/>
                </xdr:nvGrpSpPr>
                <xdr:grpSpPr>
                  <a:xfrm>
                    <a:off x="1155700" y="5172075"/>
                    <a:ext cx="900000" cy="288975"/>
                    <a:chOff x="1155700" y="5172075"/>
                    <a:chExt cx="900000" cy="288975"/>
                  </a:xfrm>
                </xdr:grpSpPr>
                <xdr:cxnSp macro="">
                  <xdr:nvCxnSpPr>
                    <xdr:cNvPr id="110" name="ลูกศรเชื่อมต่อแบบตรง 308"/>
                    <xdr:cNvCxnSpPr/>
                  </xdr:nvCxnSpPr>
                  <xdr:spPr>
                    <a:xfrm>
                      <a:off x="1337720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0070C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1" name="ลูกศรเชื่อมต่อแบบตรง 309"/>
                    <xdr:cNvCxnSpPr/>
                  </xdr:nvCxnSpPr>
                  <xdr:spPr>
                    <a:xfrm>
                      <a:off x="1887117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C0000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5" name="ลูกศรเชื่อมต่อแบบตรง 308"/>
                    <xdr:cNvCxnSpPr/>
                  </xdr:nvCxnSpPr>
                  <xdr:spPr>
                    <a:xfrm>
                      <a:off x="1603850" y="5172075"/>
                      <a:ext cx="0" cy="180000"/>
                    </a:xfrm>
                    <a:prstGeom prst="straightConnector1">
                      <a:avLst/>
                    </a:prstGeom>
                    <a:ln>
                      <a:solidFill>
                        <a:srgbClr val="7030A0"/>
                      </a:solidFill>
                      <a:headEnd type="none"/>
                      <a:tailEnd type="triangle" w="sm" len="med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09" name="สี่เหลี่ยมผืนผ้า 307"/>
                    <xdr:cNvSpPr/>
                  </xdr:nvSpPr>
                  <xdr:spPr>
                    <a:xfrm>
                      <a:off x="1155700" y="5353050"/>
                      <a:ext cx="900000" cy="108000"/>
                    </a:xfrm>
                    <a:prstGeom prst="rect">
                      <a:avLst/>
                    </a:prstGeom>
                    <a:solidFill>
                      <a:srgbClr val="92D050"/>
                    </a:solidFill>
                    <a:ln w="9525">
                      <a:solidFill>
                        <a:schemeClr val="tx1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l"/>
                      <a:endParaRPr lang="th-TH" sz="1100">
                        <a:solidFill>
                          <a:sysClr val="windowText" lastClr="000000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103" name="TextBox 102"/>
                  <xdr:cNvSpPr txBox="1"/>
                </xdr:nvSpPr>
                <xdr:spPr>
                  <a:xfrm>
                    <a:off x="1367799" y="5213350"/>
                    <a:ext cx="212725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W</a:t>
                    </a:r>
                    <a:endParaRPr lang="th-TH" sz="700"/>
                  </a:p>
                </xdr:txBody>
              </xdr:sp>
              <xdr:sp macro="" textlink="">
                <xdr:nvSpPr>
                  <xdr:cNvPr id="104" name="TextBox 103"/>
                  <xdr:cNvSpPr txBox="1"/>
                </xdr:nvSpPr>
                <xdr:spPr>
                  <a:xfrm>
                    <a:off x="1495425" y="5422900"/>
                    <a:ext cx="212725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L</a:t>
                    </a:r>
                    <a:endParaRPr lang="th-TH" sz="700"/>
                  </a:p>
                </xdr:txBody>
              </xdr:sp>
              <xdr:sp macro="" textlink="">
                <xdr:nvSpPr>
                  <xdr:cNvPr id="105" name="TextBox 104"/>
                  <xdr:cNvSpPr txBox="1"/>
                </xdr:nvSpPr>
                <xdr:spPr>
                  <a:xfrm>
                    <a:off x="1191669" y="5026025"/>
                    <a:ext cx="2984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P3</a:t>
                    </a:r>
                    <a:endParaRPr lang="th-TH" sz="700"/>
                  </a:p>
                </xdr:txBody>
              </xdr:sp>
              <xdr:sp macro="" textlink="">
                <xdr:nvSpPr>
                  <xdr:cNvPr id="106" name="TextBox 105"/>
                  <xdr:cNvSpPr txBox="1"/>
                </xdr:nvSpPr>
                <xdr:spPr>
                  <a:xfrm>
                    <a:off x="1741069" y="5026025"/>
                    <a:ext cx="2984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P1</a:t>
                    </a:r>
                    <a:endParaRPr lang="th-TH" sz="700"/>
                  </a:p>
                </xdr:txBody>
              </xdr:sp>
              <xdr:sp macro="" textlink="">
                <xdr:nvSpPr>
                  <xdr:cNvPr id="107" name="TextBox 106"/>
                  <xdr:cNvSpPr txBox="1"/>
                </xdr:nvSpPr>
                <xdr:spPr>
                  <a:xfrm>
                    <a:off x="1371558" y="5831417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X1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108" name="TextBox 107"/>
                  <xdr:cNvSpPr txBox="1"/>
                </xdr:nvSpPr>
                <xdr:spPr>
                  <a:xfrm>
                    <a:off x="1106774" y="5563664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X3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  <xdr:sp macro="" textlink="">
                <xdr:nvSpPr>
                  <xdr:cNvPr id="115" name="TextBox 114"/>
                  <xdr:cNvSpPr txBox="1"/>
                </xdr:nvSpPr>
                <xdr:spPr>
                  <a:xfrm>
                    <a:off x="1457799" y="5026025"/>
                    <a:ext cx="2984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/>
                      <a:t>P2</a:t>
                    </a:r>
                    <a:endParaRPr lang="th-TH" sz="700"/>
                  </a:p>
                </xdr:txBody>
              </xdr:sp>
              <xdr:sp macro="" textlink="">
                <xdr:nvSpPr>
                  <xdr:cNvPr id="117" name="TextBox 116"/>
                  <xdr:cNvSpPr txBox="1"/>
                </xdr:nvSpPr>
                <xdr:spPr>
                  <a:xfrm>
                    <a:off x="1245266" y="5701256"/>
                    <a:ext cx="285750" cy="18732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wrap="square" rtlCol="0" anchor="ctr"/>
                  <a:lstStyle/>
                  <a:p>
                    <a:pPr algn="ctr"/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X2</a:t>
                    </a:r>
                    <a:endParaRPr lang="th-TH" sz="700">
                      <a:solidFill>
                        <a:sysClr val="windowText" lastClr="000000"/>
                      </a:solidFill>
                    </a:endParaRPr>
                  </a:p>
                </xdr:txBody>
              </xdr:sp>
            </xdr:grpSp>
            <xdr:cxnSp macro="">
              <xdr:nvCxnSpPr>
                <xdr:cNvPr id="100" name="ลูกศรเชื่อมต่อแบบตรง 298"/>
                <xdr:cNvCxnSpPr/>
              </xdr:nvCxnSpPr>
              <xdr:spPr>
                <a:xfrm>
                  <a:off x="1196975" y="5712913"/>
                  <a:ext cx="189056" cy="0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1" name="ลูกศรเชื่อมต่อแบบตรง 299"/>
                <xdr:cNvCxnSpPr/>
              </xdr:nvCxnSpPr>
              <xdr:spPr>
                <a:xfrm flipV="1">
                  <a:off x="1196975" y="5977642"/>
                  <a:ext cx="737610" cy="1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1" name="ลูกศรเชื่อมต่อแบบตรง 298"/>
                <xdr:cNvCxnSpPr/>
              </xdr:nvCxnSpPr>
              <xdr:spPr>
                <a:xfrm>
                  <a:off x="1196975" y="5850506"/>
                  <a:ext cx="452471" cy="0"/>
                </a:xfrm>
                <a:prstGeom prst="straightConnector1">
                  <a:avLst/>
                </a:prstGeom>
                <a:ln w="6350">
                  <a:solidFill>
                    <a:schemeClr val="bg1">
                      <a:lumMod val="50000"/>
                    </a:schemeClr>
                  </a:solidFill>
                  <a:headEnd type="oval" w="sm" len="sm"/>
                  <a:tailEnd type="oval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96" name="TextBox 95"/>
            <xdr:cNvSpPr txBox="1"/>
          </xdr:nvSpPr>
          <xdr:spPr>
            <a:xfrm>
              <a:off x="2061526" y="7125957"/>
              <a:ext cx="833118" cy="48656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>
              <a:sp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900" b="1">
                  <a:solidFill>
                    <a:sysClr val="windowText" lastClr="000000"/>
                  </a:solidFill>
                </a:rPr>
                <a:t>[ R0 ]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800" b="0" i="0" u="sng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X1 &gt; X2 &gt; X3</a:t>
              </a:r>
              <a:endParaRPr lang="en-US" sz="800" i="0" u="sng">
                <a:solidFill>
                  <a:srgbClr val="C00000"/>
                </a:solidFill>
                <a:effectLst/>
              </a:endParaRPr>
            </a:p>
            <a:p>
              <a:pPr algn="ctr"/>
              <a:endParaRPr lang="th-TH" sz="900" b="0">
                <a:solidFill>
                  <a:srgbClr val="00B050"/>
                </a:solidFill>
              </a:endParaRPr>
            </a:p>
          </xdr:txBody>
        </xdr:sp>
      </xdr:grpSp>
    </xdr:grpSp>
    <xdr:clientData/>
  </xdr:twoCellAnchor>
  <xdr:twoCellAnchor editAs="oneCell">
    <xdr:from>
      <xdr:col>38</xdr:col>
      <xdr:colOff>28570</xdr:colOff>
      <xdr:row>2</xdr:row>
      <xdr:rowOff>150969</xdr:rowOff>
    </xdr:from>
    <xdr:to>
      <xdr:col>87</xdr:col>
      <xdr:colOff>151391</xdr:colOff>
      <xdr:row>31</xdr:row>
      <xdr:rowOff>47628</xdr:rowOff>
    </xdr:to>
    <xdr:grpSp>
      <xdr:nvGrpSpPr>
        <xdr:cNvPr id="129" name="Group 128"/>
        <xdr:cNvGrpSpPr/>
      </xdr:nvGrpSpPr>
      <xdr:grpSpPr>
        <a:xfrm>
          <a:off x="7629520" y="512919"/>
          <a:ext cx="9924046" cy="5144934"/>
          <a:chOff x="40619361" y="5805486"/>
          <a:chExt cx="10800337" cy="5529084"/>
        </a:xfrm>
        <a:solidFill>
          <a:schemeClr val="tx1"/>
        </a:solidFill>
      </xdr:grpSpPr>
      <xdr:graphicFrame macro="">
        <xdr:nvGraphicFramePr>
          <xdr:cNvPr id="130" name="Chart 129"/>
          <xdr:cNvGraphicFramePr>
            <a:graphicFrameLocks/>
          </xdr:cNvGraphicFramePr>
        </xdr:nvGraphicFramePr>
        <xdr:xfrm>
          <a:off x="40619689" y="7653337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1" name="Chart 130"/>
          <xdr:cNvGraphicFramePr/>
        </xdr:nvGraphicFramePr>
        <xdr:xfrm>
          <a:off x="40619361" y="9534570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2" name="Chart 131"/>
          <xdr:cNvGraphicFramePr>
            <a:graphicFrameLocks/>
          </xdr:cNvGraphicFramePr>
        </xdr:nvGraphicFramePr>
        <xdr:xfrm>
          <a:off x="40619691" y="5805486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6" name="Chart 135"/>
          <xdr:cNvGraphicFramePr>
            <a:graphicFrameLocks/>
          </xdr:cNvGraphicFramePr>
        </xdr:nvGraphicFramePr>
        <xdr:xfrm>
          <a:off x="40619697" y="5809138"/>
          <a:ext cx="10800001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85725</xdr:rowOff>
    </xdr:from>
    <xdr:to>
      <xdr:col>44</xdr:col>
      <xdr:colOff>190500</xdr:colOff>
      <xdr:row>25</xdr:row>
      <xdr:rowOff>95250</xdr:rowOff>
    </xdr:to>
    <xdr:grpSp>
      <xdr:nvGrpSpPr>
        <xdr:cNvPr id="7" name="Group 6"/>
        <xdr:cNvGrpSpPr/>
      </xdr:nvGrpSpPr>
      <xdr:grpSpPr>
        <a:xfrm>
          <a:off x="209550" y="685800"/>
          <a:ext cx="8782050" cy="3990975"/>
          <a:chOff x="40619361" y="5794996"/>
          <a:chExt cx="10800337" cy="5539574"/>
        </a:xfrm>
        <a:solidFill>
          <a:schemeClr val="accent4">
            <a:lumMod val="40000"/>
            <a:lumOff val="60000"/>
          </a:schemeClr>
        </a:solidFill>
      </xdr:grpSpPr>
      <xdr:graphicFrame macro="">
        <xdr:nvGraphicFramePr>
          <xdr:cNvPr id="8" name="Chart 7"/>
          <xdr:cNvGraphicFramePr>
            <a:graphicFrameLocks/>
          </xdr:cNvGraphicFramePr>
        </xdr:nvGraphicFramePr>
        <xdr:xfrm>
          <a:off x="40619689" y="7653337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Chart 8"/>
          <xdr:cNvGraphicFramePr/>
        </xdr:nvGraphicFramePr>
        <xdr:xfrm>
          <a:off x="40619361" y="9534570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40619691" y="5805486"/>
          <a:ext cx="10800000" cy="18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40619696" y="5794996"/>
          <a:ext cx="10800002" cy="18000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dm">
      <a:majorFont>
        <a:latin typeface="Tahoma"/>
        <a:ea typeface=""/>
        <a:cs typeface="Tahoma"/>
      </a:majorFont>
      <a:minorFont>
        <a:latin typeface="Tahoma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B1:KE274"/>
  <sheetViews>
    <sheetView showGridLines="0" showRowColHeaders="0" zoomScaleNormal="100" workbookViewId="0">
      <selection activeCell="AB12" sqref="AB12:AC12"/>
    </sheetView>
  </sheetViews>
  <sheetFormatPr defaultColWidth="2.625" defaultRowHeight="14.25" customHeight="1" x14ac:dyDescent="0.2"/>
  <cols>
    <col min="1" max="1" width="2.625" style="1" customWidth="1"/>
    <col min="2" max="125" width="2.625" style="1"/>
    <col min="126" max="134" width="2.625" style="22"/>
    <col min="135" max="144" width="2.625" style="22" hidden="1" customWidth="1"/>
    <col min="145" max="145" width="3.875" style="22" hidden="1" customWidth="1"/>
    <col min="146" max="162" width="2.625" style="22" hidden="1" customWidth="1"/>
    <col min="163" max="163" width="5.875" style="22" hidden="1" customWidth="1"/>
    <col min="164" max="216" width="2.625" style="22" hidden="1" customWidth="1"/>
    <col min="217" max="217" width="7.875" style="22" hidden="1" customWidth="1"/>
    <col min="218" max="218" width="8.25" style="22" hidden="1" customWidth="1"/>
    <col min="219" max="219" width="6.875" style="22" hidden="1" customWidth="1"/>
    <col min="220" max="220" width="8" style="22" hidden="1" customWidth="1"/>
    <col min="221" max="221" width="8.25" style="22" hidden="1" customWidth="1"/>
    <col min="222" max="222" width="9.375" style="22" hidden="1" customWidth="1"/>
    <col min="223" max="224" width="2.625" style="22" customWidth="1"/>
    <col min="225" max="225" width="2.625" style="22" hidden="1" customWidth="1"/>
    <col min="226" max="228" width="8.375" style="22" hidden="1" customWidth="1"/>
    <col min="229" max="229" width="10.375" style="22" hidden="1" customWidth="1"/>
    <col min="230" max="230" width="8" style="22" hidden="1" customWidth="1"/>
    <col min="231" max="231" width="7.625" style="22" hidden="1" customWidth="1"/>
    <col min="232" max="232" width="2.875" style="22" hidden="1" customWidth="1"/>
    <col min="233" max="233" width="8.375" style="22" hidden="1" customWidth="1"/>
    <col min="234" max="234" width="8" style="22" hidden="1" customWidth="1"/>
    <col min="235" max="235" width="8.625" style="22" hidden="1" customWidth="1"/>
    <col min="236" max="236" width="7" style="22" customWidth="1"/>
    <col min="237" max="238" width="7.875" style="22" customWidth="1"/>
    <col min="239" max="241" width="7.875" style="28" customWidth="1"/>
    <col min="242" max="242" width="2.375" style="22" customWidth="1"/>
    <col min="243" max="248" width="7.875" style="22" customWidth="1"/>
    <col min="249" max="254" width="7.625" style="22" customWidth="1"/>
    <col min="255" max="255" width="2.375" style="22" customWidth="1"/>
    <col min="256" max="256" width="7" style="28" customWidth="1"/>
    <col min="257" max="257" width="7.625" style="28" customWidth="1"/>
    <col min="258" max="258" width="2.375" style="22" customWidth="1"/>
    <col min="259" max="260" width="7.625" style="22" customWidth="1"/>
    <col min="261" max="261" width="2.375" style="22" customWidth="1"/>
    <col min="262" max="263" width="7.625" style="28" customWidth="1"/>
    <col min="264" max="264" width="2.625" style="22" customWidth="1"/>
    <col min="265" max="266" width="7.625" style="28" customWidth="1"/>
    <col min="267" max="267" width="2.5" style="22" customWidth="1"/>
    <col min="268" max="269" width="7.625" style="28" customWidth="1"/>
    <col min="270" max="270" width="2.625" style="28" customWidth="1"/>
    <col min="271" max="272" width="7.625" style="28" customWidth="1"/>
    <col min="273" max="273" width="2.75" style="86" customWidth="1"/>
    <col min="274" max="275" width="7.625" style="28" customWidth="1"/>
    <col min="276" max="276" width="2.75" style="86" customWidth="1"/>
    <col min="277" max="278" width="7.625" style="28" customWidth="1"/>
    <col min="279" max="279" width="2.5" style="86" customWidth="1"/>
    <col min="280" max="280" width="7.125" style="28" customWidth="1"/>
    <col min="281" max="281" width="7.625" style="28" customWidth="1"/>
    <col min="282" max="282" width="2.5" style="22" customWidth="1"/>
    <col min="283" max="291" width="7.625" style="22" customWidth="1"/>
    <col min="292" max="313" width="7.625" style="1" customWidth="1"/>
    <col min="314" max="16384" width="2.625" style="1"/>
  </cols>
  <sheetData>
    <row r="1" spans="2:284" ht="14.25" customHeight="1" x14ac:dyDescent="0.2">
      <c r="L1" s="3" t="s">
        <v>146</v>
      </c>
      <c r="AM1" s="3" t="s">
        <v>173</v>
      </c>
      <c r="ID1" s="28"/>
      <c r="IY1" s="79"/>
      <c r="IZ1" s="79"/>
    </row>
    <row r="2" spans="2:284" ht="14.25" customHeight="1" thickBot="1" x14ac:dyDescent="0.25">
      <c r="B2" s="4" t="s">
        <v>0</v>
      </c>
      <c r="C2" s="4"/>
      <c r="D2" s="4"/>
      <c r="E2" s="4"/>
      <c r="F2" s="244">
        <v>6</v>
      </c>
      <c r="G2" s="244"/>
      <c r="H2" s="244"/>
      <c r="I2" s="244"/>
      <c r="L2" s="205" t="s">
        <v>2</v>
      </c>
      <c r="M2" s="206"/>
      <c r="N2" s="205" t="s">
        <v>5</v>
      </c>
      <c r="O2" s="206"/>
      <c r="P2" s="202" t="s">
        <v>6</v>
      </c>
      <c r="Q2" s="203"/>
      <c r="R2" s="203"/>
      <c r="S2" s="204"/>
      <c r="T2" s="202" t="s">
        <v>10</v>
      </c>
      <c r="U2" s="203"/>
      <c r="V2" s="203"/>
      <c r="W2" s="203"/>
      <c r="X2" s="203"/>
      <c r="Y2" s="204"/>
      <c r="Z2" s="202" t="s">
        <v>11</v>
      </c>
      <c r="AA2" s="203"/>
      <c r="AB2" s="203"/>
      <c r="AC2" s="203"/>
      <c r="AD2" s="203"/>
      <c r="AE2" s="204"/>
      <c r="AF2" s="202" t="s">
        <v>12</v>
      </c>
      <c r="AG2" s="203"/>
      <c r="AH2" s="203"/>
      <c r="AI2" s="203"/>
      <c r="AJ2" s="203"/>
      <c r="AK2" s="204"/>
      <c r="AL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39"/>
      <c r="DW2" s="39"/>
      <c r="DX2" s="39"/>
      <c r="DY2" s="39"/>
      <c r="DZ2" s="39"/>
      <c r="EA2" s="39"/>
      <c r="EB2" s="39"/>
      <c r="EF2" s="180" t="s">
        <v>13</v>
      </c>
      <c r="EG2" s="181"/>
      <c r="EH2" s="182"/>
      <c r="EI2" s="180">
        <v>1</v>
      </c>
      <c r="EJ2" s="181"/>
      <c r="EK2" s="182"/>
      <c r="EL2" s="180">
        <v>2</v>
      </c>
      <c r="EM2" s="181"/>
      <c r="EN2" s="182"/>
      <c r="EO2" s="180">
        <v>3</v>
      </c>
      <c r="EP2" s="181"/>
      <c r="EQ2" s="182"/>
      <c r="ER2" s="180">
        <v>4</v>
      </c>
      <c r="ES2" s="181"/>
      <c r="ET2" s="182"/>
      <c r="EU2" s="180">
        <v>5</v>
      </c>
      <c r="EV2" s="181"/>
      <c r="EW2" s="182"/>
      <c r="EX2" s="180">
        <v>6</v>
      </c>
      <c r="EY2" s="181"/>
      <c r="EZ2" s="182"/>
      <c r="FA2" s="180">
        <v>7</v>
      </c>
      <c r="FB2" s="181"/>
      <c r="FC2" s="182"/>
      <c r="FD2" s="180">
        <v>8</v>
      </c>
      <c r="FE2" s="181"/>
      <c r="FF2" s="182"/>
      <c r="FG2" s="180">
        <v>9</v>
      </c>
      <c r="FH2" s="181"/>
      <c r="FI2" s="182"/>
      <c r="FJ2" s="180">
        <v>10</v>
      </c>
      <c r="FK2" s="181"/>
      <c r="FL2" s="182"/>
      <c r="FM2" s="180">
        <v>11</v>
      </c>
      <c r="FN2" s="181"/>
      <c r="FO2" s="182"/>
      <c r="FP2" s="180">
        <v>12</v>
      </c>
      <c r="FQ2" s="181"/>
      <c r="FR2" s="182"/>
      <c r="FS2" s="180">
        <v>13</v>
      </c>
      <c r="FT2" s="181"/>
      <c r="FU2" s="182"/>
      <c r="FV2" s="180">
        <v>14</v>
      </c>
      <c r="FW2" s="181"/>
      <c r="FX2" s="182"/>
      <c r="FY2" s="180">
        <v>15</v>
      </c>
      <c r="FZ2" s="181"/>
      <c r="GA2" s="182"/>
      <c r="GB2" s="180">
        <v>16</v>
      </c>
      <c r="GC2" s="181"/>
      <c r="GD2" s="182"/>
      <c r="GE2" s="180">
        <v>17</v>
      </c>
      <c r="GF2" s="181"/>
      <c r="GG2" s="182"/>
      <c r="GH2" s="180">
        <v>18</v>
      </c>
      <c r="GI2" s="181"/>
      <c r="GJ2" s="182"/>
      <c r="GK2" s="180">
        <v>19</v>
      </c>
      <c r="GL2" s="181"/>
      <c r="GM2" s="182"/>
      <c r="GN2" s="180">
        <v>20</v>
      </c>
      <c r="GO2" s="181"/>
      <c r="GP2" s="182"/>
      <c r="GQ2" s="180">
        <v>21</v>
      </c>
      <c r="GR2" s="181"/>
      <c r="GS2" s="182"/>
      <c r="GT2" s="180">
        <v>22</v>
      </c>
      <c r="GU2" s="181"/>
      <c r="GV2" s="182"/>
      <c r="GW2" s="180">
        <v>23</v>
      </c>
      <c r="GX2" s="181"/>
      <c r="GY2" s="182"/>
      <c r="GZ2" s="180">
        <v>24</v>
      </c>
      <c r="HA2" s="181"/>
      <c r="HB2" s="182"/>
      <c r="HC2" s="180">
        <v>25</v>
      </c>
      <c r="HD2" s="181"/>
      <c r="HE2" s="182"/>
      <c r="HF2" s="180" t="s">
        <v>14</v>
      </c>
      <c r="HG2" s="181"/>
      <c r="HH2" s="182"/>
      <c r="HM2" s="38" t="s">
        <v>128</v>
      </c>
      <c r="HN2" s="34" t="b">
        <f>AND(F9=ER42,F10=ER42)</f>
        <v>0</v>
      </c>
      <c r="HO2" s="87"/>
      <c r="HP2" s="87"/>
      <c r="HR2" s="34"/>
      <c r="HS2" s="21" t="s">
        <v>136</v>
      </c>
      <c r="HT2" s="21" t="s">
        <v>137</v>
      </c>
      <c r="HU2" s="21" t="s">
        <v>138</v>
      </c>
      <c r="HV2" s="21" t="s">
        <v>139</v>
      </c>
      <c r="HW2" s="21" t="s">
        <v>140</v>
      </c>
      <c r="HX2" s="173" t="s">
        <v>141</v>
      </c>
      <c r="HY2" s="174"/>
      <c r="HZ2" s="21" t="s">
        <v>142</v>
      </c>
      <c r="IA2" s="21" t="s">
        <v>147</v>
      </c>
      <c r="IB2" s="28"/>
      <c r="IC2" s="21" t="s">
        <v>136</v>
      </c>
      <c r="ID2" s="21" t="s">
        <v>147</v>
      </c>
      <c r="IE2" s="21" t="s">
        <v>22</v>
      </c>
      <c r="IF2" s="21" t="s">
        <v>50</v>
      </c>
      <c r="IG2" s="21" t="s">
        <v>148</v>
      </c>
      <c r="II2" s="21" t="s">
        <v>163</v>
      </c>
      <c r="IJ2" s="21" t="s">
        <v>50</v>
      </c>
      <c r="IK2" s="21" t="s">
        <v>165</v>
      </c>
      <c r="IL2" s="23" t="s">
        <v>50</v>
      </c>
      <c r="IM2" s="21" t="s">
        <v>166</v>
      </c>
      <c r="IN2" s="24" t="s">
        <v>167</v>
      </c>
      <c r="IO2" s="24" t="s">
        <v>168</v>
      </c>
      <c r="IP2" s="24" t="s">
        <v>169</v>
      </c>
      <c r="IQ2" s="24" t="s">
        <v>170</v>
      </c>
      <c r="IR2" s="24" t="s">
        <v>171</v>
      </c>
      <c r="IS2" s="25" t="s">
        <v>112</v>
      </c>
      <c r="IT2" s="25" t="s">
        <v>164</v>
      </c>
      <c r="IV2" s="26" t="s">
        <v>50</v>
      </c>
      <c r="IW2" s="27" t="s">
        <v>51</v>
      </c>
      <c r="IY2" s="26" t="s">
        <v>50</v>
      </c>
      <c r="IZ2" s="27" t="s">
        <v>51</v>
      </c>
      <c r="JB2" s="26" t="s">
        <v>50</v>
      </c>
      <c r="JC2" s="27" t="s">
        <v>51</v>
      </c>
      <c r="JE2" s="26" t="s">
        <v>50</v>
      </c>
      <c r="JF2" s="27" t="s">
        <v>51</v>
      </c>
      <c r="JH2" s="26" t="s">
        <v>50</v>
      </c>
      <c r="JI2" s="27" t="s">
        <v>51</v>
      </c>
      <c r="JK2" s="26" t="s">
        <v>50</v>
      </c>
      <c r="JL2" s="27" t="s">
        <v>51</v>
      </c>
      <c r="JM2" s="29"/>
      <c r="JN2" s="26" t="s">
        <v>50</v>
      </c>
      <c r="JO2" s="27" t="s">
        <v>51</v>
      </c>
      <c r="JP2" s="29"/>
      <c r="JQ2" s="26" t="s">
        <v>50</v>
      </c>
      <c r="JR2" s="27" t="s">
        <v>51</v>
      </c>
      <c r="JS2" s="29"/>
      <c r="JT2" s="26" t="s">
        <v>50</v>
      </c>
      <c r="JU2" s="27" t="s">
        <v>51</v>
      </c>
      <c r="JW2" s="26" t="s">
        <v>50</v>
      </c>
      <c r="JX2" s="27" t="s">
        <v>51</v>
      </c>
    </row>
    <row r="3" spans="2:284" ht="14.25" customHeight="1" thickTop="1" x14ac:dyDescent="0.2">
      <c r="B3" s="7" t="s">
        <v>3</v>
      </c>
      <c r="C3" s="4"/>
      <c r="D3" s="4"/>
      <c r="E3" s="8"/>
      <c r="F3" s="245">
        <v>0.2</v>
      </c>
      <c r="G3" s="245"/>
      <c r="H3" s="245"/>
      <c r="I3" s="245"/>
      <c r="J3" s="9" t="s">
        <v>74</v>
      </c>
      <c r="L3" s="209" t="s">
        <v>1</v>
      </c>
      <c r="M3" s="225"/>
      <c r="N3" s="209" t="s">
        <v>7</v>
      </c>
      <c r="O3" s="225"/>
      <c r="P3" s="202" t="s">
        <v>8</v>
      </c>
      <c r="Q3" s="204"/>
      <c r="R3" s="202" t="s">
        <v>9</v>
      </c>
      <c r="S3" s="204"/>
      <c r="T3" s="202" t="s">
        <v>8</v>
      </c>
      <c r="U3" s="204"/>
      <c r="V3" s="202" t="s">
        <v>9</v>
      </c>
      <c r="W3" s="204"/>
      <c r="X3" s="202" t="s">
        <v>159</v>
      </c>
      <c r="Y3" s="204"/>
      <c r="Z3" s="202" t="s">
        <v>8</v>
      </c>
      <c r="AA3" s="203"/>
      <c r="AB3" s="202" t="s">
        <v>9</v>
      </c>
      <c r="AC3" s="203"/>
      <c r="AD3" s="202" t="s">
        <v>160</v>
      </c>
      <c r="AE3" s="204"/>
      <c r="AF3" s="202" t="s">
        <v>8</v>
      </c>
      <c r="AG3" s="203"/>
      <c r="AH3" s="202" t="s">
        <v>9</v>
      </c>
      <c r="AI3" s="203"/>
      <c r="AJ3" s="202" t="s">
        <v>161</v>
      </c>
      <c r="AK3" s="204"/>
      <c r="AL3" s="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39"/>
      <c r="DW3" s="39"/>
      <c r="DX3" s="39"/>
      <c r="DY3" s="39"/>
      <c r="DZ3" s="39"/>
      <c r="EA3" s="39"/>
      <c r="EB3" s="39"/>
      <c r="EF3" s="178">
        <f>IF(F9=ER44,N4,0)</f>
        <v>0</v>
      </c>
      <c r="EG3" s="178"/>
      <c r="EH3" s="179"/>
      <c r="EI3" s="177">
        <f>IF(F2&gt;=1,N9,0)</f>
        <v>4</v>
      </c>
      <c r="EJ3" s="178"/>
      <c r="EK3" s="179"/>
      <c r="EL3" s="177">
        <f>IF(F2&gt;=2,N10,0)</f>
        <v>4</v>
      </c>
      <c r="EM3" s="178"/>
      <c r="EN3" s="179"/>
      <c r="EO3" s="177">
        <f>IF(F2&gt;=3,N11,0)</f>
        <v>4</v>
      </c>
      <c r="EP3" s="178"/>
      <c r="EQ3" s="179"/>
      <c r="ER3" s="177">
        <f>IF(F2&gt;=4,N12,0)</f>
        <v>4</v>
      </c>
      <c r="ES3" s="178"/>
      <c r="ET3" s="179"/>
      <c r="EU3" s="177">
        <f>IF(F2&gt;=5,N13,0)</f>
        <v>4</v>
      </c>
      <c r="EV3" s="178"/>
      <c r="EW3" s="179"/>
      <c r="EX3" s="177">
        <f>IF(F2&gt;=6,N14,0)</f>
        <v>4</v>
      </c>
      <c r="EY3" s="178"/>
      <c r="EZ3" s="179"/>
      <c r="FA3" s="177">
        <f>IF(F2&gt;=7,N15,0)</f>
        <v>0</v>
      </c>
      <c r="FB3" s="178"/>
      <c r="FC3" s="179"/>
      <c r="FD3" s="177">
        <f>IF(F2&gt;=8,N16,0)</f>
        <v>0</v>
      </c>
      <c r="FE3" s="178"/>
      <c r="FF3" s="179"/>
      <c r="FG3" s="177">
        <f>IF(F2&gt;=9,N17,0)</f>
        <v>0</v>
      </c>
      <c r="FH3" s="178"/>
      <c r="FI3" s="179"/>
      <c r="FJ3" s="177">
        <f>IF(F2&gt;=10,N18,0)</f>
        <v>0</v>
      </c>
      <c r="FK3" s="178"/>
      <c r="FL3" s="179"/>
      <c r="FM3" s="177">
        <f>IF(F2&gt;=11,N19,)</f>
        <v>0</v>
      </c>
      <c r="FN3" s="178"/>
      <c r="FO3" s="179"/>
      <c r="FP3" s="177">
        <f>IF(F2&gt;=12,N20,0)</f>
        <v>0</v>
      </c>
      <c r="FQ3" s="178"/>
      <c r="FR3" s="179"/>
      <c r="FS3" s="177">
        <f>IF(F2&gt;=13,N21,0)</f>
        <v>0</v>
      </c>
      <c r="FT3" s="178"/>
      <c r="FU3" s="179"/>
      <c r="FV3" s="177">
        <f>IF(F2&gt;=14,N22,0)</f>
        <v>0</v>
      </c>
      <c r="FW3" s="178"/>
      <c r="FX3" s="179"/>
      <c r="FY3" s="177">
        <f>IF(F2&gt;=15,N23,0)</f>
        <v>0</v>
      </c>
      <c r="FZ3" s="178"/>
      <c r="GA3" s="179"/>
      <c r="GB3" s="177">
        <f>IF(F2&gt;=16,N24,0)</f>
        <v>0</v>
      </c>
      <c r="GC3" s="178"/>
      <c r="GD3" s="179"/>
      <c r="GE3" s="177">
        <f>IF(F2&gt;=17,N25,0)</f>
        <v>0</v>
      </c>
      <c r="GF3" s="178"/>
      <c r="GG3" s="179"/>
      <c r="GH3" s="177">
        <f>IF(F2&gt;=18,N26,0)</f>
        <v>0</v>
      </c>
      <c r="GI3" s="178"/>
      <c r="GJ3" s="179"/>
      <c r="GK3" s="177">
        <f>IF(F2&gt;=19,N27,0)</f>
        <v>0</v>
      </c>
      <c r="GL3" s="178"/>
      <c r="GM3" s="179"/>
      <c r="GN3" s="177">
        <f>IF(F2&gt;=20,N28,0)</f>
        <v>0</v>
      </c>
      <c r="GO3" s="178"/>
      <c r="GP3" s="179"/>
      <c r="GQ3" s="177">
        <f>IF(F2&gt;=21,N29,0)</f>
        <v>0</v>
      </c>
      <c r="GR3" s="178"/>
      <c r="GS3" s="179"/>
      <c r="GT3" s="177">
        <f>IF(F2&gt;=22,N30,0)</f>
        <v>0</v>
      </c>
      <c r="GU3" s="178"/>
      <c r="GV3" s="179"/>
      <c r="GW3" s="177">
        <f>IF(F2&gt;=23,N31,0)</f>
        <v>0</v>
      </c>
      <c r="GX3" s="178"/>
      <c r="GY3" s="179"/>
      <c r="GZ3" s="177">
        <f>IF(F2&gt;=24,N32,0)</f>
        <v>0</v>
      </c>
      <c r="HA3" s="178"/>
      <c r="HB3" s="179"/>
      <c r="HC3" s="177">
        <f>IF(F2&gt;=25,N33,0)</f>
        <v>0</v>
      </c>
      <c r="HD3" s="178"/>
      <c r="HE3" s="179"/>
      <c r="HF3" s="177">
        <f>IF(F10=ER44,N5,0)</f>
        <v>1.5</v>
      </c>
      <c r="HG3" s="178"/>
      <c r="HH3" s="178"/>
      <c r="HI3" s="87"/>
      <c r="HM3" s="38" t="s">
        <v>134</v>
      </c>
      <c r="HN3" s="34" t="b">
        <f>AND(F9=ER42,F10=ER43)</f>
        <v>0</v>
      </c>
      <c r="HO3" s="87"/>
      <c r="HP3" s="87"/>
      <c r="HR3" s="153" t="str">
        <f>IF(HS3="-","",HS3)</f>
        <v/>
      </c>
      <c r="HS3" s="175" t="str">
        <f>L4</f>
        <v>-</v>
      </c>
      <c r="HT3" s="166">
        <f>EF3</f>
        <v>0</v>
      </c>
      <c r="HU3" s="31">
        <v>0</v>
      </c>
      <c r="HV3" s="31">
        <f>-IF(HS3="-",0,IF(EP39=HT3,EL39+(IF(EV39=HT3,ER39,0))+(IF(FB39=HT3,EX39,0)),0))</f>
        <v>0</v>
      </c>
      <c r="HW3" s="31" t="s">
        <v>143</v>
      </c>
      <c r="HX3" s="31" t="s">
        <v>41</v>
      </c>
      <c r="HY3" s="31">
        <f>HV3</f>
        <v>0</v>
      </c>
      <c r="HZ3" s="168"/>
      <c r="IA3" s="165"/>
      <c r="IC3" s="165" t="str">
        <f>HS3</f>
        <v>-</v>
      </c>
      <c r="ID3" s="30">
        <v>0</v>
      </c>
      <c r="IE3" s="30" t="s">
        <v>149</v>
      </c>
      <c r="IF3" s="30">
        <v>0</v>
      </c>
      <c r="IG3" s="30">
        <v>0</v>
      </c>
      <c r="II3" s="31" t="b">
        <f t="shared" ref="II3:II10" si="0">AND(IG3&gt;=0,IG4&lt;0)</f>
        <v>0</v>
      </c>
      <c r="IJ3" s="32" t="b">
        <f>IF(IF3=IF4,FALSE,TRUE)</f>
        <v>0</v>
      </c>
      <c r="IK3" s="31">
        <f t="shared" ref="IK3:IK12" si="1">IF(II3=TRUE,IF(IJ3=TRUE,IG3/$EJ$39)+IF3,IF3)</f>
        <v>0</v>
      </c>
      <c r="IL3" s="33">
        <f>IK3</f>
        <v>0</v>
      </c>
      <c r="IM3" s="34"/>
      <c r="IN3" s="35">
        <f t="shared" ref="IN3:IN11" si="2">-$EJ$39*(IL3^2/2)</f>
        <v>0</v>
      </c>
      <c r="IO3" s="36">
        <f t="shared" ref="IO3:IO11" si="3">-IF(IL3&gt;=$EN$39,$EL$39*(IL3-$EN$39),0)</f>
        <v>0</v>
      </c>
      <c r="IP3" s="35">
        <f t="shared" ref="IP3:IP11" si="4">-IF(IL3&gt;=$ET$39,$ER$39*(IL3-$ET$39),0)</f>
        <v>0</v>
      </c>
      <c r="IQ3" s="35">
        <f t="shared" ref="IQ3:IQ11" si="5">-IF(IL3&gt;=$EZ$39,$EX$39*(IL3-$EZ$39),0)</f>
        <v>0</v>
      </c>
      <c r="IR3" s="35"/>
      <c r="IS3" s="37" t="str">
        <f>IF(IC3="-","",HU3)</f>
        <v/>
      </c>
      <c r="IT3" s="35">
        <f t="shared" ref="IT3:IT11" si="6">$ID$3+IL3</f>
        <v>0</v>
      </c>
      <c r="IV3" s="38">
        <f>IF(IC3="-",0,ID3)</f>
        <v>0</v>
      </c>
      <c r="IW3" s="38">
        <v>0</v>
      </c>
      <c r="IY3" s="35">
        <f>IF(IC3="-",-5,IF(EL39=0,-5,ID3+EN39))</f>
        <v>-5</v>
      </c>
      <c r="IZ3" s="35">
        <v>0</v>
      </c>
      <c r="JB3" s="38"/>
      <c r="JC3" s="38"/>
      <c r="JE3" s="38"/>
      <c r="JF3" s="38"/>
      <c r="JH3" s="38"/>
      <c r="JI3" s="38"/>
      <c r="JK3" s="38"/>
      <c r="JL3" s="38"/>
      <c r="JM3" s="39"/>
      <c r="JN3" s="37">
        <f>IF(IC3="-",-5,(ID3+ID12)/2)</f>
        <v>-5</v>
      </c>
      <c r="JO3" s="37">
        <f>-MAX(IW3:IW272,IZ3:IZ272)*0.7</f>
        <v>-52.5</v>
      </c>
      <c r="JP3" s="40"/>
      <c r="JQ3" s="37"/>
      <c r="JR3" s="37"/>
      <c r="JS3" s="40"/>
      <c r="JT3" s="37"/>
      <c r="JU3" s="37"/>
      <c r="JW3" s="37">
        <f>JN3</f>
        <v>-5</v>
      </c>
      <c r="JX3" s="37">
        <f>JF12</f>
        <v>-37.5</v>
      </c>
    </row>
    <row r="4" spans="2:284" ht="14.25" customHeight="1" x14ac:dyDescent="0.2">
      <c r="B4" s="7" t="s">
        <v>4</v>
      </c>
      <c r="C4" s="4"/>
      <c r="D4" s="4"/>
      <c r="E4" s="8"/>
      <c r="F4" s="245">
        <v>0.4</v>
      </c>
      <c r="G4" s="245"/>
      <c r="H4" s="245"/>
      <c r="I4" s="245"/>
      <c r="J4" s="9" t="s">
        <v>74</v>
      </c>
      <c r="L4" s="223" t="str">
        <f>IF(F9="Cantilever","L0","-")</f>
        <v>-</v>
      </c>
      <c r="M4" s="224"/>
      <c r="N4" s="213">
        <v>1.5</v>
      </c>
      <c r="O4" s="214"/>
      <c r="P4" s="200">
        <v>540</v>
      </c>
      <c r="Q4" s="222"/>
      <c r="R4" s="222">
        <v>240</v>
      </c>
      <c r="S4" s="197"/>
      <c r="T4" s="213"/>
      <c r="U4" s="222"/>
      <c r="V4" s="197"/>
      <c r="W4" s="200"/>
      <c r="X4" s="222"/>
      <c r="Y4" s="214"/>
      <c r="Z4" s="213"/>
      <c r="AA4" s="222"/>
      <c r="AB4" s="197"/>
      <c r="AC4" s="200"/>
      <c r="AD4" s="188"/>
      <c r="AE4" s="189"/>
      <c r="AF4" s="213"/>
      <c r="AG4" s="222"/>
      <c r="AH4" s="197"/>
      <c r="AI4" s="200"/>
      <c r="AJ4" s="188"/>
      <c r="AK4" s="189"/>
      <c r="AL4" s="10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88"/>
      <c r="DW4" s="88"/>
      <c r="DX4" s="88"/>
      <c r="DY4" s="88"/>
      <c r="DZ4" s="88"/>
      <c r="EA4" s="88"/>
      <c r="EB4" s="88"/>
      <c r="EE4" s="183" t="s">
        <v>66</v>
      </c>
      <c r="EF4" s="183"/>
      <c r="EH4" s="183" t="s">
        <v>30</v>
      </c>
      <c r="EI4" s="183"/>
      <c r="EK4" s="183" t="s">
        <v>31</v>
      </c>
      <c r="EL4" s="183"/>
      <c r="EN4" s="183" t="s">
        <v>32</v>
      </c>
      <c r="EO4" s="183"/>
      <c r="EQ4" s="183" t="s">
        <v>33</v>
      </c>
      <c r="ER4" s="183"/>
      <c r="ET4" s="183" t="s">
        <v>34</v>
      </c>
      <c r="EU4" s="183"/>
      <c r="EW4" s="183" t="s">
        <v>35</v>
      </c>
      <c r="EX4" s="183"/>
      <c r="EZ4" s="183" t="s">
        <v>36</v>
      </c>
      <c r="FA4" s="183"/>
      <c r="FC4" s="183" t="s">
        <v>37</v>
      </c>
      <c r="FD4" s="183"/>
      <c r="FF4" s="183" t="s">
        <v>38</v>
      </c>
      <c r="FG4" s="183"/>
      <c r="FI4" s="183" t="s">
        <v>39</v>
      </c>
      <c r="FJ4" s="183"/>
      <c r="FL4" s="183" t="s">
        <v>40</v>
      </c>
      <c r="FM4" s="183"/>
      <c r="FO4" s="183" t="s">
        <v>41</v>
      </c>
      <c r="FP4" s="183"/>
      <c r="FR4" s="183" t="s">
        <v>23</v>
      </c>
      <c r="FS4" s="183"/>
      <c r="FU4" s="183" t="s">
        <v>42</v>
      </c>
      <c r="FV4" s="183"/>
      <c r="FX4" s="183" t="s">
        <v>43</v>
      </c>
      <c r="FY4" s="183"/>
      <c r="GA4" s="183" t="s">
        <v>44</v>
      </c>
      <c r="GB4" s="183"/>
      <c r="GD4" s="183" t="s">
        <v>45</v>
      </c>
      <c r="GE4" s="183"/>
      <c r="GG4" s="183" t="s">
        <v>46</v>
      </c>
      <c r="GH4" s="183"/>
      <c r="GJ4" s="183" t="s">
        <v>18</v>
      </c>
      <c r="GK4" s="183"/>
      <c r="GM4" s="183" t="s">
        <v>47</v>
      </c>
      <c r="GN4" s="183"/>
      <c r="GP4" s="183" t="s">
        <v>48</v>
      </c>
      <c r="GQ4" s="183"/>
      <c r="GS4" s="183" t="s">
        <v>22</v>
      </c>
      <c r="GT4" s="183"/>
      <c r="GV4" s="183" t="s">
        <v>49</v>
      </c>
      <c r="GW4" s="183"/>
      <c r="GY4" s="183" t="s">
        <v>50</v>
      </c>
      <c r="GZ4" s="183"/>
      <c r="HB4" s="183" t="s">
        <v>51</v>
      </c>
      <c r="HC4" s="183"/>
      <c r="HE4" s="183" t="s">
        <v>52</v>
      </c>
      <c r="HF4" s="183"/>
      <c r="HH4" s="183" t="s">
        <v>67</v>
      </c>
      <c r="HI4" s="183"/>
      <c r="HM4" s="38" t="s">
        <v>132</v>
      </c>
      <c r="HN4" s="34" t="b">
        <f>AND(F9=ER43,F10=ER42)</f>
        <v>0</v>
      </c>
      <c r="HO4" s="87"/>
      <c r="HP4" s="87"/>
      <c r="HQ4" s="87"/>
      <c r="HR4" s="154"/>
      <c r="HS4" s="176"/>
      <c r="HT4" s="167"/>
      <c r="HU4" s="31">
        <f>IF(HS3="-",0,HN12)</f>
        <v>0</v>
      </c>
      <c r="HV4" s="31" t="s">
        <v>143</v>
      </c>
      <c r="HW4" s="31">
        <f>IF(HS3="-",0,-(EJ39*HT3+EL39+ER39+EX39))</f>
        <v>0</v>
      </c>
      <c r="HX4" s="31" t="s">
        <v>46</v>
      </c>
      <c r="HY4" s="31">
        <f>HV5-HW4</f>
        <v>2927.2959237370465</v>
      </c>
      <c r="HZ4" s="165"/>
      <c r="IA4" s="165"/>
      <c r="IC4" s="165"/>
      <c r="ID4" s="30">
        <f t="shared" ref="ID4:ID11" si="7">IF($IC$3="-",0,$ID$3+IF4)</f>
        <v>0</v>
      </c>
      <c r="IE4" s="30" t="s">
        <v>150</v>
      </c>
      <c r="IF4" s="30">
        <f>IF3</f>
        <v>0</v>
      </c>
      <c r="IG4" s="30">
        <f>IG3</f>
        <v>0</v>
      </c>
      <c r="II4" s="31" t="b">
        <f t="shared" si="0"/>
        <v>0</v>
      </c>
      <c r="IJ4" s="32" t="b">
        <f>IF(IF4=IF5,FALSE,TRUE)</f>
        <v>0</v>
      </c>
      <c r="IK4" s="31">
        <f t="shared" si="1"/>
        <v>0</v>
      </c>
      <c r="IL4" s="41">
        <f>(IL12-IL3)/8</f>
        <v>0</v>
      </c>
      <c r="IM4" s="34"/>
      <c r="IN4" s="35">
        <f t="shared" si="2"/>
        <v>0</v>
      </c>
      <c r="IO4" s="36">
        <f t="shared" si="3"/>
        <v>0</v>
      </c>
      <c r="IP4" s="35">
        <f t="shared" si="4"/>
        <v>0</v>
      </c>
      <c r="IQ4" s="35">
        <f t="shared" si="5"/>
        <v>0</v>
      </c>
      <c r="IR4" s="35"/>
      <c r="IS4" s="42" t="str">
        <f>IF(IC3="-","",SUM(IM4:IR4))</f>
        <v/>
      </c>
      <c r="IT4" s="35">
        <f t="shared" si="6"/>
        <v>0</v>
      </c>
      <c r="IV4" s="38">
        <f>IV3</f>
        <v>0</v>
      </c>
      <c r="IW4" s="38">
        <f>IF(IC3="-",0,EJ39)/20</f>
        <v>0</v>
      </c>
      <c r="IY4" s="35">
        <f>IY3</f>
        <v>-5</v>
      </c>
      <c r="IZ4" s="35">
        <f>IF(IC3="-",0,EL39/20)</f>
        <v>0</v>
      </c>
      <c r="JB4" s="38"/>
      <c r="JC4" s="38"/>
      <c r="JE4" s="38"/>
      <c r="JF4" s="38"/>
      <c r="JH4" s="38"/>
      <c r="JI4" s="38"/>
      <c r="JK4" s="38"/>
      <c r="JL4" s="38"/>
      <c r="JM4" s="39"/>
      <c r="JN4" s="43">
        <f>HT3</f>
        <v>0</v>
      </c>
      <c r="JO4" s="38"/>
      <c r="JP4" s="39"/>
      <c r="JQ4" s="38"/>
      <c r="JR4" s="38"/>
      <c r="JS4" s="39"/>
      <c r="JT4" s="38"/>
      <c r="JU4" s="38"/>
      <c r="JW4" s="43" t="str">
        <f>IC3</f>
        <v>-</v>
      </c>
      <c r="JX4" s="121"/>
    </row>
    <row r="5" spans="2:284" ht="14.25" customHeight="1" x14ac:dyDescent="0.2">
      <c r="B5" s="8"/>
      <c r="C5" s="8"/>
      <c r="D5" s="8"/>
      <c r="E5" s="8"/>
      <c r="F5" s="8"/>
      <c r="G5" s="8"/>
      <c r="H5" s="8"/>
      <c r="I5" s="8"/>
      <c r="J5" s="8"/>
      <c r="L5" s="215" t="str">
        <f>IF(F10="Cantilever","R0","-")</f>
        <v>R0</v>
      </c>
      <c r="M5" s="216"/>
      <c r="N5" s="195">
        <v>1.5</v>
      </c>
      <c r="O5" s="217"/>
      <c r="P5" s="219">
        <v>540</v>
      </c>
      <c r="Q5" s="196"/>
      <c r="R5" s="196">
        <v>240</v>
      </c>
      <c r="S5" s="220"/>
      <c r="T5" s="218"/>
      <c r="U5" s="219"/>
      <c r="V5" s="220"/>
      <c r="W5" s="219"/>
      <c r="X5" s="220"/>
      <c r="Y5" s="221"/>
      <c r="Z5" s="218"/>
      <c r="AA5" s="219"/>
      <c r="AB5" s="220"/>
      <c r="AC5" s="219"/>
      <c r="AD5" s="220"/>
      <c r="AE5" s="221"/>
      <c r="AF5" s="218"/>
      <c r="AG5" s="219"/>
      <c r="AH5" s="220"/>
      <c r="AI5" s="219"/>
      <c r="AJ5" s="220"/>
      <c r="AK5" s="221"/>
      <c r="AL5" s="10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88"/>
      <c r="DW5" s="88"/>
      <c r="DX5" s="88"/>
      <c r="DY5" s="88"/>
      <c r="DZ5" s="88"/>
      <c r="EA5" s="88"/>
      <c r="EB5" s="88"/>
      <c r="EF5" s="89"/>
      <c r="EG5" s="90" t="s">
        <v>53</v>
      </c>
      <c r="EH5" s="91"/>
      <c r="EI5" s="89"/>
      <c r="EJ5" s="90" t="s">
        <v>54</v>
      </c>
      <c r="EK5" s="91"/>
      <c r="EO5" s="39"/>
      <c r="EP5" s="39"/>
      <c r="EQ5" s="39"/>
      <c r="EU5" s="92"/>
      <c r="EV5" s="93" t="s">
        <v>53</v>
      </c>
      <c r="EW5" s="94"/>
      <c r="EX5" s="92"/>
      <c r="EY5" s="93" t="s">
        <v>54</v>
      </c>
      <c r="EZ5" s="94"/>
      <c r="FD5" s="87"/>
      <c r="FE5" s="87"/>
      <c r="FF5" s="87"/>
      <c r="FJ5" s="92"/>
      <c r="FK5" s="93" t="s">
        <v>53</v>
      </c>
      <c r="FL5" s="94"/>
      <c r="FM5" s="92"/>
      <c r="FN5" s="93" t="s">
        <v>54</v>
      </c>
      <c r="FO5" s="94"/>
      <c r="FY5" s="92"/>
      <c r="FZ5" s="93" t="s">
        <v>53</v>
      </c>
      <c r="GA5" s="94"/>
      <c r="GB5" s="92"/>
      <c r="GC5" s="93" t="s">
        <v>54</v>
      </c>
      <c r="GD5" s="94"/>
      <c r="GN5" s="92"/>
      <c r="GO5" s="93" t="s">
        <v>53</v>
      </c>
      <c r="GP5" s="94"/>
      <c r="GQ5" s="92"/>
      <c r="GR5" s="93" t="s">
        <v>54</v>
      </c>
      <c r="GS5" s="94"/>
      <c r="HC5" s="92"/>
      <c r="HD5" s="93" t="s">
        <v>53</v>
      </c>
      <c r="HE5" s="94"/>
      <c r="HF5" s="92"/>
      <c r="HG5" s="93" t="s">
        <v>54</v>
      </c>
      <c r="HH5" s="94"/>
      <c r="HM5" s="38" t="s">
        <v>127</v>
      </c>
      <c r="HN5" s="34" t="b">
        <f>AND(F9=ER43,F10=ER43)</f>
        <v>0</v>
      </c>
      <c r="HO5" s="87"/>
      <c r="HP5" s="87"/>
      <c r="HQ5" s="87"/>
      <c r="HR5" s="153">
        <f t="shared" ref="HR5" si="8">IF(HS5="-","",HS5)</f>
        <v>1</v>
      </c>
      <c r="HS5" s="155">
        <f>IF(F2=0,IF(F10=ER44,"R0",L9),L9)</f>
        <v>1</v>
      </c>
      <c r="HT5" s="157">
        <f>IF(HS5="R0",HT55,EI3)</f>
        <v>4</v>
      </c>
      <c r="HU5" s="54">
        <f>IF(HS5="R0",HU55,IF(F2&lt;1,0,HN12))</f>
        <v>-1993.7278983160613</v>
      </c>
      <c r="HV5" s="54">
        <f>IF(HS5="-",0,IF(HS5="R0",HV55,(EJ12*HT5^2*0.5+EL12*EP12+ER12*EV12+EX12*FB12-HU5+HU6)/HT5))</f>
        <v>2927.2959237370465</v>
      </c>
      <c r="HW5" s="54" t="s">
        <v>143</v>
      </c>
      <c r="HX5" s="54" t="s">
        <v>41</v>
      </c>
      <c r="HY5" s="54">
        <f>HY4</f>
        <v>2927.2959237370465</v>
      </c>
      <c r="HZ5" s="163">
        <f>IS17</f>
        <v>998.26</v>
      </c>
      <c r="IA5" s="164">
        <f>IF(IL17=FALSE,"",IL17)</f>
        <v>2.0442010640621833</v>
      </c>
      <c r="IC5" s="165"/>
      <c r="ID5" s="30">
        <f t="shared" si="7"/>
        <v>0</v>
      </c>
      <c r="IE5" s="30" t="s">
        <v>151</v>
      </c>
      <c r="IF5" s="30">
        <f>IF(EL39=0,IF4,EN39)</f>
        <v>0</v>
      </c>
      <c r="IG5" s="30">
        <f>IF(IC3="-",0,IG4-IF(EN39=0,0,EJ39*IF5))</f>
        <v>0</v>
      </c>
      <c r="II5" s="31" t="b">
        <f t="shared" si="0"/>
        <v>0</v>
      </c>
      <c r="IJ5" s="32" t="b">
        <f t="shared" ref="IJ5:IJ11" si="9">IF(IF5=IF6,FALSE,TRUE)</f>
        <v>0</v>
      </c>
      <c r="IK5" s="31">
        <f t="shared" si="1"/>
        <v>0</v>
      </c>
      <c r="IL5" s="41">
        <f>IL4*2</f>
        <v>0</v>
      </c>
      <c r="IM5" s="34"/>
      <c r="IN5" s="35">
        <f t="shared" si="2"/>
        <v>0</v>
      </c>
      <c r="IO5" s="36">
        <f t="shared" si="3"/>
        <v>0</v>
      </c>
      <c r="IP5" s="35">
        <f t="shared" si="4"/>
        <v>0</v>
      </c>
      <c r="IQ5" s="35">
        <f t="shared" si="5"/>
        <v>0</v>
      </c>
      <c r="IR5" s="35"/>
      <c r="IS5" s="42" t="str">
        <f>IF(IC3="-","",SUM(IM5:IR5))</f>
        <v/>
      </c>
      <c r="IT5" s="35">
        <f t="shared" si="6"/>
        <v>0</v>
      </c>
      <c r="IV5" s="38">
        <f>IF12/2+IV3</f>
        <v>0</v>
      </c>
      <c r="IW5" s="38">
        <f>IW4</f>
        <v>0</v>
      </c>
      <c r="IY5" s="44" t="str">
        <f>IF(IC3="-","",IF(EL39=0,"",EL39))</f>
        <v/>
      </c>
      <c r="IZ5" s="45"/>
      <c r="JB5" s="38"/>
      <c r="JC5" s="38"/>
      <c r="JE5" s="38"/>
      <c r="JF5" s="38"/>
      <c r="JH5" s="38"/>
      <c r="JI5" s="38"/>
      <c r="JK5" s="38"/>
      <c r="JL5" s="38"/>
      <c r="JM5" s="39"/>
      <c r="JN5" s="38"/>
      <c r="JO5" s="38"/>
      <c r="JP5" s="39"/>
      <c r="JQ5" s="38"/>
      <c r="JR5" s="38"/>
      <c r="JS5" s="39"/>
      <c r="JT5" s="38"/>
      <c r="JU5" s="38"/>
      <c r="JW5" s="121"/>
      <c r="JX5" s="121"/>
    </row>
    <row r="6" spans="2:284" ht="14.25" customHeight="1" x14ac:dyDescent="0.2">
      <c r="B6" s="12" t="s">
        <v>75</v>
      </c>
      <c r="F6" s="243">
        <v>1</v>
      </c>
      <c r="G6" s="243"/>
      <c r="H6" s="243"/>
      <c r="I6" s="243"/>
      <c r="J6" s="9" t="s">
        <v>8</v>
      </c>
      <c r="L6" s="3" t="s">
        <v>145</v>
      </c>
      <c r="AL6" s="2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79"/>
      <c r="DW6" s="79"/>
      <c r="DX6" s="79"/>
      <c r="DY6" s="79"/>
      <c r="DZ6" s="79"/>
      <c r="EA6" s="79"/>
      <c r="EB6" s="79"/>
      <c r="ED6" s="79"/>
      <c r="EI6" s="89"/>
      <c r="EJ6" s="90" t="s">
        <v>53</v>
      </c>
      <c r="EK6" s="91"/>
      <c r="EL6" s="89"/>
      <c r="EM6" s="90" t="s">
        <v>54</v>
      </c>
      <c r="EN6" s="91"/>
      <c r="EX6" s="92"/>
      <c r="EY6" s="93" t="s">
        <v>53</v>
      </c>
      <c r="EZ6" s="94"/>
      <c r="FA6" s="92"/>
      <c r="FB6" s="93" t="s">
        <v>54</v>
      </c>
      <c r="FC6" s="94"/>
      <c r="FD6" s="87"/>
      <c r="FE6" s="87"/>
      <c r="FF6" s="87"/>
      <c r="FM6" s="92"/>
      <c r="FN6" s="93" t="s">
        <v>53</v>
      </c>
      <c r="FO6" s="94"/>
      <c r="FP6" s="92"/>
      <c r="FQ6" s="93" t="s">
        <v>54</v>
      </c>
      <c r="FR6" s="94"/>
      <c r="GB6" s="92"/>
      <c r="GC6" s="93" t="s">
        <v>53</v>
      </c>
      <c r="GD6" s="94"/>
      <c r="GE6" s="92"/>
      <c r="GF6" s="93" t="s">
        <v>54</v>
      </c>
      <c r="GG6" s="94"/>
      <c r="GQ6" s="92"/>
      <c r="GR6" s="93" t="s">
        <v>53</v>
      </c>
      <c r="GS6" s="94"/>
      <c r="GT6" s="92"/>
      <c r="GU6" s="93" t="s">
        <v>54</v>
      </c>
      <c r="GV6" s="94"/>
      <c r="HM6" s="38" t="s">
        <v>133</v>
      </c>
      <c r="HN6" s="34" t="b">
        <f>AND(F9=ER44,F10=ER43)</f>
        <v>0</v>
      </c>
      <c r="HO6" s="87"/>
      <c r="HP6" s="87"/>
      <c r="HQ6" s="87"/>
      <c r="HR6" s="154"/>
      <c r="HS6" s="156"/>
      <c r="HT6" s="158"/>
      <c r="HU6" s="54">
        <f>IF(F2=1,IF(F10=ER42,0,IF(F10=ER43,HN13,HN13)),IF(F2&lt;1,0,HN13))</f>
        <v>-1740.5442033678758</v>
      </c>
      <c r="HV6" s="54" t="s">
        <v>143</v>
      </c>
      <c r="HW6" s="54">
        <f>IF(HS5="-",0,IF(HS5="R0",HW56,HV5-EJ12*HT5-EL12-ER12-EX12))</f>
        <v>-2800.7040762629535</v>
      </c>
      <c r="HX6" s="54" t="s">
        <v>46</v>
      </c>
      <c r="HY6" s="54">
        <f>HV7-HW6</f>
        <v>5474.8163050518142</v>
      </c>
      <c r="HZ6" s="164"/>
      <c r="IA6" s="164"/>
      <c r="IC6" s="165"/>
      <c r="ID6" s="30">
        <f t="shared" si="7"/>
        <v>0</v>
      </c>
      <c r="IE6" s="30" t="s">
        <v>152</v>
      </c>
      <c r="IF6" s="30">
        <f>IF5</f>
        <v>0</v>
      </c>
      <c r="IG6" s="30">
        <f>IF(IC3="-",0,IG5-EL39)</f>
        <v>0</v>
      </c>
      <c r="II6" s="31" t="b">
        <f t="shared" si="0"/>
        <v>0</v>
      </c>
      <c r="IJ6" s="32" t="b">
        <f t="shared" si="9"/>
        <v>0</v>
      </c>
      <c r="IK6" s="31">
        <f t="shared" si="1"/>
        <v>0</v>
      </c>
      <c r="IL6" s="41">
        <f>IL4*3</f>
        <v>0</v>
      </c>
      <c r="IM6" s="34"/>
      <c r="IN6" s="35">
        <f t="shared" si="2"/>
        <v>0</v>
      </c>
      <c r="IO6" s="36">
        <f t="shared" si="3"/>
        <v>0</v>
      </c>
      <c r="IP6" s="35">
        <f t="shared" si="4"/>
        <v>0</v>
      </c>
      <c r="IQ6" s="35">
        <f t="shared" si="5"/>
        <v>0</v>
      </c>
      <c r="IR6" s="35"/>
      <c r="IS6" s="42" t="str">
        <f>IF(IC3="-","",SUM(IM6:IR6))</f>
        <v/>
      </c>
      <c r="IT6" s="35">
        <f t="shared" si="6"/>
        <v>0</v>
      </c>
      <c r="IV6" s="38">
        <f>IV7</f>
        <v>0</v>
      </c>
      <c r="IW6" s="38">
        <f>IW4</f>
        <v>0</v>
      </c>
      <c r="IY6" s="35">
        <f>IF(IC3="-",-5,IF(ER39=0,-5,ID3+ET39))</f>
        <v>-5</v>
      </c>
      <c r="IZ6" s="35">
        <v>0</v>
      </c>
      <c r="JB6" s="38"/>
      <c r="JC6" s="38"/>
      <c r="JE6" s="38"/>
      <c r="JF6" s="38"/>
      <c r="JH6" s="38"/>
      <c r="JI6" s="38"/>
      <c r="JK6" s="38"/>
      <c r="JL6" s="38"/>
      <c r="JM6" s="39"/>
      <c r="JN6" s="38"/>
      <c r="JO6" s="38"/>
      <c r="JP6" s="39"/>
      <c r="JQ6" s="38"/>
      <c r="JR6" s="38"/>
      <c r="JS6" s="39"/>
      <c r="JT6" s="38"/>
      <c r="JU6" s="38"/>
      <c r="JW6" s="121"/>
      <c r="JX6" s="121"/>
    </row>
    <row r="7" spans="2:284" ht="14.25" customHeight="1" x14ac:dyDescent="0.2">
      <c r="B7" s="12" t="s">
        <v>75</v>
      </c>
      <c r="F7" s="237">
        <v>1</v>
      </c>
      <c r="G7" s="238"/>
      <c r="H7" s="238"/>
      <c r="I7" s="239"/>
      <c r="J7" s="9" t="s">
        <v>9</v>
      </c>
      <c r="L7" s="205" t="s">
        <v>2</v>
      </c>
      <c r="M7" s="208"/>
      <c r="N7" s="205" t="s">
        <v>5</v>
      </c>
      <c r="O7" s="208"/>
      <c r="P7" s="202" t="s">
        <v>6</v>
      </c>
      <c r="Q7" s="203"/>
      <c r="R7" s="203"/>
      <c r="S7" s="204"/>
      <c r="T7" s="205" t="s">
        <v>10</v>
      </c>
      <c r="U7" s="208"/>
      <c r="V7" s="208"/>
      <c r="W7" s="208"/>
      <c r="X7" s="208"/>
      <c r="Y7" s="208"/>
      <c r="Z7" s="205" t="s">
        <v>11</v>
      </c>
      <c r="AA7" s="208"/>
      <c r="AB7" s="208"/>
      <c r="AC7" s="208"/>
      <c r="AD7" s="208"/>
      <c r="AE7" s="208"/>
      <c r="AF7" s="205" t="s">
        <v>12</v>
      </c>
      <c r="AG7" s="208"/>
      <c r="AH7" s="208"/>
      <c r="AI7" s="208"/>
      <c r="AJ7" s="208"/>
      <c r="AK7" s="206"/>
      <c r="AL7" s="5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39"/>
      <c r="DW7" s="39"/>
      <c r="DX7" s="39"/>
      <c r="DY7" s="39"/>
      <c r="DZ7" s="39"/>
      <c r="EA7" s="39"/>
      <c r="EB7" s="39"/>
      <c r="ED7" s="79"/>
      <c r="EL7" s="89"/>
      <c r="EM7" s="90" t="s">
        <v>53</v>
      </c>
      <c r="EN7" s="91"/>
      <c r="EO7" s="89"/>
      <c r="EP7" s="90" t="s">
        <v>54</v>
      </c>
      <c r="EQ7" s="91"/>
      <c r="EU7" s="87"/>
      <c r="EV7" s="87"/>
      <c r="EW7" s="87"/>
      <c r="FA7" s="92"/>
      <c r="FB7" s="93" t="s">
        <v>53</v>
      </c>
      <c r="FC7" s="94"/>
      <c r="FD7" s="92"/>
      <c r="FE7" s="93" t="s">
        <v>54</v>
      </c>
      <c r="FF7" s="94"/>
      <c r="FP7" s="92"/>
      <c r="FQ7" s="93" t="s">
        <v>53</v>
      </c>
      <c r="FR7" s="94"/>
      <c r="FS7" s="92"/>
      <c r="FT7" s="93" t="s">
        <v>54</v>
      </c>
      <c r="FU7" s="94"/>
      <c r="GE7" s="92"/>
      <c r="GF7" s="93" t="s">
        <v>53</v>
      </c>
      <c r="GG7" s="94"/>
      <c r="GH7" s="92"/>
      <c r="GI7" s="93" t="s">
        <v>54</v>
      </c>
      <c r="GJ7" s="94"/>
      <c r="GT7" s="92"/>
      <c r="GU7" s="93" t="s">
        <v>53</v>
      </c>
      <c r="GV7" s="94"/>
      <c r="GW7" s="92"/>
      <c r="GX7" s="93" t="s">
        <v>54</v>
      </c>
      <c r="GY7" s="94"/>
      <c r="HM7" s="38" t="s">
        <v>130</v>
      </c>
      <c r="HN7" s="45" t="b">
        <f>AND(F9=ER44,F10=ER42)</f>
        <v>0</v>
      </c>
      <c r="HO7" s="95"/>
      <c r="HP7" s="95"/>
      <c r="HQ7" s="87"/>
      <c r="HR7" s="153">
        <f t="shared" ref="HR7" si="10">IF(HS7="-","",HS7)</f>
        <v>2</v>
      </c>
      <c r="HS7" s="153">
        <f>IF(F2=1,IF(F10=ER44,"R0",L10),L10)</f>
        <v>2</v>
      </c>
      <c r="HT7" s="159">
        <f>IF(HS7="R0",HT55,EL3)</f>
        <v>4</v>
      </c>
      <c r="HU7" s="38">
        <f>IF(HS7="R0",HU55,IF(F2&lt;2,0,HN13))</f>
        <v>-1740.5442033678758</v>
      </c>
      <c r="HV7" s="35">
        <f>IF(HS7="-",0,IF(HS7="R0",HV55,(EJ13*HT7^2*0.5+EL13*EP13+ER13*EV13+EX13*FB13-HU7+HU8)/HT7))</f>
        <v>2674.1122287888602</v>
      </c>
      <c r="HW7" s="35" t="s">
        <v>143</v>
      </c>
      <c r="HX7" s="38" t="s">
        <v>41</v>
      </c>
      <c r="HY7" s="38">
        <f>HY6</f>
        <v>5474.8163050518142</v>
      </c>
      <c r="HZ7" s="161">
        <f>IS27</f>
        <v>756.27</v>
      </c>
      <c r="IA7" s="162">
        <f>IF(IL27=FALSE,"",IL27)</f>
        <v>1.86739680781345</v>
      </c>
      <c r="IC7" s="165"/>
      <c r="ID7" s="30">
        <f t="shared" si="7"/>
        <v>0</v>
      </c>
      <c r="IE7" s="30" t="s">
        <v>153</v>
      </c>
      <c r="IF7" s="30">
        <f>IF(ER39=0,IF6,ET39)</f>
        <v>0</v>
      </c>
      <c r="IG7" s="30">
        <f>IF(IC3="-",0,IG6-IF(ER39=0,0,EJ39*(IF7-IF6)))</f>
        <v>0</v>
      </c>
      <c r="II7" s="31" t="b">
        <f t="shared" si="0"/>
        <v>0</v>
      </c>
      <c r="IJ7" s="32" t="b">
        <f t="shared" si="9"/>
        <v>0</v>
      </c>
      <c r="IK7" s="31">
        <f t="shared" si="1"/>
        <v>0</v>
      </c>
      <c r="IL7" s="41">
        <f>IL4*4</f>
        <v>0</v>
      </c>
      <c r="IM7" s="34"/>
      <c r="IN7" s="35">
        <f t="shared" si="2"/>
        <v>0</v>
      </c>
      <c r="IO7" s="36">
        <f t="shared" si="3"/>
        <v>0</v>
      </c>
      <c r="IP7" s="35">
        <f t="shared" si="4"/>
        <v>0</v>
      </c>
      <c r="IQ7" s="35">
        <f t="shared" si="5"/>
        <v>0</v>
      </c>
      <c r="IR7" s="35"/>
      <c r="IS7" s="42" t="str">
        <f>IF(IC3="-","",ROUND(SUM(IM7:IR7),2))</f>
        <v/>
      </c>
      <c r="IT7" s="35">
        <f t="shared" si="6"/>
        <v>0</v>
      </c>
      <c r="IV7" s="38">
        <f>ID12</f>
        <v>0</v>
      </c>
      <c r="IW7" s="38">
        <v>0</v>
      </c>
      <c r="IY7" s="35">
        <f>IY6</f>
        <v>-5</v>
      </c>
      <c r="IZ7" s="35">
        <f>IF(IC3="-",0,ER39/20)</f>
        <v>0</v>
      </c>
      <c r="JB7" s="38"/>
      <c r="JC7" s="38"/>
      <c r="JE7" s="38"/>
      <c r="JF7" s="38"/>
      <c r="JH7" s="38"/>
      <c r="JI7" s="38"/>
      <c r="JK7" s="38"/>
      <c r="JL7" s="38"/>
      <c r="JM7" s="39"/>
      <c r="JN7" s="38"/>
      <c r="JO7" s="38"/>
      <c r="JP7" s="39"/>
      <c r="JQ7" s="38"/>
      <c r="JR7" s="38"/>
      <c r="JS7" s="39"/>
      <c r="JT7" s="38"/>
      <c r="JU7" s="38"/>
      <c r="JW7" s="121"/>
      <c r="JX7" s="121"/>
    </row>
    <row r="8" spans="2:284" ht="14.25" customHeight="1" x14ac:dyDescent="0.2">
      <c r="B8" s="8"/>
      <c r="C8" s="8"/>
      <c r="D8" s="8"/>
      <c r="E8" s="8"/>
      <c r="F8" s="8"/>
      <c r="G8" s="8"/>
      <c r="H8" s="8"/>
      <c r="I8" s="8"/>
      <c r="J8" s="8"/>
      <c r="L8" s="209" t="s">
        <v>1</v>
      </c>
      <c r="M8" s="210"/>
      <c r="N8" s="209" t="s">
        <v>7</v>
      </c>
      <c r="O8" s="210"/>
      <c r="P8" s="209" t="s">
        <v>8</v>
      </c>
      <c r="Q8" s="210"/>
      <c r="R8" s="209" t="s">
        <v>9</v>
      </c>
      <c r="S8" s="210"/>
      <c r="T8" s="202" t="s">
        <v>8</v>
      </c>
      <c r="U8" s="203"/>
      <c r="V8" s="202" t="s">
        <v>9</v>
      </c>
      <c r="W8" s="203"/>
      <c r="X8" s="202" t="s">
        <v>159</v>
      </c>
      <c r="Y8" s="204"/>
      <c r="Z8" s="202" t="s">
        <v>8</v>
      </c>
      <c r="AA8" s="203"/>
      <c r="AB8" s="202" t="s">
        <v>9</v>
      </c>
      <c r="AC8" s="203"/>
      <c r="AD8" s="202" t="s">
        <v>160</v>
      </c>
      <c r="AE8" s="204"/>
      <c r="AF8" s="202" t="s">
        <v>8</v>
      </c>
      <c r="AG8" s="203"/>
      <c r="AH8" s="202" t="s">
        <v>9</v>
      </c>
      <c r="AI8" s="203"/>
      <c r="AJ8" s="202" t="s">
        <v>161</v>
      </c>
      <c r="AK8" s="204"/>
      <c r="AL8" s="5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39"/>
      <c r="DW8" s="39"/>
      <c r="DX8" s="39"/>
      <c r="DY8" s="39"/>
      <c r="DZ8" s="39"/>
      <c r="EA8" s="39"/>
      <c r="EB8" s="39"/>
      <c r="ED8" s="79"/>
      <c r="EO8" s="92"/>
      <c r="EP8" s="93" t="s">
        <v>53</v>
      </c>
      <c r="EQ8" s="94"/>
      <c r="ER8" s="92"/>
      <c r="ES8" s="93" t="s">
        <v>54</v>
      </c>
      <c r="ET8" s="94"/>
      <c r="FD8" s="92"/>
      <c r="FE8" s="93" t="s">
        <v>53</v>
      </c>
      <c r="FF8" s="94"/>
      <c r="FG8" s="92"/>
      <c r="FH8" s="93" t="s">
        <v>54</v>
      </c>
      <c r="FI8" s="94"/>
      <c r="FS8" s="92"/>
      <c r="FT8" s="93" t="s">
        <v>53</v>
      </c>
      <c r="FU8" s="94"/>
      <c r="FV8" s="92"/>
      <c r="FW8" s="93" t="s">
        <v>54</v>
      </c>
      <c r="FX8" s="94"/>
      <c r="GH8" s="92"/>
      <c r="GI8" s="93" t="s">
        <v>53</v>
      </c>
      <c r="GJ8" s="94"/>
      <c r="GK8" s="92"/>
      <c r="GL8" s="93" t="s">
        <v>54</v>
      </c>
      <c r="GM8" s="94"/>
      <c r="GW8" s="92"/>
      <c r="GX8" s="93" t="s">
        <v>53</v>
      </c>
      <c r="GY8" s="94"/>
      <c r="GZ8" s="92"/>
      <c r="HA8" s="93" t="s">
        <v>54</v>
      </c>
      <c r="HB8" s="94"/>
      <c r="HM8" s="38" t="s">
        <v>131</v>
      </c>
      <c r="HN8" s="34" t="b">
        <f>AND(F9=ER43,F10=ER44)</f>
        <v>1</v>
      </c>
      <c r="HO8" s="87"/>
      <c r="HP8" s="87"/>
      <c r="HQ8" s="87"/>
      <c r="HR8" s="154"/>
      <c r="HS8" s="154"/>
      <c r="HT8" s="160"/>
      <c r="HU8" s="38">
        <f>IF(F2=2,IF(F10=ER42,0,IF(F10=ER43,HN14,HN14)),IF(F2&lt;2,0,HN14))</f>
        <v>-2500.0952882124352</v>
      </c>
      <c r="HV8" s="35" t="s">
        <v>143</v>
      </c>
      <c r="HW8" s="35">
        <f>IF(HS7="-",0,IF(HS7="R0",HW56,HV7-EJ13*HT7-EL13-ER13-EX13))</f>
        <v>-3053.8877712111398</v>
      </c>
      <c r="HX8" s="38" t="s">
        <v>46</v>
      </c>
      <c r="HY8" s="38">
        <f>HV9-HW8</f>
        <v>6855.803088568653</v>
      </c>
      <c r="HZ8" s="162"/>
      <c r="IA8" s="162"/>
      <c r="IC8" s="165"/>
      <c r="ID8" s="30">
        <f t="shared" si="7"/>
        <v>0</v>
      </c>
      <c r="IE8" s="30" t="s">
        <v>154</v>
      </c>
      <c r="IF8" s="30">
        <f>IF7</f>
        <v>0</v>
      </c>
      <c r="IG8" s="30">
        <f>IF(IC3="-",0,IG7-ER39)</f>
        <v>0</v>
      </c>
      <c r="II8" s="31" t="b">
        <f t="shared" si="0"/>
        <v>0</v>
      </c>
      <c r="IJ8" s="32" t="b">
        <f t="shared" si="9"/>
        <v>0</v>
      </c>
      <c r="IK8" s="31">
        <f t="shared" si="1"/>
        <v>0</v>
      </c>
      <c r="IL8" s="41">
        <f>IL4*5</f>
        <v>0</v>
      </c>
      <c r="IM8" s="34"/>
      <c r="IN8" s="35">
        <f t="shared" si="2"/>
        <v>0</v>
      </c>
      <c r="IO8" s="36">
        <f t="shared" si="3"/>
        <v>0</v>
      </c>
      <c r="IP8" s="35">
        <f t="shared" si="4"/>
        <v>0</v>
      </c>
      <c r="IQ8" s="35">
        <f t="shared" si="5"/>
        <v>0</v>
      </c>
      <c r="IR8" s="35"/>
      <c r="IS8" s="42" t="str">
        <f>IF(IC3="-","",SUM(IM8:IR8))</f>
        <v/>
      </c>
      <c r="IT8" s="35">
        <f t="shared" si="6"/>
        <v>0</v>
      </c>
      <c r="IV8" s="38"/>
      <c r="IW8" s="38"/>
      <c r="IY8" s="44" t="str">
        <f>IF(IC3="-","",IF(ER39=0,"",ER39))</f>
        <v/>
      </c>
      <c r="IZ8" s="45"/>
      <c r="JB8" s="38"/>
      <c r="JC8" s="38"/>
      <c r="JE8" s="38"/>
      <c r="JF8" s="38"/>
      <c r="JH8" s="38"/>
      <c r="JI8" s="38"/>
      <c r="JK8" s="38"/>
      <c r="JL8" s="38"/>
      <c r="JM8" s="39"/>
      <c r="JN8" s="38"/>
      <c r="JO8" s="38"/>
      <c r="JP8" s="39"/>
      <c r="JQ8" s="38"/>
      <c r="JR8" s="38"/>
      <c r="JS8" s="39"/>
      <c r="JT8" s="38"/>
      <c r="JU8" s="38"/>
      <c r="JW8" s="121"/>
      <c r="JX8" s="121"/>
    </row>
    <row r="9" spans="2:284" ht="14.25" customHeight="1" x14ac:dyDescent="0.2">
      <c r="B9" s="1" t="s">
        <v>62</v>
      </c>
      <c r="F9" s="240" t="s">
        <v>73</v>
      </c>
      <c r="G9" s="241"/>
      <c r="H9" s="241"/>
      <c r="I9" s="242"/>
      <c r="J9" s="8"/>
      <c r="L9" s="211">
        <f>IF(F2&gt;=1,1,"-")</f>
        <v>1</v>
      </c>
      <c r="M9" s="212"/>
      <c r="N9" s="213">
        <v>4</v>
      </c>
      <c r="O9" s="214"/>
      <c r="P9" s="193">
        <v>1000</v>
      </c>
      <c r="Q9" s="194"/>
      <c r="R9" s="194">
        <v>240</v>
      </c>
      <c r="S9" s="207"/>
      <c r="T9" s="199"/>
      <c r="U9" s="200"/>
      <c r="V9" s="197"/>
      <c r="W9" s="200"/>
      <c r="X9" s="188"/>
      <c r="Y9" s="189"/>
      <c r="Z9" s="199"/>
      <c r="AA9" s="200"/>
      <c r="AB9" s="197"/>
      <c r="AC9" s="200"/>
      <c r="AD9" s="197"/>
      <c r="AE9" s="198"/>
      <c r="AF9" s="199"/>
      <c r="AG9" s="200"/>
      <c r="AH9" s="197"/>
      <c r="AI9" s="200"/>
      <c r="AJ9" s="197"/>
      <c r="AK9" s="198"/>
      <c r="AL9" s="10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88"/>
      <c r="DW9" s="88"/>
      <c r="DX9" s="88"/>
      <c r="DY9" s="88"/>
      <c r="DZ9" s="88"/>
      <c r="EA9" s="88"/>
      <c r="EB9" s="88"/>
      <c r="ER9" s="92"/>
      <c r="ES9" s="93" t="s">
        <v>53</v>
      </c>
      <c r="ET9" s="94"/>
      <c r="EU9" s="92"/>
      <c r="EV9" s="93" t="s">
        <v>54</v>
      </c>
      <c r="EW9" s="94"/>
      <c r="FG9" s="92"/>
      <c r="FH9" s="93" t="s">
        <v>53</v>
      </c>
      <c r="FI9" s="94"/>
      <c r="FJ9" s="92"/>
      <c r="FK9" s="93" t="s">
        <v>54</v>
      </c>
      <c r="FL9" s="94"/>
      <c r="FV9" s="92"/>
      <c r="FW9" s="93" t="s">
        <v>53</v>
      </c>
      <c r="FX9" s="94"/>
      <c r="FY9" s="92"/>
      <c r="FZ9" s="93" t="s">
        <v>54</v>
      </c>
      <c r="GA9" s="94"/>
      <c r="GK9" s="92"/>
      <c r="GL9" s="93" t="s">
        <v>53</v>
      </c>
      <c r="GM9" s="94"/>
      <c r="GN9" s="92"/>
      <c r="GO9" s="93" t="s">
        <v>54</v>
      </c>
      <c r="GP9" s="94"/>
      <c r="GZ9" s="92"/>
      <c r="HA9" s="93" t="s">
        <v>53</v>
      </c>
      <c r="HB9" s="94"/>
      <c r="HC9" s="92"/>
      <c r="HD9" s="93" t="s">
        <v>54</v>
      </c>
      <c r="HE9" s="94"/>
      <c r="HM9" s="38" t="s">
        <v>129</v>
      </c>
      <c r="HN9" s="34" t="b">
        <f>AND(F9=ER42,F10=ER44)</f>
        <v>0</v>
      </c>
      <c r="HO9" s="87"/>
      <c r="HP9" s="87"/>
      <c r="HQ9" s="87"/>
      <c r="HR9" s="153">
        <f t="shared" ref="HR9" si="11">IF(HS9="-","",HS9)</f>
        <v>3</v>
      </c>
      <c r="HS9" s="155">
        <f>IF(F2=2,IF(F10=ER44,"R0",L11),L11)</f>
        <v>3</v>
      </c>
      <c r="HT9" s="157">
        <f>IF(HS9="R0",HT55,EO3)</f>
        <v>4</v>
      </c>
      <c r="HU9" s="54">
        <f>IF(HS9="R0",HU55,IF(F2&lt;3,0,HN14))</f>
        <v>-2500.0952882124352</v>
      </c>
      <c r="HV9" s="54">
        <f>IF(HS9="-",0,IF(HS9="R0",HV55,(EJ14*HT9^2*0.5+EL14*EP14+ER14*EV14+EX14*FB14-HU9+HU10)/HT9))</f>
        <v>3801.9153173575132</v>
      </c>
      <c r="HW9" s="54" t="s">
        <v>143</v>
      </c>
      <c r="HX9" s="54" t="s">
        <v>41</v>
      </c>
      <c r="HY9" s="54">
        <f>HY8</f>
        <v>6855.803088568653</v>
      </c>
      <c r="HZ9" s="163">
        <f>IS37</f>
        <v>1725.63</v>
      </c>
      <c r="IA9" s="164">
        <f>IF(IL37=FALSE,"",IL37)</f>
        <v>2.3682256351414743</v>
      </c>
      <c r="IC9" s="165"/>
      <c r="ID9" s="30">
        <f t="shared" si="7"/>
        <v>0</v>
      </c>
      <c r="IE9" s="30" t="s">
        <v>155</v>
      </c>
      <c r="IF9" s="30">
        <f>IF(EX39=0,IF8,EZ39)</f>
        <v>0</v>
      </c>
      <c r="IG9" s="30">
        <f>IF(IC3="-",0,IG8-IF(EX39=0,0,EJ39*(IF9-IF8)))</f>
        <v>0</v>
      </c>
      <c r="II9" s="31" t="b">
        <f t="shared" si="0"/>
        <v>0</v>
      </c>
      <c r="IJ9" s="32" t="b">
        <f t="shared" si="9"/>
        <v>0</v>
      </c>
      <c r="IK9" s="31">
        <f t="shared" si="1"/>
        <v>0</v>
      </c>
      <c r="IL9" s="41">
        <f>IL4*6</f>
        <v>0</v>
      </c>
      <c r="IM9" s="34"/>
      <c r="IN9" s="35">
        <f t="shared" si="2"/>
        <v>0</v>
      </c>
      <c r="IO9" s="36">
        <f t="shared" si="3"/>
        <v>0</v>
      </c>
      <c r="IP9" s="35">
        <f t="shared" si="4"/>
        <v>0</v>
      </c>
      <c r="IQ9" s="35">
        <f t="shared" si="5"/>
        <v>0</v>
      </c>
      <c r="IR9" s="35"/>
      <c r="IS9" s="42" t="str">
        <f>IF(IC3="-","",SUM(IM9:IR9))</f>
        <v/>
      </c>
      <c r="IT9" s="35">
        <f t="shared" si="6"/>
        <v>0</v>
      </c>
      <c r="IV9" s="46" t="str">
        <f>IF(IC3="-","",EJ39)</f>
        <v/>
      </c>
      <c r="IW9" s="38"/>
      <c r="IY9" s="35">
        <f>IF(IC3="-",-5,IF(EX39=0,-5,ID3+EZ39))</f>
        <v>-5</v>
      </c>
      <c r="IZ9" s="35">
        <v>0</v>
      </c>
      <c r="JB9" s="38"/>
      <c r="JC9" s="38"/>
      <c r="JE9" s="38"/>
      <c r="JF9" s="38"/>
      <c r="JH9" s="38"/>
      <c r="JI9" s="38"/>
      <c r="JK9" s="38"/>
      <c r="JL9" s="38"/>
      <c r="JM9" s="39"/>
      <c r="JN9" s="38"/>
      <c r="JO9" s="38"/>
      <c r="JP9" s="39"/>
      <c r="JQ9" s="38"/>
      <c r="JR9" s="38"/>
      <c r="JS9" s="39"/>
      <c r="JT9" s="38"/>
      <c r="JU9" s="38"/>
      <c r="JW9" s="121"/>
      <c r="JX9" s="121"/>
    </row>
    <row r="10" spans="2:284" ht="14.25" customHeight="1" x14ac:dyDescent="0.2">
      <c r="B10" s="1" t="s">
        <v>63</v>
      </c>
      <c r="F10" s="240" t="s">
        <v>65</v>
      </c>
      <c r="G10" s="241"/>
      <c r="H10" s="241"/>
      <c r="I10" s="242"/>
      <c r="J10" s="8"/>
      <c r="L10" s="211">
        <f>IF(F2&gt;=2,2,"-")</f>
        <v>2</v>
      </c>
      <c r="M10" s="212"/>
      <c r="N10" s="193">
        <v>4</v>
      </c>
      <c r="O10" s="207"/>
      <c r="P10" s="193">
        <v>1000</v>
      </c>
      <c r="Q10" s="194"/>
      <c r="R10" s="194">
        <v>240</v>
      </c>
      <c r="S10" s="207"/>
      <c r="T10" s="190"/>
      <c r="U10" s="191"/>
      <c r="V10" s="188"/>
      <c r="W10" s="191"/>
      <c r="X10" s="188"/>
      <c r="Y10" s="189"/>
      <c r="Z10" s="190"/>
      <c r="AA10" s="191"/>
      <c r="AB10" s="188"/>
      <c r="AC10" s="191"/>
      <c r="AD10" s="188"/>
      <c r="AE10" s="189"/>
      <c r="AF10" s="190"/>
      <c r="AG10" s="191"/>
      <c r="AH10" s="188"/>
      <c r="AI10" s="191"/>
      <c r="AJ10" s="188"/>
      <c r="AK10" s="189"/>
      <c r="AL10" s="8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96"/>
      <c r="DW10" s="96"/>
      <c r="DX10" s="96"/>
      <c r="DY10" s="96"/>
      <c r="DZ10" s="96"/>
      <c r="EA10" s="96"/>
      <c r="EB10" s="96"/>
      <c r="EC10" s="97"/>
      <c r="ED10" s="97"/>
      <c r="EE10" s="87"/>
      <c r="EG10" s="87"/>
      <c r="ER10" s="87"/>
      <c r="ES10" s="87"/>
      <c r="ET10" s="87"/>
      <c r="EU10" s="87"/>
      <c r="HM10" s="38" t="s">
        <v>135</v>
      </c>
      <c r="HN10" s="34" t="b">
        <f>AND(F9=ER44,F10=ER44)</f>
        <v>0</v>
      </c>
      <c r="HO10" s="87"/>
      <c r="HP10" s="87"/>
      <c r="HQ10" s="87"/>
      <c r="HR10" s="154"/>
      <c r="HS10" s="156"/>
      <c r="HT10" s="158"/>
      <c r="HU10" s="54">
        <f>IF(F2=3,IF(F10=ER42,0,IF(F10=ER43,HN15,HN15)),IF(F2&lt;3,0,HN15))</f>
        <v>-2193.4340187823832</v>
      </c>
      <c r="HV10" s="54" t="s">
        <v>143</v>
      </c>
      <c r="HW10" s="54">
        <f>IF(HS9="-",0,IF(HS9="R0",HW56,HV9-EJ14*HT9-EL14-ER14-EX14))</f>
        <v>-4336.0846826424868</v>
      </c>
      <c r="HX10" s="54" t="s">
        <v>46</v>
      </c>
      <c r="HY10" s="54">
        <f>HV11-HW10</f>
        <v>6567.6471219235755</v>
      </c>
      <c r="HZ10" s="164"/>
      <c r="IA10" s="164"/>
      <c r="IC10" s="165"/>
      <c r="ID10" s="30">
        <f t="shared" si="7"/>
        <v>0</v>
      </c>
      <c r="IE10" s="30" t="s">
        <v>156</v>
      </c>
      <c r="IF10" s="30">
        <f>IF9</f>
        <v>0</v>
      </c>
      <c r="IG10" s="30">
        <f>IF(IC3="-",0,IG9-EX39)</f>
        <v>0</v>
      </c>
      <c r="II10" s="31" t="b">
        <f t="shared" si="0"/>
        <v>0</v>
      </c>
      <c r="IJ10" s="32" t="b">
        <f t="shared" si="9"/>
        <v>0</v>
      </c>
      <c r="IK10" s="31">
        <f t="shared" si="1"/>
        <v>0</v>
      </c>
      <c r="IL10" s="41">
        <f>IL4*7</f>
        <v>0</v>
      </c>
      <c r="IM10" s="34"/>
      <c r="IN10" s="35">
        <f t="shared" si="2"/>
        <v>0</v>
      </c>
      <c r="IO10" s="36">
        <f t="shared" si="3"/>
        <v>0</v>
      </c>
      <c r="IP10" s="35">
        <f t="shared" si="4"/>
        <v>0</v>
      </c>
      <c r="IQ10" s="35">
        <f t="shared" si="5"/>
        <v>0</v>
      </c>
      <c r="IR10" s="35"/>
      <c r="IS10" s="42" t="str">
        <f>IF(IC3="-","",SUM(IM10:IR10))</f>
        <v/>
      </c>
      <c r="IT10" s="35">
        <f t="shared" si="6"/>
        <v>0</v>
      </c>
      <c r="IV10" s="38"/>
      <c r="IW10" s="38"/>
      <c r="IY10" s="35">
        <f>IY9</f>
        <v>-5</v>
      </c>
      <c r="IZ10" s="35">
        <f>IF(IC3="-",0,EX39/20)</f>
        <v>0</v>
      </c>
      <c r="JB10" s="47" t="str">
        <f>IF(JC10=TRUE,HY4,"")</f>
        <v/>
      </c>
      <c r="JC10" s="38" t="b">
        <f>AND(F2=0,F9=ER44)</f>
        <v>0</v>
      </c>
      <c r="JE10" s="47" t="str">
        <f>JB10</f>
        <v/>
      </c>
      <c r="JF10" s="38"/>
      <c r="JH10" s="38"/>
      <c r="JI10" s="38"/>
      <c r="JK10" s="38"/>
      <c r="JL10" s="38"/>
      <c r="JM10" s="39"/>
      <c r="JN10" s="38"/>
      <c r="JO10" s="38"/>
      <c r="JP10" s="39"/>
      <c r="JQ10" s="38"/>
      <c r="JR10" s="38"/>
      <c r="JS10" s="39"/>
      <c r="JT10" s="38"/>
      <c r="JU10" s="38"/>
      <c r="JW10" s="121"/>
      <c r="JX10" s="121"/>
    </row>
    <row r="11" spans="2:284" ht="14.25" customHeight="1" x14ac:dyDescent="0.2">
      <c r="L11" s="211">
        <f>IF(F2&gt;=3,3,"-")</f>
        <v>3</v>
      </c>
      <c r="M11" s="212"/>
      <c r="N11" s="193">
        <v>4</v>
      </c>
      <c r="O11" s="207"/>
      <c r="P11" s="193">
        <v>540</v>
      </c>
      <c r="Q11" s="194"/>
      <c r="R11" s="194">
        <v>240</v>
      </c>
      <c r="S11" s="207"/>
      <c r="T11" s="190">
        <v>1000</v>
      </c>
      <c r="U11" s="191"/>
      <c r="V11" s="188">
        <v>500</v>
      </c>
      <c r="W11" s="191"/>
      <c r="X11" s="188">
        <v>1</v>
      </c>
      <c r="Y11" s="189"/>
      <c r="Z11" s="190">
        <v>1000</v>
      </c>
      <c r="AA11" s="191"/>
      <c r="AB11" s="188">
        <v>250</v>
      </c>
      <c r="AC11" s="191"/>
      <c r="AD11" s="188">
        <v>2.5</v>
      </c>
      <c r="AE11" s="189"/>
      <c r="AF11" s="190">
        <v>1500</v>
      </c>
      <c r="AG11" s="191"/>
      <c r="AH11" s="188"/>
      <c r="AI11" s="191"/>
      <c r="AJ11" s="188">
        <v>3.5</v>
      </c>
      <c r="AK11" s="189"/>
      <c r="AL11" s="8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96"/>
      <c r="DW11" s="96"/>
      <c r="DX11" s="96"/>
      <c r="DY11" s="96"/>
      <c r="DZ11" s="96"/>
      <c r="EA11" s="96"/>
      <c r="EB11" s="96"/>
      <c r="EC11" s="97"/>
      <c r="ED11" s="97"/>
      <c r="EF11" s="162" t="s">
        <v>16</v>
      </c>
      <c r="EG11" s="162"/>
      <c r="EH11" s="162" t="s">
        <v>15</v>
      </c>
      <c r="EI11" s="162"/>
      <c r="EJ11" s="230" t="s">
        <v>18</v>
      </c>
      <c r="EK11" s="231"/>
      <c r="EL11" s="229" t="s">
        <v>17</v>
      </c>
      <c r="EM11" s="229"/>
      <c r="EN11" s="229" t="s">
        <v>24</v>
      </c>
      <c r="EO11" s="229"/>
      <c r="EP11" s="229" t="s">
        <v>25</v>
      </c>
      <c r="EQ11" s="229"/>
      <c r="ER11" s="228" t="s">
        <v>19</v>
      </c>
      <c r="ES11" s="228"/>
      <c r="ET11" s="228" t="s">
        <v>26</v>
      </c>
      <c r="EU11" s="228"/>
      <c r="EV11" s="228" t="s">
        <v>27</v>
      </c>
      <c r="EW11" s="228"/>
      <c r="EX11" s="233" t="s">
        <v>20</v>
      </c>
      <c r="EY11" s="233"/>
      <c r="EZ11" s="233" t="s">
        <v>28</v>
      </c>
      <c r="FA11" s="233"/>
      <c r="FB11" s="233" t="s">
        <v>29</v>
      </c>
      <c r="FC11" s="233"/>
      <c r="FH11" s="28" t="s">
        <v>121</v>
      </c>
      <c r="FI11" s="184" t="s">
        <v>119</v>
      </c>
      <c r="FJ11" s="184"/>
      <c r="FK11" s="185" t="s">
        <v>123</v>
      </c>
      <c r="FL11" s="185"/>
      <c r="FM11" s="185"/>
      <c r="FN11" s="185" t="s">
        <v>120</v>
      </c>
      <c r="FO11" s="185"/>
      <c r="FP11" s="185"/>
      <c r="FQ11" s="185" t="s">
        <v>55</v>
      </c>
      <c r="FR11" s="185"/>
      <c r="FS11" s="185"/>
      <c r="FT11" s="98" t="s">
        <v>57</v>
      </c>
      <c r="FU11" s="187" t="s">
        <v>13</v>
      </c>
      <c r="FV11" s="185"/>
      <c r="FW11" s="185"/>
      <c r="FX11" s="187" t="s">
        <v>14</v>
      </c>
      <c r="FY11" s="185"/>
      <c r="FZ11" s="185"/>
      <c r="GA11" s="98" t="s">
        <v>57</v>
      </c>
      <c r="GB11" s="187" t="s">
        <v>60</v>
      </c>
      <c r="GC11" s="185"/>
      <c r="GD11" s="185"/>
      <c r="GH11" s="22" t="s">
        <v>30</v>
      </c>
      <c r="GI11" s="22" t="s">
        <v>31</v>
      </c>
      <c r="GJ11" s="22" t="s">
        <v>32</v>
      </c>
      <c r="GK11" s="22" t="s">
        <v>33</v>
      </c>
      <c r="GL11" s="22" t="s">
        <v>34</v>
      </c>
      <c r="GM11" s="22" t="s">
        <v>35</v>
      </c>
      <c r="GN11" s="22" t="s">
        <v>36</v>
      </c>
      <c r="GO11" s="22" t="s">
        <v>37</v>
      </c>
      <c r="GP11" s="22" t="s">
        <v>38</v>
      </c>
      <c r="GQ11" s="22" t="s">
        <v>39</v>
      </c>
      <c r="GR11" s="22" t="s">
        <v>40</v>
      </c>
      <c r="GS11" s="22" t="s">
        <v>41</v>
      </c>
      <c r="GT11" s="22" t="s">
        <v>23</v>
      </c>
      <c r="GU11" s="22" t="s">
        <v>42</v>
      </c>
      <c r="GV11" s="22" t="s">
        <v>43</v>
      </c>
      <c r="GW11" s="22" t="s">
        <v>44</v>
      </c>
      <c r="GX11" s="22" t="s">
        <v>45</v>
      </c>
      <c r="GY11" s="22" t="s">
        <v>46</v>
      </c>
      <c r="GZ11" s="22" t="s">
        <v>18</v>
      </c>
      <c r="HA11" s="22" t="s">
        <v>47</v>
      </c>
      <c r="HB11" s="22" t="s">
        <v>48</v>
      </c>
      <c r="HC11" s="22" t="s">
        <v>22</v>
      </c>
      <c r="HD11" s="22" t="s">
        <v>49</v>
      </c>
      <c r="HE11" s="22" t="s">
        <v>50</v>
      </c>
      <c r="HF11" s="22" t="s">
        <v>51</v>
      </c>
      <c r="HG11" s="22" t="s">
        <v>52</v>
      </c>
      <c r="HI11" s="28" t="s">
        <v>124</v>
      </c>
      <c r="HJ11" s="28" t="s">
        <v>127</v>
      </c>
      <c r="HK11" s="28" t="s">
        <v>126</v>
      </c>
      <c r="HL11" s="28" t="s">
        <v>125</v>
      </c>
      <c r="HM11" s="28"/>
      <c r="HQ11" s="87"/>
      <c r="HR11" s="153">
        <f t="shared" ref="HR11" si="12">IF(HS11="-","",HS11)</f>
        <v>4</v>
      </c>
      <c r="HS11" s="153">
        <f>IF(F2=3,IF(F10=ER44,"R0",L12),L12)</f>
        <v>4</v>
      </c>
      <c r="HT11" s="159">
        <f>IF(HS11="R0",HT55,ER3)</f>
        <v>4</v>
      </c>
      <c r="HU11" s="38">
        <f>IF(HS11="R0",HU55,IF(F2&lt;4,0,HN15))</f>
        <v>-2193.4340187823832</v>
      </c>
      <c r="HV11" s="35">
        <f>IF(HS11="-",0,IF(HS11="R0",HV55,(EJ15*HT11^2*0.5+EL15*EP15+ER15*EV15+EX15*FB15-HU11+HU12)/HT11))</f>
        <v>2231.5624392810882</v>
      </c>
      <c r="HW11" s="35" t="s">
        <v>143</v>
      </c>
      <c r="HX11" s="38" t="s">
        <v>41</v>
      </c>
      <c r="HY11" s="38">
        <f>HY10</f>
        <v>6567.6471219235755</v>
      </c>
      <c r="HZ11" s="161">
        <f>IS47</f>
        <v>368.23</v>
      </c>
      <c r="IA11" s="162">
        <f>IF(IL47=FALSE,"",IL47)</f>
        <v>2.2958461309476217</v>
      </c>
      <c r="IC11" s="165"/>
      <c r="ID11" s="30">
        <f t="shared" si="7"/>
        <v>0</v>
      </c>
      <c r="IE11" s="30" t="s">
        <v>157</v>
      </c>
      <c r="IF11" s="30">
        <f>IF12</f>
        <v>0</v>
      </c>
      <c r="IG11" s="30">
        <f>IF(IC3="-",0,HW4)</f>
        <v>0</v>
      </c>
      <c r="II11" s="31" t="b">
        <f>AND(IG11&gt;=0,IG12&lt;0)</f>
        <v>0</v>
      </c>
      <c r="IJ11" s="32" t="b">
        <f t="shared" si="9"/>
        <v>0</v>
      </c>
      <c r="IK11" s="31">
        <f t="shared" si="1"/>
        <v>0</v>
      </c>
      <c r="IL11" s="48">
        <f>IL4*8</f>
        <v>0</v>
      </c>
      <c r="IM11" s="34"/>
      <c r="IN11" s="35">
        <f t="shared" si="2"/>
        <v>0</v>
      </c>
      <c r="IO11" s="36">
        <f t="shared" si="3"/>
        <v>0</v>
      </c>
      <c r="IP11" s="35">
        <f t="shared" si="4"/>
        <v>0</v>
      </c>
      <c r="IQ11" s="35">
        <f t="shared" si="5"/>
        <v>0</v>
      </c>
      <c r="IR11" s="35"/>
      <c r="IS11" s="37" t="str">
        <f>IF(IC3="-","",ROUND(HU4,2))</f>
        <v/>
      </c>
      <c r="IT11" s="35">
        <f t="shared" si="6"/>
        <v>0</v>
      </c>
      <c r="IV11" s="38"/>
      <c r="IW11" s="38"/>
      <c r="IY11" s="44" t="str">
        <f>IF(IC3="-","",IF(EX39=0,"",EX39))</f>
        <v/>
      </c>
      <c r="IZ11" s="45"/>
      <c r="JB11" s="38">
        <f>ID12</f>
        <v>0</v>
      </c>
      <c r="JC11" s="38">
        <f>IF(JC10=TRUE,MAX(IW3:IW272,IZ3:IZ272),0)</f>
        <v>0</v>
      </c>
      <c r="JE11" s="38">
        <f>JB11</f>
        <v>0</v>
      </c>
      <c r="JF11" s="38">
        <f>IF(JE10&gt;0,-MAX(IW3:IW272,IZ3:IZ272)*0.5,-MAX(IW3:IW272,IZ3:IZ272)*1.5)</f>
        <v>-37.5</v>
      </c>
      <c r="JH11" s="38">
        <f>IF(IC3="L0",ID11,-5)</f>
        <v>-5</v>
      </c>
      <c r="JI11" s="38">
        <f>IG11</f>
        <v>0</v>
      </c>
      <c r="JK11" s="38">
        <f>IF(F9=ER44,IT11,-5)</f>
        <v>-5</v>
      </c>
      <c r="JL11" s="49" t="str">
        <f>IS11</f>
        <v/>
      </c>
      <c r="JM11" s="40"/>
      <c r="JN11" s="49"/>
      <c r="JO11" s="49"/>
      <c r="JP11" s="40"/>
      <c r="JQ11" s="49"/>
      <c r="JR11" s="49"/>
      <c r="JS11" s="40"/>
      <c r="JT11" s="50" t="str">
        <f>IS11</f>
        <v/>
      </c>
      <c r="JU11" s="51"/>
      <c r="JW11" s="120"/>
      <c r="JX11" s="120"/>
    </row>
    <row r="12" spans="2:284" ht="14.25" customHeight="1" x14ac:dyDescent="0.2">
      <c r="L12" s="211">
        <f>IF(F2&gt;=4,4,"-")</f>
        <v>4</v>
      </c>
      <c r="M12" s="212"/>
      <c r="N12" s="193">
        <v>4</v>
      </c>
      <c r="O12" s="207"/>
      <c r="P12" s="193">
        <v>540</v>
      </c>
      <c r="Q12" s="194"/>
      <c r="R12" s="194">
        <v>240</v>
      </c>
      <c r="S12" s="207"/>
      <c r="T12" s="190"/>
      <c r="U12" s="191"/>
      <c r="V12" s="188"/>
      <c r="W12" s="191"/>
      <c r="X12" s="188"/>
      <c r="Y12" s="189"/>
      <c r="Z12" s="190"/>
      <c r="AA12" s="191"/>
      <c r="AB12" s="188"/>
      <c r="AC12" s="191"/>
      <c r="AD12" s="188"/>
      <c r="AE12" s="189"/>
      <c r="AF12" s="190"/>
      <c r="AG12" s="191"/>
      <c r="AH12" s="188"/>
      <c r="AI12" s="191"/>
      <c r="AJ12" s="188"/>
      <c r="AK12" s="189"/>
      <c r="AL12" s="8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96"/>
      <c r="DW12" s="96"/>
      <c r="DX12" s="96"/>
      <c r="DY12" s="96"/>
      <c r="DZ12" s="96"/>
      <c r="EA12" s="96"/>
      <c r="EB12" s="96"/>
      <c r="EC12" s="96"/>
      <c r="ED12" s="96"/>
      <c r="EE12" s="99">
        <v>1</v>
      </c>
      <c r="EF12" s="226">
        <f t="shared" ref="EF12:EF36" si="13">$F$3*$F$4*2400*$F$6</f>
        <v>192.00000000000003</v>
      </c>
      <c r="EG12" s="226"/>
      <c r="EH12" s="226">
        <f t="shared" ref="EH12:EH36" si="14">(P9*$F$6)+(R9*$F$7)</f>
        <v>1240</v>
      </c>
      <c r="EI12" s="226"/>
      <c r="EJ12" s="226">
        <f t="shared" ref="EJ12:EJ36" si="15">EF12+EH12</f>
        <v>1432</v>
      </c>
      <c r="EK12" s="226"/>
      <c r="EL12" s="226">
        <f t="shared" ref="EL12:EL36" si="16">(T9*$F$6)+(V9*$F$7)</f>
        <v>0</v>
      </c>
      <c r="EM12" s="226"/>
      <c r="EN12" s="226">
        <f t="shared" ref="EN12:EN36" si="17">X9</f>
        <v>0</v>
      </c>
      <c r="EO12" s="226"/>
      <c r="EP12" s="226">
        <f t="shared" ref="EP12:EP36" si="18">N9-EN12</f>
        <v>4</v>
      </c>
      <c r="EQ12" s="226"/>
      <c r="ER12" s="226">
        <f t="shared" ref="ER12:ER36" si="19">(Z9*$F$6)+(AB9*$F$7)</f>
        <v>0</v>
      </c>
      <c r="ES12" s="226"/>
      <c r="ET12" s="226">
        <f t="shared" ref="ET12:ET36" si="20">AD9</f>
        <v>0</v>
      </c>
      <c r="EU12" s="226"/>
      <c r="EV12" s="226">
        <f t="shared" ref="EV12:EV36" si="21">N9-AD9</f>
        <v>4</v>
      </c>
      <c r="EW12" s="226"/>
      <c r="EX12" s="226">
        <f t="shared" ref="EX12:EX36" si="22">(AF9*$F$6)+(AH9*$F$7)</f>
        <v>0</v>
      </c>
      <c r="EY12" s="226"/>
      <c r="EZ12" s="226">
        <f t="shared" ref="EZ12:EZ36" si="23">AJ9</f>
        <v>0</v>
      </c>
      <c r="FA12" s="226"/>
      <c r="FB12" s="226">
        <f t="shared" ref="FB12:FB36" si="24">N9-AJ9</f>
        <v>4</v>
      </c>
      <c r="FC12" s="226"/>
      <c r="FH12" s="28"/>
      <c r="FI12" s="100"/>
      <c r="FJ12" s="100"/>
      <c r="FK12" s="169">
        <v>0</v>
      </c>
      <c r="FL12" s="169"/>
      <c r="FM12" s="169"/>
      <c r="FN12" s="169">
        <f>IF(F9=ER43,2*EI3,0)</f>
        <v>8</v>
      </c>
      <c r="FO12" s="169"/>
      <c r="FP12" s="169"/>
      <c r="FQ12" s="169">
        <f>IF(F9=ER43,EI3,0)</f>
        <v>4</v>
      </c>
      <c r="FR12" s="169"/>
      <c r="FS12" s="169"/>
      <c r="FT12" s="98" t="s">
        <v>41</v>
      </c>
      <c r="FU12" s="170">
        <v>0</v>
      </c>
      <c r="FV12" s="170"/>
      <c r="FW12" s="170"/>
      <c r="FX12" s="170">
        <f>(EJ12*EI3^3)/4</f>
        <v>22912</v>
      </c>
      <c r="FY12" s="170"/>
      <c r="FZ12" s="170"/>
      <c r="GA12" s="101"/>
      <c r="GB12" s="171">
        <f>-SUM(FU12:FZ15)</f>
        <v>-22912</v>
      </c>
      <c r="GC12" s="171"/>
      <c r="GD12" s="171"/>
      <c r="GG12" s="22" t="s">
        <v>13</v>
      </c>
      <c r="GH12" s="102">
        <f>FN12</f>
        <v>8</v>
      </c>
      <c r="GI12" s="102">
        <f>FQ12</f>
        <v>4</v>
      </c>
      <c r="GJ12" s="103">
        <v>0</v>
      </c>
      <c r="GK12" s="103">
        <v>0</v>
      </c>
      <c r="GL12" s="103">
        <v>0</v>
      </c>
      <c r="GM12" s="103">
        <v>0</v>
      </c>
      <c r="GN12" s="103">
        <v>0</v>
      </c>
      <c r="GO12" s="103">
        <v>0</v>
      </c>
      <c r="GP12" s="103">
        <v>0</v>
      </c>
      <c r="GQ12" s="103">
        <v>0</v>
      </c>
      <c r="GR12" s="103">
        <v>0</v>
      </c>
      <c r="GS12" s="103">
        <v>0</v>
      </c>
      <c r="GT12" s="103">
        <v>0</v>
      </c>
      <c r="GU12" s="103">
        <v>0</v>
      </c>
      <c r="GV12" s="103">
        <v>0</v>
      </c>
      <c r="GW12" s="103">
        <v>0</v>
      </c>
      <c r="GX12" s="103">
        <v>0</v>
      </c>
      <c r="GY12" s="103">
        <v>0</v>
      </c>
      <c r="GZ12" s="103">
        <v>0</v>
      </c>
      <c r="HA12" s="103">
        <v>0</v>
      </c>
      <c r="HB12" s="103">
        <v>0</v>
      </c>
      <c r="HC12" s="103">
        <v>0</v>
      </c>
      <c r="HD12" s="103">
        <v>0</v>
      </c>
      <c r="HE12" s="103">
        <v>0</v>
      </c>
      <c r="HF12" s="103">
        <v>0</v>
      </c>
      <c r="HG12" s="103">
        <v>0</v>
      </c>
      <c r="HH12" s="39" t="s">
        <v>120</v>
      </c>
      <c r="HI12" s="35">
        <f>FF39</f>
        <v>0</v>
      </c>
      <c r="HJ12" s="35">
        <f t="array" ref="HJ12:HJ37">IF(F2=1,MMULT(GH68:GI69,HI68:HI69),IF(F2=2,MMULT(GH68:GJ70,HI68:HI70),IF(F2=3,MMULT(GH68:GK71,HI68:HI71),IF(F2=4,MMULT(GH68:GL72,HI68:HI72),IF(F2=5,MMULT(GH68:GM73,HI68:HI73),IF(F2=6,MMULT(GH68:GN74,HI68:HI74),IF(F2=7,MMULT(GH68:GO75,HI68:HI75),IF(F2=8,MMULT(GH68:GP76,HI68:HI76),IF(F2=9,MMULT(GH68:GQ77,HI68:HI77),IF(F2=10,MMULT(GH68:GR78,HI68:HI78),IF(F2=11,MMULT(GH68:GS79,HI68:HI79),IF(F2=12,MMULT(GH68:GT80,HI68:HI80),IF(F2=13,MMULT(GH68:GU81,HI68:HI81),IF(F2=14,MMULT(GH68:GV82,HI68:HI82),IF(F2=15,MMULT(GH68:GW83,HI68:HI83),IF(F2=16,MMULT(GH68:GX84,HI68:HI84),IF(F2=17,MMULT(GH68:GY85,HI68:HI85),IF(F2=18,MMULT(GH68:GZ86,HI68:HI86),IF(F2=19,MMULT(GH68:HA87,HI68:HI87),IF(F2=20,MMULT(GH68:HB88,HI68:HI88),IF(F2=21,MMULT(GH68:HC89,HI68:HI89),IF(F2=22,MMULT(GH68:HD90,HI68:HI90),IF(F2=23,MMULT(GH68:HE91,HI68:HI91),IF(F2=24,MMULT(GH68:HF92,HI68:HI92),IF(F2=25,MMULT(GH68:HG93,HI68:HI93))))))))))))))))))))))))))</f>
        <v>-1986.9285334700064</v>
      </c>
      <c r="HK12" s="35">
        <f t="array" ref="HK12:HK37">IF($F$2=1,MMULT(GH96,HI96),IF($F$2=2,MMULT(GH96:GI97,HI96:HI97),IF($F$2=3,MMULT(GH96:GJ98,HI96:HI98),IF($F$2=4,MMULT(GH96:GK99,HI96:HI99),IF($F$2=5,MMULT(GH96:GL100,HI96:HI100),IF($F$2=6,MMULT(GH96:GM101,HI96:HI101),IF($F$2=7,MMULT(GH96:GN102,HI96:HI102),IF($F$2=8,MMULT(GH96:GO103,HI96:HI103),IF($F$2=9,MMULT(GH96:GP104,HI96:HI104),IF($F$2=10,MMULT(GH96:GQ105,HI96:HI105),IF($F$2=11,MMULT(GH96:GR106,HI96:HI106),IF($F$2=12,MMULT(GH96:GS107,HI96:HI107),IF($F$2=13,MMULT(GH96:GT108,HI96:HI108),IF($F$2=14,MMULT(GH96:GU109,HI96:HI109),IF($F$2=15,MMULT(GH96:GV110,HI96:HI110),IF($F$2=16,MMULT(GH96:GW111,HI96:HI111),IF($F$2=17,MMULT(GH96:GX112,HI96:HI112),IF($F$2=18,MMULT(GH96:GY113,HI96:HI113),IF($F$2=19,MMULT(GH96:GZ114,HI96:HI114),IF($F$2=20,MMULT(GH96:HA115,HI96:HI115),IF($F$2=21,MMULT(GH96:HB116,HI96:HI116),IF($F$2=22,MMULT(GH96:HC117,HI96:HI117),IF($F$2=23,MMULT(GH96:HD118,HI96:HI118),IF($F$2=24,MMULT(GH96:HE119,HI96:HI119),IF($F$2=25,MMULT(GH96:HF120,HI96:HI120))))))))))))))))))))))))))</f>
        <v>-1993.7278983160613</v>
      </c>
      <c r="HL12" s="48">
        <f>FF39</f>
        <v>0</v>
      </c>
      <c r="HM12" s="104">
        <f t="shared" ref="HM12:HM37" si="25">IF($HN$2=TRUE,HI12,IF($HN$3=TRUE,HL12,IF($HN$4=TRUE,HK12,IF($HN$5=TRUE,HJ12,IF($HN$6=TRUE,HL12,IF($HN$7=TRUE,HI12,IF($HN$8=TRUE,HK12,IF($HN$9=TRUE,HI12,IF($HN$10=TRUE,HI12)))))))))</f>
        <v>-1993.7278983160613</v>
      </c>
      <c r="HN12" s="105">
        <f>HM12</f>
        <v>-1993.7278983160613</v>
      </c>
      <c r="HO12" s="106"/>
      <c r="HP12" s="106"/>
      <c r="HQ12" s="87"/>
      <c r="HR12" s="154"/>
      <c r="HS12" s="154"/>
      <c r="HT12" s="160"/>
      <c r="HU12" s="38">
        <f>IF(F2=4,IF(F10=ER42,0,IF(F10=ER43,HN16,HN16)),IF(F2&lt;4,0,HN16))</f>
        <v>-1043.1842616580311</v>
      </c>
      <c r="HV12" s="35" t="s">
        <v>143</v>
      </c>
      <c r="HW12" s="35">
        <f>IF(HS11="-",0,IF(HS11="R0",HW56,HV11-EJ15*HT11-EL15-ER15-EX15))</f>
        <v>-1656.4375607189118</v>
      </c>
      <c r="HX12" s="38" t="s">
        <v>46</v>
      </c>
      <c r="HY12" s="38">
        <f>HV13-HW12</f>
        <v>3508.7763924870465</v>
      </c>
      <c r="HZ12" s="162"/>
      <c r="IA12" s="162"/>
      <c r="IC12" s="165"/>
      <c r="ID12" s="30">
        <f>IF($IC$3="-",0,ID3+HT3)</f>
        <v>0</v>
      </c>
      <c r="IE12" s="30" t="s">
        <v>158</v>
      </c>
      <c r="IF12" s="30">
        <f>HT3</f>
        <v>0</v>
      </c>
      <c r="IG12" s="30">
        <v>0</v>
      </c>
      <c r="II12" s="31" t="b">
        <f t="shared" ref="II12" si="26">AND(IG12&gt;=0,IG13&lt;0)</f>
        <v>0</v>
      </c>
      <c r="IJ12" s="32" t="b">
        <f>IF(IF12=IF13,FALSE,TRUE)</f>
        <v>0</v>
      </c>
      <c r="IK12" s="31">
        <f t="shared" si="1"/>
        <v>0</v>
      </c>
      <c r="IL12" s="41">
        <f>IK12</f>
        <v>0</v>
      </c>
      <c r="IM12" s="34"/>
      <c r="IN12" s="34"/>
      <c r="IO12" s="38"/>
      <c r="IP12" s="38"/>
      <c r="IQ12" s="38"/>
      <c r="IR12" s="35"/>
      <c r="IS12" s="52"/>
      <c r="IT12" s="38"/>
      <c r="IV12" s="38"/>
      <c r="IW12" s="38"/>
      <c r="IY12" s="45"/>
      <c r="IZ12" s="45"/>
      <c r="JB12" s="38">
        <f>JB11</f>
        <v>0</v>
      </c>
      <c r="JC12" s="38">
        <f>IF(JC10=TRUE,-MAX(IW3:IW272,IZ3:IZ272),0)</f>
        <v>0</v>
      </c>
      <c r="JE12" s="38">
        <f>JE11</f>
        <v>0</v>
      </c>
      <c r="JF12" s="38">
        <f>IF(IC3="-",JF11,IF(JE10&gt;0,-MAX(IW3:IW272,IZ3:IZ272)*1.5,-MAX(IW3:IW272,IZ3:IZ272)*0.5))</f>
        <v>-37.5</v>
      </c>
      <c r="JH12" s="38"/>
      <c r="JI12" s="38"/>
      <c r="JK12" s="38"/>
      <c r="JL12" s="38"/>
      <c r="JM12" s="39"/>
      <c r="JN12" s="38"/>
      <c r="JO12" s="38"/>
      <c r="JP12" s="39"/>
      <c r="JQ12" s="38"/>
      <c r="JR12" s="38"/>
      <c r="JS12" s="39"/>
      <c r="JT12" s="51">
        <f>IF(JC11=0,-5,JB11)</f>
        <v>-5</v>
      </c>
      <c r="JU12" s="51">
        <v>0</v>
      </c>
      <c r="JW12" s="121"/>
      <c r="JX12" s="121"/>
    </row>
    <row r="13" spans="2:284" ht="14.25" customHeight="1" x14ac:dyDescent="0.2">
      <c r="L13" s="211">
        <f>IF(F2&gt;=5,5,"-")</f>
        <v>5</v>
      </c>
      <c r="M13" s="212"/>
      <c r="N13" s="193">
        <v>4</v>
      </c>
      <c r="O13" s="207"/>
      <c r="P13" s="193">
        <v>540</v>
      </c>
      <c r="Q13" s="194"/>
      <c r="R13" s="194">
        <v>240</v>
      </c>
      <c r="S13" s="207"/>
      <c r="T13" s="190"/>
      <c r="U13" s="191"/>
      <c r="V13" s="188"/>
      <c r="W13" s="191"/>
      <c r="X13" s="188"/>
      <c r="Y13" s="189"/>
      <c r="Z13" s="190"/>
      <c r="AA13" s="191"/>
      <c r="AB13" s="188"/>
      <c r="AC13" s="191"/>
      <c r="AD13" s="188"/>
      <c r="AE13" s="189"/>
      <c r="AF13" s="190"/>
      <c r="AG13" s="191"/>
      <c r="AH13" s="188"/>
      <c r="AI13" s="191"/>
      <c r="AJ13" s="188"/>
      <c r="AK13" s="189"/>
      <c r="AL13" s="8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96"/>
      <c r="DW13" s="96"/>
      <c r="DX13" s="96"/>
      <c r="DY13" s="96"/>
      <c r="DZ13" s="96"/>
      <c r="EA13" s="96"/>
      <c r="EB13" s="96"/>
      <c r="EC13" s="96"/>
      <c r="ED13" s="96"/>
      <c r="EE13" s="99">
        <v>2</v>
      </c>
      <c r="EF13" s="227">
        <f t="shared" si="13"/>
        <v>192.00000000000003</v>
      </c>
      <c r="EG13" s="227"/>
      <c r="EH13" s="227">
        <f t="shared" si="14"/>
        <v>1240</v>
      </c>
      <c r="EI13" s="227"/>
      <c r="EJ13" s="227">
        <f t="shared" si="15"/>
        <v>1432</v>
      </c>
      <c r="EK13" s="227"/>
      <c r="EL13" s="227">
        <f t="shared" si="16"/>
        <v>0</v>
      </c>
      <c r="EM13" s="227"/>
      <c r="EN13" s="227">
        <f t="shared" si="17"/>
        <v>0</v>
      </c>
      <c r="EO13" s="227"/>
      <c r="EP13" s="227">
        <f t="shared" si="18"/>
        <v>4</v>
      </c>
      <c r="EQ13" s="227"/>
      <c r="ER13" s="227">
        <f t="shared" si="19"/>
        <v>0</v>
      </c>
      <c r="ES13" s="227"/>
      <c r="ET13" s="227">
        <f t="shared" si="20"/>
        <v>0</v>
      </c>
      <c r="EU13" s="227"/>
      <c r="EV13" s="227">
        <f t="shared" si="21"/>
        <v>4</v>
      </c>
      <c r="EW13" s="227"/>
      <c r="EX13" s="227">
        <f t="shared" si="22"/>
        <v>0</v>
      </c>
      <c r="EY13" s="227"/>
      <c r="EZ13" s="227">
        <f t="shared" si="23"/>
        <v>0</v>
      </c>
      <c r="FA13" s="227"/>
      <c r="FB13" s="227">
        <f t="shared" si="24"/>
        <v>4</v>
      </c>
      <c r="FC13" s="227"/>
      <c r="FH13" s="28"/>
      <c r="FI13" s="100"/>
      <c r="FJ13" s="100"/>
      <c r="FK13" s="98"/>
      <c r="FL13" s="98"/>
      <c r="FM13" s="98"/>
      <c r="FN13" s="98"/>
      <c r="FO13" s="98"/>
      <c r="FP13" s="98"/>
      <c r="FQ13" s="98"/>
      <c r="FR13" s="98"/>
      <c r="FS13" s="98"/>
      <c r="FT13" s="98" t="s">
        <v>17</v>
      </c>
      <c r="FU13" s="170">
        <v>0</v>
      </c>
      <c r="FV13" s="170"/>
      <c r="FW13" s="170"/>
      <c r="FX13" s="170">
        <f>IF(EI3=0,0,(EL12*EP12/EI3)*(EI3^2-EP12^2))</f>
        <v>0</v>
      </c>
      <c r="FY13" s="170"/>
      <c r="FZ13" s="170"/>
      <c r="GA13" s="101"/>
      <c r="GB13" s="170"/>
      <c r="GC13" s="170"/>
      <c r="GD13" s="170"/>
      <c r="GG13" s="22">
        <v>2</v>
      </c>
      <c r="GH13" s="107">
        <f>FK17</f>
        <v>4</v>
      </c>
      <c r="GI13" s="34">
        <f>FN17</f>
        <v>16</v>
      </c>
      <c r="GJ13" s="34">
        <f>FQ17</f>
        <v>4</v>
      </c>
      <c r="GK13" s="108">
        <v>0</v>
      </c>
      <c r="GL13" s="108">
        <v>0</v>
      </c>
      <c r="GM13" s="108">
        <v>0</v>
      </c>
      <c r="GN13" s="108">
        <v>0</v>
      </c>
      <c r="GO13" s="108">
        <v>0</v>
      </c>
      <c r="GP13" s="108">
        <v>0</v>
      </c>
      <c r="GQ13" s="108">
        <v>0</v>
      </c>
      <c r="GR13" s="108">
        <v>0</v>
      </c>
      <c r="GS13" s="108">
        <v>0</v>
      </c>
      <c r="GT13" s="108">
        <v>0</v>
      </c>
      <c r="GU13" s="108">
        <v>0</v>
      </c>
      <c r="GV13" s="108">
        <v>0</v>
      </c>
      <c r="GW13" s="108">
        <v>0</v>
      </c>
      <c r="GX13" s="108">
        <v>0</v>
      </c>
      <c r="GY13" s="108">
        <v>0</v>
      </c>
      <c r="GZ13" s="108">
        <v>0</v>
      </c>
      <c r="HA13" s="108">
        <v>0</v>
      </c>
      <c r="HB13" s="108">
        <v>0</v>
      </c>
      <c r="HC13" s="108">
        <v>0</v>
      </c>
      <c r="HD13" s="108">
        <v>0</v>
      </c>
      <c r="HE13" s="108">
        <v>0</v>
      </c>
      <c r="HF13" s="108">
        <v>0</v>
      </c>
      <c r="HG13" s="103">
        <v>0</v>
      </c>
      <c r="HH13" s="39" t="s">
        <v>55</v>
      </c>
      <c r="HI13" s="35">
        <f t="array" ref="HI13:HI36">IF(F2=2,MMULT(GI41,HI41),IF(F2=3,MMULT(GI41:GJ42,HI41:HI42),IF(F2=4,MMULT(GI41:GK43,HI41:HI43),IF(F2=5,MMULT(GI41:GL44,HI41:HI44),IF(F2=6,MMULT(GI41:GM45,HI41:HI45),IF(F2=7,MMULT(GI41:GN46,HI41:HI46),IF(F2=8,MMULT(GI41:GO47,HI41:HI47),IF(F2=9,MMULT(GI41:GP48,HI41:HI48),IF(F2=10,MMULT(GI41:GQ49,HI41:HI49),IF(F2=11,MMULT(GI41:GR50,HI41:HI50),IF(F2=12,MMULT(GI41:GS51,HI41:HI51),IF(F2=13,MMULT(GI41:GT52,HI41:HI52),IF(F2=14,MMULT(GI41:GU53,HI41:HI53),IF(F2=15,MMULT(GI41:GV54,HI41:HI54),IF(F2=16,MMULT(GI41:GW55,HI41:HI55),IF(F2=17,MMULT(GI41:GX56,HI41:HI56),IF(F2=18,MMULT(GI41:GY57,HI41:HI57),IF(F2=19,MMULT(GI41:GZ58,HI41:HI58),IF(F2=20,MMULT(GI41:HA59,HI41:HI59),IF(F2=21,MMULT(GI41:HB60,HI41:HI60),IF(F2=22,MMULT(GI41:HC61,HI41:HI61),IF(F2=23,MMULT(GI41:HD62,HI41:HI62),IF(F2=24,MMULT(GI41:HE63,HI41:HI63),IF(F2=25,MMULT(GI41:HF64,HI41:HI64),0))))))))))))))))))))))))</f>
        <v>-2274.7610376602565</v>
      </c>
      <c r="HJ13" s="35">
        <v>-1754.1429330599872</v>
      </c>
      <c r="HK13" s="35">
        <v>-1740.5442033678758</v>
      </c>
      <c r="HL13" s="48">
        <f t="array" ref="HL13:HL37">IF(F2=2,MMULT(GI125:GJ126,HI125:HI126),IF(F2=3,MMULT(GI125:GK127,HI125:HI127),IF(F2=4,MMULT(GI125:GL128,HI125:HI128),IF(F2=5,MMULT(GI125:GM129,HI125:HI129),IF(F2=6,MMULT(GI125:GN130,HI125:HI130),IF(F2=7,MMULT(GI125:GO131,HI125:HI131),IF(F2=8,MMULT(GI125:GP132,HI125:HI132),IF(F2=9,MMULT(GI125:GQ133,HI125:HI133),IF(F2=10,MMULT(GI125:GR134,HI125:HI134),IF(F2=11,MMULT(GI125:GS135,HI125:HI135),IF(F2=12,MMULT(GI125:GT136,HI125:HI136),IF(F2=13,MMULT(GI125:GU137,HI125:HI137),IF(F2=14,MMULT(GI125:GV138,HI125:HI138),IF(F2=15,MMULT(GI125:GW139,HI125:HI139),IF(F2=16,MMULT(GI125:GX140,HI125:HI140),IF(F2=17,MMULT(GI125:GY141,HI125:HI141),IF(F2=18,MMULT(GI125:GZ142,HI125:HI142),IF(F2=19,MMULT(GI125:HA143,HI125:HI143),IF(F2=20,MMULT(GI125:HB144,HI125:HI144),IF(F2=21,MMULT(GI125:HC145,HI125:HI145),IF(F2=22,MMULT(GI125:HD146,HI125:HI146),IF(F2=23,MMULT(GI125:HE147,HI125:HI147),IF(F2=24,MMULT(GI125:HF148,HI125:HI148),IF(F2=25,MMULT(GI125:HG149,HI125:HI149),IF(F2=1,MMULT(GI125,HI125),0)))))))))))))))))))))))))</f>
        <v>-2286.5257806405543</v>
      </c>
      <c r="HM13" s="104">
        <f t="shared" si="25"/>
        <v>-1740.5442033678758</v>
      </c>
      <c r="HN13" s="105">
        <f>IF($F$2=1,IF($F$10=$ER$44,$FF$40,HM13),HM13)</f>
        <v>-1740.5442033678758</v>
      </c>
      <c r="HO13" s="106"/>
      <c r="HP13" s="106"/>
      <c r="HQ13" s="87"/>
      <c r="HR13" s="153">
        <f t="shared" ref="HR13" si="27">IF(HS13="-","",HS13)</f>
        <v>5</v>
      </c>
      <c r="HS13" s="155">
        <f>IF(F2=4,IF(F10=ER44,"R0",L13),L13)</f>
        <v>5</v>
      </c>
      <c r="HT13" s="157">
        <f>IF(HS13="R0",HT55,EU3)</f>
        <v>4</v>
      </c>
      <c r="HU13" s="54">
        <f>IF(HS13="R0",HU55,IF(F2&lt;5,0,HN16))</f>
        <v>-1043.1842616580311</v>
      </c>
      <c r="HV13" s="54">
        <f>IF(HS13="-",0,IF(HS13="R0",HV55,(EJ16*HT13^2*0.5+EL16*EP16+ER16*EV16+EX16*FB16-HU13+HU14)/HT13))</f>
        <v>1852.3388317681347</v>
      </c>
      <c r="HW13" s="54" t="s">
        <v>143</v>
      </c>
      <c r="HX13" s="54" t="s">
        <v>41</v>
      </c>
      <c r="HY13" s="54">
        <f>HY12</f>
        <v>3508.7763924870465</v>
      </c>
      <c r="HZ13" s="163">
        <f>IS57</f>
        <v>721.82</v>
      </c>
      <c r="IA13" s="164">
        <f>IF(IL57=FALSE,"",IL57)</f>
        <v>1.9056983865927313</v>
      </c>
      <c r="IC13" s="164">
        <f>IF(HS5="R0","-",HS5)</f>
        <v>1</v>
      </c>
      <c r="ID13" s="53">
        <f>IF(HS5="R0",ID272,IF(IC3="-",0,ID12))</f>
        <v>0</v>
      </c>
      <c r="IE13" s="53" t="s">
        <v>149</v>
      </c>
      <c r="IF13" s="53">
        <v>0</v>
      </c>
      <c r="IG13" s="53">
        <v>0</v>
      </c>
      <c r="IH13" s="28"/>
      <c r="II13" s="54" t="b">
        <f t="shared" ref="II13:II21" si="28">AND(IG13&gt;=0,IG14&lt;0)</f>
        <v>0</v>
      </c>
      <c r="IJ13" s="55" t="b">
        <f>IF(IF13=IF14,FALSE,TRUE)</f>
        <v>0</v>
      </c>
      <c r="IK13" s="54">
        <f t="shared" ref="IK13:IK22" si="29">IF(II13=TRUE,IF(IJ13=TRUE,IG13/$EJ$12)+IF13,IF13)</f>
        <v>0</v>
      </c>
      <c r="IL13" s="56">
        <f>IK13</f>
        <v>0</v>
      </c>
      <c r="IM13" s="54">
        <f t="shared" ref="IM13:IM21" si="30">$HV$5*IL13</f>
        <v>0</v>
      </c>
      <c r="IN13" s="54">
        <f t="shared" ref="IN13:IN21" si="31">-$EJ$12*(IL13^2/2)</f>
        <v>0</v>
      </c>
      <c r="IO13" s="57">
        <f t="shared" ref="IO13:IO21" si="32">-IF(IL13&gt;=$EN$12,$EL$12*(IL13-$EN$12),0)</f>
        <v>0</v>
      </c>
      <c r="IP13" s="54">
        <f t="shared" ref="IP13:IP21" si="33">-IF(IL13&gt;=$ET$12,$ER$12*(IL13-$ET$12),0)</f>
        <v>0</v>
      </c>
      <c r="IQ13" s="54">
        <f t="shared" ref="IQ13:IQ21" si="34">-IF(IL13&gt;=$EZ$12,$EX$12*(IL13-$EZ$12),0)</f>
        <v>0</v>
      </c>
      <c r="IR13" s="54"/>
      <c r="IS13" s="58">
        <f>IF(IC13="-","",IF(F9=ER42,"",ROUND(HU5,2)))</f>
        <v>-1993.73</v>
      </c>
      <c r="IT13" s="54">
        <f t="shared" ref="IT13:IT21" si="35">$ID$13+IL13</f>
        <v>0</v>
      </c>
      <c r="IV13" s="54">
        <f>ID13</f>
        <v>0</v>
      </c>
      <c r="IW13" s="54">
        <v>0</v>
      </c>
      <c r="IY13" s="54">
        <f>IF(IC13="-",-5,IF(EL12=0,-5,ID13+EN12))</f>
        <v>-5</v>
      </c>
      <c r="IZ13" s="54">
        <v>0</v>
      </c>
      <c r="JB13" s="54">
        <f>ID13</f>
        <v>0</v>
      </c>
      <c r="JC13" s="54">
        <v>0</v>
      </c>
      <c r="JE13" s="54">
        <f>JB13</f>
        <v>0</v>
      </c>
      <c r="JF13" s="54">
        <f>IF(JE15&gt;0,-MAX(IW3:IW272,IZ3:IZ272)*0.5,-MAX(IW3:IW272,IZ3:IZ272)*1.5)</f>
        <v>-37.5</v>
      </c>
      <c r="JH13" s="54"/>
      <c r="JI13" s="54"/>
      <c r="JK13" s="54">
        <f>IF(F2=0,-5,IF(F9=ER43,IT13,-5))</f>
        <v>0</v>
      </c>
      <c r="JL13" s="59">
        <f>IS13</f>
        <v>-1993.73</v>
      </c>
      <c r="JM13" s="40"/>
      <c r="JN13" s="59">
        <f>IF(IC13="-",-5,(ID13+ID22)/2)</f>
        <v>2</v>
      </c>
      <c r="JO13" s="59">
        <f>-MAX(IW3:IW272,IZ3:IZ272)*0.7</f>
        <v>-52.5</v>
      </c>
      <c r="JP13" s="40"/>
      <c r="JQ13" s="59">
        <f>IF(IC13="-",-5,(IT13+IT17)/2)</f>
        <v>1.0221005320310916</v>
      </c>
      <c r="JR13" s="59">
        <f>-MAX(IG3:IG272)/5</f>
        <v>-760.38306347150262</v>
      </c>
      <c r="JS13" s="40"/>
      <c r="JT13" s="60">
        <f>IF(JC265=TRUE,-5,IF(F9=ER43,ID13,-5))</f>
        <v>0</v>
      </c>
      <c r="JU13" s="60">
        <v>0</v>
      </c>
      <c r="JW13" s="122">
        <f>JN13</f>
        <v>2</v>
      </c>
      <c r="JX13" s="122">
        <f>JF22</f>
        <v>-112.5</v>
      </c>
    </row>
    <row r="14" spans="2:284" ht="14.25" customHeight="1" x14ac:dyDescent="0.2">
      <c r="L14" s="211">
        <f>IF(F2&gt;=6,6,"-")</f>
        <v>6</v>
      </c>
      <c r="M14" s="212"/>
      <c r="N14" s="193">
        <v>4</v>
      </c>
      <c r="O14" s="207"/>
      <c r="P14" s="193">
        <v>540</v>
      </c>
      <c r="Q14" s="194"/>
      <c r="R14" s="194">
        <v>240</v>
      </c>
      <c r="S14" s="207"/>
      <c r="T14" s="190"/>
      <c r="U14" s="191"/>
      <c r="V14" s="188"/>
      <c r="W14" s="191"/>
      <c r="X14" s="188"/>
      <c r="Y14" s="189"/>
      <c r="Z14" s="190"/>
      <c r="AA14" s="191"/>
      <c r="AB14" s="188"/>
      <c r="AC14" s="191"/>
      <c r="AD14" s="188"/>
      <c r="AE14" s="189"/>
      <c r="AF14" s="190"/>
      <c r="AG14" s="191"/>
      <c r="AH14" s="188"/>
      <c r="AI14" s="191"/>
      <c r="AJ14" s="188"/>
      <c r="AK14" s="189"/>
      <c r="AL14" s="8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96"/>
      <c r="DW14" s="96"/>
      <c r="DX14" s="96"/>
      <c r="DY14" s="96"/>
      <c r="DZ14" s="96"/>
      <c r="EA14" s="96"/>
      <c r="EB14" s="96"/>
      <c r="EC14" s="96"/>
      <c r="ED14" s="96"/>
      <c r="EE14" s="109">
        <v>3</v>
      </c>
      <c r="EF14" s="192">
        <f t="shared" si="13"/>
        <v>192.00000000000003</v>
      </c>
      <c r="EG14" s="192"/>
      <c r="EH14" s="192">
        <f t="shared" si="14"/>
        <v>780</v>
      </c>
      <c r="EI14" s="192"/>
      <c r="EJ14" s="192">
        <f t="shared" si="15"/>
        <v>972</v>
      </c>
      <c r="EK14" s="192"/>
      <c r="EL14" s="192">
        <f t="shared" si="16"/>
        <v>1500</v>
      </c>
      <c r="EM14" s="192"/>
      <c r="EN14" s="192">
        <f t="shared" si="17"/>
        <v>1</v>
      </c>
      <c r="EO14" s="192"/>
      <c r="EP14" s="192">
        <f t="shared" si="18"/>
        <v>3</v>
      </c>
      <c r="EQ14" s="192"/>
      <c r="ER14" s="192">
        <f t="shared" si="19"/>
        <v>1250</v>
      </c>
      <c r="ES14" s="192"/>
      <c r="ET14" s="192">
        <f t="shared" si="20"/>
        <v>2.5</v>
      </c>
      <c r="EU14" s="192"/>
      <c r="EV14" s="192">
        <f t="shared" si="21"/>
        <v>1.5</v>
      </c>
      <c r="EW14" s="192"/>
      <c r="EX14" s="192">
        <f t="shared" si="22"/>
        <v>1500</v>
      </c>
      <c r="EY14" s="192"/>
      <c r="EZ14" s="192">
        <f t="shared" si="23"/>
        <v>3.5</v>
      </c>
      <c r="FA14" s="192"/>
      <c r="FB14" s="192">
        <f t="shared" si="24"/>
        <v>0.5</v>
      </c>
      <c r="FC14" s="192"/>
      <c r="FH14" s="28"/>
      <c r="FI14" s="100"/>
      <c r="FJ14" s="100"/>
      <c r="FK14" s="98"/>
      <c r="FL14" s="98"/>
      <c r="FM14" s="98"/>
      <c r="FN14" s="98"/>
      <c r="FO14" s="98"/>
      <c r="FP14" s="98"/>
      <c r="FQ14" s="98"/>
      <c r="FR14" s="98"/>
      <c r="FS14" s="98"/>
      <c r="FT14" s="98" t="s">
        <v>19</v>
      </c>
      <c r="FU14" s="170">
        <v>0</v>
      </c>
      <c r="FV14" s="170"/>
      <c r="FW14" s="170"/>
      <c r="FX14" s="170">
        <f>IF(EI3=0,0,(ER12*EV12/EI3)*(EI3^2-EV12^2))</f>
        <v>0</v>
      </c>
      <c r="FY14" s="170"/>
      <c r="FZ14" s="170"/>
      <c r="GA14" s="101"/>
      <c r="GB14" s="170"/>
      <c r="GC14" s="170"/>
      <c r="GD14" s="170"/>
      <c r="GG14" s="22">
        <v>3</v>
      </c>
      <c r="GH14" s="103">
        <v>0</v>
      </c>
      <c r="GI14" s="110">
        <f>FK22</f>
        <v>4</v>
      </c>
      <c r="GJ14" s="110">
        <f>FN22</f>
        <v>16</v>
      </c>
      <c r="GK14" s="110">
        <f>FQ22</f>
        <v>4</v>
      </c>
      <c r="GL14" s="108">
        <v>0</v>
      </c>
      <c r="GM14" s="108">
        <v>0</v>
      </c>
      <c r="GN14" s="108">
        <v>0</v>
      </c>
      <c r="GO14" s="108">
        <v>0</v>
      </c>
      <c r="GP14" s="108">
        <v>0</v>
      </c>
      <c r="GQ14" s="108">
        <v>0</v>
      </c>
      <c r="GR14" s="108">
        <v>0</v>
      </c>
      <c r="GS14" s="108">
        <v>0</v>
      </c>
      <c r="GT14" s="108">
        <v>0</v>
      </c>
      <c r="GU14" s="108">
        <v>0</v>
      </c>
      <c r="GV14" s="108">
        <v>0</v>
      </c>
      <c r="GW14" s="108">
        <v>0</v>
      </c>
      <c r="GX14" s="108">
        <v>0</v>
      </c>
      <c r="GY14" s="108">
        <v>0</v>
      </c>
      <c r="GZ14" s="108">
        <v>0</v>
      </c>
      <c r="HA14" s="108">
        <v>0</v>
      </c>
      <c r="HB14" s="108">
        <v>0</v>
      </c>
      <c r="HC14" s="108">
        <v>0</v>
      </c>
      <c r="HD14" s="108">
        <v>0</v>
      </c>
      <c r="HE14" s="108">
        <v>0</v>
      </c>
      <c r="HF14" s="108">
        <v>0</v>
      </c>
      <c r="HG14" s="103">
        <v>0</v>
      </c>
      <c r="HH14" s="86" t="s">
        <v>56</v>
      </c>
      <c r="HI14" s="35">
        <v>-2356.9558493589743</v>
      </c>
      <c r="HJ14" s="35">
        <v>-2452.4997342900438</v>
      </c>
      <c r="HK14" s="35">
        <v>-2500.0952882124352</v>
      </c>
      <c r="HL14" s="48">
        <v>-2309.8968774377827</v>
      </c>
      <c r="HM14" s="104">
        <f t="shared" si="25"/>
        <v>-2500.0952882124352</v>
      </c>
      <c r="HN14" s="105">
        <f>IF($F$2=2,IF($F$10=$ER$44,$FF$40,HM14),HM14)</f>
        <v>-2500.0952882124352</v>
      </c>
      <c r="HO14" s="106"/>
      <c r="HP14" s="106"/>
      <c r="HQ14" s="87"/>
      <c r="HR14" s="154"/>
      <c r="HS14" s="156"/>
      <c r="HT14" s="158"/>
      <c r="HU14" s="54">
        <f>IF(F2=5,IF(F10=ER42,0,IF(F10=ER43,HN17,HN17)),IF(F2&lt;5,0,HN17))</f>
        <v>-1409.8289345854923</v>
      </c>
      <c r="HV14" s="54" t="s">
        <v>143</v>
      </c>
      <c r="HW14" s="54">
        <f>IF(HS13="-",0,IF(HS13="R0",HW56,HV13-EJ16*HT13-EL16-ER16-EX16))</f>
        <v>-2035.6611682318653</v>
      </c>
      <c r="HX14" s="54" t="s">
        <v>46</v>
      </c>
      <c r="HY14" s="54">
        <f>HV15-HW14</f>
        <v>4058.7434018782383</v>
      </c>
      <c r="HZ14" s="164"/>
      <c r="IA14" s="164"/>
      <c r="IC14" s="164"/>
      <c r="ID14" s="53">
        <f t="shared" ref="ID14:ID21" si="36">IF($IC$13="-",$ID$13,$ID$13+IF14)</f>
        <v>0</v>
      </c>
      <c r="IE14" s="54" t="s">
        <v>150</v>
      </c>
      <c r="IF14" s="53">
        <f>IF13</f>
        <v>0</v>
      </c>
      <c r="IG14" s="54">
        <f>IF(IC13="-",0,HV5)</f>
        <v>2927.2959237370465</v>
      </c>
      <c r="IH14" s="28"/>
      <c r="II14" s="54" t="b">
        <f t="shared" si="28"/>
        <v>0</v>
      </c>
      <c r="IJ14" s="55" t="b">
        <f>IF(IF14=IF15,FALSE,TRUE)</f>
        <v>0</v>
      </c>
      <c r="IK14" s="54">
        <f t="shared" si="29"/>
        <v>0</v>
      </c>
      <c r="IL14" s="56">
        <f>(IL17-IL13)/4</f>
        <v>0.51105026601554582</v>
      </c>
      <c r="IM14" s="54">
        <f t="shared" si="30"/>
        <v>1495.9953605320404</v>
      </c>
      <c r="IN14" s="54">
        <f t="shared" si="31"/>
        <v>-186.99942006650505</v>
      </c>
      <c r="IO14" s="57">
        <f t="shared" si="32"/>
        <v>0</v>
      </c>
      <c r="IP14" s="54">
        <f t="shared" si="33"/>
        <v>0</v>
      </c>
      <c r="IQ14" s="54">
        <f t="shared" si="34"/>
        <v>0</v>
      </c>
      <c r="IR14" s="54">
        <f t="shared" ref="IR14:IR20" si="37">$HU$5</f>
        <v>-1993.7278983160613</v>
      </c>
      <c r="IS14" s="58">
        <f>IF(IC13="-","",SUM(IM14:IR14))</f>
        <v>-684.73195785052599</v>
      </c>
      <c r="IT14" s="54">
        <f t="shared" si="35"/>
        <v>0.51105026601554582</v>
      </c>
      <c r="IV14" s="54">
        <f>IV13</f>
        <v>0</v>
      </c>
      <c r="IW14" s="54">
        <f>IF(IC13="-",0,EJ12)/20</f>
        <v>71.599999999999994</v>
      </c>
      <c r="IY14" s="54">
        <f>IY13</f>
        <v>-5</v>
      </c>
      <c r="IZ14" s="54">
        <f>IF(IC13="-",0,EL12/20)</f>
        <v>0</v>
      </c>
      <c r="JB14" s="54">
        <f>JB13</f>
        <v>0</v>
      </c>
      <c r="JC14" s="54">
        <f>IF(IC13="-",0,IF(F9=ER43,0,-20))</f>
        <v>0</v>
      </c>
      <c r="JE14" s="54">
        <f>JE13</f>
        <v>0</v>
      </c>
      <c r="JF14" s="54">
        <f>IF(IC13="-",JF13,IF(JE15&gt;0,-MAX(IW3:IW272,IZ3:IZ272)*1.5,-MAX(IW3:IW272,IZ3:IZ272)*0.5))</f>
        <v>-112.5</v>
      </c>
      <c r="JH14" s="54">
        <f>IF(IC13=1,ID14,-5)</f>
        <v>0</v>
      </c>
      <c r="JI14" s="54">
        <f>IG14</f>
        <v>2927.2959237370465</v>
      </c>
      <c r="JK14" s="54"/>
      <c r="JL14" s="54"/>
      <c r="JM14" s="39"/>
      <c r="JN14" s="61">
        <f>HT5</f>
        <v>4</v>
      </c>
      <c r="JO14" s="54"/>
      <c r="JP14" s="39"/>
      <c r="JQ14" s="62">
        <f>IL17</f>
        <v>2.0442010640621833</v>
      </c>
      <c r="JR14" s="54"/>
      <c r="JS14" s="39"/>
      <c r="JT14" s="63">
        <f>IS13</f>
        <v>-1993.73</v>
      </c>
      <c r="JU14" s="64"/>
      <c r="JW14" s="125">
        <f>IC13</f>
        <v>1</v>
      </c>
      <c r="JX14" s="123"/>
    </row>
    <row r="15" spans="2:284" ht="14.25" customHeight="1" x14ac:dyDescent="0.2">
      <c r="L15" s="211" t="str">
        <f>IF(F2&gt;=7,7,"-")</f>
        <v>-</v>
      </c>
      <c r="M15" s="212"/>
      <c r="N15" s="193">
        <v>4</v>
      </c>
      <c r="O15" s="207"/>
      <c r="P15" s="193">
        <v>540</v>
      </c>
      <c r="Q15" s="194"/>
      <c r="R15" s="194">
        <v>240</v>
      </c>
      <c r="S15" s="207"/>
      <c r="T15" s="190"/>
      <c r="U15" s="191"/>
      <c r="V15" s="188"/>
      <c r="W15" s="191"/>
      <c r="X15" s="188"/>
      <c r="Y15" s="189"/>
      <c r="Z15" s="190"/>
      <c r="AA15" s="191"/>
      <c r="AB15" s="188"/>
      <c r="AC15" s="191"/>
      <c r="AD15" s="188"/>
      <c r="AE15" s="189"/>
      <c r="AF15" s="190"/>
      <c r="AG15" s="191"/>
      <c r="AH15" s="188"/>
      <c r="AI15" s="191"/>
      <c r="AJ15" s="188"/>
      <c r="AK15" s="189"/>
      <c r="AL15" s="8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96"/>
      <c r="DW15" s="96"/>
      <c r="DX15" s="96"/>
      <c r="DY15" s="96"/>
      <c r="DZ15" s="96"/>
      <c r="EA15" s="96"/>
      <c r="EB15" s="96"/>
      <c r="EC15" s="96"/>
      <c r="ED15" s="96"/>
      <c r="EE15" s="109">
        <v>4</v>
      </c>
      <c r="EF15" s="192">
        <f t="shared" si="13"/>
        <v>192.00000000000003</v>
      </c>
      <c r="EG15" s="192"/>
      <c r="EH15" s="192">
        <f t="shared" si="14"/>
        <v>780</v>
      </c>
      <c r="EI15" s="192"/>
      <c r="EJ15" s="192">
        <f t="shared" si="15"/>
        <v>972</v>
      </c>
      <c r="EK15" s="192"/>
      <c r="EL15" s="192">
        <f t="shared" si="16"/>
        <v>0</v>
      </c>
      <c r="EM15" s="192"/>
      <c r="EN15" s="192">
        <f t="shared" si="17"/>
        <v>0</v>
      </c>
      <c r="EO15" s="192"/>
      <c r="EP15" s="192">
        <f t="shared" si="18"/>
        <v>4</v>
      </c>
      <c r="EQ15" s="192"/>
      <c r="ER15" s="192">
        <f t="shared" si="19"/>
        <v>0</v>
      </c>
      <c r="ES15" s="192"/>
      <c r="ET15" s="192">
        <f t="shared" si="20"/>
        <v>0</v>
      </c>
      <c r="EU15" s="192"/>
      <c r="EV15" s="192">
        <f t="shared" si="21"/>
        <v>4</v>
      </c>
      <c r="EW15" s="192"/>
      <c r="EX15" s="192">
        <f t="shared" si="22"/>
        <v>0</v>
      </c>
      <c r="EY15" s="192"/>
      <c r="EZ15" s="192">
        <f t="shared" si="23"/>
        <v>0</v>
      </c>
      <c r="FA15" s="192"/>
      <c r="FB15" s="192">
        <f t="shared" si="24"/>
        <v>4</v>
      </c>
      <c r="FC15" s="192"/>
      <c r="FH15" s="28"/>
      <c r="FI15" s="100"/>
      <c r="FJ15" s="100"/>
      <c r="FK15" s="98"/>
      <c r="FL15" s="98"/>
      <c r="FM15" s="98"/>
      <c r="FN15" s="98"/>
      <c r="FO15" s="98"/>
      <c r="FP15" s="98"/>
      <c r="FQ15" s="98"/>
      <c r="FR15" s="98"/>
      <c r="FS15" s="98"/>
      <c r="FT15" s="98" t="s">
        <v>20</v>
      </c>
      <c r="FU15" s="170">
        <v>0</v>
      </c>
      <c r="FV15" s="170"/>
      <c r="FW15" s="170"/>
      <c r="FX15" s="170">
        <f>IF(EI3=0,0,(EX12*FB12/EI3)*(EI3^2-FB12^2))</f>
        <v>0</v>
      </c>
      <c r="FY15" s="170"/>
      <c r="FZ15" s="170"/>
      <c r="GA15" s="101"/>
      <c r="GB15" s="172"/>
      <c r="GC15" s="172"/>
      <c r="GD15" s="172"/>
      <c r="GG15" s="22">
        <v>4</v>
      </c>
      <c r="GH15" s="103">
        <v>0</v>
      </c>
      <c r="GI15" s="108">
        <v>0</v>
      </c>
      <c r="GJ15" s="110">
        <f>FK27</f>
        <v>4</v>
      </c>
      <c r="GK15" s="110">
        <f>FN27</f>
        <v>16</v>
      </c>
      <c r="GL15" s="110">
        <f>FQ27</f>
        <v>4</v>
      </c>
      <c r="GM15" s="108">
        <v>0</v>
      </c>
      <c r="GN15" s="108">
        <v>0</v>
      </c>
      <c r="GO15" s="108">
        <v>0</v>
      </c>
      <c r="GP15" s="108">
        <v>0</v>
      </c>
      <c r="GQ15" s="108">
        <v>0</v>
      </c>
      <c r="GR15" s="108">
        <v>0</v>
      </c>
      <c r="GS15" s="108">
        <v>0</v>
      </c>
      <c r="GT15" s="108">
        <v>0</v>
      </c>
      <c r="GU15" s="108">
        <v>0</v>
      </c>
      <c r="GV15" s="108">
        <v>0</v>
      </c>
      <c r="GW15" s="108">
        <v>0</v>
      </c>
      <c r="GX15" s="108">
        <v>0</v>
      </c>
      <c r="GY15" s="108">
        <v>0</v>
      </c>
      <c r="GZ15" s="108">
        <v>0</v>
      </c>
      <c r="HA15" s="108">
        <v>0</v>
      </c>
      <c r="HB15" s="108">
        <v>0</v>
      </c>
      <c r="HC15" s="108">
        <v>0</v>
      </c>
      <c r="HD15" s="108">
        <v>0</v>
      </c>
      <c r="HE15" s="108">
        <v>0</v>
      </c>
      <c r="HF15" s="108">
        <v>0</v>
      </c>
      <c r="HG15" s="103">
        <v>0</v>
      </c>
      <c r="HH15" s="86" t="s">
        <v>61</v>
      </c>
      <c r="HI15" s="35">
        <v>-2231.7749399038457</v>
      </c>
      <c r="HJ15" s="35">
        <v>-2370.2175047798387</v>
      </c>
      <c r="HK15" s="35">
        <v>-2193.4340187823832</v>
      </c>
      <c r="HL15" s="48">
        <v>-2408.246084608314</v>
      </c>
      <c r="HM15" s="104">
        <f t="shared" si="25"/>
        <v>-2193.4340187823832</v>
      </c>
      <c r="HN15" s="105">
        <f>IF($F$2=3,IF($F$10=$ER$44,$FF$40,HM15),HM15)</f>
        <v>-2193.4340187823832</v>
      </c>
      <c r="HO15" s="106"/>
      <c r="HP15" s="106"/>
      <c r="HQ15" s="87"/>
      <c r="HR15" s="153">
        <f t="shared" ref="HR15" si="38">IF(HS15="-","",HS15)</f>
        <v>6</v>
      </c>
      <c r="HS15" s="153">
        <f>IF(F2=5,IF(F10=ER44,"R0",L14),L14)</f>
        <v>6</v>
      </c>
      <c r="HT15" s="159">
        <f>IF(HS15="R0",HT55,EX3)</f>
        <v>4</v>
      </c>
      <c r="HU15" s="38">
        <f>IF(HS15="R0",HU55,IF(F2&lt;6,0,HN17))</f>
        <v>-1409.8289345854923</v>
      </c>
      <c r="HV15" s="35">
        <f>IF(HS15="-",0,IF(HS15="R0",HV55,(EJ17*HT15^2*0.5+EL17*EP17+ER17*EV17+EX17*FB17-HU15+HU16)/HT15))</f>
        <v>2023.082233646373</v>
      </c>
      <c r="HW15" s="35" t="s">
        <v>143</v>
      </c>
      <c r="HX15" s="38" t="s">
        <v>41</v>
      </c>
      <c r="HY15" s="38">
        <f>HY14</f>
        <v>4058.7434018782383</v>
      </c>
      <c r="HZ15" s="161">
        <f>IS67</f>
        <v>695.55</v>
      </c>
      <c r="IA15" s="162">
        <f>IF(IL67=FALSE,"",IL67)</f>
        <v>2.0813603226814537</v>
      </c>
      <c r="IC15" s="164"/>
      <c r="ID15" s="53">
        <f t="shared" si="36"/>
        <v>0</v>
      </c>
      <c r="IE15" s="54" t="s">
        <v>151</v>
      </c>
      <c r="IF15" s="53">
        <f>IF(EL12=0,IF14,EN12)</f>
        <v>0</v>
      </c>
      <c r="IG15" s="54">
        <f>IF(IC13="-",0,IG14-IF(EL12=0,0,EJ12*IF15))</f>
        <v>2927.2959237370465</v>
      </c>
      <c r="IH15" s="28"/>
      <c r="II15" s="54" t="b">
        <f t="shared" si="28"/>
        <v>0</v>
      </c>
      <c r="IJ15" s="55" t="b">
        <f t="shared" ref="IJ15:IJ21" si="39">IF(IF15=IF16,FALSE,TRUE)</f>
        <v>0</v>
      </c>
      <c r="IK15" s="54">
        <f t="shared" si="29"/>
        <v>0</v>
      </c>
      <c r="IL15" s="56">
        <f>IL14*2</f>
        <v>1.0221005320310916</v>
      </c>
      <c r="IM15" s="54">
        <f t="shared" si="30"/>
        <v>2991.9907210640808</v>
      </c>
      <c r="IN15" s="54">
        <f t="shared" si="31"/>
        <v>-747.99768026602021</v>
      </c>
      <c r="IO15" s="57">
        <f t="shared" si="32"/>
        <v>0</v>
      </c>
      <c r="IP15" s="54">
        <f t="shared" si="33"/>
        <v>0</v>
      </c>
      <c r="IQ15" s="54">
        <f t="shared" si="34"/>
        <v>0</v>
      </c>
      <c r="IR15" s="54">
        <f t="shared" si="37"/>
        <v>-1993.7278983160613</v>
      </c>
      <c r="IS15" s="58">
        <f>IF(IC13="-","",SUM(IM15:IR15))</f>
        <v>250.26514248199919</v>
      </c>
      <c r="IT15" s="54">
        <f t="shared" si="35"/>
        <v>1.0221005320310916</v>
      </c>
      <c r="IV15" s="54">
        <f>IF22/2+IV13</f>
        <v>2</v>
      </c>
      <c r="IW15" s="54">
        <f>IW14</f>
        <v>71.599999999999994</v>
      </c>
      <c r="IY15" s="65" t="str">
        <f>IF(IC13="-","",IF(EL12=0,"",EL12))</f>
        <v/>
      </c>
      <c r="IZ15" s="55"/>
      <c r="JB15" s="66" t="str">
        <f>IF(IC13="-","",IF(F9=ER43,"",HY5))</f>
        <v/>
      </c>
      <c r="JC15" s="54"/>
      <c r="JE15" s="66">
        <f>IF(F9=ER43,JB18,JB15)</f>
        <v>2927.2959237370465</v>
      </c>
      <c r="JF15" s="54"/>
      <c r="JH15" s="54"/>
      <c r="JI15" s="54"/>
      <c r="JK15" s="54"/>
      <c r="JL15" s="54"/>
      <c r="JM15" s="39"/>
      <c r="JN15" s="54"/>
      <c r="JO15" s="54"/>
      <c r="JP15" s="39"/>
      <c r="JQ15" s="54"/>
      <c r="JR15" s="54"/>
      <c r="JS15" s="39"/>
      <c r="JT15" s="54"/>
      <c r="JU15" s="54"/>
      <c r="JW15" s="123"/>
      <c r="JX15" s="123"/>
    </row>
    <row r="16" spans="2:284" ht="14.25" customHeight="1" x14ac:dyDescent="0.2">
      <c r="L16" s="211" t="str">
        <f>IF(F2&gt;=8,8,"-")</f>
        <v>-</v>
      </c>
      <c r="M16" s="212"/>
      <c r="N16" s="193">
        <v>4</v>
      </c>
      <c r="O16" s="207"/>
      <c r="P16" s="193">
        <v>540</v>
      </c>
      <c r="Q16" s="194"/>
      <c r="R16" s="194">
        <v>240</v>
      </c>
      <c r="S16" s="207"/>
      <c r="T16" s="190"/>
      <c r="U16" s="191"/>
      <c r="V16" s="188"/>
      <c r="W16" s="191"/>
      <c r="X16" s="188"/>
      <c r="Y16" s="189"/>
      <c r="Z16" s="190"/>
      <c r="AA16" s="191"/>
      <c r="AB16" s="188"/>
      <c r="AC16" s="191"/>
      <c r="AD16" s="188"/>
      <c r="AE16" s="189"/>
      <c r="AF16" s="190"/>
      <c r="AG16" s="191"/>
      <c r="AH16" s="188"/>
      <c r="AI16" s="191"/>
      <c r="AJ16" s="188"/>
      <c r="AK16" s="189"/>
      <c r="AL16" s="8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96"/>
      <c r="DW16" s="96"/>
      <c r="DX16" s="96"/>
      <c r="DY16" s="96"/>
      <c r="DZ16" s="96"/>
      <c r="EA16" s="96"/>
      <c r="EB16" s="96"/>
      <c r="EC16" s="96"/>
      <c r="ED16" s="96"/>
      <c r="EE16" s="109">
        <v>5</v>
      </c>
      <c r="EF16" s="192">
        <f t="shared" si="13"/>
        <v>192.00000000000003</v>
      </c>
      <c r="EG16" s="192"/>
      <c r="EH16" s="192">
        <f t="shared" si="14"/>
        <v>780</v>
      </c>
      <c r="EI16" s="192"/>
      <c r="EJ16" s="192">
        <f t="shared" si="15"/>
        <v>972</v>
      </c>
      <c r="EK16" s="192"/>
      <c r="EL16" s="192">
        <f t="shared" si="16"/>
        <v>0</v>
      </c>
      <c r="EM16" s="192"/>
      <c r="EN16" s="192">
        <f t="shared" si="17"/>
        <v>0</v>
      </c>
      <c r="EO16" s="192"/>
      <c r="EP16" s="192">
        <f t="shared" si="18"/>
        <v>4</v>
      </c>
      <c r="EQ16" s="192"/>
      <c r="ER16" s="192">
        <f t="shared" si="19"/>
        <v>0</v>
      </c>
      <c r="ES16" s="192"/>
      <c r="ET16" s="192">
        <f t="shared" si="20"/>
        <v>0</v>
      </c>
      <c r="EU16" s="192"/>
      <c r="EV16" s="192">
        <f t="shared" si="21"/>
        <v>4</v>
      </c>
      <c r="EW16" s="192"/>
      <c r="EX16" s="192">
        <f t="shared" si="22"/>
        <v>0</v>
      </c>
      <c r="EY16" s="192"/>
      <c r="EZ16" s="192">
        <f t="shared" si="23"/>
        <v>0</v>
      </c>
      <c r="FA16" s="192"/>
      <c r="FB16" s="192">
        <f t="shared" si="24"/>
        <v>4</v>
      </c>
      <c r="FC16" s="192"/>
      <c r="FH16" s="28">
        <v>2</v>
      </c>
      <c r="FI16" s="184" t="s">
        <v>76</v>
      </c>
      <c r="FJ16" s="184"/>
      <c r="FK16" s="234" t="s">
        <v>120</v>
      </c>
      <c r="FL16" s="234"/>
      <c r="FM16" s="234"/>
      <c r="FN16" s="185" t="s">
        <v>55</v>
      </c>
      <c r="FO16" s="185"/>
      <c r="FP16" s="185"/>
      <c r="FQ16" s="185" t="s">
        <v>56</v>
      </c>
      <c r="FR16" s="185"/>
      <c r="FS16" s="185"/>
      <c r="FT16" s="98" t="s">
        <v>57</v>
      </c>
      <c r="FU16" s="187" t="s">
        <v>13</v>
      </c>
      <c r="FV16" s="185"/>
      <c r="FW16" s="185"/>
      <c r="FX16" s="187" t="s">
        <v>14</v>
      </c>
      <c r="FY16" s="185"/>
      <c r="FZ16" s="185"/>
      <c r="GA16" s="98" t="s">
        <v>57</v>
      </c>
      <c r="GB16" s="187" t="s">
        <v>60</v>
      </c>
      <c r="GC16" s="185"/>
      <c r="GD16" s="185"/>
      <c r="GG16" s="22">
        <v>5</v>
      </c>
      <c r="GH16" s="103">
        <v>0</v>
      </c>
      <c r="GI16" s="108">
        <v>0</v>
      </c>
      <c r="GJ16" s="108">
        <v>0</v>
      </c>
      <c r="GK16" s="110">
        <f>FK32</f>
        <v>4</v>
      </c>
      <c r="GL16" s="110">
        <f>FN32</f>
        <v>16</v>
      </c>
      <c r="GM16" s="110">
        <f>FQ32</f>
        <v>4</v>
      </c>
      <c r="GN16" s="108">
        <v>0</v>
      </c>
      <c r="GO16" s="108">
        <v>0</v>
      </c>
      <c r="GP16" s="108">
        <v>0</v>
      </c>
      <c r="GQ16" s="108">
        <v>0</v>
      </c>
      <c r="GR16" s="108">
        <v>0</v>
      </c>
      <c r="GS16" s="108">
        <v>0</v>
      </c>
      <c r="GT16" s="108">
        <v>0</v>
      </c>
      <c r="GU16" s="108">
        <v>0</v>
      </c>
      <c r="GV16" s="108">
        <v>0</v>
      </c>
      <c r="GW16" s="108">
        <v>0</v>
      </c>
      <c r="GX16" s="108">
        <v>0</v>
      </c>
      <c r="GY16" s="108">
        <v>0</v>
      </c>
      <c r="GZ16" s="108">
        <v>0</v>
      </c>
      <c r="HA16" s="108">
        <v>0</v>
      </c>
      <c r="HB16" s="108">
        <v>0</v>
      </c>
      <c r="HC16" s="108">
        <v>0</v>
      </c>
      <c r="HD16" s="108">
        <v>0</v>
      </c>
      <c r="HE16" s="108">
        <v>0</v>
      </c>
      <c r="HF16" s="108">
        <v>0</v>
      </c>
      <c r="HG16" s="103">
        <v>0</v>
      </c>
      <c r="HH16" s="86" t="s">
        <v>70</v>
      </c>
      <c r="HI16" s="35">
        <v>-1032.9600160256409</v>
      </c>
      <c r="HJ16" s="35">
        <v>-383.64587159060147</v>
      </c>
      <c r="HK16" s="35">
        <v>-1043.1842616580311</v>
      </c>
      <c r="HL16" s="48">
        <v>-374.1344091289609</v>
      </c>
      <c r="HM16" s="104">
        <f t="shared" si="25"/>
        <v>-1043.1842616580311</v>
      </c>
      <c r="HN16" s="105">
        <f>IF($F$2=4,IF($F$10=$ER$44,$FF$40,HM16),HM16)</f>
        <v>-1043.1842616580311</v>
      </c>
      <c r="HO16" s="106"/>
      <c r="HP16" s="106"/>
      <c r="HQ16" s="87"/>
      <c r="HR16" s="154"/>
      <c r="HS16" s="154"/>
      <c r="HT16" s="160"/>
      <c r="HU16" s="38">
        <f>IF(F2=6,IF(F10=ER42,0,IF(F10=ER43,HN18,HN18)),IF(F2&lt;6,0,HN18))</f>
        <v>-1093.5</v>
      </c>
      <c r="HV16" s="35" t="s">
        <v>143</v>
      </c>
      <c r="HW16" s="35">
        <f>IF(HS15="-",0,IF(HS15="R0",HW56,HV15-EJ17*HT15-EL17-ER17-EX17))</f>
        <v>-1864.917766353627</v>
      </c>
      <c r="HX16" s="38" t="s">
        <v>46</v>
      </c>
      <c r="HY16" s="38">
        <f>HV17-HW16</f>
        <v>3322.917766353627</v>
      </c>
      <c r="HZ16" s="162"/>
      <c r="IA16" s="162"/>
      <c r="IC16" s="164"/>
      <c r="ID16" s="53">
        <f t="shared" si="36"/>
        <v>0</v>
      </c>
      <c r="IE16" s="54" t="s">
        <v>152</v>
      </c>
      <c r="IF16" s="53">
        <f>IF15</f>
        <v>0</v>
      </c>
      <c r="IG16" s="54">
        <f>IF(IC13="-",0,IG15-EL12)</f>
        <v>2927.2959237370465</v>
      </c>
      <c r="IH16" s="28"/>
      <c r="II16" s="54" t="b">
        <f t="shared" si="28"/>
        <v>0</v>
      </c>
      <c r="IJ16" s="55" t="b">
        <f t="shared" si="39"/>
        <v>0</v>
      </c>
      <c r="IK16" s="54">
        <f t="shared" si="29"/>
        <v>0</v>
      </c>
      <c r="IL16" s="56">
        <f>IL14*3</f>
        <v>1.5331507980466375</v>
      </c>
      <c r="IM16" s="54">
        <f t="shared" si="30"/>
        <v>4487.9860815961219</v>
      </c>
      <c r="IN16" s="54">
        <f t="shared" si="31"/>
        <v>-1682.9947805985455</v>
      </c>
      <c r="IO16" s="57">
        <f t="shared" si="32"/>
        <v>0</v>
      </c>
      <c r="IP16" s="54">
        <f t="shared" si="33"/>
        <v>0</v>
      </c>
      <c r="IQ16" s="54">
        <f t="shared" si="34"/>
        <v>0</v>
      </c>
      <c r="IR16" s="54">
        <f t="shared" si="37"/>
        <v>-1993.7278983160613</v>
      </c>
      <c r="IS16" s="58">
        <f>IF(IC13="-","",SUM(IM16:IR16))</f>
        <v>811.26340268151489</v>
      </c>
      <c r="IT16" s="54">
        <f t="shared" si="35"/>
        <v>1.5331507980466375</v>
      </c>
      <c r="IV16" s="54">
        <f>IV17</f>
        <v>4</v>
      </c>
      <c r="IW16" s="54">
        <f>IW14</f>
        <v>71.599999999999994</v>
      </c>
      <c r="IY16" s="54">
        <f>IF(IC13="-",-5,IF(ER12=0,-5,ID13+ET12))</f>
        <v>-5</v>
      </c>
      <c r="IZ16" s="54">
        <v>0</v>
      </c>
      <c r="JB16" s="64">
        <f>JB13</f>
        <v>0</v>
      </c>
      <c r="JC16" s="64">
        <f>IF(IC13=1,IF(F9=ER43,MAX(IW3:IW272,IZ3:IZ272)*0.75,0),0)</f>
        <v>56.25</v>
      </c>
      <c r="JE16" s="54"/>
      <c r="JF16" s="54"/>
      <c r="JH16" s="54"/>
      <c r="JI16" s="54"/>
      <c r="JK16" s="54"/>
      <c r="JL16" s="54"/>
      <c r="JM16" s="39"/>
      <c r="JN16" s="54"/>
      <c r="JO16" s="54"/>
      <c r="JP16" s="39"/>
      <c r="JQ16" s="54"/>
      <c r="JR16" s="54"/>
      <c r="JS16" s="39"/>
      <c r="JT16" s="54"/>
      <c r="JU16" s="54"/>
      <c r="JW16" s="123"/>
      <c r="JX16" s="123"/>
    </row>
    <row r="17" spans="12:284" ht="14.25" customHeight="1" x14ac:dyDescent="0.2">
      <c r="L17" s="211" t="str">
        <f>IF(F2&gt;=9,9,"-")</f>
        <v>-</v>
      </c>
      <c r="M17" s="212"/>
      <c r="N17" s="193">
        <v>4</v>
      </c>
      <c r="O17" s="207"/>
      <c r="P17" s="193">
        <v>540</v>
      </c>
      <c r="Q17" s="194"/>
      <c r="R17" s="194">
        <v>240</v>
      </c>
      <c r="S17" s="207"/>
      <c r="T17" s="190"/>
      <c r="U17" s="191"/>
      <c r="V17" s="188"/>
      <c r="W17" s="191"/>
      <c r="X17" s="188"/>
      <c r="Y17" s="189"/>
      <c r="Z17" s="190"/>
      <c r="AA17" s="191"/>
      <c r="AB17" s="188"/>
      <c r="AC17" s="191"/>
      <c r="AD17" s="188"/>
      <c r="AE17" s="189"/>
      <c r="AF17" s="190"/>
      <c r="AG17" s="191"/>
      <c r="AH17" s="188"/>
      <c r="AI17" s="191"/>
      <c r="AJ17" s="188"/>
      <c r="AK17" s="189"/>
      <c r="AL17" s="8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96"/>
      <c r="DW17" s="96"/>
      <c r="DX17" s="96"/>
      <c r="DY17" s="96"/>
      <c r="DZ17" s="96"/>
      <c r="EA17" s="96"/>
      <c r="EB17" s="96"/>
      <c r="EC17" s="96"/>
      <c r="ED17" s="96"/>
      <c r="EE17" s="109">
        <v>6</v>
      </c>
      <c r="EF17" s="192">
        <f t="shared" si="13"/>
        <v>192.00000000000003</v>
      </c>
      <c r="EG17" s="192"/>
      <c r="EH17" s="192">
        <f t="shared" si="14"/>
        <v>780</v>
      </c>
      <c r="EI17" s="192"/>
      <c r="EJ17" s="192">
        <f t="shared" si="15"/>
        <v>972</v>
      </c>
      <c r="EK17" s="192"/>
      <c r="EL17" s="192">
        <f t="shared" si="16"/>
        <v>0</v>
      </c>
      <c r="EM17" s="192"/>
      <c r="EN17" s="192">
        <f t="shared" si="17"/>
        <v>0</v>
      </c>
      <c r="EO17" s="192"/>
      <c r="EP17" s="192">
        <f t="shared" si="18"/>
        <v>4</v>
      </c>
      <c r="EQ17" s="192"/>
      <c r="ER17" s="192">
        <f t="shared" si="19"/>
        <v>0</v>
      </c>
      <c r="ES17" s="192"/>
      <c r="ET17" s="192">
        <f t="shared" si="20"/>
        <v>0</v>
      </c>
      <c r="EU17" s="192"/>
      <c r="EV17" s="192">
        <f t="shared" si="21"/>
        <v>4</v>
      </c>
      <c r="EW17" s="192"/>
      <c r="EX17" s="192">
        <f t="shared" si="22"/>
        <v>0</v>
      </c>
      <c r="EY17" s="192"/>
      <c r="EZ17" s="192">
        <f t="shared" si="23"/>
        <v>0</v>
      </c>
      <c r="FA17" s="192"/>
      <c r="FB17" s="192">
        <f t="shared" si="24"/>
        <v>4</v>
      </c>
      <c r="FC17" s="192"/>
      <c r="FH17" s="28"/>
      <c r="FI17" s="100"/>
      <c r="FJ17" s="100"/>
      <c r="FK17" s="201">
        <f>IF(F9=ER44,FF39*EI3,IF(F9=ER42,0,EI3))</f>
        <v>4</v>
      </c>
      <c r="FL17" s="201"/>
      <c r="FM17" s="201"/>
      <c r="FN17" s="235">
        <f>2*(EI3+EL3)</f>
        <v>16</v>
      </c>
      <c r="FO17" s="235"/>
      <c r="FP17" s="235"/>
      <c r="FQ17" s="235">
        <f>IF($F$2=2,(IF(F10=ER43,EL3,IF(F10=ER44,EL3*FF40,0))),IF(F2&gt;2,EL3,0))</f>
        <v>4</v>
      </c>
      <c r="FR17" s="235"/>
      <c r="FS17" s="235"/>
      <c r="FT17" s="98" t="s">
        <v>41</v>
      </c>
      <c r="FU17" s="170">
        <f>(EJ12*EI3^3)/4</f>
        <v>22912</v>
      </c>
      <c r="FV17" s="170"/>
      <c r="FW17" s="170"/>
      <c r="FX17" s="170">
        <f>(EJ13*EL3^3)/4</f>
        <v>22912</v>
      </c>
      <c r="FY17" s="170"/>
      <c r="FZ17" s="170"/>
      <c r="GA17" s="101"/>
      <c r="GB17" s="171">
        <f>-SUM(FU17:FZ20)-IF(F2=2,IF($F$10=$ER$44,FQ17,0))-IF(F2&gt;=2,IF(F9=$ER$44,FK17,0))</f>
        <v>-45824</v>
      </c>
      <c r="GC17" s="171"/>
      <c r="GD17" s="171"/>
      <c r="GG17" s="22">
        <v>6</v>
      </c>
      <c r="GH17" s="103">
        <v>0</v>
      </c>
      <c r="GI17" s="108">
        <v>0</v>
      </c>
      <c r="GJ17" s="108">
        <v>0</v>
      </c>
      <c r="GK17" s="108">
        <v>0</v>
      </c>
      <c r="GL17" s="110">
        <f>FK37</f>
        <v>4</v>
      </c>
      <c r="GM17" s="110">
        <f>FN37</f>
        <v>16</v>
      </c>
      <c r="GN17" s="110">
        <f>FQ37</f>
        <v>-4374</v>
      </c>
      <c r="GO17" s="108">
        <v>0</v>
      </c>
      <c r="GP17" s="108">
        <v>0</v>
      </c>
      <c r="GQ17" s="108">
        <v>0</v>
      </c>
      <c r="GR17" s="108">
        <v>0</v>
      </c>
      <c r="GS17" s="108">
        <v>0</v>
      </c>
      <c r="GT17" s="108">
        <v>0</v>
      </c>
      <c r="GU17" s="108">
        <v>0</v>
      </c>
      <c r="GV17" s="108">
        <v>0</v>
      </c>
      <c r="GW17" s="108">
        <v>0</v>
      </c>
      <c r="GX17" s="108">
        <v>0</v>
      </c>
      <c r="GY17" s="108">
        <v>0</v>
      </c>
      <c r="GZ17" s="108">
        <v>0</v>
      </c>
      <c r="HA17" s="108">
        <v>0</v>
      </c>
      <c r="HB17" s="108">
        <v>0</v>
      </c>
      <c r="HC17" s="108">
        <v>0</v>
      </c>
      <c r="HD17" s="108">
        <v>0</v>
      </c>
      <c r="HE17" s="108">
        <v>0</v>
      </c>
      <c r="HF17" s="108">
        <v>0</v>
      </c>
      <c r="HG17" s="103">
        <v>0</v>
      </c>
      <c r="HH17" s="86" t="s">
        <v>72</v>
      </c>
      <c r="HI17" s="35">
        <v>-1412.3849959935897</v>
      </c>
      <c r="HJ17" s="35">
        <v>-3871.1990088577559</v>
      </c>
      <c r="HK17" s="35">
        <v>-1409.8289345854923</v>
      </c>
      <c r="HL17" s="48">
        <v>-3871.2162788758437</v>
      </c>
      <c r="HM17" s="104">
        <f t="shared" si="25"/>
        <v>-1409.8289345854923</v>
      </c>
      <c r="HN17" s="105">
        <f>IF($F$2=5,IF($F$10=$ER$44,$FF$40,HM17),HM17)</f>
        <v>-1409.8289345854923</v>
      </c>
      <c r="HO17" s="106"/>
      <c r="HP17" s="106"/>
      <c r="HQ17" s="87"/>
      <c r="HR17" s="153" t="str">
        <f t="shared" ref="HR17" si="40">IF(HS17="-","",HS17)</f>
        <v>R0</v>
      </c>
      <c r="HS17" s="155" t="str">
        <f>IF(F2=6,IF(F10=ER44,"R0",L15),L15)</f>
        <v>R0</v>
      </c>
      <c r="HT17" s="157">
        <f>IF(HS17="R0",HT55,FA3)</f>
        <v>1.5</v>
      </c>
      <c r="HU17" s="54">
        <f>IF(HS17="R0",HU55,IF(F2&lt;7,0,HN18))</f>
        <v>-1093.5</v>
      </c>
      <c r="HV17" s="54">
        <f>IF(HS17="-",0,IF(HS17="R0",HV55,(EJ18*HT17^2*0.5+EL18*EP18+ER18*EV18+EX18*FB18-HU17+HU18)/HT17))</f>
        <v>1458</v>
      </c>
      <c r="HW17" s="54" t="s">
        <v>143</v>
      </c>
      <c r="HX17" s="54" t="s">
        <v>41</v>
      </c>
      <c r="HY17" s="54">
        <f>HY16</f>
        <v>3322.917766353627</v>
      </c>
      <c r="HZ17" s="163" t="str">
        <f>IS77</f>
        <v/>
      </c>
      <c r="IA17" s="164" t="str">
        <f>IF(IL77=FALSE,"",IL77)</f>
        <v/>
      </c>
      <c r="IC17" s="164"/>
      <c r="ID17" s="53">
        <f t="shared" si="36"/>
        <v>0</v>
      </c>
      <c r="IE17" s="54" t="s">
        <v>153</v>
      </c>
      <c r="IF17" s="53">
        <f>IF(ER12=0,IF16,ET12)</f>
        <v>0</v>
      </c>
      <c r="IG17" s="54">
        <f>IF(IC13="-",0,IG16-IF(ER12=0,0,EJ12*(IF17-IF16)))</f>
        <v>2927.2959237370465</v>
      </c>
      <c r="IH17" s="28"/>
      <c r="II17" s="54" t="b">
        <f t="shared" si="28"/>
        <v>0</v>
      </c>
      <c r="IJ17" s="55" t="b">
        <f>IF(IF17=IF18,FALSE,TRUE)</f>
        <v>0</v>
      </c>
      <c r="IK17" s="54">
        <f t="shared" si="29"/>
        <v>0</v>
      </c>
      <c r="IL17" s="67">
        <f>IF(II13=TRUE,IK13,IF(II14=TRUE,IK14,IF(II15=TRUE,IK15,IF(II16=TRUE,IK16,IF(II17=TRUE,IK17,IF(II18=TRUE,IK18,IF(II19=TRUE,IK19,IF(II20=TRUE,IK20,IF(II21=TRUE,IK21,IF(II22=TRUE,IK22,0))))))))))</f>
        <v>2.0442010640621833</v>
      </c>
      <c r="IM17" s="68">
        <f t="shared" si="30"/>
        <v>5983.9814421281617</v>
      </c>
      <c r="IN17" s="68">
        <f t="shared" si="31"/>
        <v>-2991.9907210640808</v>
      </c>
      <c r="IO17" s="69">
        <f t="shared" si="32"/>
        <v>0</v>
      </c>
      <c r="IP17" s="68">
        <f t="shared" si="33"/>
        <v>0</v>
      </c>
      <c r="IQ17" s="68">
        <f t="shared" si="34"/>
        <v>0</v>
      </c>
      <c r="IR17" s="68">
        <f t="shared" si="37"/>
        <v>-1993.7278983160613</v>
      </c>
      <c r="IS17" s="70">
        <f>IF(IC13="-","",ROUND(SUM(IM17:IR17),2))</f>
        <v>998.26</v>
      </c>
      <c r="IT17" s="68">
        <f t="shared" si="35"/>
        <v>2.0442010640621833</v>
      </c>
      <c r="IV17" s="54">
        <f>ID22</f>
        <v>4</v>
      </c>
      <c r="IW17" s="54">
        <v>0</v>
      </c>
      <c r="IY17" s="54">
        <f>IY16</f>
        <v>-5</v>
      </c>
      <c r="IZ17" s="54">
        <f>IF(IC13="-",0,ER12/20)</f>
        <v>0</v>
      </c>
      <c r="JB17" s="64">
        <f>JB16</f>
        <v>0</v>
      </c>
      <c r="JC17" s="64">
        <f>IF(IC13=1,IF(F9=ER43,-MAX(IW3:IW272,IZ3:IZ272)*0.75,0),0)</f>
        <v>-56.25</v>
      </c>
      <c r="JE17" s="54"/>
      <c r="JF17" s="54"/>
      <c r="JH17" s="54"/>
      <c r="JI17" s="54"/>
      <c r="JK17" s="54">
        <f>IF(IC13=1,IT17,-5)</f>
        <v>2.0442010640621833</v>
      </c>
      <c r="JL17" s="59">
        <f>IS17</f>
        <v>998.26</v>
      </c>
      <c r="JM17" s="40"/>
      <c r="JN17" s="59"/>
      <c r="JO17" s="59"/>
      <c r="JP17" s="40"/>
      <c r="JQ17" s="59"/>
      <c r="JR17" s="59"/>
      <c r="JS17" s="40"/>
      <c r="JT17" s="54"/>
      <c r="JU17" s="54"/>
      <c r="JW17" s="122"/>
      <c r="JX17" s="122"/>
    </row>
    <row r="18" spans="12:284" ht="14.25" customHeight="1" x14ac:dyDescent="0.2">
      <c r="L18" s="211" t="str">
        <f>IF(F2&gt;=10,10,"-")</f>
        <v>-</v>
      </c>
      <c r="M18" s="212"/>
      <c r="N18" s="193">
        <v>4</v>
      </c>
      <c r="O18" s="207"/>
      <c r="P18" s="193">
        <v>540</v>
      </c>
      <c r="Q18" s="194"/>
      <c r="R18" s="194">
        <v>240</v>
      </c>
      <c r="S18" s="207"/>
      <c r="T18" s="190"/>
      <c r="U18" s="191"/>
      <c r="V18" s="188"/>
      <c r="W18" s="191"/>
      <c r="X18" s="188"/>
      <c r="Y18" s="189"/>
      <c r="Z18" s="190"/>
      <c r="AA18" s="191"/>
      <c r="AB18" s="188"/>
      <c r="AC18" s="191"/>
      <c r="AD18" s="188"/>
      <c r="AE18" s="189"/>
      <c r="AF18" s="190"/>
      <c r="AG18" s="191"/>
      <c r="AH18" s="188"/>
      <c r="AI18" s="191"/>
      <c r="AJ18" s="188"/>
      <c r="AK18" s="189"/>
      <c r="AL18" s="8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96"/>
      <c r="DW18" s="96"/>
      <c r="DX18" s="96"/>
      <c r="DY18" s="96"/>
      <c r="DZ18" s="96"/>
      <c r="EA18" s="96"/>
      <c r="EB18" s="96"/>
      <c r="EC18" s="96"/>
      <c r="ED18" s="96"/>
      <c r="EE18" s="109">
        <v>7</v>
      </c>
      <c r="EF18" s="192">
        <f t="shared" si="13"/>
        <v>192.00000000000003</v>
      </c>
      <c r="EG18" s="192"/>
      <c r="EH18" s="192">
        <f t="shared" si="14"/>
        <v>780</v>
      </c>
      <c r="EI18" s="192"/>
      <c r="EJ18" s="192">
        <f t="shared" si="15"/>
        <v>972</v>
      </c>
      <c r="EK18" s="192"/>
      <c r="EL18" s="192">
        <f t="shared" si="16"/>
        <v>0</v>
      </c>
      <c r="EM18" s="192"/>
      <c r="EN18" s="192">
        <f t="shared" si="17"/>
        <v>0</v>
      </c>
      <c r="EO18" s="192"/>
      <c r="EP18" s="192">
        <f t="shared" si="18"/>
        <v>4</v>
      </c>
      <c r="EQ18" s="192"/>
      <c r="ER18" s="192">
        <f t="shared" si="19"/>
        <v>0</v>
      </c>
      <c r="ES18" s="192"/>
      <c r="ET18" s="192">
        <f t="shared" si="20"/>
        <v>0</v>
      </c>
      <c r="EU18" s="192"/>
      <c r="EV18" s="192">
        <f t="shared" si="21"/>
        <v>4</v>
      </c>
      <c r="EW18" s="192"/>
      <c r="EX18" s="192">
        <f t="shared" si="22"/>
        <v>0</v>
      </c>
      <c r="EY18" s="192"/>
      <c r="EZ18" s="192">
        <f t="shared" si="23"/>
        <v>0</v>
      </c>
      <c r="FA18" s="192"/>
      <c r="FB18" s="192">
        <f t="shared" si="24"/>
        <v>4</v>
      </c>
      <c r="FC18" s="192"/>
      <c r="FH18" s="28"/>
      <c r="FI18" s="100"/>
      <c r="FJ18" s="100"/>
      <c r="FK18" s="98"/>
      <c r="FL18" s="98"/>
      <c r="FM18" s="98"/>
      <c r="FN18" s="98"/>
      <c r="FO18" s="98"/>
      <c r="FP18" s="98"/>
      <c r="FQ18" s="98"/>
      <c r="FR18" s="98"/>
      <c r="FS18" s="98"/>
      <c r="FT18" s="98" t="s">
        <v>17</v>
      </c>
      <c r="FU18" s="170">
        <f>IF(EI3=0,0,(EL12*EN12/EI3)*(EI3^2-EN12^2))</f>
        <v>0</v>
      </c>
      <c r="FV18" s="170"/>
      <c r="FW18" s="170"/>
      <c r="FX18" s="170">
        <f>IF(EL3=0,0,(EL13*EP13/EL3)*(EL3^2-EP13^2))</f>
        <v>0</v>
      </c>
      <c r="FY18" s="170"/>
      <c r="FZ18" s="170"/>
      <c r="GA18" s="101"/>
      <c r="GB18" s="170"/>
      <c r="GC18" s="170"/>
      <c r="GD18" s="170"/>
      <c r="GG18" s="22">
        <v>7</v>
      </c>
      <c r="GH18" s="103">
        <v>0</v>
      </c>
      <c r="GI18" s="108">
        <v>0</v>
      </c>
      <c r="GJ18" s="108">
        <v>0</v>
      </c>
      <c r="GK18" s="108">
        <v>0</v>
      </c>
      <c r="GL18" s="108">
        <v>0</v>
      </c>
      <c r="GM18" s="110">
        <f>FK42</f>
        <v>4</v>
      </c>
      <c r="GN18" s="110">
        <f>FN42</f>
        <v>8</v>
      </c>
      <c r="GO18" s="110">
        <f>FQ42</f>
        <v>0</v>
      </c>
      <c r="GP18" s="108">
        <v>0</v>
      </c>
      <c r="GQ18" s="108">
        <v>0</v>
      </c>
      <c r="GR18" s="108">
        <v>0</v>
      </c>
      <c r="GS18" s="108">
        <v>0</v>
      </c>
      <c r="GT18" s="108">
        <v>0</v>
      </c>
      <c r="GU18" s="108">
        <v>0</v>
      </c>
      <c r="GV18" s="108">
        <v>0</v>
      </c>
      <c r="GW18" s="108">
        <v>0</v>
      </c>
      <c r="GX18" s="108">
        <v>0</v>
      </c>
      <c r="GY18" s="108">
        <v>0</v>
      </c>
      <c r="GZ18" s="108">
        <v>0</v>
      </c>
      <c r="HA18" s="108">
        <v>0</v>
      </c>
      <c r="HB18" s="108">
        <v>0</v>
      </c>
      <c r="HC18" s="108">
        <v>0</v>
      </c>
      <c r="HD18" s="108">
        <v>0</v>
      </c>
      <c r="HE18" s="108">
        <v>0</v>
      </c>
      <c r="HF18" s="108">
        <v>0</v>
      </c>
      <c r="HG18" s="103">
        <v>0</v>
      </c>
      <c r="HH18" s="86" t="s">
        <v>79</v>
      </c>
      <c r="HI18" s="35" t="e">
        <v>#N/A</v>
      </c>
      <c r="HJ18" s="35">
        <v>-8.4004955711217431</v>
      </c>
      <c r="HK18" s="35" t="e">
        <v>#N/A</v>
      </c>
      <c r="HL18" s="48">
        <v>-8.3918605620780387</v>
      </c>
      <c r="HM18" s="104" t="e">
        <f t="shared" si="25"/>
        <v>#N/A</v>
      </c>
      <c r="HN18" s="105">
        <f>IF($F$2=6,IF($F$10=$ER$44,$FF$40,HM18),HM18)</f>
        <v>-1093.5</v>
      </c>
      <c r="HO18" s="106"/>
      <c r="HP18" s="106"/>
      <c r="HQ18" s="87"/>
      <c r="HR18" s="154"/>
      <c r="HS18" s="156"/>
      <c r="HT18" s="158"/>
      <c r="HU18" s="54">
        <f>IF(F2=7,IF(F10=ER42,0,IF(F10=ER43,HN19,HN19)),IF(F2&lt;7,0,HN19))</f>
        <v>0</v>
      </c>
      <c r="HV18" s="54" t="s">
        <v>143</v>
      </c>
      <c r="HW18" s="54">
        <f>IF(HS17="-",0,IF(HS17="R0",HW56,HV17-EJ18*HT17-EL18-ER18-EX18))</f>
        <v>0</v>
      </c>
      <c r="HX18" s="54" t="s">
        <v>46</v>
      </c>
      <c r="HY18" s="54">
        <f>HV19-HW18</f>
        <v>0</v>
      </c>
      <c r="HZ18" s="164"/>
      <c r="IA18" s="164"/>
      <c r="IC18" s="164"/>
      <c r="ID18" s="53">
        <f t="shared" si="36"/>
        <v>0</v>
      </c>
      <c r="IE18" s="54" t="s">
        <v>154</v>
      </c>
      <c r="IF18" s="53">
        <f>IF17</f>
        <v>0</v>
      </c>
      <c r="IG18" s="54">
        <f>IF(IC13="-",0,IG17-ER12)</f>
        <v>2927.2959237370465</v>
      </c>
      <c r="IH18" s="28"/>
      <c r="II18" s="54" t="b">
        <f t="shared" si="28"/>
        <v>0</v>
      </c>
      <c r="IJ18" s="55" t="b">
        <f t="shared" si="39"/>
        <v>0</v>
      </c>
      <c r="IK18" s="54">
        <f t="shared" si="29"/>
        <v>0</v>
      </c>
      <c r="IL18" s="56">
        <f>IL17+($IL$22-$IL$17)/4</f>
        <v>2.5331507980466377</v>
      </c>
      <c r="IM18" s="54">
        <f t="shared" si="30"/>
        <v>7415.2820053331689</v>
      </c>
      <c r="IN18" s="54">
        <f t="shared" si="31"/>
        <v>-4594.4667234013314</v>
      </c>
      <c r="IO18" s="57">
        <f t="shared" si="32"/>
        <v>0</v>
      </c>
      <c r="IP18" s="54">
        <f t="shared" si="33"/>
        <v>0</v>
      </c>
      <c r="IQ18" s="54">
        <f t="shared" si="34"/>
        <v>0</v>
      </c>
      <c r="IR18" s="54">
        <f t="shared" si="37"/>
        <v>-1993.7278983160613</v>
      </c>
      <c r="IS18" s="58">
        <f>IF(IC13="-","",SUM(IM18:IR18))</f>
        <v>827.08738361577616</v>
      </c>
      <c r="IT18" s="54">
        <f t="shared" si="35"/>
        <v>2.5331507980466377</v>
      </c>
      <c r="IV18" s="54"/>
      <c r="IW18" s="54"/>
      <c r="IY18" s="65" t="str">
        <f>IF(IC13="-","",IF(ER12=0,"",ER12))</f>
        <v/>
      </c>
      <c r="IZ18" s="55"/>
      <c r="JB18" s="71">
        <f>IF(IC13=1,IF(F9=ER43,HY5,""),"")</f>
        <v>2927.2959237370465</v>
      </c>
      <c r="JC18" s="64"/>
      <c r="JE18" s="54"/>
      <c r="JF18" s="54"/>
      <c r="JH18" s="54"/>
      <c r="JI18" s="54"/>
      <c r="JK18" s="54"/>
      <c r="JL18" s="54"/>
      <c r="JM18" s="39"/>
      <c r="JN18" s="54"/>
      <c r="JO18" s="54"/>
      <c r="JP18" s="39"/>
      <c r="JQ18" s="59"/>
      <c r="JR18" s="54"/>
      <c r="JS18" s="39"/>
      <c r="JT18" s="54"/>
      <c r="JU18" s="54"/>
      <c r="JW18" s="123"/>
      <c r="JX18" s="123"/>
    </row>
    <row r="19" spans="12:284" ht="14.25" customHeight="1" x14ac:dyDescent="0.2">
      <c r="L19" s="211" t="str">
        <f>IF(F2&gt;=11,11,"-")</f>
        <v>-</v>
      </c>
      <c r="M19" s="212"/>
      <c r="N19" s="193">
        <v>4</v>
      </c>
      <c r="O19" s="207"/>
      <c r="P19" s="193">
        <v>540</v>
      </c>
      <c r="Q19" s="194"/>
      <c r="R19" s="194">
        <v>240</v>
      </c>
      <c r="S19" s="207"/>
      <c r="T19" s="190"/>
      <c r="U19" s="191"/>
      <c r="V19" s="188"/>
      <c r="W19" s="191"/>
      <c r="X19" s="188"/>
      <c r="Y19" s="189"/>
      <c r="Z19" s="190"/>
      <c r="AA19" s="191"/>
      <c r="AB19" s="188"/>
      <c r="AC19" s="191"/>
      <c r="AD19" s="188"/>
      <c r="AE19" s="189"/>
      <c r="AF19" s="190"/>
      <c r="AG19" s="191"/>
      <c r="AH19" s="188"/>
      <c r="AI19" s="191"/>
      <c r="AJ19" s="188"/>
      <c r="AK19" s="189"/>
      <c r="AL19" s="8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96"/>
      <c r="DW19" s="96"/>
      <c r="DX19" s="96"/>
      <c r="DY19" s="96"/>
      <c r="DZ19" s="96"/>
      <c r="EA19" s="96"/>
      <c r="EB19" s="96"/>
      <c r="EC19" s="96"/>
      <c r="ED19" s="96"/>
      <c r="EE19" s="109">
        <v>8</v>
      </c>
      <c r="EF19" s="192">
        <f t="shared" si="13"/>
        <v>192.00000000000003</v>
      </c>
      <c r="EG19" s="192"/>
      <c r="EH19" s="192">
        <f t="shared" si="14"/>
        <v>780</v>
      </c>
      <c r="EI19" s="192"/>
      <c r="EJ19" s="192">
        <f t="shared" si="15"/>
        <v>972</v>
      </c>
      <c r="EK19" s="192"/>
      <c r="EL19" s="192">
        <f t="shared" si="16"/>
        <v>0</v>
      </c>
      <c r="EM19" s="192"/>
      <c r="EN19" s="192">
        <f t="shared" si="17"/>
        <v>0</v>
      </c>
      <c r="EO19" s="192"/>
      <c r="EP19" s="192">
        <f t="shared" si="18"/>
        <v>4</v>
      </c>
      <c r="EQ19" s="192"/>
      <c r="ER19" s="192">
        <f t="shared" si="19"/>
        <v>0</v>
      </c>
      <c r="ES19" s="192"/>
      <c r="ET19" s="192">
        <f t="shared" si="20"/>
        <v>0</v>
      </c>
      <c r="EU19" s="192"/>
      <c r="EV19" s="192">
        <f t="shared" si="21"/>
        <v>4</v>
      </c>
      <c r="EW19" s="192"/>
      <c r="EX19" s="192">
        <f t="shared" si="22"/>
        <v>0</v>
      </c>
      <c r="EY19" s="192"/>
      <c r="EZ19" s="192">
        <f t="shared" si="23"/>
        <v>0</v>
      </c>
      <c r="FA19" s="192"/>
      <c r="FB19" s="192">
        <f t="shared" si="24"/>
        <v>4</v>
      </c>
      <c r="FC19" s="192"/>
      <c r="FH19" s="28"/>
      <c r="FI19" s="100"/>
      <c r="FJ19" s="100"/>
      <c r="FK19" s="98"/>
      <c r="FL19" s="98"/>
      <c r="FM19" s="98"/>
      <c r="FN19" s="98"/>
      <c r="FO19" s="98"/>
      <c r="FP19" s="98"/>
      <c r="FQ19" s="98"/>
      <c r="FR19" s="98"/>
      <c r="FS19" s="98"/>
      <c r="FT19" s="98" t="s">
        <v>19</v>
      </c>
      <c r="FU19" s="170">
        <f>IF(EI3=0,0,(ER12*ET12/EI3)*(EI3^2-ET12^2))</f>
        <v>0</v>
      </c>
      <c r="FV19" s="170"/>
      <c r="FW19" s="170"/>
      <c r="FX19" s="170">
        <f>IF(EL3=0,0,(ER13*EV13/EL3)*(EL3^2-EV13^2))</f>
        <v>0</v>
      </c>
      <c r="FY19" s="170"/>
      <c r="FZ19" s="170"/>
      <c r="GA19" s="101"/>
      <c r="GB19" s="170"/>
      <c r="GC19" s="170"/>
      <c r="GD19" s="170"/>
      <c r="GG19" s="22">
        <v>8</v>
      </c>
      <c r="GH19" s="103">
        <v>0</v>
      </c>
      <c r="GI19" s="108">
        <v>0</v>
      </c>
      <c r="GJ19" s="108">
        <v>0</v>
      </c>
      <c r="GK19" s="108">
        <v>0</v>
      </c>
      <c r="GL19" s="108">
        <v>0</v>
      </c>
      <c r="GM19" s="108">
        <v>0</v>
      </c>
      <c r="GN19" s="110">
        <f>FK47</f>
        <v>0</v>
      </c>
      <c r="GO19" s="110">
        <f>FN47</f>
        <v>0</v>
      </c>
      <c r="GP19" s="110">
        <f>FQ47</f>
        <v>0</v>
      </c>
      <c r="GQ19" s="108">
        <v>0</v>
      </c>
      <c r="GR19" s="108">
        <v>0</v>
      </c>
      <c r="GS19" s="108">
        <v>0</v>
      </c>
      <c r="GT19" s="108">
        <v>0</v>
      </c>
      <c r="GU19" s="108">
        <v>0</v>
      </c>
      <c r="GV19" s="108">
        <v>0</v>
      </c>
      <c r="GW19" s="108">
        <v>0</v>
      </c>
      <c r="GX19" s="108">
        <v>0</v>
      </c>
      <c r="GY19" s="108">
        <v>0</v>
      </c>
      <c r="GZ19" s="108">
        <v>0</v>
      </c>
      <c r="HA19" s="108">
        <v>0</v>
      </c>
      <c r="HB19" s="108">
        <v>0</v>
      </c>
      <c r="HC19" s="108">
        <v>0</v>
      </c>
      <c r="HD19" s="108">
        <v>0</v>
      </c>
      <c r="HE19" s="108">
        <v>0</v>
      </c>
      <c r="HF19" s="108">
        <v>0</v>
      </c>
      <c r="HG19" s="103">
        <v>0</v>
      </c>
      <c r="HH19" s="86" t="s">
        <v>81</v>
      </c>
      <c r="HI19" s="35" t="e">
        <v>#N/A</v>
      </c>
      <c r="HJ19" s="35" t="e">
        <v>#N/A</v>
      </c>
      <c r="HK19" s="35" t="e">
        <v>#N/A</v>
      </c>
      <c r="HL19" s="48" t="e">
        <v>#N/A</v>
      </c>
      <c r="HM19" s="104" t="e">
        <f t="shared" si="25"/>
        <v>#N/A</v>
      </c>
      <c r="HN19" s="105" t="e">
        <f>IF($F$2=7,IF($F$10=$ER$44,$FF$40,HM19),HM19)</f>
        <v>#N/A</v>
      </c>
      <c r="HO19" s="106"/>
      <c r="HP19" s="106"/>
      <c r="HQ19" s="87"/>
      <c r="HR19" s="153" t="str">
        <f t="shared" ref="HR19" si="41">IF(HS19="-","",HS19)</f>
        <v/>
      </c>
      <c r="HS19" s="153" t="str">
        <f>IF(F2=7,IF(F10=ER44,"R0",L16),L16)</f>
        <v>-</v>
      </c>
      <c r="HT19" s="159">
        <f>IF(HS19="R0",HT55,FD3)</f>
        <v>0</v>
      </c>
      <c r="HU19" s="38">
        <f>IF(HS19="R0",HU55,IF(F2&lt;8,0,HN19))</f>
        <v>0</v>
      </c>
      <c r="HV19" s="35">
        <f>IF(HS19="-",0,IF(HS19="R0",HV55,(EJ19*HT19^2*0.5+EL19*EP19+ER19*EV19+EX19*FB19-HU19+HU20)/HT19))</f>
        <v>0</v>
      </c>
      <c r="HW19" s="35" t="s">
        <v>143</v>
      </c>
      <c r="HX19" s="38" t="s">
        <v>41</v>
      </c>
      <c r="HY19" s="38">
        <f>HY18</f>
        <v>0</v>
      </c>
      <c r="HZ19" s="161" t="str">
        <f>IS87</f>
        <v/>
      </c>
      <c r="IA19" s="162" t="str">
        <f>IF(IL87=FALSE,"",IL87)</f>
        <v/>
      </c>
      <c r="IC19" s="164"/>
      <c r="ID19" s="53">
        <f t="shared" si="36"/>
        <v>0</v>
      </c>
      <c r="IE19" s="54" t="s">
        <v>155</v>
      </c>
      <c r="IF19" s="53">
        <f>IF(EX12=0,IF18,EZ12)</f>
        <v>0</v>
      </c>
      <c r="IG19" s="54">
        <f>IF(IC13="-",0,IG18-IF(EX12=0,0,EJ12*(IF19-IF18)))</f>
        <v>2927.2959237370465</v>
      </c>
      <c r="IH19" s="28"/>
      <c r="II19" s="54" t="b">
        <f t="shared" si="28"/>
        <v>0</v>
      </c>
      <c r="IJ19" s="55" t="b">
        <f t="shared" si="39"/>
        <v>0</v>
      </c>
      <c r="IK19" s="54">
        <f t="shared" si="29"/>
        <v>0</v>
      </c>
      <c r="IL19" s="56">
        <f>IL18+($IL$22-$IL$17)/4</f>
        <v>3.0221005320310921</v>
      </c>
      <c r="IM19" s="54">
        <f t="shared" si="30"/>
        <v>8846.5825685381751</v>
      </c>
      <c r="IN19" s="54">
        <f t="shared" si="31"/>
        <v>-6539.293604003069</v>
      </c>
      <c r="IO19" s="57">
        <f t="shared" si="32"/>
        <v>0</v>
      </c>
      <c r="IP19" s="54">
        <f t="shared" si="33"/>
        <v>0</v>
      </c>
      <c r="IQ19" s="54">
        <f t="shared" si="34"/>
        <v>0</v>
      </c>
      <c r="IR19" s="54">
        <f t="shared" si="37"/>
        <v>-1993.7278983160613</v>
      </c>
      <c r="IS19" s="58">
        <f>IF(IC13="-","",SUM(IM19:IR19))</f>
        <v>313.56106621904473</v>
      </c>
      <c r="IT19" s="54">
        <f t="shared" si="35"/>
        <v>3.0221005320310921</v>
      </c>
      <c r="IV19" s="72">
        <f>IF(IC13="-","",EJ12)</f>
        <v>1432</v>
      </c>
      <c r="IW19" s="54"/>
      <c r="IY19" s="54">
        <f>IF(IC13="-",-5,IF(EX12=0,-5,ID13+EZ12))</f>
        <v>-5</v>
      </c>
      <c r="IZ19" s="54">
        <v>0</v>
      </c>
      <c r="JB19" s="54"/>
      <c r="JC19" s="54"/>
      <c r="JE19" s="54"/>
      <c r="JF19" s="54"/>
      <c r="JH19" s="54"/>
      <c r="JI19" s="54"/>
      <c r="JK19" s="54"/>
      <c r="JL19" s="54"/>
      <c r="JM19" s="39"/>
      <c r="JN19" s="54"/>
      <c r="JO19" s="54"/>
      <c r="JP19" s="39"/>
      <c r="JQ19" s="54"/>
      <c r="JR19" s="54"/>
      <c r="JS19" s="39"/>
      <c r="JT19" s="54"/>
      <c r="JU19" s="54"/>
      <c r="JW19" s="123"/>
      <c r="JX19" s="123"/>
    </row>
    <row r="20" spans="12:284" ht="14.25" customHeight="1" x14ac:dyDescent="0.2">
      <c r="L20" s="211" t="str">
        <f>IF(F2&gt;=12,12,"-")</f>
        <v>-</v>
      </c>
      <c r="M20" s="212"/>
      <c r="N20" s="193">
        <v>4</v>
      </c>
      <c r="O20" s="207"/>
      <c r="P20" s="193">
        <v>540</v>
      </c>
      <c r="Q20" s="194"/>
      <c r="R20" s="194">
        <v>240</v>
      </c>
      <c r="S20" s="207"/>
      <c r="T20" s="190"/>
      <c r="U20" s="191"/>
      <c r="V20" s="188"/>
      <c r="W20" s="191"/>
      <c r="X20" s="188"/>
      <c r="Y20" s="189"/>
      <c r="Z20" s="190"/>
      <c r="AA20" s="191"/>
      <c r="AB20" s="188"/>
      <c r="AC20" s="191"/>
      <c r="AD20" s="188"/>
      <c r="AE20" s="189"/>
      <c r="AF20" s="190"/>
      <c r="AG20" s="191"/>
      <c r="AH20" s="188"/>
      <c r="AI20" s="191"/>
      <c r="AJ20" s="188"/>
      <c r="AK20" s="189"/>
      <c r="AL20" s="8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96"/>
      <c r="DW20" s="96"/>
      <c r="DX20" s="96"/>
      <c r="DY20" s="96"/>
      <c r="DZ20" s="96"/>
      <c r="EA20" s="96"/>
      <c r="EB20" s="96"/>
      <c r="EC20" s="96"/>
      <c r="ED20" s="96"/>
      <c r="EE20" s="109">
        <v>9</v>
      </c>
      <c r="EF20" s="192">
        <f t="shared" si="13"/>
        <v>192.00000000000003</v>
      </c>
      <c r="EG20" s="192"/>
      <c r="EH20" s="192">
        <f t="shared" si="14"/>
        <v>780</v>
      </c>
      <c r="EI20" s="192"/>
      <c r="EJ20" s="192">
        <f t="shared" si="15"/>
        <v>972</v>
      </c>
      <c r="EK20" s="192"/>
      <c r="EL20" s="192">
        <f t="shared" si="16"/>
        <v>0</v>
      </c>
      <c r="EM20" s="192"/>
      <c r="EN20" s="192">
        <f t="shared" si="17"/>
        <v>0</v>
      </c>
      <c r="EO20" s="192"/>
      <c r="EP20" s="192">
        <f t="shared" si="18"/>
        <v>4</v>
      </c>
      <c r="EQ20" s="192"/>
      <c r="ER20" s="192">
        <f t="shared" si="19"/>
        <v>0</v>
      </c>
      <c r="ES20" s="192"/>
      <c r="ET20" s="192">
        <f t="shared" si="20"/>
        <v>0</v>
      </c>
      <c r="EU20" s="192"/>
      <c r="EV20" s="192">
        <f t="shared" si="21"/>
        <v>4</v>
      </c>
      <c r="EW20" s="192"/>
      <c r="EX20" s="192">
        <f t="shared" si="22"/>
        <v>0</v>
      </c>
      <c r="EY20" s="192"/>
      <c r="EZ20" s="192">
        <f t="shared" si="23"/>
        <v>0</v>
      </c>
      <c r="FA20" s="192"/>
      <c r="FB20" s="192">
        <f t="shared" si="24"/>
        <v>4</v>
      </c>
      <c r="FC20" s="192"/>
      <c r="FH20" s="28"/>
      <c r="FI20" s="100"/>
      <c r="FJ20" s="100"/>
      <c r="FK20" s="98"/>
      <c r="FL20" s="98"/>
      <c r="FM20" s="98"/>
      <c r="FN20" s="98"/>
      <c r="FO20" s="98"/>
      <c r="FP20" s="98"/>
      <c r="FQ20" s="98"/>
      <c r="FR20" s="98"/>
      <c r="FS20" s="98"/>
      <c r="FT20" s="98" t="s">
        <v>20</v>
      </c>
      <c r="FU20" s="170">
        <f>IF(EI3=0,0,(EX12*EZ12/EI3)*(EI3^2-EZ12^2))</f>
        <v>0</v>
      </c>
      <c r="FV20" s="170"/>
      <c r="FW20" s="170"/>
      <c r="FX20" s="170">
        <f>IF(EL3=0,0,(EX13*FB13/EL3)*(EL3^2-FB13^2))</f>
        <v>0</v>
      </c>
      <c r="FY20" s="170"/>
      <c r="FZ20" s="170"/>
      <c r="GA20" s="101"/>
      <c r="GB20" s="172"/>
      <c r="GC20" s="172"/>
      <c r="GD20" s="172"/>
      <c r="GG20" s="22">
        <v>9</v>
      </c>
      <c r="GH20" s="103">
        <v>0</v>
      </c>
      <c r="GI20" s="108">
        <v>0</v>
      </c>
      <c r="GJ20" s="108">
        <v>0</v>
      </c>
      <c r="GK20" s="108">
        <v>0</v>
      </c>
      <c r="GL20" s="108">
        <v>0</v>
      </c>
      <c r="GM20" s="108">
        <v>0</v>
      </c>
      <c r="GN20" s="108">
        <v>0</v>
      </c>
      <c r="GO20" s="110">
        <f>FK52</f>
        <v>0</v>
      </c>
      <c r="GP20" s="110">
        <f>FN52</f>
        <v>0</v>
      </c>
      <c r="GQ20" s="110">
        <f>FQ52</f>
        <v>0</v>
      </c>
      <c r="GR20" s="108">
        <v>0</v>
      </c>
      <c r="GS20" s="108">
        <v>0</v>
      </c>
      <c r="GT20" s="108">
        <v>0</v>
      </c>
      <c r="GU20" s="108">
        <v>0</v>
      </c>
      <c r="GV20" s="108">
        <v>0</v>
      </c>
      <c r="GW20" s="108">
        <v>0</v>
      </c>
      <c r="GX20" s="108">
        <v>0</v>
      </c>
      <c r="GY20" s="108">
        <v>0</v>
      </c>
      <c r="GZ20" s="108">
        <v>0</v>
      </c>
      <c r="HA20" s="108">
        <v>0</v>
      </c>
      <c r="HB20" s="108">
        <v>0</v>
      </c>
      <c r="HC20" s="108">
        <v>0</v>
      </c>
      <c r="HD20" s="108">
        <v>0</v>
      </c>
      <c r="HE20" s="108">
        <v>0</v>
      </c>
      <c r="HF20" s="108">
        <v>0</v>
      </c>
      <c r="HG20" s="103">
        <v>0</v>
      </c>
      <c r="HH20" s="86" t="s">
        <v>84</v>
      </c>
      <c r="HI20" s="35" t="e">
        <v>#N/A</v>
      </c>
      <c r="HJ20" s="35" t="e">
        <v>#N/A</v>
      </c>
      <c r="HK20" s="35" t="e">
        <v>#N/A</v>
      </c>
      <c r="HL20" s="48" t="e">
        <v>#N/A</v>
      </c>
      <c r="HM20" s="104" t="e">
        <f t="shared" si="25"/>
        <v>#N/A</v>
      </c>
      <c r="HN20" s="105" t="e">
        <f>IF($F$2=8,IF($F$10=$ER$44,$FF$40,HM20),HM20)</f>
        <v>#N/A</v>
      </c>
      <c r="HO20" s="106"/>
      <c r="HP20" s="106"/>
      <c r="HQ20" s="87"/>
      <c r="HR20" s="154"/>
      <c r="HS20" s="154"/>
      <c r="HT20" s="160"/>
      <c r="HU20" s="38">
        <f>IF(F2=8,IF(F10=ER42,0,IF(F10=ER43,HN20,HN20)),IF(F2&lt;8,0,HN20))</f>
        <v>0</v>
      </c>
      <c r="HV20" s="35" t="s">
        <v>143</v>
      </c>
      <c r="HW20" s="35">
        <f>IF(HS19="-",0,IF(HS19="R0",HW56,HV19-EJ19*HT19-EL19-ER19-EX19))</f>
        <v>0</v>
      </c>
      <c r="HX20" s="38" t="s">
        <v>46</v>
      </c>
      <c r="HY20" s="38">
        <f>HV21-HW20</f>
        <v>0</v>
      </c>
      <c r="HZ20" s="162"/>
      <c r="IA20" s="162"/>
      <c r="IC20" s="164"/>
      <c r="ID20" s="53">
        <f t="shared" si="36"/>
        <v>0</v>
      </c>
      <c r="IE20" s="54" t="s">
        <v>156</v>
      </c>
      <c r="IF20" s="53">
        <f>IF19</f>
        <v>0</v>
      </c>
      <c r="IG20" s="54">
        <f>IF(IC13="-",0,IG19-EX12)</f>
        <v>2927.2959237370465</v>
      </c>
      <c r="IH20" s="28"/>
      <c r="II20" s="54" t="b">
        <f t="shared" si="28"/>
        <v>1</v>
      </c>
      <c r="IJ20" s="55" t="b">
        <f t="shared" si="39"/>
        <v>1</v>
      </c>
      <c r="IK20" s="54">
        <f t="shared" si="29"/>
        <v>2.0442010640621833</v>
      </c>
      <c r="IL20" s="56">
        <f>IL19+($IL$22-$IL$17)/4</f>
        <v>3.5110502660155465</v>
      </c>
      <c r="IM20" s="54">
        <f t="shared" si="30"/>
        <v>10277.883131743181</v>
      </c>
      <c r="IN20" s="54">
        <f t="shared" si="31"/>
        <v>-8826.4713628692934</v>
      </c>
      <c r="IO20" s="57">
        <f t="shared" si="32"/>
        <v>0</v>
      </c>
      <c r="IP20" s="54">
        <f t="shared" si="33"/>
        <v>0</v>
      </c>
      <c r="IQ20" s="54">
        <f t="shared" si="34"/>
        <v>0</v>
      </c>
      <c r="IR20" s="54">
        <f t="shared" si="37"/>
        <v>-1993.7278983160613</v>
      </c>
      <c r="IS20" s="58">
        <f>IF(IC13="-","",SUM(IM20:IR20))</f>
        <v>-542.31612944217341</v>
      </c>
      <c r="IT20" s="54">
        <f t="shared" si="35"/>
        <v>3.5110502660155465</v>
      </c>
      <c r="IV20" s="54"/>
      <c r="IW20" s="54"/>
      <c r="IY20" s="54">
        <f>IY19</f>
        <v>-5</v>
      </c>
      <c r="IZ20" s="54">
        <f>IF(IC13="-",0,EX12/20)</f>
        <v>0</v>
      </c>
      <c r="JB20" s="66">
        <f>IF(IC13="-","",HY6)</f>
        <v>5474.8163050518142</v>
      </c>
      <c r="JC20" s="54" t="b">
        <f>AND($F$2=1,$F$10=$ER$43)</f>
        <v>0</v>
      </c>
      <c r="JE20" s="66">
        <f>JB20</f>
        <v>5474.8163050518142</v>
      </c>
      <c r="JF20" s="54"/>
      <c r="JH20" s="54"/>
      <c r="JI20" s="54"/>
      <c r="JK20" s="54" t="b">
        <f>AND($F$2=1,$F$10=$ER$43)</f>
        <v>0</v>
      </c>
      <c r="JL20" s="54"/>
      <c r="JM20" s="39"/>
      <c r="JN20" s="54"/>
      <c r="JO20" s="54"/>
      <c r="JP20" s="39"/>
      <c r="JQ20" s="54"/>
      <c r="JR20" s="54"/>
      <c r="JS20" s="39"/>
      <c r="JT20" s="54"/>
      <c r="JU20" s="54"/>
      <c r="JW20" s="123"/>
      <c r="JX20" s="123"/>
    </row>
    <row r="21" spans="12:284" ht="14.25" customHeight="1" x14ac:dyDescent="0.2">
      <c r="L21" s="211" t="str">
        <f>IF(F2&gt;=13,13,"-")</f>
        <v>-</v>
      </c>
      <c r="M21" s="212"/>
      <c r="N21" s="193">
        <v>4</v>
      </c>
      <c r="O21" s="207"/>
      <c r="P21" s="193">
        <v>540</v>
      </c>
      <c r="Q21" s="194"/>
      <c r="R21" s="194">
        <v>240</v>
      </c>
      <c r="S21" s="207"/>
      <c r="T21" s="190"/>
      <c r="U21" s="191"/>
      <c r="V21" s="188"/>
      <c r="W21" s="191"/>
      <c r="X21" s="188"/>
      <c r="Y21" s="189"/>
      <c r="Z21" s="190"/>
      <c r="AA21" s="191"/>
      <c r="AB21" s="188"/>
      <c r="AC21" s="191"/>
      <c r="AD21" s="188"/>
      <c r="AE21" s="189"/>
      <c r="AF21" s="190"/>
      <c r="AG21" s="191"/>
      <c r="AH21" s="188"/>
      <c r="AI21" s="191"/>
      <c r="AJ21" s="188"/>
      <c r="AK21" s="189"/>
      <c r="AL21" s="8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96"/>
      <c r="DW21" s="96"/>
      <c r="DX21" s="96"/>
      <c r="DY21" s="96"/>
      <c r="DZ21" s="96"/>
      <c r="EA21" s="96"/>
      <c r="EB21" s="96"/>
      <c r="EC21" s="96"/>
      <c r="ED21" s="96"/>
      <c r="EE21" s="109">
        <v>10</v>
      </c>
      <c r="EF21" s="192">
        <f t="shared" si="13"/>
        <v>192.00000000000003</v>
      </c>
      <c r="EG21" s="192"/>
      <c r="EH21" s="192">
        <f t="shared" si="14"/>
        <v>780</v>
      </c>
      <c r="EI21" s="192"/>
      <c r="EJ21" s="192">
        <f t="shared" si="15"/>
        <v>972</v>
      </c>
      <c r="EK21" s="192"/>
      <c r="EL21" s="192">
        <f t="shared" si="16"/>
        <v>0</v>
      </c>
      <c r="EM21" s="192"/>
      <c r="EN21" s="192">
        <f t="shared" si="17"/>
        <v>0</v>
      </c>
      <c r="EO21" s="192"/>
      <c r="EP21" s="192">
        <f t="shared" si="18"/>
        <v>4</v>
      </c>
      <c r="EQ21" s="192"/>
      <c r="ER21" s="192">
        <f t="shared" si="19"/>
        <v>0</v>
      </c>
      <c r="ES21" s="192"/>
      <c r="ET21" s="192">
        <f t="shared" si="20"/>
        <v>0</v>
      </c>
      <c r="EU21" s="192"/>
      <c r="EV21" s="192">
        <f t="shared" si="21"/>
        <v>4</v>
      </c>
      <c r="EW21" s="192"/>
      <c r="EX21" s="192">
        <f t="shared" si="22"/>
        <v>0</v>
      </c>
      <c r="EY21" s="192"/>
      <c r="EZ21" s="192">
        <f t="shared" si="23"/>
        <v>0</v>
      </c>
      <c r="FA21" s="192"/>
      <c r="FB21" s="192">
        <f t="shared" si="24"/>
        <v>4</v>
      </c>
      <c r="FC21" s="192"/>
      <c r="FH21" s="28">
        <v>3</v>
      </c>
      <c r="FI21" s="184" t="s">
        <v>68</v>
      </c>
      <c r="FJ21" s="184"/>
      <c r="FK21" s="185" t="s">
        <v>55</v>
      </c>
      <c r="FL21" s="185"/>
      <c r="FM21" s="185"/>
      <c r="FN21" s="185" t="s">
        <v>56</v>
      </c>
      <c r="FO21" s="185"/>
      <c r="FP21" s="185"/>
      <c r="FQ21" s="185" t="s">
        <v>61</v>
      </c>
      <c r="FR21" s="185"/>
      <c r="FS21" s="185"/>
      <c r="FT21" s="98" t="s">
        <v>57</v>
      </c>
      <c r="FU21" s="187" t="s">
        <v>13</v>
      </c>
      <c r="FV21" s="185"/>
      <c r="FW21" s="185"/>
      <c r="FX21" s="187" t="s">
        <v>14</v>
      </c>
      <c r="FY21" s="185"/>
      <c r="FZ21" s="185"/>
      <c r="GA21" s="98" t="s">
        <v>57</v>
      </c>
      <c r="GB21" s="187" t="s">
        <v>60</v>
      </c>
      <c r="GC21" s="185"/>
      <c r="GD21" s="185"/>
      <c r="GG21" s="22">
        <v>10</v>
      </c>
      <c r="GH21" s="103">
        <v>0</v>
      </c>
      <c r="GI21" s="108">
        <v>0</v>
      </c>
      <c r="GJ21" s="108">
        <v>0</v>
      </c>
      <c r="GK21" s="108">
        <v>0</v>
      </c>
      <c r="GL21" s="108">
        <v>0</v>
      </c>
      <c r="GM21" s="108">
        <v>0</v>
      </c>
      <c r="GN21" s="108">
        <v>0</v>
      </c>
      <c r="GO21" s="108">
        <v>0</v>
      </c>
      <c r="GP21" s="110">
        <f>FK57</f>
        <v>0</v>
      </c>
      <c r="GQ21" s="110">
        <f>FN57</f>
        <v>0</v>
      </c>
      <c r="GR21" s="110">
        <f>FQ57</f>
        <v>0</v>
      </c>
      <c r="GS21" s="108">
        <v>0</v>
      </c>
      <c r="GT21" s="108">
        <v>0</v>
      </c>
      <c r="GU21" s="108">
        <v>0</v>
      </c>
      <c r="GV21" s="108">
        <v>0</v>
      </c>
      <c r="GW21" s="108">
        <v>0</v>
      </c>
      <c r="GX21" s="108">
        <v>0</v>
      </c>
      <c r="GY21" s="108">
        <v>0</v>
      </c>
      <c r="GZ21" s="108">
        <v>0</v>
      </c>
      <c r="HA21" s="108">
        <v>0</v>
      </c>
      <c r="HB21" s="108">
        <v>0</v>
      </c>
      <c r="HC21" s="108">
        <v>0</v>
      </c>
      <c r="HD21" s="108">
        <v>0</v>
      </c>
      <c r="HE21" s="108">
        <v>0</v>
      </c>
      <c r="HF21" s="108">
        <v>0</v>
      </c>
      <c r="HG21" s="103">
        <v>0</v>
      </c>
      <c r="HH21" s="86" t="s">
        <v>85</v>
      </c>
      <c r="HI21" s="35" t="e">
        <v>#N/A</v>
      </c>
      <c r="HJ21" s="35" t="e">
        <v>#N/A</v>
      </c>
      <c r="HK21" s="35" t="e">
        <v>#N/A</v>
      </c>
      <c r="HL21" s="48" t="e">
        <v>#N/A</v>
      </c>
      <c r="HM21" s="104" t="e">
        <f t="shared" si="25"/>
        <v>#N/A</v>
      </c>
      <c r="HN21" s="105" t="e">
        <f>IF($F$2=9,IF($F$10=$ER$44,$FF$40,HM21),HM21)</f>
        <v>#N/A</v>
      </c>
      <c r="HO21" s="106"/>
      <c r="HP21" s="106"/>
      <c r="HQ21" s="87"/>
      <c r="HR21" s="153" t="str">
        <f t="shared" ref="HR21" si="42">IF(HS21="-","",HS21)</f>
        <v/>
      </c>
      <c r="HS21" s="155" t="str">
        <f>IF(F2=8,IF(F10=ER44,"R0",L17),L17)</f>
        <v>-</v>
      </c>
      <c r="HT21" s="157">
        <f>IF(HS21="R0",HT55,FG3)</f>
        <v>0</v>
      </c>
      <c r="HU21" s="54">
        <f>IF(HS21="R0",HU55,IF(F2&lt;9,0,HN20))</f>
        <v>0</v>
      </c>
      <c r="HV21" s="54">
        <f>IF(HS21="-",0,IF(HS21="R0",HV55,(EJ20*HT21^2*0.5+EL20*EP20+ER20*EV20+EX20*FB20-HU21+HU22)/HT21))</f>
        <v>0</v>
      </c>
      <c r="HW21" s="54" t="s">
        <v>143</v>
      </c>
      <c r="HX21" s="54" t="s">
        <v>41</v>
      </c>
      <c r="HY21" s="54">
        <f>HY20</f>
        <v>0</v>
      </c>
      <c r="HZ21" s="163" t="str">
        <f>IS97</f>
        <v/>
      </c>
      <c r="IA21" s="164" t="str">
        <f>IF(IL97=FALSE,"",IL97)</f>
        <v/>
      </c>
      <c r="IC21" s="164"/>
      <c r="ID21" s="53">
        <f t="shared" si="36"/>
        <v>4</v>
      </c>
      <c r="IE21" s="54" t="s">
        <v>157</v>
      </c>
      <c r="IF21" s="53">
        <f>IF22</f>
        <v>4</v>
      </c>
      <c r="IG21" s="54">
        <f>IF(IC13="-",0,HW6)</f>
        <v>-2800.7040762629535</v>
      </c>
      <c r="IH21" s="28"/>
      <c r="II21" s="54" t="b">
        <f t="shared" si="28"/>
        <v>0</v>
      </c>
      <c r="IJ21" s="55" t="b">
        <f t="shared" si="39"/>
        <v>0</v>
      </c>
      <c r="IK21" s="54">
        <f t="shared" si="29"/>
        <v>4</v>
      </c>
      <c r="IL21" s="56">
        <f>IL20+($IL$22-$IL$17)/4</f>
        <v>4.0000000000000009</v>
      </c>
      <c r="IM21" s="54">
        <f t="shared" si="30"/>
        <v>11709.183694948188</v>
      </c>
      <c r="IN21" s="54">
        <f t="shared" si="31"/>
        <v>-11456.000000000005</v>
      </c>
      <c r="IO21" s="57">
        <f t="shared" si="32"/>
        <v>0</v>
      </c>
      <c r="IP21" s="54">
        <f t="shared" si="33"/>
        <v>0</v>
      </c>
      <c r="IQ21" s="54">
        <f t="shared" si="34"/>
        <v>0</v>
      </c>
      <c r="IR21" s="54"/>
      <c r="IS21" s="58">
        <f>IF(IC13="-","",ROUND(HU6,2))</f>
        <v>-1740.54</v>
      </c>
      <c r="IT21" s="54">
        <f t="shared" si="35"/>
        <v>4.0000000000000009</v>
      </c>
      <c r="IV21" s="54"/>
      <c r="IW21" s="54"/>
      <c r="IY21" s="65" t="str">
        <f>IF(IC13="-","",IF(EX12=0,"",EX12))</f>
        <v/>
      </c>
      <c r="IZ21" s="55"/>
      <c r="JB21" s="54">
        <f>ID22</f>
        <v>4</v>
      </c>
      <c r="JC21" s="54">
        <v>0</v>
      </c>
      <c r="JE21" s="54">
        <f>JB21</f>
        <v>4</v>
      </c>
      <c r="JF21" s="54">
        <f>IF(JE20&gt;0,-MAX(IW3:IW272,IZ3:IZ272)*0.5,-MAX(IW3:IW272,IZ3:IZ272)*1.5)</f>
        <v>-37.5</v>
      </c>
      <c r="JH21" s="54">
        <f>IF(IC13=1,ID21,-5)</f>
        <v>4</v>
      </c>
      <c r="JI21" s="54">
        <f>IG21</f>
        <v>-2800.7040762629535</v>
      </c>
      <c r="JK21" s="54">
        <f>IF(JK20=TRUE,IT21,-5)</f>
        <v>-5</v>
      </c>
      <c r="JL21" s="59">
        <f>IS21</f>
        <v>-1740.54</v>
      </c>
      <c r="JM21" s="40"/>
      <c r="JN21" s="59"/>
      <c r="JO21" s="59"/>
      <c r="JP21" s="40"/>
      <c r="JQ21" s="59"/>
      <c r="JR21" s="59"/>
      <c r="JS21" s="40"/>
      <c r="JT21" s="59"/>
      <c r="JU21" s="59"/>
      <c r="JW21" s="122"/>
      <c r="JX21" s="122"/>
    </row>
    <row r="22" spans="12:284" ht="14.25" customHeight="1" x14ac:dyDescent="0.2">
      <c r="L22" s="211" t="str">
        <f>IF(F2&gt;=14,14,"-")</f>
        <v>-</v>
      </c>
      <c r="M22" s="212"/>
      <c r="N22" s="193">
        <v>4</v>
      </c>
      <c r="O22" s="207"/>
      <c r="P22" s="193">
        <v>540</v>
      </c>
      <c r="Q22" s="194"/>
      <c r="R22" s="194">
        <v>240</v>
      </c>
      <c r="S22" s="207"/>
      <c r="T22" s="190"/>
      <c r="U22" s="191"/>
      <c r="V22" s="188"/>
      <c r="W22" s="191"/>
      <c r="X22" s="188"/>
      <c r="Y22" s="189"/>
      <c r="Z22" s="190"/>
      <c r="AA22" s="191"/>
      <c r="AB22" s="188"/>
      <c r="AC22" s="191"/>
      <c r="AD22" s="188"/>
      <c r="AE22" s="189"/>
      <c r="AF22" s="190"/>
      <c r="AG22" s="191"/>
      <c r="AH22" s="188"/>
      <c r="AI22" s="191"/>
      <c r="AJ22" s="188"/>
      <c r="AK22" s="189"/>
      <c r="AL22" s="8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96"/>
      <c r="DW22" s="96"/>
      <c r="DX22" s="96"/>
      <c r="DY22" s="96"/>
      <c r="DZ22" s="96"/>
      <c r="EA22" s="96"/>
      <c r="EB22" s="96"/>
      <c r="EC22" s="96"/>
      <c r="ED22" s="96"/>
      <c r="EE22" s="109">
        <v>11</v>
      </c>
      <c r="EF22" s="192">
        <f t="shared" si="13"/>
        <v>192.00000000000003</v>
      </c>
      <c r="EG22" s="192"/>
      <c r="EH22" s="192">
        <f t="shared" si="14"/>
        <v>780</v>
      </c>
      <c r="EI22" s="192"/>
      <c r="EJ22" s="192">
        <f t="shared" si="15"/>
        <v>972</v>
      </c>
      <c r="EK22" s="192"/>
      <c r="EL22" s="192">
        <f t="shared" si="16"/>
        <v>0</v>
      </c>
      <c r="EM22" s="192"/>
      <c r="EN22" s="192">
        <f t="shared" si="17"/>
        <v>0</v>
      </c>
      <c r="EO22" s="192"/>
      <c r="EP22" s="192">
        <f t="shared" si="18"/>
        <v>4</v>
      </c>
      <c r="EQ22" s="192"/>
      <c r="ER22" s="192">
        <f t="shared" si="19"/>
        <v>0</v>
      </c>
      <c r="ES22" s="192"/>
      <c r="ET22" s="192">
        <f t="shared" si="20"/>
        <v>0</v>
      </c>
      <c r="EU22" s="192"/>
      <c r="EV22" s="192">
        <f t="shared" si="21"/>
        <v>4</v>
      </c>
      <c r="EW22" s="192"/>
      <c r="EX22" s="192">
        <f t="shared" si="22"/>
        <v>0</v>
      </c>
      <c r="EY22" s="192"/>
      <c r="EZ22" s="192">
        <f t="shared" si="23"/>
        <v>0</v>
      </c>
      <c r="FA22" s="192"/>
      <c r="FB22" s="192">
        <f t="shared" si="24"/>
        <v>4</v>
      </c>
      <c r="FC22" s="192"/>
      <c r="FH22" s="28"/>
      <c r="FI22" s="100"/>
      <c r="FJ22" s="100"/>
      <c r="FK22" s="169">
        <f>EL3</f>
        <v>4</v>
      </c>
      <c r="FL22" s="169"/>
      <c r="FM22" s="169"/>
      <c r="FN22" s="169">
        <f>2*(EL3+EO3)</f>
        <v>16</v>
      </c>
      <c r="FO22" s="169"/>
      <c r="FP22" s="169"/>
      <c r="FQ22" s="169">
        <f>IF($F$2=3,(IF(F10=ER43,EO3,IF(F10=ER44,EO3*FF40,0))),IF(F2&gt;3,EO3,0))</f>
        <v>4</v>
      </c>
      <c r="FR22" s="169"/>
      <c r="FS22" s="169"/>
      <c r="FT22" s="98" t="s">
        <v>41</v>
      </c>
      <c r="FU22" s="170">
        <f>(EJ13*EL3^3)/4</f>
        <v>22912</v>
      </c>
      <c r="FV22" s="170"/>
      <c r="FW22" s="170"/>
      <c r="FX22" s="170">
        <f>(EJ14*EO3^3)/4</f>
        <v>15552</v>
      </c>
      <c r="FY22" s="170"/>
      <c r="FZ22" s="170"/>
      <c r="GA22" s="101"/>
      <c r="GB22" s="171">
        <f>-SUM(FU22:FZ25)-IF(F2=3,IF($F$10=$ER$44,FQ22,0))</f>
        <v>-55737.4375</v>
      </c>
      <c r="GC22" s="171"/>
      <c r="GD22" s="171"/>
      <c r="GG22" s="22">
        <v>11</v>
      </c>
      <c r="GH22" s="103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10">
        <f>FK62</f>
        <v>0</v>
      </c>
      <c r="GR22" s="110">
        <f>FN62</f>
        <v>0</v>
      </c>
      <c r="GS22" s="110">
        <f>FQ62</f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3">
        <v>0</v>
      </c>
      <c r="HH22" s="86" t="s">
        <v>87</v>
      </c>
      <c r="HI22" s="35" t="e">
        <v>#N/A</v>
      </c>
      <c r="HJ22" s="35" t="e">
        <v>#N/A</v>
      </c>
      <c r="HK22" s="35" t="e">
        <v>#N/A</v>
      </c>
      <c r="HL22" s="48" t="e">
        <v>#N/A</v>
      </c>
      <c r="HM22" s="104" t="e">
        <f t="shared" si="25"/>
        <v>#N/A</v>
      </c>
      <c r="HN22" s="105" t="e">
        <f>IF($F$2=10,IF($F$10=$ER$44,$FF$40,HM22),HM22)</f>
        <v>#N/A</v>
      </c>
      <c r="HO22" s="106"/>
      <c r="HP22" s="106"/>
      <c r="HQ22" s="111"/>
      <c r="HR22" s="154"/>
      <c r="HS22" s="156"/>
      <c r="HT22" s="158"/>
      <c r="HU22" s="54">
        <f>IF(F2=9,IF(F10=ER42,0,IF(F10=ER43,HN21,HN21)),IF(F2&lt;9,0,HN21))</f>
        <v>0</v>
      </c>
      <c r="HV22" s="54" t="s">
        <v>143</v>
      </c>
      <c r="HW22" s="54">
        <f>IF(HS21="-",0,IF(HS21="R0",HW56,HV21-EJ20*HT21-EL20-ER20-EX20))</f>
        <v>0</v>
      </c>
      <c r="HX22" s="54" t="s">
        <v>46</v>
      </c>
      <c r="HY22" s="54">
        <f>HV23-HW22</f>
        <v>0</v>
      </c>
      <c r="HZ22" s="164"/>
      <c r="IA22" s="164"/>
      <c r="IC22" s="164"/>
      <c r="ID22" s="53">
        <f>IF(HS5="R0",ID13,IF($IC$13="-",$ID$13,ID13+HT5))</f>
        <v>4</v>
      </c>
      <c r="IE22" s="54" t="s">
        <v>158</v>
      </c>
      <c r="IF22" s="53">
        <f>IF(HS5="R0",0,HT5)</f>
        <v>4</v>
      </c>
      <c r="IG22" s="73">
        <v>0</v>
      </c>
      <c r="IH22" s="28"/>
      <c r="II22" s="54" t="b">
        <f>AND(IG22&gt;=0,IG23&lt;0)</f>
        <v>0</v>
      </c>
      <c r="IJ22" s="55" t="b">
        <f>IF(IF22=IF23,FALSE,TRUE)</f>
        <v>1</v>
      </c>
      <c r="IK22" s="54">
        <f t="shared" si="29"/>
        <v>4</v>
      </c>
      <c r="IL22" s="56">
        <f>IK22</f>
        <v>4</v>
      </c>
      <c r="IM22" s="54"/>
      <c r="IN22" s="54"/>
      <c r="IO22" s="57"/>
      <c r="IP22" s="54"/>
      <c r="IQ22" s="54"/>
      <c r="IR22" s="54"/>
      <c r="IS22" s="58"/>
      <c r="IT22" s="54"/>
      <c r="IV22" s="54"/>
      <c r="IW22" s="54"/>
      <c r="IY22" s="55"/>
      <c r="IZ22" s="55"/>
      <c r="JB22" s="54">
        <f>JB21</f>
        <v>4</v>
      </c>
      <c r="JC22" s="54">
        <f>IF(IC13="-",0,IF(JC20=TRUE,0,-20))</f>
        <v>-20</v>
      </c>
      <c r="JE22" s="54">
        <f>JE21</f>
        <v>4</v>
      </c>
      <c r="JF22" s="54">
        <f>IF(IC13="-",JF21,IF(JE20&gt;0,-MAX(IW3:IW272,IZ3:IZ272)*1.5,-MAX(IW3:IW272,IZ3:IZ272)*0.5))</f>
        <v>-112.5</v>
      </c>
      <c r="JH22" s="54"/>
      <c r="JI22" s="54"/>
      <c r="JK22" s="54"/>
      <c r="JL22" s="54"/>
      <c r="JM22" s="39"/>
      <c r="JN22" s="54"/>
      <c r="JO22" s="54"/>
      <c r="JP22" s="39"/>
      <c r="JQ22" s="54"/>
      <c r="JR22" s="54"/>
      <c r="JS22" s="39"/>
      <c r="JT22" s="54"/>
      <c r="JU22" s="54"/>
      <c r="JW22" s="123"/>
      <c r="JX22" s="123"/>
    </row>
    <row r="23" spans="12:284" ht="14.25" customHeight="1" x14ac:dyDescent="0.2">
      <c r="L23" s="211" t="str">
        <f>IF(F2&gt;=15,15,"-")</f>
        <v>-</v>
      </c>
      <c r="M23" s="212"/>
      <c r="N23" s="193">
        <v>4</v>
      </c>
      <c r="O23" s="207"/>
      <c r="P23" s="193">
        <v>540</v>
      </c>
      <c r="Q23" s="194"/>
      <c r="R23" s="194">
        <v>240</v>
      </c>
      <c r="S23" s="207"/>
      <c r="T23" s="190"/>
      <c r="U23" s="191"/>
      <c r="V23" s="188"/>
      <c r="W23" s="191"/>
      <c r="X23" s="188"/>
      <c r="Y23" s="189"/>
      <c r="Z23" s="190"/>
      <c r="AA23" s="191"/>
      <c r="AB23" s="188"/>
      <c r="AC23" s="191"/>
      <c r="AD23" s="188"/>
      <c r="AE23" s="189"/>
      <c r="AF23" s="190"/>
      <c r="AG23" s="191"/>
      <c r="AH23" s="188"/>
      <c r="AI23" s="191"/>
      <c r="AJ23" s="188"/>
      <c r="AK23" s="189"/>
      <c r="AL23" s="8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96"/>
      <c r="DW23" s="96"/>
      <c r="DX23" s="96"/>
      <c r="DY23" s="96"/>
      <c r="DZ23" s="96"/>
      <c r="EA23" s="96"/>
      <c r="EB23" s="96"/>
      <c r="EC23" s="96"/>
      <c r="ED23" s="96"/>
      <c r="EE23" s="109">
        <v>12</v>
      </c>
      <c r="EF23" s="192">
        <f t="shared" si="13"/>
        <v>192.00000000000003</v>
      </c>
      <c r="EG23" s="192"/>
      <c r="EH23" s="192">
        <f t="shared" si="14"/>
        <v>780</v>
      </c>
      <c r="EI23" s="192"/>
      <c r="EJ23" s="192">
        <f t="shared" si="15"/>
        <v>972</v>
      </c>
      <c r="EK23" s="192"/>
      <c r="EL23" s="192">
        <f t="shared" si="16"/>
        <v>0</v>
      </c>
      <c r="EM23" s="192"/>
      <c r="EN23" s="192">
        <f t="shared" si="17"/>
        <v>0</v>
      </c>
      <c r="EO23" s="192"/>
      <c r="EP23" s="192">
        <f t="shared" si="18"/>
        <v>4</v>
      </c>
      <c r="EQ23" s="192"/>
      <c r="ER23" s="192">
        <f t="shared" si="19"/>
        <v>0</v>
      </c>
      <c r="ES23" s="192"/>
      <c r="ET23" s="192">
        <f t="shared" si="20"/>
        <v>0</v>
      </c>
      <c r="EU23" s="192"/>
      <c r="EV23" s="192">
        <f t="shared" si="21"/>
        <v>4</v>
      </c>
      <c r="EW23" s="192"/>
      <c r="EX23" s="192">
        <f t="shared" si="22"/>
        <v>0</v>
      </c>
      <c r="EY23" s="192"/>
      <c r="EZ23" s="192">
        <f t="shared" si="23"/>
        <v>0</v>
      </c>
      <c r="FA23" s="192"/>
      <c r="FB23" s="192">
        <f t="shared" si="24"/>
        <v>4</v>
      </c>
      <c r="FC23" s="192"/>
      <c r="FH23" s="28"/>
      <c r="FI23" s="100"/>
      <c r="FJ23" s="100"/>
      <c r="FK23" s="98"/>
      <c r="FL23" s="98"/>
      <c r="FM23" s="98"/>
      <c r="FN23" s="98"/>
      <c r="FO23" s="98"/>
      <c r="FP23" s="98"/>
      <c r="FQ23" s="98"/>
      <c r="FR23" s="98"/>
      <c r="FS23" s="98"/>
      <c r="FT23" s="98" t="s">
        <v>17</v>
      </c>
      <c r="FU23" s="170">
        <f>IF(EL3=0,0,(EL13*EN13/EL3)*(EL3^2-EN13^2))</f>
        <v>0</v>
      </c>
      <c r="FV23" s="170"/>
      <c r="FW23" s="170"/>
      <c r="FX23" s="170">
        <f>IF(EO3=0,0,(EL14*EP14/EO3)*(EO3^2-EP14^2))</f>
        <v>7875</v>
      </c>
      <c r="FY23" s="170"/>
      <c r="FZ23" s="170"/>
      <c r="GA23" s="101"/>
      <c r="GB23" s="170"/>
      <c r="GC23" s="170"/>
      <c r="GD23" s="170"/>
      <c r="GG23" s="22">
        <v>12</v>
      </c>
      <c r="GH23" s="103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10">
        <f>FK67</f>
        <v>0</v>
      </c>
      <c r="GS23" s="110">
        <f>FN67</f>
        <v>0</v>
      </c>
      <c r="GT23" s="110">
        <f>FQ67</f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3">
        <v>0</v>
      </c>
      <c r="HH23" s="86" t="s">
        <v>89</v>
      </c>
      <c r="HI23" s="35" t="e">
        <v>#N/A</v>
      </c>
      <c r="HJ23" s="35" t="e">
        <v>#N/A</v>
      </c>
      <c r="HK23" s="35" t="e">
        <v>#N/A</v>
      </c>
      <c r="HL23" s="48" t="e">
        <v>#N/A</v>
      </c>
      <c r="HM23" s="104" t="e">
        <f t="shared" si="25"/>
        <v>#N/A</v>
      </c>
      <c r="HN23" s="105" t="e">
        <f>IF($F$2=11,IF($F$10=$ER$44,$FF$40,HM23),HM23)</f>
        <v>#N/A</v>
      </c>
      <c r="HO23" s="106"/>
      <c r="HP23" s="106"/>
      <c r="HQ23" s="87"/>
      <c r="HR23" s="153" t="str">
        <f t="shared" ref="HR23" si="43">IF(HS23="-","",HS23)</f>
        <v/>
      </c>
      <c r="HS23" s="153" t="str">
        <f>IF(F2=9,IF(F10=ER44,"R0",L18),L18)</f>
        <v>-</v>
      </c>
      <c r="HT23" s="159">
        <f>IF(HS23="R0",HT55,FJ3)</f>
        <v>0</v>
      </c>
      <c r="HU23" s="38">
        <f>IF(HS23="R0",HU55,IF(F2&lt;10,0,HN21))</f>
        <v>0</v>
      </c>
      <c r="HV23" s="35">
        <f>IF(HS23="-",0,IF(HS23="R0",HV55,(EJ21*HT23^2*0.5+EL21*EP21+ER21*EV21+EX21*FB21-HU23+HU24)/HT23))</f>
        <v>0</v>
      </c>
      <c r="HW23" s="35" t="s">
        <v>143</v>
      </c>
      <c r="HX23" s="38" t="s">
        <v>41</v>
      </c>
      <c r="HY23" s="38">
        <f>HY22</f>
        <v>0</v>
      </c>
      <c r="HZ23" s="161" t="str">
        <f>IS107</f>
        <v/>
      </c>
      <c r="IA23" s="162" t="str">
        <f>IF(IL107=FALSE,"",IL107)</f>
        <v/>
      </c>
      <c r="IC23" s="162">
        <f>IF(HS7="R0","-",HS7)</f>
        <v>2</v>
      </c>
      <c r="ID23" s="74">
        <f>IF(HS7="R0",ID272,ID22)</f>
        <v>4</v>
      </c>
      <c r="IE23" s="35" t="s">
        <v>149</v>
      </c>
      <c r="IF23" s="35">
        <v>0</v>
      </c>
      <c r="IG23" s="35">
        <v>0</v>
      </c>
      <c r="II23" s="35" t="b">
        <f t="shared" ref="II23:II86" si="44">AND(IG23&gt;=0,IG24&lt;0)</f>
        <v>0</v>
      </c>
      <c r="IJ23" s="45" t="b">
        <f>IF(IF23=IF24,FALSE,TRUE)</f>
        <v>0</v>
      </c>
      <c r="IK23" s="35">
        <f t="shared" ref="IK23:IK32" si="45">IF(II23=TRUE,IF(IJ23=TRUE,IG23/$EJ$13)+IF23,IF23)</f>
        <v>0</v>
      </c>
      <c r="IL23" s="48">
        <f>IK23</f>
        <v>0</v>
      </c>
      <c r="IM23" s="35">
        <f t="shared" ref="IM23:IM31" si="46">$HV$7*IL23</f>
        <v>0</v>
      </c>
      <c r="IN23" s="35">
        <f t="shared" ref="IN23:IN31" si="47">-$EJ$13*(IL23^2/2)</f>
        <v>0</v>
      </c>
      <c r="IO23" s="36">
        <f t="shared" ref="IO23:IO31" si="48">-IF(IL23&gt;=$EN$13,$EL$13*(IL23-$EN$13),0)</f>
        <v>0</v>
      </c>
      <c r="IP23" s="35">
        <f t="shared" ref="IP23:IP31" si="49">-IF(IL23&gt;=$ET$13,$ER$13*(IL23-$ET$13),0)</f>
        <v>0</v>
      </c>
      <c r="IQ23" s="35">
        <f t="shared" ref="IQ23:IQ31" si="50">-IF(IL23&gt;=$EZ$13,$EX$13*(IL23-$EZ$13),0)</f>
        <v>0</v>
      </c>
      <c r="IR23" s="35"/>
      <c r="IS23" s="49">
        <f>IF(IC23="-","",HU7)</f>
        <v>-1740.5442033678758</v>
      </c>
      <c r="IT23" s="35">
        <f t="shared" ref="IT23:IT31" si="51">$ID$23+IL23</f>
        <v>4</v>
      </c>
      <c r="IV23" s="38">
        <f>ID23</f>
        <v>4</v>
      </c>
      <c r="IW23" s="38">
        <v>0</v>
      </c>
      <c r="IY23" s="35">
        <f>IF(IC23="-",-5,IF(EL13=0,-5,ID23+EN13))</f>
        <v>-5</v>
      </c>
      <c r="IZ23" s="35">
        <v>0</v>
      </c>
      <c r="JB23" s="35"/>
      <c r="JC23" s="35"/>
      <c r="JE23" s="38"/>
      <c r="JF23" s="38"/>
      <c r="JH23" s="38"/>
      <c r="JI23" s="38"/>
      <c r="JK23" s="35">
        <f>IF(IC23=2,IT23,-5)</f>
        <v>4</v>
      </c>
      <c r="JL23" s="37">
        <f>IS23</f>
        <v>-1740.5442033678758</v>
      </c>
      <c r="JM23" s="40"/>
      <c r="JN23" s="37">
        <f>IF(IC23="-",-5,(ID23+ID32)/2)</f>
        <v>6</v>
      </c>
      <c r="JO23" s="37">
        <f>-MAX(IW3:IW272,IZ3:IZ272)*0.7</f>
        <v>-52.5</v>
      </c>
      <c r="JP23" s="40"/>
      <c r="JQ23" s="37">
        <f>IF(IC23="-",-5,(IT23+IT27)/2)</f>
        <v>4.9336984039067246</v>
      </c>
      <c r="JR23" s="37">
        <f>$JR$13</f>
        <v>-760.38306347150262</v>
      </c>
      <c r="JS23" s="40"/>
      <c r="JT23" s="37"/>
      <c r="JU23" s="37"/>
      <c r="JW23" s="37">
        <f>JN23</f>
        <v>6</v>
      </c>
      <c r="JX23" s="37">
        <f>JF32</f>
        <v>-112.5</v>
      </c>
    </row>
    <row r="24" spans="12:284" ht="14.25" customHeight="1" x14ac:dyDescent="0.2">
      <c r="L24" s="211" t="str">
        <f>IF(F2&gt;=16,16,"-")</f>
        <v>-</v>
      </c>
      <c r="M24" s="212"/>
      <c r="N24" s="193">
        <v>4</v>
      </c>
      <c r="O24" s="207"/>
      <c r="P24" s="193">
        <v>540</v>
      </c>
      <c r="Q24" s="194"/>
      <c r="R24" s="194">
        <v>240</v>
      </c>
      <c r="S24" s="207"/>
      <c r="T24" s="190"/>
      <c r="U24" s="191"/>
      <c r="V24" s="188"/>
      <c r="W24" s="191"/>
      <c r="X24" s="188"/>
      <c r="Y24" s="189"/>
      <c r="Z24" s="190"/>
      <c r="AA24" s="191"/>
      <c r="AB24" s="188"/>
      <c r="AC24" s="191"/>
      <c r="AD24" s="188"/>
      <c r="AE24" s="189"/>
      <c r="AF24" s="190"/>
      <c r="AG24" s="191"/>
      <c r="AH24" s="188"/>
      <c r="AI24" s="191"/>
      <c r="AJ24" s="188"/>
      <c r="AK24" s="189"/>
      <c r="AL24" s="8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96"/>
      <c r="DW24" s="96"/>
      <c r="DX24" s="96"/>
      <c r="DY24" s="96"/>
      <c r="DZ24" s="96"/>
      <c r="EA24" s="96"/>
      <c r="EB24" s="96"/>
      <c r="EC24" s="96"/>
      <c r="ED24" s="96"/>
      <c r="EE24" s="109">
        <v>13</v>
      </c>
      <c r="EF24" s="192">
        <f t="shared" si="13"/>
        <v>192.00000000000003</v>
      </c>
      <c r="EG24" s="192"/>
      <c r="EH24" s="192">
        <f t="shared" si="14"/>
        <v>780</v>
      </c>
      <c r="EI24" s="192"/>
      <c r="EJ24" s="192">
        <f t="shared" si="15"/>
        <v>972</v>
      </c>
      <c r="EK24" s="192"/>
      <c r="EL24" s="192">
        <f t="shared" si="16"/>
        <v>0</v>
      </c>
      <c r="EM24" s="192"/>
      <c r="EN24" s="192">
        <f t="shared" si="17"/>
        <v>0</v>
      </c>
      <c r="EO24" s="192"/>
      <c r="EP24" s="192">
        <f t="shared" si="18"/>
        <v>4</v>
      </c>
      <c r="EQ24" s="192"/>
      <c r="ER24" s="192">
        <f t="shared" si="19"/>
        <v>0</v>
      </c>
      <c r="ES24" s="192"/>
      <c r="ET24" s="192">
        <f t="shared" si="20"/>
        <v>0</v>
      </c>
      <c r="EU24" s="192"/>
      <c r="EV24" s="192">
        <f t="shared" si="21"/>
        <v>4</v>
      </c>
      <c r="EW24" s="192"/>
      <c r="EX24" s="192">
        <f t="shared" si="22"/>
        <v>0</v>
      </c>
      <c r="EY24" s="192"/>
      <c r="EZ24" s="192">
        <f t="shared" si="23"/>
        <v>0</v>
      </c>
      <c r="FA24" s="192"/>
      <c r="FB24" s="192">
        <f t="shared" si="24"/>
        <v>4</v>
      </c>
      <c r="FC24" s="192"/>
      <c r="FH24" s="28"/>
      <c r="FI24" s="100"/>
      <c r="FJ24" s="100"/>
      <c r="FK24" s="98"/>
      <c r="FL24" s="98"/>
      <c r="FM24" s="98"/>
      <c r="FN24" s="98"/>
      <c r="FO24" s="98"/>
      <c r="FP24" s="98"/>
      <c r="FQ24" s="98"/>
      <c r="FR24" s="98"/>
      <c r="FS24" s="98"/>
      <c r="FT24" s="98" t="s">
        <v>19</v>
      </c>
      <c r="FU24" s="170">
        <f>IF(EL3=0,0,(ER13*ET13/EL3)*(EL3^2-ET13^2))</f>
        <v>0</v>
      </c>
      <c r="FV24" s="170"/>
      <c r="FW24" s="170"/>
      <c r="FX24" s="170">
        <f>IF(EO3=0,0,(ER14*EV14/EO3)*(EO3^2-EV14^2))</f>
        <v>6445.3125</v>
      </c>
      <c r="FY24" s="170"/>
      <c r="FZ24" s="170"/>
      <c r="GA24" s="101"/>
      <c r="GB24" s="170"/>
      <c r="GC24" s="170"/>
      <c r="GD24" s="170"/>
      <c r="GG24" s="22">
        <v>13</v>
      </c>
      <c r="GH24" s="103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10">
        <f>FK72</f>
        <v>0</v>
      </c>
      <c r="GT24" s="110">
        <f>FN72</f>
        <v>0</v>
      </c>
      <c r="GU24" s="110">
        <f>FQ72</f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3">
        <v>0</v>
      </c>
      <c r="HH24" s="86" t="s">
        <v>91</v>
      </c>
      <c r="HI24" s="35" t="e">
        <v>#N/A</v>
      </c>
      <c r="HJ24" s="35" t="e">
        <v>#N/A</v>
      </c>
      <c r="HK24" s="35" t="e">
        <v>#N/A</v>
      </c>
      <c r="HL24" s="48" t="e">
        <v>#N/A</v>
      </c>
      <c r="HM24" s="104" t="e">
        <f t="shared" si="25"/>
        <v>#N/A</v>
      </c>
      <c r="HN24" s="105" t="e">
        <f>IF($F$2=12,IF($F$10=$ER$44,$FF$40,HM24),HM24)</f>
        <v>#N/A</v>
      </c>
      <c r="HO24" s="106"/>
      <c r="HP24" s="106"/>
      <c r="HQ24" s="87"/>
      <c r="HR24" s="154"/>
      <c r="HS24" s="154"/>
      <c r="HT24" s="160"/>
      <c r="HU24" s="38">
        <f>IF(F2=10,IF(F10=ER42,0,IF(F10=ER43,HN22,HN22)),IF(F2&lt;10,0,HN22))</f>
        <v>0</v>
      </c>
      <c r="HV24" s="35" t="s">
        <v>143</v>
      </c>
      <c r="HW24" s="35">
        <f>IF(HS23="-",0,IF(HS23="R0",HW56,HV23-EJ21*HT23-EL21-ER21-EX21))</f>
        <v>0</v>
      </c>
      <c r="HX24" s="38" t="s">
        <v>46</v>
      </c>
      <c r="HY24" s="38">
        <f>HV25-HW24</f>
        <v>0</v>
      </c>
      <c r="HZ24" s="162"/>
      <c r="IA24" s="162"/>
      <c r="IC24" s="162"/>
      <c r="ID24" s="74">
        <f>IF(IC23="-",ID23,$ID$23+IF24)</f>
        <v>4</v>
      </c>
      <c r="IE24" s="35" t="s">
        <v>150</v>
      </c>
      <c r="IF24" s="35">
        <f>IF23</f>
        <v>0</v>
      </c>
      <c r="IG24" s="35">
        <f>IF(IC23="-",0,HV7)</f>
        <v>2674.1122287888602</v>
      </c>
      <c r="II24" s="35" t="b">
        <f t="shared" si="44"/>
        <v>0</v>
      </c>
      <c r="IJ24" s="45" t="b">
        <f>IF(IF24=IF25,FALSE,TRUE)</f>
        <v>0</v>
      </c>
      <c r="IK24" s="35">
        <f t="shared" si="45"/>
        <v>0</v>
      </c>
      <c r="IL24" s="48">
        <f>(IL27-IL23)/4</f>
        <v>0.46684920195336249</v>
      </c>
      <c r="IM24" s="35">
        <f t="shared" si="46"/>
        <v>1248.4071599438068</v>
      </c>
      <c r="IN24" s="35">
        <f t="shared" si="47"/>
        <v>-156.05089499297586</v>
      </c>
      <c r="IO24" s="36">
        <f t="shared" si="48"/>
        <v>0</v>
      </c>
      <c r="IP24" s="35">
        <f t="shared" si="49"/>
        <v>0</v>
      </c>
      <c r="IQ24" s="35">
        <f t="shared" si="50"/>
        <v>0</v>
      </c>
      <c r="IR24" s="35">
        <f t="shared" ref="IR24:IR30" si="52">$HU$7</f>
        <v>-1740.5442033678758</v>
      </c>
      <c r="IS24" s="42">
        <f>IF(IC23="-","",SUM(IM24:IR24))</f>
        <v>-648.18793841704473</v>
      </c>
      <c r="IT24" s="35">
        <f t="shared" si="51"/>
        <v>4.4668492019533623</v>
      </c>
      <c r="IV24" s="38">
        <f>IV23</f>
        <v>4</v>
      </c>
      <c r="IW24" s="38">
        <f>IF(IC23="-",0,EJ13)/20</f>
        <v>71.599999999999994</v>
      </c>
      <c r="IY24" s="35">
        <f>IY23</f>
        <v>-5</v>
      </c>
      <c r="IZ24" s="35">
        <f>IF(IC23="-",0,EL13/20)</f>
        <v>0</v>
      </c>
      <c r="JB24" s="35"/>
      <c r="JC24" s="35"/>
      <c r="JE24" s="38"/>
      <c r="JF24" s="38"/>
      <c r="JH24" s="38">
        <f>IF(IC23=2,ID24,-5)</f>
        <v>4</v>
      </c>
      <c r="JI24" s="38">
        <f>IG24</f>
        <v>2674.1122287888602</v>
      </c>
      <c r="JK24" s="35"/>
      <c r="JL24" s="35"/>
      <c r="JM24" s="39"/>
      <c r="JN24" s="75">
        <f>HT7</f>
        <v>4</v>
      </c>
      <c r="JO24" s="35"/>
      <c r="JP24" s="39"/>
      <c r="JQ24" s="76">
        <f>IL27</f>
        <v>1.86739680781345</v>
      </c>
      <c r="JR24" s="35"/>
      <c r="JS24" s="39"/>
      <c r="JT24" s="35"/>
      <c r="JU24" s="35"/>
      <c r="JW24" s="124">
        <f>IC23</f>
        <v>2</v>
      </c>
      <c r="JX24" s="127"/>
    </row>
    <row r="25" spans="12:284" ht="14.25" customHeight="1" x14ac:dyDescent="0.2">
      <c r="L25" s="211" t="str">
        <f>IF(F2&gt;=17,17,"-")</f>
        <v>-</v>
      </c>
      <c r="M25" s="212"/>
      <c r="N25" s="193">
        <v>4</v>
      </c>
      <c r="O25" s="207"/>
      <c r="P25" s="193">
        <v>540</v>
      </c>
      <c r="Q25" s="194"/>
      <c r="R25" s="194">
        <v>240</v>
      </c>
      <c r="S25" s="207"/>
      <c r="T25" s="190"/>
      <c r="U25" s="191"/>
      <c r="V25" s="188"/>
      <c r="W25" s="191"/>
      <c r="X25" s="188"/>
      <c r="Y25" s="189"/>
      <c r="Z25" s="190"/>
      <c r="AA25" s="191"/>
      <c r="AB25" s="188"/>
      <c r="AC25" s="191"/>
      <c r="AD25" s="188"/>
      <c r="AE25" s="189"/>
      <c r="AF25" s="190"/>
      <c r="AG25" s="191"/>
      <c r="AH25" s="188"/>
      <c r="AI25" s="191"/>
      <c r="AJ25" s="188"/>
      <c r="AK25" s="189"/>
      <c r="AL25" s="8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96"/>
      <c r="DW25" s="96"/>
      <c r="DX25" s="96"/>
      <c r="DY25" s="96"/>
      <c r="DZ25" s="96"/>
      <c r="EA25" s="96"/>
      <c r="EB25" s="96"/>
      <c r="EC25" s="96"/>
      <c r="ED25" s="96"/>
      <c r="EE25" s="109">
        <v>14</v>
      </c>
      <c r="EF25" s="192">
        <f t="shared" si="13"/>
        <v>192.00000000000003</v>
      </c>
      <c r="EG25" s="192"/>
      <c r="EH25" s="192">
        <f t="shared" si="14"/>
        <v>780</v>
      </c>
      <c r="EI25" s="192"/>
      <c r="EJ25" s="192">
        <f t="shared" si="15"/>
        <v>972</v>
      </c>
      <c r="EK25" s="192"/>
      <c r="EL25" s="192">
        <f t="shared" si="16"/>
        <v>0</v>
      </c>
      <c r="EM25" s="192"/>
      <c r="EN25" s="192">
        <f t="shared" si="17"/>
        <v>0</v>
      </c>
      <c r="EO25" s="192"/>
      <c r="EP25" s="192">
        <f t="shared" si="18"/>
        <v>4</v>
      </c>
      <c r="EQ25" s="192"/>
      <c r="ER25" s="192">
        <f t="shared" si="19"/>
        <v>0</v>
      </c>
      <c r="ES25" s="192"/>
      <c r="ET25" s="192">
        <f t="shared" si="20"/>
        <v>0</v>
      </c>
      <c r="EU25" s="192"/>
      <c r="EV25" s="192">
        <f t="shared" si="21"/>
        <v>4</v>
      </c>
      <c r="EW25" s="192"/>
      <c r="EX25" s="192">
        <f t="shared" si="22"/>
        <v>0</v>
      </c>
      <c r="EY25" s="192"/>
      <c r="EZ25" s="192">
        <f t="shared" si="23"/>
        <v>0</v>
      </c>
      <c r="FA25" s="192"/>
      <c r="FB25" s="192">
        <f t="shared" si="24"/>
        <v>4</v>
      </c>
      <c r="FC25" s="192"/>
      <c r="FH25" s="28"/>
      <c r="FI25" s="100"/>
      <c r="FJ25" s="100"/>
      <c r="FK25" s="98"/>
      <c r="FL25" s="98"/>
      <c r="FM25" s="98"/>
      <c r="FN25" s="98"/>
      <c r="FO25" s="98"/>
      <c r="FP25" s="98"/>
      <c r="FQ25" s="98"/>
      <c r="FR25" s="98"/>
      <c r="FS25" s="98"/>
      <c r="FT25" s="98" t="s">
        <v>20</v>
      </c>
      <c r="FU25" s="170">
        <f>IF(EL3=0,0,(EX13*EZ13/EL3)*(EL3^2-EZ13^2))</f>
        <v>0</v>
      </c>
      <c r="FV25" s="170"/>
      <c r="FW25" s="170"/>
      <c r="FX25" s="170">
        <f>IF(EO3=0,0,(EX14*FB14/EO3)*(EO3^2-FB14^2))</f>
        <v>2953.125</v>
      </c>
      <c r="FY25" s="170"/>
      <c r="FZ25" s="170"/>
      <c r="GA25" s="101"/>
      <c r="GB25" s="172"/>
      <c r="GC25" s="172"/>
      <c r="GD25" s="172"/>
      <c r="GG25" s="22">
        <v>14</v>
      </c>
      <c r="GH25" s="103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10">
        <f>FK77</f>
        <v>0</v>
      </c>
      <c r="GU25" s="110">
        <f>FN77</f>
        <v>0</v>
      </c>
      <c r="GV25" s="110">
        <f>FQ77</f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3">
        <v>0</v>
      </c>
      <c r="HH25" s="86" t="s">
        <v>93</v>
      </c>
      <c r="HI25" s="35" t="e">
        <v>#N/A</v>
      </c>
      <c r="HJ25" s="35" t="e">
        <v>#N/A</v>
      </c>
      <c r="HK25" s="35" t="e">
        <v>#N/A</v>
      </c>
      <c r="HL25" s="48" t="e">
        <v>#N/A</v>
      </c>
      <c r="HM25" s="104" t="e">
        <f t="shared" si="25"/>
        <v>#N/A</v>
      </c>
      <c r="HN25" s="105" t="e">
        <f>IF($F$2=13,IF($F$10=$ER$44,$FF$40,HM25),HM25)</f>
        <v>#N/A</v>
      </c>
      <c r="HO25" s="106"/>
      <c r="HP25" s="106"/>
      <c r="HQ25" s="87"/>
      <c r="HR25" s="153" t="str">
        <f t="shared" ref="HR25" si="53">IF(HS25="-","",HS25)</f>
        <v/>
      </c>
      <c r="HS25" s="155" t="str">
        <f>IF(F2=10,IF(F10=ER44,"R0",L19),L19)</f>
        <v>-</v>
      </c>
      <c r="HT25" s="157">
        <f>IF(HS25="R0",HT55,FM3)</f>
        <v>0</v>
      </c>
      <c r="HU25" s="54">
        <f>IF(HS25="R0",HU55,IF(F2&lt;11,0,HN22))</f>
        <v>0</v>
      </c>
      <c r="HV25" s="54">
        <f>IF(HS25="-",0,IF(HS25="R0",HV55,(EJ22*HT25^2*0.5+EL22*EP22+ER22*EV22+EX22*FB22-HU25+HU26)/HT25))</f>
        <v>0</v>
      </c>
      <c r="HW25" s="54" t="s">
        <v>143</v>
      </c>
      <c r="HX25" s="54" t="s">
        <v>41</v>
      </c>
      <c r="HY25" s="54">
        <f>HY24</f>
        <v>0</v>
      </c>
      <c r="HZ25" s="163" t="str">
        <f>IS117</f>
        <v/>
      </c>
      <c r="IA25" s="164" t="str">
        <f>IF(IL117=FALSE,"",IL117)</f>
        <v/>
      </c>
      <c r="IC25" s="162"/>
      <c r="ID25" s="74">
        <f>IF(IC23="-",$ID$23,$ID$23+IF25)</f>
        <v>4</v>
      </c>
      <c r="IE25" s="35" t="s">
        <v>151</v>
      </c>
      <c r="IF25" s="35">
        <f>IF(EL13=0,IF24,EN13)</f>
        <v>0</v>
      </c>
      <c r="IG25" s="35">
        <f>IF(IC23="-",0,IG24-IF(EL13=0,0,EJ13*IF25))</f>
        <v>2674.1122287888602</v>
      </c>
      <c r="II25" s="35" t="b">
        <f t="shared" si="44"/>
        <v>0</v>
      </c>
      <c r="IJ25" s="45" t="b">
        <f t="shared" ref="IJ25:IJ31" si="54">IF(IF25=IF26,FALSE,TRUE)</f>
        <v>0</v>
      </c>
      <c r="IK25" s="35">
        <f t="shared" si="45"/>
        <v>0</v>
      </c>
      <c r="IL25" s="48">
        <f>IL24*2</f>
        <v>0.93369840390672498</v>
      </c>
      <c r="IM25" s="35">
        <f t="shared" si="46"/>
        <v>2496.8143198876137</v>
      </c>
      <c r="IN25" s="35">
        <f t="shared" si="47"/>
        <v>-624.20357997190342</v>
      </c>
      <c r="IO25" s="36">
        <f t="shared" si="48"/>
        <v>0</v>
      </c>
      <c r="IP25" s="35">
        <f t="shared" si="49"/>
        <v>0</v>
      </c>
      <c r="IQ25" s="35">
        <f t="shared" si="50"/>
        <v>0</v>
      </c>
      <c r="IR25" s="35">
        <f t="shared" si="52"/>
        <v>-1740.5442033678758</v>
      </c>
      <c r="IS25" s="42">
        <f>IF(IC23="-","",SUM(IM25:IR25))</f>
        <v>132.06653654783463</v>
      </c>
      <c r="IT25" s="35">
        <f t="shared" si="51"/>
        <v>4.9336984039067246</v>
      </c>
      <c r="IV25" s="38">
        <f>IF32/2+IV23</f>
        <v>6</v>
      </c>
      <c r="IW25" s="38">
        <f>IW24</f>
        <v>71.599999999999994</v>
      </c>
      <c r="IY25" s="44" t="str">
        <f>IF(IC23="-","",IF(EL13=0,"",EL13))</f>
        <v/>
      </c>
      <c r="IZ25" s="45"/>
      <c r="JB25" s="77"/>
      <c r="JC25" s="35"/>
      <c r="JE25" s="38"/>
      <c r="JF25" s="38"/>
      <c r="JH25" s="38"/>
      <c r="JI25" s="38"/>
      <c r="JK25" s="35"/>
      <c r="JL25" s="35"/>
      <c r="JM25" s="39"/>
      <c r="JN25" s="35"/>
      <c r="JO25" s="35"/>
      <c r="JP25" s="39"/>
      <c r="JQ25" s="35"/>
      <c r="JR25" s="35"/>
      <c r="JS25" s="39"/>
      <c r="JT25" s="35"/>
      <c r="JU25" s="35"/>
      <c r="JW25" s="127"/>
      <c r="JX25" s="127"/>
    </row>
    <row r="26" spans="12:284" ht="14.25" customHeight="1" x14ac:dyDescent="0.2">
      <c r="L26" s="211" t="str">
        <f>IF(F2&gt;=18,18,"-")</f>
        <v>-</v>
      </c>
      <c r="M26" s="212"/>
      <c r="N26" s="193">
        <v>4</v>
      </c>
      <c r="O26" s="207"/>
      <c r="P26" s="193">
        <v>540</v>
      </c>
      <c r="Q26" s="194"/>
      <c r="R26" s="194">
        <v>240</v>
      </c>
      <c r="S26" s="207"/>
      <c r="T26" s="190"/>
      <c r="U26" s="191"/>
      <c r="V26" s="188"/>
      <c r="W26" s="191"/>
      <c r="X26" s="188"/>
      <c r="Y26" s="189"/>
      <c r="Z26" s="190"/>
      <c r="AA26" s="191"/>
      <c r="AB26" s="188"/>
      <c r="AC26" s="191"/>
      <c r="AD26" s="188"/>
      <c r="AE26" s="189"/>
      <c r="AF26" s="190"/>
      <c r="AG26" s="191"/>
      <c r="AH26" s="188"/>
      <c r="AI26" s="191"/>
      <c r="AJ26" s="188"/>
      <c r="AK26" s="189"/>
      <c r="AL26" s="8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96"/>
      <c r="DW26" s="96"/>
      <c r="DX26" s="96"/>
      <c r="DY26" s="96"/>
      <c r="DZ26" s="96"/>
      <c r="EA26" s="96"/>
      <c r="EB26" s="96"/>
      <c r="EC26" s="96"/>
      <c r="ED26" s="96"/>
      <c r="EE26" s="109">
        <v>15</v>
      </c>
      <c r="EF26" s="192">
        <f t="shared" si="13"/>
        <v>192.00000000000003</v>
      </c>
      <c r="EG26" s="192"/>
      <c r="EH26" s="192">
        <f t="shared" si="14"/>
        <v>780</v>
      </c>
      <c r="EI26" s="192"/>
      <c r="EJ26" s="192">
        <f t="shared" si="15"/>
        <v>972</v>
      </c>
      <c r="EK26" s="192"/>
      <c r="EL26" s="192">
        <f t="shared" si="16"/>
        <v>0</v>
      </c>
      <c r="EM26" s="192"/>
      <c r="EN26" s="192">
        <f t="shared" si="17"/>
        <v>0</v>
      </c>
      <c r="EO26" s="192"/>
      <c r="EP26" s="192">
        <f t="shared" si="18"/>
        <v>4</v>
      </c>
      <c r="EQ26" s="192"/>
      <c r="ER26" s="192">
        <f t="shared" si="19"/>
        <v>0</v>
      </c>
      <c r="ES26" s="192"/>
      <c r="ET26" s="192">
        <f t="shared" si="20"/>
        <v>0</v>
      </c>
      <c r="EU26" s="192"/>
      <c r="EV26" s="192">
        <f t="shared" si="21"/>
        <v>4</v>
      </c>
      <c r="EW26" s="192"/>
      <c r="EX26" s="192">
        <f t="shared" si="22"/>
        <v>0</v>
      </c>
      <c r="EY26" s="192"/>
      <c r="EZ26" s="192">
        <f t="shared" si="23"/>
        <v>0</v>
      </c>
      <c r="FA26" s="192"/>
      <c r="FB26" s="192">
        <f t="shared" si="24"/>
        <v>4</v>
      </c>
      <c r="FC26" s="192"/>
      <c r="FH26" s="28">
        <v>4</v>
      </c>
      <c r="FI26" s="184" t="s">
        <v>69</v>
      </c>
      <c r="FJ26" s="184"/>
      <c r="FK26" s="185" t="s">
        <v>56</v>
      </c>
      <c r="FL26" s="185"/>
      <c r="FM26" s="185"/>
      <c r="FN26" s="185" t="s">
        <v>61</v>
      </c>
      <c r="FO26" s="185"/>
      <c r="FP26" s="185"/>
      <c r="FQ26" s="185" t="s">
        <v>70</v>
      </c>
      <c r="FR26" s="185"/>
      <c r="FS26" s="185"/>
      <c r="FT26" s="98" t="s">
        <v>57</v>
      </c>
      <c r="FU26" s="187" t="s">
        <v>13</v>
      </c>
      <c r="FV26" s="185"/>
      <c r="FW26" s="185"/>
      <c r="FX26" s="187" t="s">
        <v>14</v>
      </c>
      <c r="FY26" s="185"/>
      <c r="FZ26" s="185"/>
      <c r="GA26" s="98" t="s">
        <v>57</v>
      </c>
      <c r="GB26" s="187" t="s">
        <v>60</v>
      </c>
      <c r="GC26" s="185"/>
      <c r="GD26" s="185"/>
      <c r="GG26" s="22">
        <v>15</v>
      </c>
      <c r="GH26" s="103">
        <v>0</v>
      </c>
      <c r="GI26" s="108">
        <v>0</v>
      </c>
      <c r="GJ26" s="108">
        <v>0</v>
      </c>
      <c r="GK26" s="108">
        <v>0</v>
      </c>
      <c r="GL26" s="108">
        <v>0</v>
      </c>
      <c r="GM26" s="108">
        <v>0</v>
      </c>
      <c r="GN26" s="108">
        <v>0</v>
      </c>
      <c r="GO26" s="108">
        <v>0</v>
      </c>
      <c r="GP26" s="108">
        <v>0</v>
      </c>
      <c r="GQ26" s="108">
        <v>0</v>
      </c>
      <c r="GR26" s="108">
        <v>0</v>
      </c>
      <c r="GS26" s="108">
        <v>0</v>
      </c>
      <c r="GT26" s="108">
        <v>0</v>
      </c>
      <c r="GU26" s="110">
        <f>FK82</f>
        <v>0</v>
      </c>
      <c r="GV26" s="110">
        <f>FN82</f>
        <v>0</v>
      </c>
      <c r="GW26" s="110">
        <f>FQ82</f>
        <v>0</v>
      </c>
      <c r="GX26" s="108">
        <v>0</v>
      </c>
      <c r="GY26" s="108">
        <v>0</v>
      </c>
      <c r="GZ26" s="108">
        <v>0</v>
      </c>
      <c r="HA26" s="108">
        <v>0</v>
      </c>
      <c r="HB26" s="108">
        <v>0</v>
      </c>
      <c r="HC26" s="108">
        <v>0</v>
      </c>
      <c r="HD26" s="108">
        <v>0</v>
      </c>
      <c r="HE26" s="108">
        <v>0</v>
      </c>
      <c r="HF26" s="108">
        <v>0</v>
      </c>
      <c r="HG26" s="103">
        <v>0</v>
      </c>
      <c r="HH26" s="86" t="s">
        <v>94</v>
      </c>
      <c r="HI26" s="35" t="e">
        <v>#N/A</v>
      </c>
      <c r="HJ26" s="35" t="e">
        <v>#N/A</v>
      </c>
      <c r="HK26" s="35" t="e">
        <v>#N/A</v>
      </c>
      <c r="HL26" s="48" t="e">
        <v>#N/A</v>
      </c>
      <c r="HM26" s="104" t="e">
        <f t="shared" si="25"/>
        <v>#N/A</v>
      </c>
      <c r="HN26" s="105" t="e">
        <f>IF($F$2=14,IF($F$10=$ER$44,$FF$40,HM26),HM26)</f>
        <v>#N/A</v>
      </c>
      <c r="HO26" s="106"/>
      <c r="HP26" s="106"/>
      <c r="HQ26" s="87"/>
      <c r="HR26" s="154"/>
      <c r="HS26" s="156"/>
      <c r="HT26" s="158"/>
      <c r="HU26" s="54">
        <f>IF(F2=11,IF(F10=ER42,0,IF(F10=ER43,HN23,HN23)),IF(F2&lt;11,0,HN23))</f>
        <v>0</v>
      </c>
      <c r="HV26" s="54" t="s">
        <v>143</v>
      </c>
      <c r="HW26" s="54">
        <f>IF(HS25="-",0,IF(HS25="R0",HW56,HV25-EJ22*HT25-EL22-ER22-EX22))</f>
        <v>0</v>
      </c>
      <c r="HX26" s="54" t="s">
        <v>46</v>
      </c>
      <c r="HY26" s="54">
        <f>HV27-HW26</f>
        <v>0</v>
      </c>
      <c r="HZ26" s="164"/>
      <c r="IA26" s="164"/>
      <c r="IC26" s="162"/>
      <c r="ID26" s="74">
        <f>IF(IC23="-",$ID$23,$ID$23+IF26)</f>
        <v>4</v>
      </c>
      <c r="IE26" s="35" t="s">
        <v>152</v>
      </c>
      <c r="IF26" s="35">
        <f>IF25</f>
        <v>0</v>
      </c>
      <c r="IG26" s="35">
        <f>IF(IC23="-",0,IG25-EL13)</f>
        <v>2674.1122287888602</v>
      </c>
      <c r="II26" s="35" t="b">
        <f t="shared" si="44"/>
        <v>0</v>
      </c>
      <c r="IJ26" s="45" t="b">
        <f t="shared" si="54"/>
        <v>0</v>
      </c>
      <c r="IK26" s="35">
        <f t="shared" si="45"/>
        <v>0</v>
      </c>
      <c r="IL26" s="48">
        <f>IL24*3</f>
        <v>1.4005476058600874</v>
      </c>
      <c r="IM26" s="35">
        <f t="shared" si="46"/>
        <v>3745.2214798314203</v>
      </c>
      <c r="IN26" s="35">
        <f t="shared" si="47"/>
        <v>-1404.4580549367827</v>
      </c>
      <c r="IO26" s="36">
        <f t="shared" si="48"/>
        <v>0</v>
      </c>
      <c r="IP26" s="35">
        <f t="shared" si="49"/>
        <v>0</v>
      </c>
      <c r="IQ26" s="35">
        <f t="shared" si="50"/>
        <v>0</v>
      </c>
      <c r="IR26" s="35">
        <f t="shared" si="52"/>
        <v>-1740.5442033678758</v>
      </c>
      <c r="IS26" s="42">
        <f>IF(IC23="-","",SUM(IM26:IR26))</f>
        <v>600.21922152676211</v>
      </c>
      <c r="IT26" s="35">
        <f t="shared" si="51"/>
        <v>5.400547605860087</v>
      </c>
      <c r="IV26" s="38">
        <f>IV27</f>
        <v>8</v>
      </c>
      <c r="IW26" s="38">
        <f>IW24</f>
        <v>71.599999999999994</v>
      </c>
      <c r="IY26" s="35">
        <f>IF(IC23="-",-5,IF(ER13=0,-5,ID23+ET13))</f>
        <v>-5</v>
      </c>
      <c r="IZ26" s="35">
        <v>0</v>
      </c>
      <c r="JB26" s="38"/>
      <c r="JC26" s="38"/>
      <c r="JE26" s="38"/>
      <c r="JF26" s="38"/>
      <c r="JH26" s="38"/>
      <c r="JI26" s="38"/>
      <c r="JK26" s="35"/>
      <c r="JL26" s="35"/>
      <c r="JM26" s="39"/>
      <c r="JN26" s="35"/>
      <c r="JO26" s="35"/>
      <c r="JP26" s="39"/>
      <c r="JQ26" s="35"/>
      <c r="JR26" s="35"/>
      <c r="JS26" s="39"/>
      <c r="JT26" s="35"/>
      <c r="JU26" s="35"/>
      <c r="JW26" s="127"/>
      <c r="JX26" s="127"/>
    </row>
    <row r="27" spans="12:284" ht="14.25" customHeight="1" x14ac:dyDescent="0.2">
      <c r="L27" s="211" t="str">
        <f>IF(F2&gt;=19,19,"-")</f>
        <v>-</v>
      </c>
      <c r="M27" s="212"/>
      <c r="N27" s="193">
        <v>4</v>
      </c>
      <c r="O27" s="207"/>
      <c r="P27" s="193">
        <v>540</v>
      </c>
      <c r="Q27" s="194"/>
      <c r="R27" s="194">
        <v>240</v>
      </c>
      <c r="S27" s="207"/>
      <c r="T27" s="190"/>
      <c r="U27" s="191"/>
      <c r="V27" s="188"/>
      <c r="W27" s="191"/>
      <c r="X27" s="188"/>
      <c r="Y27" s="189"/>
      <c r="Z27" s="190"/>
      <c r="AA27" s="191"/>
      <c r="AB27" s="188"/>
      <c r="AC27" s="191"/>
      <c r="AD27" s="188"/>
      <c r="AE27" s="189"/>
      <c r="AF27" s="190"/>
      <c r="AG27" s="191"/>
      <c r="AH27" s="188"/>
      <c r="AI27" s="191"/>
      <c r="AJ27" s="188"/>
      <c r="AK27" s="189"/>
      <c r="AL27" s="8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96"/>
      <c r="DW27" s="96"/>
      <c r="DX27" s="96"/>
      <c r="DY27" s="96"/>
      <c r="DZ27" s="96"/>
      <c r="EA27" s="96"/>
      <c r="EB27" s="96"/>
      <c r="EC27" s="96"/>
      <c r="ED27" s="96"/>
      <c r="EE27" s="109">
        <v>16</v>
      </c>
      <c r="EF27" s="192">
        <f t="shared" si="13"/>
        <v>192.00000000000003</v>
      </c>
      <c r="EG27" s="192"/>
      <c r="EH27" s="192">
        <f t="shared" si="14"/>
        <v>780</v>
      </c>
      <c r="EI27" s="192"/>
      <c r="EJ27" s="192">
        <f t="shared" si="15"/>
        <v>972</v>
      </c>
      <c r="EK27" s="192"/>
      <c r="EL27" s="192">
        <f t="shared" si="16"/>
        <v>0</v>
      </c>
      <c r="EM27" s="192"/>
      <c r="EN27" s="192">
        <f t="shared" si="17"/>
        <v>0</v>
      </c>
      <c r="EO27" s="192"/>
      <c r="EP27" s="192">
        <f t="shared" si="18"/>
        <v>4</v>
      </c>
      <c r="EQ27" s="192"/>
      <c r="ER27" s="192">
        <f t="shared" si="19"/>
        <v>0</v>
      </c>
      <c r="ES27" s="192"/>
      <c r="ET27" s="192">
        <f t="shared" si="20"/>
        <v>0</v>
      </c>
      <c r="EU27" s="192"/>
      <c r="EV27" s="192">
        <f t="shared" si="21"/>
        <v>4</v>
      </c>
      <c r="EW27" s="192"/>
      <c r="EX27" s="192">
        <f t="shared" si="22"/>
        <v>0</v>
      </c>
      <c r="EY27" s="192"/>
      <c r="EZ27" s="192">
        <f t="shared" si="23"/>
        <v>0</v>
      </c>
      <c r="FA27" s="192"/>
      <c r="FB27" s="192">
        <f t="shared" si="24"/>
        <v>4</v>
      </c>
      <c r="FC27" s="192"/>
      <c r="FH27" s="28"/>
      <c r="FI27" s="100"/>
      <c r="FJ27" s="100"/>
      <c r="FK27" s="169">
        <f>EO3</f>
        <v>4</v>
      </c>
      <c r="FL27" s="169"/>
      <c r="FM27" s="169"/>
      <c r="FN27" s="169">
        <f>2*(EO3+ER3)</f>
        <v>16</v>
      </c>
      <c r="FO27" s="169"/>
      <c r="FP27" s="169"/>
      <c r="FQ27" s="169">
        <f>IF($F$2=4,(IF(F10=ER43,ER3,IF(F10=ER44,ER3*FF40,0))),IF(F2&gt;4,ER3,0))</f>
        <v>4</v>
      </c>
      <c r="FR27" s="169"/>
      <c r="FS27" s="169"/>
      <c r="FT27" s="98" t="s">
        <v>41</v>
      </c>
      <c r="FU27" s="170">
        <f>(EJ14*EO3^3)/4</f>
        <v>15552</v>
      </c>
      <c r="FV27" s="170"/>
      <c r="FW27" s="170"/>
      <c r="FX27" s="170">
        <f>(EJ15*ER3^3)/4</f>
        <v>15552</v>
      </c>
      <c r="FY27" s="170"/>
      <c r="FZ27" s="170"/>
      <c r="GA27" s="101"/>
      <c r="GB27" s="171">
        <f>-SUM(FU27:FZ30)-IF(F2=4,IF($F$10=$ER$44,FQ27,0))</f>
        <v>-49268.0625</v>
      </c>
      <c r="GC27" s="171"/>
      <c r="GD27" s="171"/>
      <c r="GG27" s="22">
        <v>16</v>
      </c>
      <c r="GH27" s="103">
        <v>0</v>
      </c>
      <c r="GI27" s="108">
        <v>0</v>
      </c>
      <c r="GJ27" s="108">
        <v>0</v>
      </c>
      <c r="GK27" s="108">
        <v>0</v>
      </c>
      <c r="GL27" s="108">
        <v>0</v>
      </c>
      <c r="GM27" s="108">
        <v>0</v>
      </c>
      <c r="GN27" s="108">
        <v>0</v>
      </c>
      <c r="GO27" s="108">
        <v>0</v>
      </c>
      <c r="GP27" s="108">
        <v>0</v>
      </c>
      <c r="GQ27" s="108">
        <v>0</v>
      </c>
      <c r="GR27" s="108">
        <v>0</v>
      </c>
      <c r="GS27" s="108">
        <v>0</v>
      </c>
      <c r="GT27" s="108">
        <v>0</v>
      </c>
      <c r="GU27" s="108">
        <v>0</v>
      </c>
      <c r="GV27" s="110">
        <f>FK87</f>
        <v>0</v>
      </c>
      <c r="GW27" s="110">
        <f>FN87</f>
        <v>0</v>
      </c>
      <c r="GX27" s="110">
        <f>FQ87</f>
        <v>0</v>
      </c>
      <c r="GY27" s="108">
        <v>0</v>
      </c>
      <c r="GZ27" s="108">
        <v>0</v>
      </c>
      <c r="HA27" s="108">
        <v>0</v>
      </c>
      <c r="HB27" s="108">
        <v>0</v>
      </c>
      <c r="HC27" s="108">
        <v>0</v>
      </c>
      <c r="HD27" s="108">
        <v>0</v>
      </c>
      <c r="HE27" s="108">
        <v>0</v>
      </c>
      <c r="HF27" s="108">
        <v>0</v>
      </c>
      <c r="HG27" s="103">
        <v>0</v>
      </c>
      <c r="HH27" s="86" t="s">
        <v>98</v>
      </c>
      <c r="HI27" s="35" t="e">
        <v>#N/A</v>
      </c>
      <c r="HJ27" s="35" t="e">
        <v>#N/A</v>
      </c>
      <c r="HK27" s="35" t="e">
        <v>#N/A</v>
      </c>
      <c r="HL27" s="48" t="e">
        <v>#N/A</v>
      </c>
      <c r="HM27" s="104" t="e">
        <f t="shared" si="25"/>
        <v>#N/A</v>
      </c>
      <c r="HN27" s="105" t="e">
        <f>IF($F$2=15,IF($F$10=$ER$44,$FF$40,HM27),HM27)</f>
        <v>#N/A</v>
      </c>
      <c r="HO27" s="106"/>
      <c r="HP27" s="106"/>
      <c r="HQ27" s="87"/>
      <c r="HR27" s="153" t="str">
        <f t="shared" ref="HR27" si="55">IF(HS27="-","",HS27)</f>
        <v/>
      </c>
      <c r="HS27" s="153" t="str">
        <f>IF(F2=11,IF(F10=ER44,"R0",L20),L20)</f>
        <v>-</v>
      </c>
      <c r="HT27" s="159">
        <f>IF(HS27="R0",HT55,FP3)</f>
        <v>0</v>
      </c>
      <c r="HU27" s="38">
        <f>IF(HS27="R0",HU55,IF(F2&lt;12,0,HN23))</f>
        <v>0</v>
      </c>
      <c r="HV27" s="35">
        <f>IF(HS27="-",0,IF(HS27="R0",HV55,(EJ23*HT27^2*0.5+EL23*EP23+ER23*EV23+EX23*FB23-HU27+HU28)/HT27))</f>
        <v>0</v>
      </c>
      <c r="HW27" s="35" t="s">
        <v>143</v>
      </c>
      <c r="HX27" s="38" t="s">
        <v>41</v>
      </c>
      <c r="HY27" s="38">
        <f>HY26</f>
        <v>0</v>
      </c>
      <c r="HZ27" s="161" t="str">
        <f>IS127</f>
        <v/>
      </c>
      <c r="IA27" s="162" t="str">
        <f>IF(IL127=FALSE,"",IL127)</f>
        <v/>
      </c>
      <c r="IC27" s="162"/>
      <c r="ID27" s="74">
        <f>IF(IC23="-",$ID$23,$ID$23+IF27)</f>
        <v>4</v>
      </c>
      <c r="IE27" s="35" t="s">
        <v>153</v>
      </c>
      <c r="IF27" s="35">
        <f>IF(ER13=0,IF26,ET13)</f>
        <v>0</v>
      </c>
      <c r="IG27" s="35">
        <f>IF(IC23="-",0,IG26-IF(ER13=0,0,EJ13*(IF27-IF26)))</f>
        <v>2674.1122287888602</v>
      </c>
      <c r="II27" s="35" t="b">
        <f t="shared" si="44"/>
        <v>0</v>
      </c>
      <c r="IJ27" s="45" t="b">
        <f t="shared" si="54"/>
        <v>0</v>
      </c>
      <c r="IK27" s="35">
        <f t="shared" si="45"/>
        <v>0</v>
      </c>
      <c r="IL27" s="67">
        <f>IF(II23=TRUE,IK23,IF(II24=TRUE,IK24,IF(II25=TRUE,IK25,IF(II26=TRUE,IK26,IF(II27=TRUE,IK27,IF(II28=TRUE,IK28,IF(II29=TRUE,IK29,IF(II30=TRUE,IK30,IF(II31=TRUE,IK31,IF(II32=TRUE,IK32,0))))))))))</f>
        <v>1.86739680781345</v>
      </c>
      <c r="IM27" s="68">
        <f t="shared" si="46"/>
        <v>4993.6286397752274</v>
      </c>
      <c r="IN27" s="68">
        <f t="shared" si="47"/>
        <v>-2496.8143198876137</v>
      </c>
      <c r="IO27" s="69">
        <f t="shared" si="48"/>
        <v>0</v>
      </c>
      <c r="IP27" s="68">
        <f t="shared" si="49"/>
        <v>0</v>
      </c>
      <c r="IQ27" s="68">
        <f t="shared" si="50"/>
        <v>0</v>
      </c>
      <c r="IR27" s="68">
        <f t="shared" si="52"/>
        <v>-1740.5442033678758</v>
      </c>
      <c r="IS27" s="70">
        <f>IF(IC23="-","",ROUND(SUM(IM27:IR27),2))</f>
        <v>756.27</v>
      </c>
      <c r="IT27" s="68">
        <f t="shared" si="51"/>
        <v>5.8673968078134502</v>
      </c>
      <c r="IV27" s="38">
        <f>ID32</f>
        <v>8</v>
      </c>
      <c r="IW27" s="38">
        <v>0</v>
      </c>
      <c r="IY27" s="35">
        <f>IY26</f>
        <v>-5</v>
      </c>
      <c r="IZ27" s="35">
        <f>IF(IC23="-",0,ER13/20)</f>
        <v>0</v>
      </c>
      <c r="JB27" s="38"/>
      <c r="JC27" s="38"/>
      <c r="JE27" s="38"/>
      <c r="JF27" s="38"/>
      <c r="JH27" s="38"/>
      <c r="JI27" s="38"/>
      <c r="JK27" s="35">
        <f>IF(IC23=2,IT27,-5)</f>
        <v>5.8673968078134502</v>
      </c>
      <c r="JL27" s="37">
        <f>IS27</f>
        <v>756.27</v>
      </c>
      <c r="JM27" s="40"/>
      <c r="JN27" s="37"/>
      <c r="JO27" s="37"/>
      <c r="JP27" s="40"/>
      <c r="JQ27" s="37"/>
      <c r="JR27" s="37"/>
      <c r="JS27" s="40"/>
      <c r="JT27" s="37"/>
      <c r="JU27" s="37"/>
      <c r="JW27" s="37"/>
      <c r="JX27" s="37"/>
    </row>
    <row r="28" spans="12:284" ht="14.25" customHeight="1" x14ac:dyDescent="0.2">
      <c r="L28" s="211" t="str">
        <f>IF(F2&gt;=20,20,"-")</f>
        <v>-</v>
      </c>
      <c r="M28" s="212"/>
      <c r="N28" s="193">
        <v>4</v>
      </c>
      <c r="O28" s="207"/>
      <c r="P28" s="193">
        <v>540</v>
      </c>
      <c r="Q28" s="194"/>
      <c r="R28" s="194">
        <v>240</v>
      </c>
      <c r="S28" s="207"/>
      <c r="T28" s="190"/>
      <c r="U28" s="191"/>
      <c r="V28" s="188"/>
      <c r="W28" s="191"/>
      <c r="X28" s="188"/>
      <c r="Y28" s="189"/>
      <c r="Z28" s="190"/>
      <c r="AA28" s="191"/>
      <c r="AB28" s="188"/>
      <c r="AC28" s="191"/>
      <c r="AD28" s="188"/>
      <c r="AE28" s="189"/>
      <c r="AF28" s="190"/>
      <c r="AG28" s="191"/>
      <c r="AH28" s="188"/>
      <c r="AI28" s="191"/>
      <c r="AJ28" s="188"/>
      <c r="AK28" s="189"/>
      <c r="AL28" s="8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96"/>
      <c r="DW28" s="96"/>
      <c r="DX28" s="96"/>
      <c r="DY28" s="96"/>
      <c r="DZ28" s="96"/>
      <c r="EA28" s="96"/>
      <c r="EB28" s="96"/>
      <c r="EC28" s="96"/>
      <c r="ED28" s="96"/>
      <c r="EE28" s="109">
        <v>17</v>
      </c>
      <c r="EF28" s="192">
        <f t="shared" si="13"/>
        <v>192.00000000000003</v>
      </c>
      <c r="EG28" s="192"/>
      <c r="EH28" s="192">
        <f t="shared" si="14"/>
        <v>780</v>
      </c>
      <c r="EI28" s="192"/>
      <c r="EJ28" s="192">
        <f t="shared" si="15"/>
        <v>972</v>
      </c>
      <c r="EK28" s="192"/>
      <c r="EL28" s="192">
        <f t="shared" si="16"/>
        <v>0</v>
      </c>
      <c r="EM28" s="192"/>
      <c r="EN28" s="192">
        <f t="shared" si="17"/>
        <v>0</v>
      </c>
      <c r="EO28" s="192"/>
      <c r="EP28" s="192">
        <f t="shared" si="18"/>
        <v>4</v>
      </c>
      <c r="EQ28" s="192"/>
      <c r="ER28" s="192">
        <f t="shared" si="19"/>
        <v>0</v>
      </c>
      <c r="ES28" s="192"/>
      <c r="ET28" s="192">
        <f t="shared" si="20"/>
        <v>0</v>
      </c>
      <c r="EU28" s="192"/>
      <c r="EV28" s="192">
        <f t="shared" si="21"/>
        <v>4</v>
      </c>
      <c r="EW28" s="192"/>
      <c r="EX28" s="192">
        <f t="shared" si="22"/>
        <v>0</v>
      </c>
      <c r="EY28" s="192"/>
      <c r="EZ28" s="192">
        <f t="shared" si="23"/>
        <v>0</v>
      </c>
      <c r="FA28" s="192"/>
      <c r="FB28" s="192">
        <f t="shared" si="24"/>
        <v>4</v>
      </c>
      <c r="FC28" s="192"/>
      <c r="FH28" s="28"/>
      <c r="FI28" s="100"/>
      <c r="FJ28" s="100"/>
      <c r="FK28" s="98"/>
      <c r="FL28" s="98"/>
      <c r="FM28" s="98"/>
      <c r="FN28" s="98"/>
      <c r="FO28" s="98"/>
      <c r="FP28" s="98"/>
      <c r="FQ28" s="98"/>
      <c r="FR28" s="98"/>
      <c r="FS28" s="98"/>
      <c r="FT28" s="98" t="s">
        <v>17</v>
      </c>
      <c r="FU28" s="170">
        <f>IF(EO3=0,0,(EL14*EN14/EO3)*(EO3^2-EN14^2))</f>
        <v>5625</v>
      </c>
      <c r="FV28" s="170"/>
      <c r="FW28" s="170"/>
      <c r="FX28" s="170">
        <f>IF(ER3=0,0,(EL15*EP15/ER3)*(ER3^2-EP15^2))</f>
        <v>0</v>
      </c>
      <c r="FY28" s="170"/>
      <c r="FZ28" s="170"/>
      <c r="GA28" s="101"/>
      <c r="GB28" s="170"/>
      <c r="GC28" s="170"/>
      <c r="GD28" s="170"/>
      <c r="GG28" s="22">
        <v>17</v>
      </c>
      <c r="GH28" s="103">
        <v>0</v>
      </c>
      <c r="GI28" s="108">
        <v>0</v>
      </c>
      <c r="GJ28" s="108">
        <v>0</v>
      </c>
      <c r="GK28" s="108">
        <v>0</v>
      </c>
      <c r="GL28" s="108">
        <v>0</v>
      </c>
      <c r="GM28" s="108">
        <v>0</v>
      </c>
      <c r="GN28" s="108">
        <v>0</v>
      </c>
      <c r="GO28" s="108">
        <v>0</v>
      </c>
      <c r="GP28" s="108">
        <v>0</v>
      </c>
      <c r="GQ28" s="108">
        <v>0</v>
      </c>
      <c r="GR28" s="108">
        <v>0</v>
      </c>
      <c r="GS28" s="108">
        <v>0</v>
      </c>
      <c r="GT28" s="108">
        <v>0</v>
      </c>
      <c r="GU28" s="108">
        <v>0</v>
      </c>
      <c r="GV28" s="108">
        <v>0</v>
      </c>
      <c r="GW28" s="110">
        <f>FK92</f>
        <v>0</v>
      </c>
      <c r="GX28" s="110">
        <f>FN92</f>
        <v>0</v>
      </c>
      <c r="GY28" s="110">
        <f>FQ92</f>
        <v>0</v>
      </c>
      <c r="GZ28" s="108">
        <v>0</v>
      </c>
      <c r="HA28" s="108">
        <v>0</v>
      </c>
      <c r="HB28" s="108">
        <v>0</v>
      </c>
      <c r="HC28" s="108">
        <v>0</v>
      </c>
      <c r="HD28" s="108">
        <v>0</v>
      </c>
      <c r="HE28" s="108">
        <v>0</v>
      </c>
      <c r="HF28" s="108">
        <v>0</v>
      </c>
      <c r="HG28" s="103">
        <v>0</v>
      </c>
      <c r="HH28" s="86" t="s">
        <v>99</v>
      </c>
      <c r="HI28" s="35" t="e">
        <v>#N/A</v>
      </c>
      <c r="HJ28" s="35" t="e">
        <v>#N/A</v>
      </c>
      <c r="HK28" s="35" t="e">
        <v>#N/A</v>
      </c>
      <c r="HL28" s="48" t="e">
        <v>#N/A</v>
      </c>
      <c r="HM28" s="104" t="e">
        <f t="shared" si="25"/>
        <v>#N/A</v>
      </c>
      <c r="HN28" s="105" t="e">
        <f>IF($F$2=16,IF($F$10=$ER$44,$FF$40,HM28),HM28)</f>
        <v>#N/A</v>
      </c>
      <c r="HO28" s="106"/>
      <c r="HP28" s="106"/>
      <c r="HQ28" s="87"/>
      <c r="HR28" s="154"/>
      <c r="HS28" s="154"/>
      <c r="HT28" s="160"/>
      <c r="HU28" s="38">
        <f>IF(F2=12,IF(F10=ER42,0,IF(F10=ER43,HN24,HN24)),IF(F2&lt;12,0,HN24))</f>
        <v>0</v>
      </c>
      <c r="HV28" s="35" t="s">
        <v>143</v>
      </c>
      <c r="HW28" s="35">
        <f>IF(HS27="-",0,IF(HS27="R0",HW56,HV27-EJ23*HT27-EL23-ER23-EX23))</f>
        <v>0</v>
      </c>
      <c r="HX28" s="38" t="s">
        <v>46</v>
      </c>
      <c r="HY28" s="38">
        <f>HV29-HW28</f>
        <v>0</v>
      </c>
      <c r="HZ28" s="162"/>
      <c r="IA28" s="162"/>
      <c r="IC28" s="162"/>
      <c r="ID28" s="74">
        <f>IF(IC23="-",$ID$23,$ID$23+IF28)</f>
        <v>4</v>
      </c>
      <c r="IE28" s="35" t="s">
        <v>154</v>
      </c>
      <c r="IF28" s="35">
        <f>IF27</f>
        <v>0</v>
      </c>
      <c r="IG28" s="35">
        <f>IF(IC23="-",0,IG27-ER13)</f>
        <v>2674.1122287888602</v>
      </c>
      <c r="II28" s="35" t="b">
        <f t="shared" si="44"/>
        <v>0</v>
      </c>
      <c r="IJ28" s="45" t="b">
        <f t="shared" si="54"/>
        <v>0</v>
      </c>
      <c r="IK28" s="35">
        <f t="shared" si="45"/>
        <v>0</v>
      </c>
      <c r="IL28" s="48">
        <f>IL27+($IL$32-$IL$27)/4</f>
        <v>2.4005476058600874</v>
      </c>
      <c r="IM28" s="35">
        <f t="shared" si="46"/>
        <v>6419.333708620281</v>
      </c>
      <c r="IN28" s="35">
        <f t="shared" si="47"/>
        <v>-4126.0422265284278</v>
      </c>
      <c r="IO28" s="36">
        <f t="shared" si="48"/>
        <v>0</v>
      </c>
      <c r="IP28" s="35">
        <f t="shared" si="49"/>
        <v>0</v>
      </c>
      <c r="IQ28" s="35">
        <f t="shared" si="50"/>
        <v>0</v>
      </c>
      <c r="IR28" s="35">
        <f t="shared" si="52"/>
        <v>-1740.5442033678758</v>
      </c>
      <c r="IS28" s="42">
        <f>IF(IC23="-","",SUM(IM28:IR28))</f>
        <v>552.74727872397739</v>
      </c>
      <c r="IT28" s="35">
        <f t="shared" si="51"/>
        <v>6.400547605860087</v>
      </c>
      <c r="IV28" s="38"/>
      <c r="IW28" s="38"/>
      <c r="IY28" s="44" t="str">
        <f>IF(IC23="-","",IF(ER13=0,"",ER13))</f>
        <v/>
      </c>
      <c r="IZ28" s="45"/>
      <c r="JB28" s="38"/>
      <c r="JC28" s="38"/>
      <c r="JE28" s="38"/>
      <c r="JF28" s="38"/>
      <c r="JH28" s="38"/>
      <c r="JI28" s="38"/>
      <c r="JK28" s="35"/>
      <c r="JL28" s="35"/>
      <c r="JM28" s="39"/>
      <c r="JN28" s="35"/>
      <c r="JO28" s="35"/>
      <c r="JP28" s="39"/>
      <c r="JQ28" s="35"/>
      <c r="JR28" s="35"/>
      <c r="JS28" s="39"/>
      <c r="JT28" s="35"/>
      <c r="JU28" s="35"/>
      <c r="JW28" s="127"/>
      <c r="JX28" s="127"/>
    </row>
    <row r="29" spans="12:284" ht="14.25" customHeight="1" x14ac:dyDescent="0.2">
      <c r="L29" s="211" t="str">
        <f>IF(F2&gt;=21,21,"-")</f>
        <v>-</v>
      </c>
      <c r="M29" s="212"/>
      <c r="N29" s="193">
        <v>4</v>
      </c>
      <c r="O29" s="207"/>
      <c r="P29" s="193">
        <v>540</v>
      </c>
      <c r="Q29" s="194"/>
      <c r="R29" s="194">
        <v>240</v>
      </c>
      <c r="S29" s="207"/>
      <c r="T29" s="190"/>
      <c r="U29" s="191"/>
      <c r="V29" s="188"/>
      <c r="W29" s="191"/>
      <c r="X29" s="188"/>
      <c r="Y29" s="189"/>
      <c r="Z29" s="190"/>
      <c r="AA29" s="191"/>
      <c r="AB29" s="188"/>
      <c r="AC29" s="191"/>
      <c r="AD29" s="188"/>
      <c r="AE29" s="189"/>
      <c r="AF29" s="190"/>
      <c r="AG29" s="191"/>
      <c r="AH29" s="188"/>
      <c r="AI29" s="191"/>
      <c r="AJ29" s="188"/>
      <c r="AK29" s="189"/>
      <c r="AL29" s="8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96"/>
      <c r="DW29" s="96"/>
      <c r="DX29" s="96"/>
      <c r="DY29" s="96"/>
      <c r="DZ29" s="96"/>
      <c r="EA29" s="96"/>
      <c r="EB29" s="96"/>
      <c r="EC29" s="96"/>
      <c r="ED29" s="96"/>
      <c r="EE29" s="109">
        <v>18</v>
      </c>
      <c r="EF29" s="192">
        <f t="shared" si="13"/>
        <v>192.00000000000003</v>
      </c>
      <c r="EG29" s="192"/>
      <c r="EH29" s="192">
        <f t="shared" si="14"/>
        <v>780</v>
      </c>
      <c r="EI29" s="192"/>
      <c r="EJ29" s="192">
        <f t="shared" si="15"/>
        <v>972</v>
      </c>
      <c r="EK29" s="192"/>
      <c r="EL29" s="192">
        <f t="shared" si="16"/>
        <v>0</v>
      </c>
      <c r="EM29" s="192"/>
      <c r="EN29" s="192">
        <f t="shared" si="17"/>
        <v>0</v>
      </c>
      <c r="EO29" s="192"/>
      <c r="EP29" s="192">
        <f t="shared" si="18"/>
        <v>4</v>
      </c>
      <c r="EQ29" s="192"/>
      <c r="ER29" s="192">
        <f t="shared" si="19"/>
        <v>0</v>
      </c>
      <c r="ES29" s="192"/>
      <c r="ET29" s="192">
        <f t="shared" si="20"/>
        <v>0</v>
      </c>
      <c r="EU29" s="192"/>
      <c r="EV29" s="192">
        <f t="shared" si="21"/>
        <v>4</v>
      </c>
      <c r="EW29" s="192"/>
      <c r="EX29" s="192">
        <f t="shared" si="22"/>
        <v>0</v>
      </c>
      <c r="EY29" s="192"/>
      <c r="EZ29" s="192">
        <f t="shared" si="23"/>
        <v>0</v>
      </c>
      <c r="FA29" s="192"/>
      <c r="FB29" s="192">
        <f t="shared" si="24"/>
        <v>4</v>
      </c>
      <c r="FC29" s="192"/>
      <c r="FH29" s="28"/>
      <c r="FI29" s="100"/>
      <c r="FJ29" s="100"/>
      <c r="FK29" s="98"/>
      <c r="FL29" s="98"/>
      <c r="FM29" s="98"/>
      <c r="FN29" s="98"/>
      <c r="FO29" s="98"/>
      <c r="FP29" s="98"/>
      <c r="FQ29" s="98"/>
      <c r="FR29" s="98"/>
      <c r="FS29" s="98"/>
      <c r="FT29" s="98" t="s">
        <v>19</v>
      </c>
      <c r="FU29" s="170">
        <f>IF(EO3=0,0,(ER14*ET14/EO3)*(EO3^2-ET14^2))</f>
        <v>7617.1875</v>
      </c>
      <c r="FV29" s="170"/>
      <c r="FW29" s="170"/>
      <c r="FX29" s="170">
        <f>IF(ER3=0,0,(ER15*EV15/ER3)*(ER3^2-EV15^2))</f>
        <v>0</v>
      </c>
      <c r="FY29" s="170"/>
      <c r="FZ29" s="170"/>
      <c r="GA29" s="101"/>
      <c r="GB29" s="170"/>
      <c r="GC29" s="170"/>
      <c r="GD29" s="170"/>
      <c r="GG29" s="22">
        <v>18</v>
      </c>
      <c r="GH29" s="103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10">
        <f>FK97</f>
        <v>0</v>
      </c>
      <c r="GY29" s="110">
        <f>FN97</f>
        <v>0</v>
      </c>
      <c r="GZ29" s="110">
        <f>FQ97</f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3">
        <v>0</v>
      </c>
      <c r="HH29" s="86" t="s">
        <v>101</v>
      </c>
      <c r="HI29" s="35" t="e">
        <v>#N/A</v>
      </c>
      <c r="HJ29" s="35" t="e">
        <v>#N/A</v>
      </c>
      <c r="HK29" s="35" t="e">
        <v>#N/A</v>
      </c>
      <c r="HL29" s="48" t="e">
        <v>#N/A</v>
      </c>
      <c r="HM29" s="104" t="e">
        <f t="shared" si="25"/>
        <v>#N/A</v>
      </c>
      <c r="HN29" s="105" t="e">
        <f>IF($F$2=17,IF($F$10=$ER$44,$FF$40,HM29),HM29)</f>
        <v>#N/A</v>
      </c>
      <c r="HO29" s="106"/>
      <c r="HP29" s="106"/>
      <c r="HQ29" s="87"/>
      <c r="HR29" s="153" t="str">
        <f t="shared" ref="HR29" si="56">IF(HS29="-","",HS29)</f>
        <v/>
      </c>
      <c r="HS29" s="155" t="str">
        <f>IF(F2=12,IF(F10=ER44,"R0",L21),L21)</f>
        <v>-</v>
      </c>
      <c r="HT29" s="157">
        <f>IF(HS29="R0",HT55,FS3)</f>
        <v>0</v>
      </c>
      <c r="HU29" s="54">
        <f>IF(HS29="R0",HU55,IF(F2&lt;13,0,HN24))</f>
        <v>0</v>
      </c>
      <c r="HV29" s="54">
        <f>IF(HS29="-",0,IF(HS29="R0",HV55,(EJ24*HT29^2*0.5+EL24*EP24+ER24*EV24+EX24*FB24-HU29+HU30)/HT29))</f>
        <v>0</v>
      </c>
      <c r="HW29" s="54" t="s">
        <v>143</v>
      </c>
      <c r="HX29" s="54" t="s">
        <v>41</v>
      </c>
      <c r="HY29" s="54">
        <f>HY28</f>
        <v>0</v>
      </c>
      <c r="HZ29" s="163" t="str">
        <f>IS137</f>
        <v/>
      </c>
      <c r="IA29" s="164" t="str">
        <f>IF(IL137=FALSE,"",IL137)</f>
        <v/>
      </c>
      <c r="IC29" s="162"/>
      <c r="ID29" s="74">
        <f>IF(IC23="-",$ID$23,$ID$23+IF29)</f>
        <v>4</v>
      </c>
      <c r="IE29" s="35" t="s">
        <v>155</v>
      </c>
      <c r="IF29" s="35">
        <f>IF(EX13=0,IF28,EZ13)</f>
        <v>0</v>
      </c>
      <c r="IG29" s="35">
        <f>IF(IC23="-",0,IG28-IF(EX13=0,0,EJ13*(IF29-IF28)))</f>
        <v>2674.1122287888602</v>
      </c>
      <c r="II29" s="35" t="b">
        <f t="shared" si="44"/>
        <v>0</v>
      </c>
      <c r="IJ29" s="45" t="b">
        <f t="shared" si="54"/>
        <v>0</v>
      </c>
      <c r="IK29" s="35">
        <f t="shared" si="45"/>
        <v>0</v>
      </c>
      <c r="IL29" s="48">
        <f>IL28+($IL$32-$IL$27)/4</f>
        <v>2.9336984039067246</v>
      </c>
      <c r="IM29" s="35">
        <f t="shared" si="46"/>
        <v>7845.0387774653336</v>
      </c>
      <c r="IN29" s="35">
        <f t="shared" si="47"/>
        <v>-6162.3158087607626</v>
      </c>
      <c r="IO29" s="36">
        <f t="shared" si="48"/>
        <v>0</v>
      </c>
      <c r="IP29" s="35">
        <f t="shared" si="49"/>
        <v>0</v>
      </c>
      <c r="IQ29" s="35">
        <f t="shared" si="50"/>
        <v>0</v>
      </c>
      <c r="IR29" s="35">
        <f t="shared" si="52"/>
        <v>-1740.5442033678758</v>
      </c>
      <c r="IS29" s="42">
        <f>IF(IC23="-","",SUM(IM29:IR29))</f>
        <v>-57.821234663304722</v>
      </c>
      <c r="IT29" s="35">
        <f t="shared" si="51"/>
        <v>6.9336984039067246</v>
      </c>
      <c r="IV29" s="46">
        <f>IF(IC23="-","",EJ13)</f>
        <v>1432</v>
      </c>
      <c r="IW29" s="38"/>
      <c r="IY29" s="35">
        <f>IF(IC23="-",-5,IF(EX13=0,-5,ID23+EZ13))</f>
        <v>-5</v>
      </c>
      <c r="IZ29" s="35">
        <v>0</v>
      </c>
      <c r="JB29" s="38"/>
      <c r="JC29" s="38"/>
      <c r="JE29" s="38"/>
      <c r="JF29" s="38"/>
      <c r="JH29" s="38"/>
      <c r="JI29" s="38"/>
      <c r="JK29" s="35"/>
      <c r="JL29" s="35"/>
      <c r="JM29" s="39"/>
      <c r="JN29" s="35"/>
      <c r="JO29" s="35"/>
      <c r="JP29" s="39"/>
      <c r="JQ29" s="35"/>
      <c r="JR29" s="35"/>
      <c r="JS29" s="39"/>
      <c r="JT29" s="35"/>
      <c r="JU29" s="35"/>
      <c r="JW29" s="127"/>
      <c r="JX29" s="127"/>
    </row>
    <row r="30" spans="12:284" ht="14.25" customHeight="1" x14ac:dyDescent="0.2">
      <c r="L30" s="211" t="str">
        <f>IF(F2&gt;=22,22,"-")</f>
        <v>-</v>
      </c>
      <c r="M30" s="212"/>
      <c r="N30" s="193">
        <v>4</v>
      </c>
      <c r="O30" s="207"/>
      <c r="P30" s="193">
        <v>540</v>
      </c>
      <c r="Q30" s="194"/>
      <c r="R30" s="194">
        <v>240</v>
      </c>
      <c r="S30" s="207"/>
      <c r="T30" s="190"/>
      <c r="U30" s="191"/>
      <c r="V30" s="188"/>
      <c r="W30" s="191"/>
      <c r="X30" s="188"/>
      <c r="Y30" s="189"/>
      <c r="Z30" s="190"/>
      <c r="AA30" s="191"/>
      <c r="AB30" s="188"/>
      <c r="AC30" s="191"/>
      <c r="AD30" s="188"/>
      <c r="AE30" s="189"/>
      <c r="AF30" s="190"/>
      <c r="AG30" s="191"/>
      <c r="AH30" s="188"/>
      <c r="AI30" s="191"/>
      <c r="AJ30" s="188"/>
      <c r="AK30" s="189"/>
      <c r="AL30" s="8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96"/>
      <c r="DW30" s="96"/>
      <c r="DX30" s="96"/>
      <c r="DY30" s="96"/>
      <c r="DZ30" s="96"/>
      <c r="EA30" s="96"/>
      <c r="EB30" s="96"/>
      <c r="EC30" s="96"/>
      <c r="ED30" s="96"/>
      <c r="EE30" s="109">
        <v>19</v>
      </c>
      <c r="EF30" s="192">
        <f t="shared" si="13"/>
        <v>192.00000000000003</v>
      </c>
      <c r="EG30" s="192"/>
      <c r="EH30" s="192">
        <f t="shared" si="14"/>
        <v>780</v>
      </c>
      <c r="EI30" s="192"/>
      <c r="EJ30" s="192">
        <f t="shared" si="15"/>
        <v>972</v>
      </c>
      <c r="EK30" s="192"/>
      <c r="EL30" s="192">
        <f t="shared" si="16"/>
        <v>0</v>
      </c>
      <c r="EM30" s="192"/>
      <c r="EN30" s="192">
        <f t="shared" si="17"/>
        <v>0</v>
      </c>
      <c r="EO30" s="192"/>
      <c r="EP30" s="192">
        <f t="shared" si="18"/>
        <v>4</v>
      </c>
      <c r="EQ30" s="192"/>
      <c r="ER30" s="192">
        <f t="shared" si="19"/>
        <v>0</v>
      </c>
      <c r="ES30" s="192"/>
      <c r="ET30" s="192">
        <f t="shared" si="20"/>
        <v>0</v>
      </c>
      <c r="EU30" s="192"/>
      <c r="EV30" s="192">
        <f t="shared" si="21"/>
        <v>4</v>
      </c>
      <c r="EW30" s="192"/>
      <c r="EX30" s="192">
        <f t="shared" si="22"/>
        <v>0</v>
      </c>
      <c r="EY30" s="192"/>
      <c r="EZ30" s="192">
        <f t="shared" si="23"/>
        <v>0</v>
      </c>
      <c r="FA30" s="192"/>
      <c r="FB30" s="192">
        <f t="shared" si="24"/>
        <v>4</v>
      </c>
      <c r="FC30" s="192"/>
      <c r="FH30" s="28"/>
      <c r="FI30" s="100"/>
      <c r="FJ30" s="100"/>
      <c r="FK30" s="98"/>
      <c r="FL30" s="98"/>
      <c r="FM30" s="98"/>
      <c r="FN30" s="98"/>
      <c r="FO30" s="98"/>
      <c r="FP30" s="98"/>
      <c r="FQ30" s="98"/>
      <c r="FR30" s="98"/>
      <c r="FS30" s="98"/>
      <c r="FT30" s="98" t="s">
        <v>20</v>
      </c>
      <c r="FU30" s="170">
        <f>IF(EO3=0,0,(EX14*EZ14/EO3)*(EO3^2-EZ14^2))</f>
        <v>4921.875</v>
      </c>
      <c r="FV30" s="170"/>
      <c r="FW30" s="170"/>
      <c r="FX30" s="170">
        <f>IF(ER3=0,0,(EX15*FB15/ER3)*(ER3^2-FB15^2))</f>
        <v>0</v>
      </c>
      <c r="FY30" s="170"/>
      <c r="FZ30" s="170"/>
      <c r="GA30" s="101"/>
      <c r="GB30" s="172"/>
      <c r="GC30" s="172"/>
      <c r="GD30" s="172"/>
      <c r="GG30" s="22">
        <v>19</v>
      </c>
      <c r="GH30" s="103">
        <v>0</v>
      </c>
      <c r="GI30" s="108">
        <v>0</v>
      </c>
      <c r="GJ30" s="108">
        <v>0</v>
      </c>
      <c r="GK30" s="108">
        <v>0</v>
      </c>
      <c r="GL30" s="108">
        <v>0</v>
      </c>
      <c r="GM30" s="108">
        <v>0</v>
      </c>
      <c r="GN30" s="108">
        <v>0</v>
      </c>
      <c r="GO30" s="108">
        <v>0</v>
      </c>
      <c r="GP30" s="108">
        <v>0</v>
      </c>
      <c r="GQ30" s="108">
        <v>0</v>
      </c>
      <c r="GR30" s="108">
        <v>0</v>
      </c>
      <c r="GS30" s="108">
        <v>0</v>
      </c>
      <c r="GT30" s="108">
        <v>0</v>
      </c>
      <c r="GU30" s="108">
        <v>0</v>
      </c>
      <c r="GV30" s="108">
        <v>0</v>
      </c>
      <c r="GW30" s="108">
        <v>0</v>
      </c>
      <c r="GX30" s="108">
        <v>0</v>
      </c>
      <c r="GY30" s="110">
        <f>FK102</f>
        <v>0</v>
      </c>
      <c r="GZ30" s="110">
        <f>FN102</f>
        <v>0</v>
      </c>
      <c r="HA30" s="110">
        <f>FQ102</f>
        <v>0</v>
      </c>
      <c r="HB30" s="108">
        <v>0</v>
      </c>
      <c r="HC30" s="108">
        <v>0</v>
      </c>
      <c r="HD30" s="108">
        <v>0</v>
      </c>
      <c r="HE30" s="108">
        <v>0</v>
      </c>
      <c r="HF30" s="108">
        <v>0</v>
      </c>
      <c r="HG30" s="103">
        <v>0</v>
      </c>
      <c r="HH30" s="86" t="s">
        <v>103</v>
      </c>
      <c r="HI30" s="35" t="e">
        <v>#N/A</v>
      </c>
      <c r="HJ30" s="35" t="e">
        <v>#N/A</v>
      </c>
      <c r="HK30" s="35" t="e">
        <v>#N/A</v>
      </c>
      <c r="HL30" s="48" t="e">
        <v>#N/A</v>
      </c>
      <c r="HM30" s="104" t="e">
        <f t="shared" si="25"/>
        <v>#N/A</v>
      </c>
      <c r="HN30" s="105" t="e">
        <f>IF($F$2=18,IF($F$10=$ER$44,$FF$40,HM30),HM30)</f>
        <v>#N/A</v>
      </c>
      <c r="HO30" s="106"/>
      <c r="HP30" s="106"/>
      <c r="HQ30" s="87"/>
      <c r="HR30" s="154"/>
      <c r="HS30" s="156"/>
      <c r="HT30" s="158"/>
      <c r="HU30" s="54">
        <f>IF(F2=13,IF(F10=ER42,0,IF(F10=ER43,HN25,HN25)),IF(F2&lt;13,0,HN25))</f>
        <v>0</v>
      </c>
      <c r="HV30" s="54" t="s">
        <v>143</v>
      </c>
      <c r="HW30" s="54">
        <f>IF(HS29="-",0,IF(HS29="R0",HW56,HV29-EJ24*HT29-EL24-ER24-EX24))</f>
        <v>0</v>
      </c>
      <c r="HX30" s="54" t="s">
        <v>46</v>
      </c>
      <c r="HY30" s="54">
        <f>HV31-HW30</f>
        <v>0</v>
      </c>
      <c r="HZ30" s="164"/>
      <c r="IA30" s="164"/>
      <c r="IC30" s="162"/>
      <c r="ID30" s="74">
        <f>IF(IC23="-",$ID$23,$ID$23+IF30)</f>
        <v>4</v>
      </c>
      <c r="IE30" s="35" t="s">
        <v>156</v>
      </c>
      <c r="IF30" s="35">
        <f>IF29</f>
        <v>0</v>
      </c>
      <c r="IG30" s="35">
        <f>IF(IC23="-",0,IG29-EX13)</f>
        <v>2674.1122287888602</v>
      </c>
      <c r="II30" s="35" t="b">
        <f t="shared" si="44"/>
        <v>1</v>
      </c>
      <c r="IJ30" s="45" t="b">
        <f t="shared" si="54"/>
        <v>1</v>
      </c>
      <c r="IK30" s="35">
        <f t="shared" si="45"/>
        <v>1.86739680781345</v>
      </c>
      <c r="IL30" s="48">
        <f>IL29+($IL$32-$IL$27)/4</f>
        <v>3.4668492019533623</v>
      </c>
      <c r="IM30" s="35">
        <f t="shared" si="46"/>
        <v>9270.7438463103863</v>
      </c>
      <c r="IN30" s="35">
        <f t="shared" si="47"/>
        <v>-8605.6350665846203</v>
      </c>
      <c r="IO30" s="36">
        <f t="shared" si="48"/>
        <v>0</v>
      </c>
      <c r="IP30" s="35">
        <f t="shared" si="49"/>
        <v>0</v>
      </c>
      <c r="IQ30" s="35">
        <f t="shared" si="50"/>
        <v>0</v>
      </c>
      <c r="IR30" s="35">
        <f t="shared" si="52"/>
        <v>-1740.5442033678758</v>
      </c>
      <c r="IS30" s="42">
        <f>IF(IC23="-","",SUM(IM30:IR30))</f>
        <v>-1075.4354236421098</v>
      </c>
      <c r="IT30" s="35">
        <f t="shared" si="51"/>
        <v>7.4668492019533623</v>
      </c>
      <c r="IV30" s="38"/>
      <c r="IW30" s="38"/>
      <c r="IY30" s="35">
        <f>IY29</f>
        <v>-5</v>
      </c>
      <c r="IZ30" s="35">
        <f>IF(IC23="-",0,EX13/20)</f>
        <v>0</v>
      </c>
      <c r="JB30" s="47">
        <f>IF(IC23="-","",HY8)</f>
        <v>6855.803088568653</v>
      </c>
      <c r="JC30" s="35" t="b">
        <f>AND($F$2=2,$F$10=$ER$43)</f>
        <v>0</v>
      </c>
      <c r="JE30" s="47">
        <f>JB30</f>
        <v>6855.803088568653</v>
      </c>
      <c r="JF30" s="38"/>
      <c r="JH30" s="38"/>
      <c r="JI30" s="38"/>
      <c r="JK30" s="35" t="b">
        <f>AND($F$2=2,$F$10=$ER$43)</f>
        <v>0</v>
      </c>
      <c r="JL30" s="35"/>
      <c r="JM30" s="39"/>
      <c r="JN30" s="35"/>
      <c r="JO30" s="35"/>
      <c r="JP30" s="39"/>
      <c r="JQ30" s="35"/>
      <c r="JR30" s="35"/>
      <c r="JS30" s="39"/>
      <c r="JT30" s="35"/>
      <c r="JU30" s="35"/>
      <c r="JW30" s="127"/>
      <c r="JX30" s="127"/>
    </row>
    <row r="31" spans="12:284" ht="14.25" customHeight="1" x14ac:dyDescent="0.2">
      <c r="L31" s="211" t="str">
        <f>IF(F2&gt;=23,23,"-")</f>
        <v>-</v>
      </c>
      <c r="M31" s="212"/>
      <c r="N31" s="193">
        <v>4</v>
      </c>
      <c r="O31" s="207"/>
      <c r="P31" s="193">
        <v>540</v>
      </c>
      <c r="Q31" s="194"/>
      <c r="R31" s="194">
        <v>240</v>
      </c>
      <c r="S31" s="207"/>
      <c r="T31" s="190"/>
      <c r="U31" s="191"/>
      <c r="V31" s="188"/>
      <c r="W31" s="191"/>
      <c r="X31" s="188"/>
      <c r="Y31" s="189"/>
      <c r="Z31" s="190"/>
      <c r="AA31" s="191"/>
      <c r="AB31" s="188"/>
      <c r="AC31" s="191"/>
      <c r="AD31" s="188"/>
      <c r="AE31" s="189"/>
      <c r="AF31" s="190"/>
      <c r="AG31" s="191"/>
      <c r="AH31" s="188"/>
      <c r="AI31" s="191"/>
      <c r="AJ31" s="188"/>
      <c r="AK31" s="189"/>
      <c r="AL31" s="8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96"/>
      <c r="DW31" s="96"/>
      <c r="DX31" s="96"/>
      <c r="DY31" s="96"/>
      <c r="DZ31" s="96"/>
      <c r="EA31" s="96"/>
      <c r="EB31" s="96"/>
      <c r="EC31" s="96"/>
      <c r="ED31" s="96"/>
      <c r="EE31" s="109">
        <v>20</v>
      </c>
      <c r="EF31" s="192">
        <f t="shared" si="13"/>
        <v>192.00000000000003</v>
      </c>
      <c r="EG31" s="192"/>
      <c r="EH31" s="192">
        <f t="shared" si="14"/>
        <v>780</v>
      </c>
      <c r="EI31" s="192"/>
      <c r="EJ31" s="192">
        <f t="shared" si="15"/>
        <v>972</v>
      </c>
      <c r="EK31" s="192"/>
      <c r="EL31" s="192">
        <f t="shared" si="16"/>
        <v>0</v>
      </c>
      <c r="EM31" s="192"/>
      <c r="EN31" s="192">
        <f t="shared" si="17"/>
        <v>0</v>
      </c>
      <c r="EO31" s="192"/>
      <c r="EP31" s="192">
        <f t="shared" si="18"/>
        <v>4</v>
      </c>
      <c r="EQ31" s="192"/>
      <c r="ER31" s="192">
        <f t="shared" si="19"/>
        <v>0</v>
      </c>
      <c r="ES31" s="192"/>
      <c r="ET31" s="192">
        <f t="shared" si="20"/>
        <v>0</v>
      </c>
      <c r="EU31" s="192"/>
      <c r="EV31" s="192">
        <f t="shared" si="21"/>
        <v>4</v>
      </c>
      <c r="EW31" s="192"/>
      <c r="EX31" s="192">
        <f t="shared" si="22"/>
        <v>0</v>
      </c>
      <c r="EY31" s="192"/>
      <c r="EZ31" s="192">
        <f t="shared" si="23"/>
        <v>0</v>
      </c>
      <c r="FA31" s="192"/>
      <c r="FB31" s="192">
        <f t="shared" si="24"/>
        <v>4</v>
      </c>
      <c r="FC31" s="192"/>
      <c r="FH31" s="28">
        <v>5</v>
      </c>
      <c r="FI31" s="184" t="s">
        <v>71</v>
      </c>
      <c r="FJ31" s="184"/>
      <c r="FK31" s="185" t="s">
        <v>61</v>
      </c>
      <c r="FL31" s="185"/>
      <c r="FM31" s="185"/>
      <c r="FN31" s="185" t="s">
        <v>70</v>
      </c>
      <c r="FO31" s="185"/>
      <c r="FP31" s="185"/>
      <c r="FQ31" s="185" t="s">
        <v>72</v>
      </c>
      <c r="FR31" s="185"/>
      <c r="FS31" s="185"/>
      <c r="FT31" s="98" t="s">
        <v>57</v>
      </c>
      <c r="FU31" s="187" t="s">
        <v>13</v>
      </c>
      <c r="FV31" s="185"/>
      <c r="FW31" s="185"/>
      <c r="FX31" s="187" t="s">
        <v>14</v>
      </c>
      <c r="FY31" s="185"/>
      <c r="FZ31" s="185"/>
      <c r="GA31" s="98" t="s">
        <v>57</v>
      </c>
      <c r="GB31" s="187" t="s">
        <v>60</v>
      </c>
      <c r="GC31" s="185"/>
      <c r="GD31" s="185"/>
      <c r="GE31" s="112"/>
      <c r="GF31" s="87"/>
      <c r="GG31" s="22">
        <v>20</v>
      </c>
      <c r="GH31" s="103">
        <v>0</v>
      </c>
      <c r="GI31" s="108">
        <v>0</v>
      </c>
      <c r="GJ31" s="108">
        <v>0</v>
      </c>
      <c r="GK31" s="108">
        <v>0</v>
      </c>
      <c r="GL31" s="108">
        <v>0</v>
      </c>
      <c r="GM31" s="108">
        <v>0</v>
      </c>
      <c r="GN31" s="108">
        <v>0</v>
      </c>
      <c r="GO31" s="108">
        <v>0</v>
      </c>
      <c r="GP31" s="108">
        <v>0</v>
      </c>
      <c r="GQ31" s="108">
        <v>0</v>
      </c>
      <c r="GR31" s="108">
        <v>0</v>
      </c>
      <c r="GS31" s="108">
        <v>0</v>
      </c>
      <c r="GT31" s="108">
        <v>0</v>
      </c>
      <c r="GU31" s="108">
        <v>0</v>
      </c>
      <c r="GV31" s="108">
        <v>0</v>
      </c>
      <c r="GW31" s="108">
        <v>0</v>
      </c>
      <c r="GX31" s="108">
        <v>0</v>
      </c>
      <c r="GY31" s="108">
        <v>0</v>
      </c>
      <c r="GZ31" s="110">
        <f>FK107</f>
        <v>0</v>
      </c>
      <c r="HA31" s="110">
        <f>FN107</f>
        <v>0</v>
      </c>
      <c r="HB31" s="110">
        <f>FQ107</f>
        <v>0</v>
      </c>
      <c r="HC31" s="108">
        <v>0</v>
      </c>
      <c r="HD31" s="108">
        <v>0</v>
      </c>
      <c r="HE31" s="108">
        <v>0</v>
      </c>
      <c r="HF31" s="108">
        <v>0</v>
      </c>
      <c r="HG31" s="103">
        <v>0</v>
      </c>
      <c r="HH31" s="86" t="s">
        <v>105</v>
      </c>
      <c r="HI31" s="35" t="e">
        <v>#N/A</v>
      </c>
      <c r="HJ31" s="35" t="e">
        <v>#N/A</v>
      </c>
      <c r="HK31" s="35" t="e">
        <v>#N/A</v>
      </c>
      <c r="HL31" s="48" t="e">
        <v>#N/A</v>
      </c>
      <c r="HM31" s="104" t="e">
        <f t="shared" si="25"/>
        <v>#N/A</v>
      </c>
      <c r="HN31" s="105" t="e">
        <f>IF($F$2=19,IF($F$10=$ER$44,$FF$40,HM31),HM31)</f>
        <v>#N/A</v>
      </c>
      <c r="HO31" s="106"/>
      <c r="HP31" s="106"/>
      <c r="HQ31" s="87"/>
      <c r="HR31" s="153" t="str">
        <f t="shared" ref="HR31" si="57">IF(HS31="-","",HS31)</f>
        <v/>
      </c>
      <c r="HS31" s="153" t="str">
        <f>IF(F2=13,IF(F10=ER44,"R0",L22),L22)</f>
        <v>-</v>
      </c>
      <c r="HT31" s="159">
        <f>IF(HS31="R0",HT55,FV3)</f>
        <v>0</v>
      </c>
      <c r="HU31" s="38">
        <f>IF(HS31="R0",HU55,IF(F2&lt;14,0,HN25))</f>
        <v>0</v>
      </c>
      <c r="HV31" s="35">
        <f>IF(HS31="-",0,IF(HS31="R0",HV55,(EJ25*HT31^2*0.5+EL25*EP25+ER25*EV25+EX25*FB25-HU31+HU32)/HT31))</f>
        <v>0</v>
      </c>
      <c r="HW31" s="35" t="s">
        <v>143</v>
      </c>
      <c r="HX31" s="38" t="s">
        <v>41</v>
      </c>
      <c r="HY31" s="38">
        <f>HY30</f>
        <v>0</v>
      </c>
      <c r="HZ31" s="161" t="str">
        <f>IS147</f>
        <v/>
      </c>
      <c r="IA31" s="162" t="str">
        <f>IF(IL147=FALSE,"",IL147)</f>
        <v/>
      </c>
      <c r="IC31" s="162"/>
      <c r="ID31" s="74">
        <f>IF(IC23="-",$ID$23,$ID$23+IF31)</f>
        <v>8</v>
      </c>
      <c r="IE31" s="35" t="s">
        <v>157</v>
      </c>
      <c r="IF31" s="74">
        <f>IF32</f>
        <v>4</v>
      </c>
      <c r="IG31" s="35">
        <f>IF(IC23="-",0,HW8)</f>
        <v>-3053.8877712111398</v>
      </c>
      <c r="II31" s="35" t="b">
        <f>AND(IG31&gt;=0,IG32&lt;0)</f>
        <v>0</v>
      </c>
      <c r="IJ31" s="45" t="b">
        <f t="shared" si="54"/>
        <v>0</v>
      </c>
      <c r="IK31" s="35">
        <f t="shared" si="45"/>
        <v>4</v>
      </c>
      <c r="IL31" s="48">
        <f>IL30+($IL$32-$IL$27)/4</f>
        <v>4</v>
      </c>
      <c r="IM31" s="35">
        <f t="shared" si="46"/>
        <v>10696.448915155441</v>
      </c>
      <c r="IN31" s="35">
        <f t="shared" si="47"/>
        <v>-11456</v>
      </c>
      <c r="IO31" s="36">
        <f t="shared" si="48"/>
        <v>0</v>
      </c>
      <c r="IP31" s="35">
        <f t="shared" si="49"/>
        <v>0</v>
      </c>
      <c r="IQ31" s="35">
        <f t="shared" si="50"/>
        <v>0</v>
      </c>
      <c r="IR31" s="45"/>
      <c r="IS31" s="49">
        <f>IF(IC23="-","",ROUND(HU8,2))</f>
        <v>-2500.1</v>
      </c>
      <c r="IT31" s="35">
        <f t="shared" si="51"/>
        <v>8</v>
      </c>
      <c r="IV31" s="38"/>
      <c r="IW31" s="38"/>
      <c r="IY31" s="44" t="str">
        <f>IF(IC23="-","",IF(EX13=0,"",EX13))</f>
        <v/>
      </c>
      <c r="IZ31" s="45"/>
      <c r="JB31" s="38">
        <f>ID32</f>
        <v>8</v>
      </c>
      <c r="JC31" s="38">
        <v>0</v>
      </c>
      <c r="JE31" s="38">
        <f>JB31</f>
        <v>8</v>
      </c>
      <c r="JF31" s="38">
        <f>IF(JE30&gt;0,-MAX(IW3:IW272,IZ3:IZ272)*0.5,-MAX(IW3:IW272,IZ3:IZ272)*1.5)</f>
        <v>-37.5</v>
      </c>
      <c r="JH31" s="38">
        <f>IF(IC23=2,ID31,-5)</f>
        <v>8</v>
      </c>
      <c r="JI31" s="38">
        <f>IG31</f>
        <v>-3053.8877712111398</v>
      </c>
      <c r="JK31" s="35">
        <f>IF(JK30=TRUE,IT31,-5)</f>
        <v>-5</v>
      </c>
      <c r="JL31" s="49">
        <f>IS31</f>
        <v>-2500.1</v>
      </c>
      <c r="JM31" s="40"/>
      <c r="JN31" s="49"/>
      <c r="JO31" s="49"/>
      <c r="JP31" s="40"/>
      <c r="JQ31" s="49"/>
      <c r="JR31" s="49"/>
      <c r="JS31" s="40"/>
      <c r="JT31" s="49"/>
      <c r="JU31" s="49"/>
      <c r="JW31" s="120"/>
      <c r="JX31" s="120"/>
    </row>
    <row r="32" spans="12:284" ht="14.25" customHeight="1" x14ac:dyDescent="0.2">
      <c r="L32" s="211" t="str">
        <f>IF(F2&gt;=24,24,"-")</f>
        <v>-</v>
      </c>
      <c r="M32" s="212"/>
      <c r="N32" s="193">
        <v>4</v>
      </c>
      <c r="O32" s="207"/>
      <c r="P32" s="193">
        <v>540</v>
      </c>
      <c r="Q32" s="194"/>
      <c r="R32" s="194">
        <v>240</v>
      </c>
      <c r="S32" s="207"/>
      <c r="T32" s="190"/>
      <c r="U32" s="191"/>
      <c r="V32" s="188"/>
      <c r="W32" s="191"/>
      <c r="X32" s="188"/>
      <c r="Y32" s="189"/>
      <c r="Z32" s="190"/>
      <c r="AA32" s="191"/>
      <c r="AB32" s="188"/>
      <c r="AC32" s="191"/>
      <c r="AD32" s="188"/>
      <c r="AE32" s="189"/>
      <c r="AF32" s="190"/>
      <c r="AG32" s="191"/>
      <c r="AH32" s="188"/>
      <c r="AI32" s="191"/>
      <c r="AJ32" s="188"/>
      <c r="AK32" s="189"/>
      <c r="AL32" s="8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96"/>
      <c r="DW32" s="96"/>
      <c r="DX32" s="96"/>
      <c r="DY32" s="96"/>
      <c r="DZ32" s="96"/>
      <c r="EA32" s="96"/>
      <c r="EB32" s="96"/>
      <c r="EC32" s="96"/>
      <c r="ED32" s="96"/>
      <c r="EE32" s="109">
        <v>21</v>
      </c>
      <c r="EF32" s="192">
        <f t="shared" si="13"/>
        <v>192.00000000000003</v>
      </c>
      <c r="EG32" s="192"/>
      <c r="EH32" s="192">
        <f t="shared" si="14"/>
        <v>780</v>
      </c>
      <c r="EI32" s="192"/>
      <c r="EJ32" s="192">
        <f t="shared" si="15"/>
        <v>972</v>
      </c>
      <c r="EK32" s="192"/>
      <c r="EL32" s="192">
        <f t="shared" si="16"/>
        <v>0</v>
      </c>
      <c r="EM32" s="192"/>
      <c r="EN32" s="192">
        <f t="shared" si="17"/>
        <v>0</v>
      </c>
      <c r="EO32" s="192"/>
      <c r="EP32" s="192">
        <f t="shared" si="18"/>
        <v>4</v>
      </c>
      <c r="EQ32" s="192"/>
      <c r="ER32" s="192">
        <f t="shared" si="19"/>
        <v>0</v>
      </c>
      <c r="ES32" s="192"/>
      <c r="ET32" s="192">
        <f t="shared" si="20"/>
        <v>0</v>
      </c>
      <c r="EU32" s="192"/>
      <c r="EV32" s="192">
        <f t="shared" si="21"/>
        <v>4</v>
      </c>
      <c r="EW32" s="192"/>
      <c r="EX32" s="192">
        <f t="shared" si="22"/>
        <v>0</v>
      </c>
      <c r="EY32" s="192"/>
      <c r="EZ32" s="192">
        <f t="shared" si="23"/>
        <v>0</v>
      </c>
      <c r="FA32" s="192"/>
      <c r="FB32" s="192">
        <f t="shared" si="24"/>
        <v>4</v>
      </c>
      <c r="FC32" s="192"/>
      <c r="FH32" s="28"/>
      <c r="FI32" s="28"/>
      <c r="FJ32" s="28"/>
      <c r="FK32" s="169">
        <f>ER3</f>
        <v>4</v>
      </c>
      <c r="FL32" s="169"/>
      <c r="FM32" s="169"/>
      <c r="FN32" s="169">
        <f>2*(ER3+EU3)</f>
        <v>16</v>
      </c>
      <c r="FO32" s="169"/>
      <c r="FP32" s="169"/>
      <c r="FQ32" s="169">
        <f>IF($F$2=5,(IF(F10=ER43,EU3,IF(F10=ER44,EU3*FF40,0))),IF(F2&gt;5,EU3,0))</f>
        <v>4</v>
      </c>
      <c r="FR32" s="169"/>
      <c r="FS32" s="169"/>
      <c r="FT32" s="98" t="s">
        <v>41</v>
      </c>
      <c r="FU32" s="170">
        <f>(EJ15*ER3^3)/4</f>
        <v>15552</v>
      </c>
      <c r="FV32" s="170"/>
      <c r="FW32" s="170"/>
      <c r="FX32" s="170">
        <f>(EJ16*EU3^3)/4</f>
        <v>15552</v>
      </c>
      <c r="FY32" s="170"/>
      <c r="FZ32" s="170"/>
      <c r="GA32" s="101"/>
      <c r="GB32" s="171">
        <f>-SUM(FU32:FZ35)-IF(F2=5,IF($F$10=$ER$44,FQ32,0))</f>
        <v>-31104</v>
      </c>
      <c r="GC32" s="171"/>
      <c r="GD32" s="171"/>
      <c r="GE32" s="87"/>
      <c r="GF32" s="87"/>
      <c r="GG32" s="22">
        <v>21</v>
      </c>
      <c r="GH32" s="103">
        <v>0</v>
      </c>
      <c r="GI32" s="108">
        <v>0</v>
      </c>
      <c r="GJ32" s="108">
        <v>0</v>
      </c>
      <c r="GK32" s="108">
        <v>0</v>
      </c>
      <c r="GL32" s="108">
        <v>0</v>
      </c>
      <c r="GM32" s="108">
        <v>0</v>
      </c>
      <c r="GN32" s="108">
        <v>0</v>
      </c>
      <c r="GO32" s="108">
        <v>0</v>
      </c>
      <c r="GP32" s="108">
        <v>0</v>
      </c>
      <c r="GQ32" s="108">
        <v>0</v>
      </c>
      <c r="GR32" s="108">
        <v>0</v>
      </c>
      <c r="GS32" s="108">
        <v>0</v>
      </c>
      <c r="GT32" s="108">
        <v>0</v>
      </c>
      <c r="GU32" s="108">
        <v>0</v>
      </c>
      <c r="GV32" s="108">
        <v>0</v>
      </c>
      <c r="GW32" s="108">
        <v>0</v>
      </c>
      <c r="GX32" s="108">
        <v>0</v>
      </c>
      <c r="GY32" s="108">
        <v>0</v>
      </c>
      <c r="GZ32" s="108">
        <v>0</v>
      </c>
      <c r="HA32" s="110">
        <f>FK112</f>
        <v>0</v>
      </c>
      <c r="HB32" s="110">
        <f>FN112</f>
        <v>0</v>
      </c>
      <c r="HC32" s="110">
        <f>FQ112</f>
        <v>0</v>
      </c>
      <c r="HD32" s="108">
        <v>0</v>
      </c>
      <c r="HE32" s="108">
        <v>0</v>
      </c>
      <c r="HF32" s="108">
        <v>0</v>
      </c>
      <c r="HG32" s="103">
        <v>0</v>
      </c>
      <c r="HH32" s="86" t="s">
        <v>107</v>
      </c>
      <c r="HI32" s="35" t="e">
        <v>#N/A</v>
      </c>
      <c r="HJ32" s="35" t="e">
        <v>#N/A</v>
      </c>
      <c r="HK32" s="35" t="e">
        <v>#N/A</v>
      </c>
      <c r="HL32" s="48" t="e">
        <v>#N/A</v>
      </c>
      <c r="HM32" s="104" t="e">
        <f t="shared" si="25"/>
        <v>#N/A</v>
      </c>
      <c r="HN32" s="105" t="e">
        <f>IF($F$2=20,IF($F$10=$ER$44,$FF$40,HM32),HM32)</f>
        <v>#N/A</v>
      </c>
      <c r="HO32" s="106"/>
      <c r="HP32" s="106"/>
      <c r="HQ32" s="87"/>
      <c r="HR32" s="154"/>
      <c r="HS32" s="154"/>
      <c r="HT32" s="160"/>
      <c r="HU32" s="38">
        <f>IF(F2=14,IF(F10=ER42,0,IF(F10=ER43,HN26,HN26)),IF(F2&lt;14,0,HN26))</f>
        <v>0</v>
      </c>
      <c r="HV32" s="35" t="s">
        <v>143</v>
      </c>
      <c r="HW32" s="35">
        <f>IF(HS31="-",0,IF(HS31="R0",HW56,HV31-EJ25*HT31-EL25-ER25-EX25))</f>
        <v>0</v>
      </c>
      <c r="HX32" s="38" t="s">
        <v>46</v>
      </c>
      <c r="HY32" s="38">
        <f>HV33-HW32</f>
        <v>0</v>
      </c>
      <c r="HZ32" s="162"/>
      <c r="IA32" s="162"/>
      <c r="IC32" s="162"/>
      <c r="ID32" s="74">
        <f>IF(HS7="R0",ID23,ID23+HT7)</f>
        <v>8</v>
      </c>
      <c r="IE32" s="35" t="s">
        <v>158</v>
      </c>
      <c r="IF32" s="74">
        <f>IF(HS7="R0",0,HT7)</f>
        <v>4</v>
      </c>
      <c r="IG32" s="35">
        <v>0</v>
      </c>
      <c r="II32" s="35" t="b">
        <f t="shared" si="44"/>
        <v>0</v>
      </c>
      <c r="IJ32" s="45" t="b">
        <f>IF(IF32=IF33,FALSE,TRUE)</f>
        <v>1</v>
      </c>
      <c r="IK32" s="35">
        <f t="shared" si="45"/>
        <v>4</v>
      </c>
      <c r="IL32" s="48">
        <f>IK32</f>
        <v>4</v>
      </c>
      <c r="IM32" s="34"/>
      <c r="IN32" s="34"/>
      <c r="IO32" s="34"/>
      <c r="IP32" s="34"/>
      <c r="IQ32" s="34"/>
      <c r="IR32" s="34"/>
      <c r="IS32" s="78"/>
      <c r="IT32" s="35"/>
      <c r="IV32" s="38"/>
      <c r="IW32" s="38"/>
      <c r="IY32" s="45"/>
      <c r="IZ32" s="45"/>
      <c r="JB32" s="38">
        <f>JB31</f>
        <v>8</v>
      </c>
      <c r="JC32" s="38">
        <f>IF(IC23="-",0,IF(JC30=TRUE,0,-20))</f>
        <v>-20</v>
      </c>
      <c r="JE32" s="38">
        <f>JE31</f>
        <v>8</v>
      </c>
      <c r="JF32" s="38">
        <f>IF(IC23="-",JF31,IF(JE30&gt;0,-MAX(IW3:IW272,IZ3:IZ272)*1.5,-MAX(IW3:IW272,IZ3:IZ272)*0.5))</f>
        <v>-112.5</v>
      </c>
      <c r="JH32" s="38"/>
      <c r="JI32" s="38"/>
      <c r="JK32" s="35"/>
      <c r="JL32" s="35"/>
      <c r="JM32" s="39"/>
      <c r="JN32" s="35"/>
      <c r="JO32" s="35"/>
      <c r="JP32" s="39"/>
      <c r="JQ32" s="35"/>
      <c r="JR32" s="35"/>
      <c r="JS32" s="39"/>
      <c r="JT32" s="35"/>
      <c r="JU32" s="35"/>
      <c r="JW32" s="127"/>
      <c r="JX32" s="127"/>
    </row>
    <row r="33" spans="2:284" ht="14.25" customHeight="1" x14ac:dyDescent="0.2">
      <c r="L33" s="215" t="str">
        <f>IF(F2&gt;=25,25,"-")</f>
        <v>-</v>
      </c>
      <c r="M33" s="216"/>
      <c r="N33" s="195">
        <v>4</v>
      </c>
      <c r="O33" s="217"/>
      <c r="P33" s="195">
        <v>540</v>
      </c>
      <c r="Q33" s="196"/>
      <c r="R33" s="196">
        <v>240</v>
      </c>
      <c r="S33" s="217"/>
      <c r="T33" s="218"/>
      <c r="U33" s="219"/>
      <c r="V33" s="220"/>
      <c r="W33" s="219"/>
      <c r="X33" s="220"/>
      <c r="Y33" s="221"/>
      <c r="Z33" s="218"/>
      <c r="AA33" s="219"/>
      <c r="AB33" s="220"/>
      <c r="AC33" s="219"/>
      <c r="AD33" s="220"/>
      <c r="AE33" s="221"/>
      <c r="AF33" s="218"/>
      <c r="AG33" s="219"/>
      <c r="AH33" s="220"/>
      <c r="AI33" s="219"/>
      <c r="AJ33" s="220"/>
      <c r="AK33" s="221"/>
      <c r="AL33" s="8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96"/>
      <c r="DW33" s="96"/>
      <c r="DX33" s="96"/>
      <c r="DY33" s="96"/>
      <c r="DZ33" s="96"/>
      <c r="EA33" s="96"/>
      <c r="EB33" s="96"/>
      <c r="EC33" s="96"/>
      <c r="ED33" s="96"/>
      <c r="EE33" s="109">
        <v>22</v>
      </c>
      <c r="EF33" s="192">
        <f t="shared" si="13"/>
        <v>192.00000000000003</v>
      </c>
      <c r="EG33" s="192"/>
      <c r="EH33" s="192">
        <f t="shared" si="14"/>
        <v>780</v>
      </c>
      <c r="EI33" s="192"/>
      <c r="EJ33" s="192">
        <f t="shared" si="15"/>
        <v>972</v>
      </c>
      <c r="EK33" s="192"/>
      <c r="EL33" s="192">
        <f t="shared" si="16"/>
        <v>0</v>
      </c>
      <c r="EM33" s="192"/>
      <c r="EN33" s="192">
        <f t="shared" si="17"/>
        <v>0</v>
      </c>
      <c r="EO33" s="192"/>
      <c r="EP33" s="192">
        <f t="shared" si="18"/>
        <v>4</v>
      </c>
      <c r="EQ33" s="192"/>
      <c r="ER33" s="192">
        <f t="shared" si="19"/>
        <v>0</v>
      </c>
      <c r="ES33" s="192"/>
      <c r="ET33" s="192">
        <f t="shared" si="20"/>
        <v>0</v>
      </c>
      <c r="EU33" s="192"/>
      <c r="EV33" s="192">
        <f t="shared" si="21"/>
        <v>4</v>
      </c>
      <c r="EW33" s="192"/>
      <c r="EX33" s="192">
        <f t="shared" si="22"/>
        <v>0</v>
      </c>
      <c r="EY33" s="192"/>
      <c r="EZ33" s="192">
        <f t="shared" si="23"/>
        <v>0</v>
      </c>
      <c r="FA33" s="192"/>
      <c r="FB33" s="192">
        <f t="shared" si="24"/>
        <v>4</v>
      </c>
      <c r="FC33" s="192"/>
      <c r="FG33" s="97"/>
      <c r="FH33" s="28"/>
      <c r="FI33" s="28"/>
      <c r="FJ33" s="28"/>
      <c r="FT33" s="98" t="s">
        <v>17</v>
      </c>
      <c r="FU33" s="170">
        <f>IF(ER3=0,0,(EL15*EN15/ER3)*(ER3^2-EN15^2))</f>
        <v>0</v>
      </c>
      <c r="FV33" s="170"/>
      <c r="FW33" s="170"/>
      <c r="FX33" s="170">
        <f>IF(EU3=0,0,(EL16*EP16/EU3)*(EU3^2-EP16^2))</f>
        <v>0</v>
      </c>
      <c r="FY33" s="170"/>
      <c r="FZ33" s="170"/>
      <c r="GA33" s="101"/>
      <c r="GB33" s="170"/>
      <c r="GC33" s="170"/>
      <c r="GD33" s="170"/>
      <c r="GG33" s="22">
        <v>22</v>
      </c>
      <c r="GH33" s="103">
        <v>0</v>
      </c>
      <c r="GI33" s="108">
        <v>0</v>
      </c>
      <c r="GJ33" s="108">
        <v>0</v>
      </c>
      <c r="GK33" s="108">
        <v>0</v>
      </c>
      <c r="GL33" s="108">
        <v>0</v>
      </c>
      <c r="GM33" s="108">
        <v>0</v>
      </c>
      <c r="GN33" s="108">
        <v>0</v>
      </c>
      <c r="GO33" s="108">
        <v>0</v>
      </c>
      <c r="GP33" s="108">
        <v>0</v>
      </c>
      <c r="GQ33" s="108">
        <v>0</v>
      </c>
      <c r="GR33" s="108">
        <v>0</v>
      </c>
      <c r="GS33" s="108">
        <v>0</v>
      </c>
      <c r="GT33" s="108">
        <v>0</v>
      </c>
      <c r="GU33" s="108">
        <v>0</v>
      </c>
      <c r="GV33" s="108">
        <v>0</v>
      </c>
      <c r="GW33" s="108">
        <v>0</v>
      </c>
      <c r="GX33" s="108">
        <v>0</v>
      </c>
      <c r="GY33" s="108">
        <v>0</v>
      </c>
      <c r="GZ33" s="108">
        <v>0</v>
      </c>
      <c r="HA33" s="108">
        <v>0</v>
      </c>
      <c r="HB33" s="110">
        <f>FK117</f>
        <v>0</v>
      </c>
      <c r="HC33" s="110">
        <f>FN117</f>
        <v>0</v>
      </c>
      <c r="HD33" s="110">
        <f>FQ117</f>
        <v>0</v>
      </c>
      <c r="HE33" s="108">
        <v>0</v>
      </c>
      <c r="HF33" s="108">
        <v>0</v>
      </c>
      <c r="HG33" s="103">
        <v>0</v>
      </c>
      <c r="HH33" s="86" t="s">
        <v>109</v>
      </c>
      <c r="HI33" s="35" t="e">
        <v>#N/A</v>
      </c>
      <c r="HJ33" s="35" t="e">
        <v>#N/A</v>
      </c>
      <c r="HK33" s="35" t="e">
        <v>#N/A</v>
      </c>
      <c r="HL33" s="48" t="e">
        <v>#N/A</v>
      </c>
      <c r="HM33" s="104" t="e">
        <f t="shared" si="25"/>
        <v>#N/A</v>
      </c>
      <c r="HN33" s="105" t="e">
        <f>IF($F$2=21,IF($F$10=$ER$44,$FF$40,HM33),HM33)</f>
        <v>#N/A</v>
      </c>
      <c r="HO33" s="106"/>
      <c r="HP33" s="106"/>
      <c r="HQ33" s="87"/>
      <c r="HR33" s="153" t="str">
        <f t="shared" ref="HR33" si="58">IF(HS33="-","",HS33)</f>
        <v/>
      </c>
      <c r="HS33" s="155" t="str">
        <f>IF(F2=14,IF(F10=ER44,"R0",L23),L23)</f>
        <v>-</v>
      </c>
      <c r="HT33" s="157">
        <f>IF(HS33="R0",HT55,FY3)</f>
        <v>0</v>
      </c>
      <c r="HU33" s="54">
        <f>IF(HS33="R0",HU55,IF(F2&lt;15,0,HN26))</f>
        <v>0</v>
      </c>
      <c r="HV33" s="54">
        <f>IF(HS33="-",0,IF(HS33="R0",HV55,(EJ26*HT33^2*0.5+EL26*EP26+ER26*EV26+EX26*FB26-HU33+HU34)/HT33))</f>
        <v>0</v>
      </c>
      <c r="HW33" s="54" t="s">
        <v>143</v>
      </c>
      <c r="HX33" s="54" t="s">
        <v>41</v>
      </c>
      <c r="HY33" s="54">
        <f>HY32</f>
        <v>0</v>
      </c>
      <c r="HZ33" s="163" t="str">
        <f>IS157</f>
        <v/>
      </c>
      <c r="IA33" s="164" t="str">
        <f>IF(IL157=FALSE,"",IL157)</f>
        <v/>
      </c>
      <c r="IC33" s="164">
        <f>IF(HS9="R0","-",HS9)</f>
        <v>3</v>
      </c>
      <c r="ID33" s="53">
        <f>IF(HS9="R0",ID272,ID32)</f>
        <v>8</v>
      </c>
      <c r="IE33" s="54" t="s">
        <v>149</v>
      </c>
      <c r="IF33" s="54">
        <v>0</v>
      </c>
      <c r="IG33" s="54">
        <v>0</v>
      </c>
      <c r="II33" s="54" t="b">
        <f t="shared" si="44"/>
        <v>0</v>
      </c>
      <c r="IJ33" s="55" t="b">
        <f>IF(IF33=IF34,FALSE,TRUE)</f>
        <v>0</v>
      </c>
      <c r="IK33" s="54">
        <f t="shared" ref="IK33:IK42" si="59">IF(II33=TRUE,IF(IJ33=TRUE,IG33/$EJ$14)+IF33,IF33)</f>
        <v>0</v>
      </c>
      <c r="IL33" s="56">
        <f>IK33</f>
        <v>0</v>
      </c>
      <c r="IM33" s="54">
        <f t="shared" ref="IM33:IM41" si="60">$HV$9*IL33</f>
        <v>0</v>
      </c>
      <c r="IN33" s="54">
        <f t="shared" ref="IN33:IN41" si="61">-$EJ$14*(IL33^2/2)</f>
        <v>0</v>
      </c>
      <c r="IO33" s="57">
        <f t="shared" ref="IO33:IO41" si="62">-IF(IL33&gt;=$EN$14,$EL$14*(IL33-$EN$14),0)</f>
        <v>0</v>
      </c>
      <c r="IP33" s="54">
        <f t="shared" ref="IP33:IP41" si="63">-IF(IL33&gt;=$ET$14,$ER$14*(IL33-$ET$14),0)</f>
        <v>0</v>
      </c>
      <c r="IQ33" s="54">
        <f t="shared" ref="IQ33:IQ41" si="64">-IF(IL33&gt;=$EZ$14,$EX$14*(IL33-$EZ$14),0)</f>
        <v>0</v>
      </c>
      <c r="IR33" s="55"/>
      <c r="IS33" s="59">
        <f>IF(IC33="-","",HU9)</f>
        <v>-2500.0952882124352</v>
      </c>
      <c r="IT33" s="54">
        <f t="shared" ref="IT33:IT41" si="65">$ID$33+IL33</f>
        <v>8</v>
      </c>
      <c r="IV33" s="54">
        <f>ID33</f>
        <v>8</v>
      </c>
      <c r="IW33" s="54">
        <v>0</v>
      </c>
      <c r="IY33" s="54">
        <f>IF(IC33="-",-5,IF(EL14=0,-5,ID33+EN14))</f>
        <v>9</v>
      </c>
      <c r="IZ33" s="54">
        <v>0</v>
      </c>
      <c r="JB33" s="54"/>
      <c r="JC33" s="54"/>
      <c r="JE33" s="54"/>
      <c r="JF33" s="54"/>
      <c r="JH33" s="54"/>
      <c r="JI33" s="54"/>
      <c r="JK33" s="54">
        <f>IF(IC33=3,IT33,-5)</f>
        <v>8</v>
      </c>
      <c r="JL33" s="59">
        <f>IS33</f>
        <v>-2500.0952882124352</v>
      </c>
      <c r="JM33" s="40"/>
      <c r="JN33" s="59">
        <f>IF(IC33="-",-5,(ID33+ID42)/2)</f>
        <v>10</v>
      </c>
      <c r="JO33" s="59">
        <f>-MAX(IW3:IW272,IZ3:IZ272)*0.7</f>
        <v>-52.5</v>
      </c>
      <c r="JP33" s="40"/>
      <c r="JQ33" s="59">
        <f>IF(IC33="-",-5,(IT33+IT37)/2)</f>
        <v>9.1841128175707372</v>
      </c>
      <c r="JR33" s="59">
        <f>JR13</f>
        <v>-760.38306347150262</v>
      </c>
      <c r="JS33" s="40"/>
      <c r="JT33" s="59"/>
      <c r="JU33" s="59"/>
      <c r="JW33" s="122">
        <f>JN33</f>
        <v>10</v>
      </c>
      <c r="JX33" s="122">
        <f>JF42</f>
        <v>-112.5</v>
      </c>
    </row>
    <row r="34" spans="2:284" ht="14.25" customHeight="1" x14ac:dyDescent="0.2">
      <c r="EC34" s="96"/>
      <c r="ED34" s="96"/>
      <c r="EE34" s="109">
        <v>23</v>
      </c>
      <c r="EF34" s="192">
        <f t="shared" si="13"/>
        <v>192.00000000000003</v>
      </c>
      <c r="EG34" s="192"/>
      <c r="EH34" s="192">
        <f t="shared" si="14"/>
        <v>780</v>
      </c>
      <c r="EI34" s="192"/>
      <c r="EJ34" s="192">
        <f t="shared" si="15"/>
        <v>972</v>
      </c>
      <c r="EK34" s="192"/>
      <c r="EL34" s="192">
        <f t="shared" si="16"/>
        <v>0</v>
      </c>
      <c r="EM34" s="192"/>
      <c r="EN34" s="192">
        <f t="shared" si="17"/>
        <v>0</v>
      </c>
      <c r="EO34" s="192"/>
      <c r="EP34" s="192">
        <f t="shared" si="18"/>
        <v>4</v>
      </c>
      <c r="EQ34" s="192"/>
      <c r="ER34" s="192">
        <f t="shared" si="19"/>
        <v>0</v>
      </c>
      <c r="ES34" s="192"/>
      <c r="ET34" s="192">
        <f t="shared" si="20"/>
        <v>0</v>
      </c>
      <c r="EU34" s="192"/>
      <c r="EV34" s="192">
        <f t="shared" si="21"/>
        <v>4</v>
      </c>
      <c r="EW34" s="192"/>
      <c r="EX34" s="192">
        <f t="shared" si="22"/>
        <v>0</v>
      </c>
      <c r="EY34" s="192"/>
      <c r="EZ34" s="192">
        <f t="shared" si="23"/>
        <v>0</v>
      </c>
      <c r="FA34" s="192"/>
      <c r="FB34" s="192">
        <f t="shared" si="24"/>
        <v>4</v>
      </c>
      <c r="FC34" s="192"/>
      <c r="FH34" s="28"/>
      <c r="FI34" s="28"/>
      <c r="FJ34" s="28"/>
      <c r="FT34" s="98" t="s">
        <v>19</v>
      </c>
      <c r="FU34" s="170">
        <f>IF(ER3=0,0,(ER15*ET15/ER3)*(ER3^2-ET15^2))</f>
        <v>0</v>
      </c>
      <c r="FV34" s="170"/>
      <c r="FW34" s="170"/>
      <c r="FX34" s="170">
        <f>IF(EU3=0,0,(ER16*EV16/EU3)*(EU3^2-EV16^2))</f>
        <v>0</v>
      </c>
      <c r="FY34" s="170"/>
      <c r="FZ34" s="170"/>
      <c r="GA34" s="101"/>
      <c r="GB34" s="170"/>
      <c r="GC34" s="170"/>
      <c r="GD34" s="170"/>
      <c r="GG34" s="22">
        <v>23</v>
      </c>
      <c r="GH34" s="103">
        <v>0</v>
      </c>
      <c r="GI34" s="108">
        <v>0</v>
      </c>
      <c r="GJ34" s="108">
        <v>0</v>
      </c>
      <c r="GK34" s="108">
        <v>0</v>
      </c>
      <c r="GL34" s="108">
        <v>0</v>
      </c>
      <c r="GM34" s="108">
        <v>0</v>
      </c>
      <c r="GN34" s="108">
        <v>0</v>
      </c>
      <c r="GO34" s="108">
        <v>0</v>
      </c>
      <c r="GP34" s="108">
        <v>0</v>
      </c>
      <c r="GQ34" s="108">
        <v>0</v>
      </c>
      <c r="GR34" s="108">
        <v>0</v>
      </c>
      <c r="GS34" s="108">
        <v>0</v>
      </c>
      <c r="GT34" s="108">
        <v>0</v>
      </c>
      <c r="GU34" s="108">
        <v>0</v>
      </c>
      <c r="GV34" s="108">
        <v>0</v>
      </c>
      <c r="GW34" s="108">
        <v>0</v>
      </c>
      <c r="GX34" s="108">
        <v>0</v>
      </c>
      <c r="GY34" s="108">
        <v>0</v>
      </c>
      <c r="GZ34" s="108">
        <v>0</v>
      </c>
      <c r="HA34" s="108">
        <v>0</v>
      </c>
      <c r="HB34" s="108">
        <v>0</v>
      </c>
      <c r="HC34" s="110">
        <f>FK122</f>
        <v>0</v>
      </c>
      <c r="HD34" s="110">
        <f>FN122</f>
        <v>0</v>
      </c>
      <c r="HE34" s="110">
        <f>FQ122</f>
        <v>0</v>
      </c>
      <c r="HF34" s="108">
        <v>0</v>
      </c>
      <c r="HG34" s="103">
        <v>0</v>
      </c>
      <c r="HH34" s="86" t="s">
        <v>111</v>
      </c>
      <c r="HI34" s="35" t="e">
        <v>#N/A</v>
      </c>
      <c r="HJ34" s="35" t="e">
        <v>#N/A</v>
      </c>
      <c r="HK34" s="35" t="e">
        <v>#N/A</v>
      </c>
      <c r="HL34" s="48" t="e">
        <v>#N/A</v>
      </c>
      <c r="HM34" s="104" t="e">
        <f t="shared" si="25"/>
        <v>#N/A</v>
      </c>
      <c r="HN34" s="105" t="e">
        <f>IF($F$2=22,IF($F$10=$ER$44,$FF$40,HM34),HM34)</f>
        <v>#N/A</v>
      </c>
      <c r="HO34" s="106"/>
      <c r="HP34" s="106"/>
      <c r="HQ34" s="87"/>
      <c r="HR34" s="154"/>
      <c r="HS34" s="156"/>
      <c r="HT34" s="158"/>
      <c r="HU34" s="54">
        <f>IF(F2=15,IF(F10=ER42,0,IF(F10=ER43,HN27,HN27)),IF(F2&lt;15,0,HN27))</f>
        <v>0</v>
      </c>
      <c r="HV34" s="54" t="s">
        <v>143</v>
      </c>
      <c r="HW34" s="54">
        <f>IF(HS33="-",0,IF(HS33="R0",HW56,HV33-EJ26*HT33-EL26-ER26-EX26))</f>
        <v>0</v>
      </c>
      <c r="HX34" s="54" t="s">
        <v>46</v>
      </c>
      <c r="HY34" s="54">
        <f>HV35-HW34</f>
        <v>0</v>
      </c>
      <c r="HZ34" s="164"/>
      <c r="IA34" s="164"/>
      <c r="IC34" s="164"/>
      <c r="ID34" s="53">
        <f>IF(IC33="-",$ID$33,$ID$33+IF34)</f>
        <v>8</v>
      </c>
      <c r="IE34" s="54" t="s">
        <v>150</v>
      </c>
      <c r="IF34" s="54">
        <f>IF33</f>
        <v>0</v>
      </c>
      <c r="IG34" s="54">
        <f>IF(IC33="-",0,HV9)</f>
        <v>3801.9153173575132</v>
      </c>
      <c r="II34" s="54" t="b">
        <f t="shared" si="44"/>
        <v>0</v>
      </c>
      <c r="IJ34" s="55" t="b">
        <f>IF(IF34=IF35,FALSE,TRUE)</f>
        <v>1</v>
      </c>
      <c r="IK34" s="54">
        <f t="shared" si="59"/>
        <v>0</v>
      </c>
      <c r="IL34" s="56">
        <f>(IL37-IL33)/4</f>
        <v>0.59205640878536858</v>
      </c>
      <c r="IM34" s="54">
        <f t="shared" si="60"/>
        <v>2250.9483293007743</v>
      </c>
      <c r="IN34" s="54">
        <f t="shared" si="61"/>
        <v>-170.35796451534014</v>
      </c>
      <c r="IO34" s="57">
        <f t="shared" si="62"/>
        <v>0</v>
      </c>
      <c r="IP34" s="54">
        <f t="shared" si="63"/>
        <v>0</v>
      </c>
      <c r="IQ34" s="54">
        <f t="shared" si="64"/>
        <v>0</v>
      </c>
      <c r="IR34" s="54">
        <f t="shared" ref="IR34:IR40" si="66">$HU$9</f>
        <v>-2500.0952882124352</v>
      </c>
      <c r="IS34" s="58">
        <f>IF($IC$33="-","",SUM(IM34:IR34))</f>
        <v>-419.5049234270009</v>
      </c>
      <c r="IT34" s="54">
        <f t="shared" si="65"/>
        <v>8.5920564087853677</v>
      </c>
      <c r="IV34" s="54">
        <f>IV33</f>
        <v>8</v>
      </c>
      <c r="IW34" s="54">
        <f>IF(IC33="-",0,EJ14)/20</f>
        <v>48.6</v>
      </c>
      <c r="IY34" s="54">
        <f>IY33</f>
        <v>9</v>
      </c>
      <c r="IZ34" s="54">
        <f>IF(IC33="-",0,EL14/20)</f>
        <v>75</v>
      </c>
      <c r="JB34" s="54"/>
      <c r="JC34" s="54"/>
      <c r="JE34" s="54"/>
      <c r="JF34" s="54"/>
      <c r="JH34" s="54">
        <f>IF(IC33=3,ID34,-5)</f>
        <v>8</v>
      </c>
      <c r="JI34" s="54">
        <f>IG34</f>
        <v>3801.9153173575132</v>
      </c>
      <c r="JK34" s="54"/>
      <c r="JL34" s="54"/>
      <c r="JM34" s="39"/>
      <c r="JN34" s="61">
        <f>HT9</f>
        <v>4</v>
      </c>
      <c r="JO34" s="54"/>
      <c r="JP34" s="39"/>
      <c r="JQ34" s="62">
        <f>IL37</f>
        <v>2.3682256351414743</v>
      </c>
      <c r="JR34" s="54"/>
      <c r="JS34" s="39"/>
      <c r="JT34" s="54"/>
      <c r="JU34" s="54"/>
      <c r="JW34" s="125">
        <f>IC33</f>
        <v>3</v>
      </c>
      <c r="JX34" s="123"/>
    </row>
    <row r="35" spans="2:284" ht="14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14" t="s">
        <v>174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EC35" s="96"/>
      <c r="ED35" s="96"/>
      <c r="EE35" s="109">
        <v>24</v>
      </c>
      <c r="EF35" s="192">
        <f t="shared" si="13"/>
        <v>192.00000000000003</v>
      </c>
      <c r="EG35" s="192"/>
      <c r="EH35" s="192">
        <f t="shared" si="14"/>
        <v>780</v>
      </c>
      <c r="EI35" s="192"/>
      <c r="EJ35" s="192">
        <f t="shared" si="15"/>
        <v>972</v>
      </c>
      <c r="EK35" s="192"/>
      <c r="EL35" s="192">
        <f t="shared" si="16"/>
        <v>0</v>
      </c>
      <c r="EM35" s="192"/>
      <c r="EN35" s="192">
        <f t="shared" si="17"/>
        <v>0</v>
      </c>
      <c r="EO35" s="192"/>
      <c r="EP35" s="192">
        <f t="shared" si="18"/>
        <v>4</v>
      </c>
      <c r="EQ35" s="192"/>
      <c r="ER35" s="192">
        <f t="shared" si="19"/>
        <v>0</v>
      </c>
      <c r="ES35" s="192"/>
      <c r="ET35" s="192">
        <f t="shared" si="20"/>
        <v>0</v>
      </c>
      <c r="EU35" s="192"/>
      <c r="EV35" s="192">
        <f t="shared" si="21"/>
        <v>4</v>
      </c>
      <c r="EW35" s="192"/>
      <c r="EX35" s="192">
        <f t="shared" si="22"/>
        <v>0</v>
      </c>
      <c r="EY35" s="192"/>
      <c r="EZ35" s="192">
        <f t="shared" si="23"/>
        <v>0</v>
      </c>
      <c r="FA35" s="192"/>
      <c r="FB35" s="192">
        <f t="shared" si="24"/>
        <v>4</v>
      </c>
      <c r="FC35" s="192"/>
      <c r="FH35" s="28"/>
      <c r="FI35" s="28"/>
      <c r="FJ35" s="28"/>
      <c r="FT35" s="98" t="s">
        <v>20</v>
      </c>
      <c r="FU35" s="170">
        <f>IF(ER3=0,0,(EX15*EZ15/ER3)*(ER3^2-EZ15^2))</f>
        <v>0</v>
      </c>
      <c r="FV35" s="170"/>
      <c r="FW35" s="170"/>
      <c r="FX35" s="170">
        <f>IF(EU3=0,0,(EX16*FB16/EU3)*(EU3^2-FB16^2))</f>
        <v>0</v>
      </c>
      <c r="FY35" s="170"/>
      <c r="FZ35" s="170"/>
      <c r="GA35" s="101"/>
      <c r="GB35" s="172"/>
      <c r="GC35" s="172"/>
      <c r="GD35" s="172"/>
      <c r="GG35" s="22">
        <v>24</v>
      </c>
      <c r="GH35" s="103">
        <v>0</v>
      </c>
      <c r="GI35" s="108">
        <v>0</v>
      </c>
      <c r="GJ35" s="108">
        <v>0</v>
      </c>
      <c r="GK35" s="108">
        <v>0</v>
      </c>
      <c r="GL35" s="108">
        <v>0</v>
      </c>
      <c r="GM35" s="108">
        <v>0</v>
      </c>
      <c r="GN35" s="108">
        <v>0</v>
      </c>
      <c r="GO35" s="108">
        <v>0</v>
      </c>
      <c r="GP35" s="108">
        <v>0</v>
      </c>
      <c r="GQ35" s="108">
        <v>0</v>
      </c>
      <c r="GR35" s="108">
        <v>0</v>
      </c>
      <c r="GS35" s="108">
        <v>0</v>
      </c>
      <c r="GT35" s="108">
        <v>0</v>
      </c>
      <c r="GU35" s="108">
        <v>0</v>
      </c>
      <c r="GV35" s="108">
        <v>0</v>
      </c>
      <c r="GW35" s="108">
        <v>0</v>
      </c>
      <c r="GX35" s="108">
        <v>0</v>
      </c>
      <c r="GY35" s="108">
        <v>0</v>
      </c>
      <c r="GZ35" s="108">
        <v>0</v>
      </c>
      <c r="HA35" s="108">
        <v>0</v>
      </c>
      <c r="HB35" s="108">
        <v>0</v>
      </c>
      <c r="HC35" s="108">
        <v>0</v>
      </c>
      <c r="HD35" s="110">
        <f>FK127</f>
        <v>0</v>
      </c>
      <c r="HE35" s="110">
        <f>FN127</f>
        <v>0</v>
      </c>
      <c r="HF35" s="110">
        <f>FQ127</f>
        <v>0</v>
      </c>
      <c r="HG35" s="103">
        <v>0</v>
      </c>
      <c r="HH35" s="86" t="s">
        <v>112</v>
      </c>
      <c r="HI35" s="35" t="e">
        <v>#N/A</v>
      </c>
      <c r="HJ35" s="35" t="e">
        <v>#N/A</v>
      </c>
      <c r="HK35" s="35" t="e">
        <v>#N/A</v>
      </c>
      <c r="HL35" s="48" t="e">
        <v>#N/A</v>
      </c>
      <c r="HM35" s="104" t="e">
        <f t="shared" si="25"/>
        <v>#N/A</v>
      </c>
      <c r="HN35" s="105" t="e">
        <f>IF($F$2=23,IF($F$10=$ER$44,$FF$40,HM35),HM35)</f>
        <v>#N/A</v>
      </c>
      <c r="HO35" s="106"/>
      <c r="HP35" s="106"/>
      <c r="HQ35" s="87"/>
      <c r="HR35" s="153" t="str">
        <f t="shared" ref="HR35" si="67">IF(HS35="-","",HS35)</f>
        <v/>
      </c>
      <c r="HS35" s="153" t="str">
        <f>IF(F2=15,IF(F10=ER44,"R0",L24),L24)</f>
        <v>-</v>
      </c>
      <c r="HT35" s="159">
        <f>IF(HS35="R0",HT55,GB3)</f>
        <v>0</v>
      </c>
      <c r="HU35" s="38">
        <f>IF(HS35="R0",HU55,IF(F2&lt;16,0,HN27))</f>
        <v>0</v>
      </c>
      <c r="HV35" s="35">
        <f>IF(HS35="-",0,IF(HS35="R0",HV55,(EJ27*HT35^2*0.5+EL27*EP27+ER27*EV27+EX27*FB27-HU35+HU36)/HT35))</f>
        <v>0</v>
      </c>
      <c r="HW35" s="35" t="s">
        <v>143</v>
      </c>
      <c r="HX35" s="38" t="s">
        <v>41</v>
      </c>
      <c r="HY35" s="38">
        <f>HY34</f>
        <v>0</v>
      </c>
      <c r="HZ35" s="161" t="str">
        <f>IS167</f>
        <v/>
      </c>
      <c r="IA35" s="162" t="str">
        <f>IF(IL167=FALSE,"",IL167)</f>
        <v/>
      </c>
      <c r="IC35" s="164"/>
      <c r="ID35" s="53">
        <f>IF(IC33="-",$ID$33,$ID$33+IF35)</f>
        <v>9</v>
      </c>
      <c r="IE35" s="54" t="s">
        <v>151</v>
      </c>
      <c r="IF35" s="54">
        <f>IF(EL14=0,IF34,EN14)</f>
        <v>1</v>
      </c>
      <c r="IG35" s="54">
        <f>IF(IC33="-",0,IG34-IF(EL14=0,0,EJ14*IF35))</f>
        <v>2829.9153173575132</v>
      </c>
      <c r="II35" s="54" t="b">
        <f t="shared" si="44"/>
        <v>0</v>
      </c>
      <c r="IJ35" s="55" t="b">
        <f t="shared" ref="IJ35:IJ41" si="68">IF(IF35=IF36,FALSE,TRUE)</f>
        <v>0</v>
      </c>
      <c r="IK35" s="54">
        <f t="shared" si="59"/>
        <v>1</v>
      </c>
      <c r="IL35" s="56">
        <f>IL34*2</f>
        <v>1.1841128175707372</v>
      </c>
      <c r="IM35" s="54">
        <f t="shared" si="60"/>
        <v>4501.8966586015486</v>
      </c>
      <c r="IN35" s="54">
        <f t="shared" si="61"/>
        <v>-681.43185806136057</v>
      </c>
      <c r="IO35" s="57">
        <f t="shared" si="62"/>
        <v>-276.16922635610575</v>
      </c>
      <c r="IP35" s="54">
        <f t="shared" si="63"/>
        <v>0</v>
      </c>
      <c r="IQ35" s="54">
        <f t="shared" si="64"/>
        <v>0</v>
      </c>
      <c r="IR35" s="54">
        <f t="shared" si="66"/>
        <v>-2500.0952882124352</v>
      </c>
      <c r="IS35" s="58">
        <f>IF($IC$33="-","",SUM(IM35:IR35))</f>
        <v>1044.2002859716467</v>
      </c>
      <c r="IT35" s="54">
        <f t="shared" si="65"/>
        <v>9.1841128175707372</v>
      </c>
      <c r="IV35" s="54">
        <f>IF42/2+IV33</f>
        <v>10</v>
      </c>
      <c r="IW35" s="54">
        <f>IW34</f>
        <v>48.6</v>
      </c>
      <c r="IY35" s="65">
        <f>IF(IC33="-","",IF(EL14=0,"",EL14))</f>
        <v>1500</v>
      </c>
      <c r="IZ35" s="55"/>
      <c r="JB35" s="54"/>
      <c r="JC35" s="54"/>
      <c r="JE35" s="54"/>
      <c r="JF35" s="54"/>
      <c r="JH35" s="54"/>
      <c r="JI35" s="54"/>
      <c r="JK35" s="54"/>
      <c r="JL35" s="54"/>
      <c r="JM35" s="39"/>
      <c r="JN35" s="54"/>
      <c r="JO35" s="54"/>
      <c r="JP35" s="39"/>
      <c r="JQ35" s="54"/>
      <c r="JR35" s="54"/>
      <c r="JS35" s="39"/>
      <c r="JT35" s="54"/>
      <c r="JU35" s="54"/>
      <c r="JW35" s="123"/>
      <c r="JX35" s="123"/>
    </row>
    <row r="36" spans="2:284" ht="14.25" customHeight="1" x14ac:dyDescent="0.2">
      <c r="C36" s="15"/>
      <c r="D36" s="15"/>
      <c r="E36" s="15"/>
      <c r="F36" s="15"/>
      <c r="G36" s="15"/>
      <c r="H36" s="15"/>
      <c r="I36" s="15"/>
      <c r="J36" s="15"/>
      <c r="K36" s="15"/>
      <c r="L36" s="18" t="s">
        <v>175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EC36" s="96"/>
      <c r="ED36" s="96"/>
      <c r="EE36" s="109">
        <v>25</v>
      </c>
      <c r="EF36" s="192">
        <f t="shared" si="13"/>
        <v>192.00000000000003</v>
      </c>
      <c r="EG36" s="192"/>
      <c r="EH36" s="192">
        <f t="shared" si="14"/>
        <v>780</v>
      </c>
      <c r="EI36" s="192"/>
      <c r="EJ36" s="192">
        <f t="shared" si="15"/>
        <v>972</v>
      </c>
      <c r="EK36" s="192"/>
      <c r="EL36" s="192">
        <f t="shared" si="16"/>
        <v>0</v>
      </c>
      <c r="EM36" s="192"/>
      <c r="EN36" s="192">
        <f t="shared" si="17"/>
        <v>0</v>
      </c>
      <c r="EO36" s="192"/>
      <c r="EP36" s="192">
        <f t="shared" si="18"/>
        <v>4</v>
      </c>
      <c r="EQ36" s="192"/>
      <c r="ER36" s="192">
        <f t="shared" si="19"/>
        <v>0</v>
      </c>
      <c r="ES36" s="192"/>
      <c r="ET36" s="192">
        <f t="shared" si="20"/>
        <v>0</v>
      </c>
      <c r="EU36" s="192"/>
      <c r="EV36" s="192">
        <f t="shared" si="21"/>
        <v>4</v>
      </c>
      <c r="EW36" s="192"/>
      <c r="EX36" s="192">
        <f t="shared" si="22"/>
        <v>0</v>
      </c>
      <c r="EY36" s="192"/>
      <c r="EZ36" s="192">
        <f t="shared" si="23"/>
        <v>0</v>
      </c>
      <c r="FA36" s="192"/>
      <c r="FB36" s="192">
        <f t="shared" si="24"/>
        <v>4</v>
      </c>
      <c r="FC36" s="192"/>
      <c r="FH36" s="28">
        <v>6</v>
      </c>
      <c r="FI36" s="184" t="s">
        <v>77</v>
      </c>
      <c r="FJ36" s="184"/>
      <c r="FK36" s="185" t="s">
        <v>70</v>
      </c>
      <c r="FL36" s="185"/>
      <c r="FM36" s="185"/>
      <c r="FN36" s="185" t="s">
        <v>72</v>
      </c>
      <c r="FO36" s="185"/>
      <c r="FP36" s="185"/>
      <c r="FQ36" s="185" t="s">
        <v>79</v>
      </c>
      <c r="FR36" s="185"/>
      <c r="FS36" s="185"/>
      <c r="FT36" s="98" t="s">
        <v>57</v>
      </c>
      <c r="FU36" s="187" t="s">
        <v>13</v>
      </c>
      <c r="FV36" s="185"/>
      <c r="FW36" s="185"/>
      <c r="FX36" s="187" t="s">
        <v>14</v>
      </c>
      <c r="FY36" s="185"/>
      <c r="FZ36" s="185"/>
      <c r="GA36" s="98" t="s">
        <v>57</v>
      </c>
      <c r="GB36" s="187" t="s">
        <v>60</v>
      </c>
      <c r="GC36" s="185"/>
      <c r="GD36" s="185"/>
      <c r="GG36" s="22">
        <v>25</v>
      </c>
      <c r="GH36" s="103">
        <v>0</v>
      </c>
      <c r="GI36" s="108">
        <v>0</v>
      </c>
      <c r="GJ36" s="108">
        <v>0</v>
      </c>
      <c r="GK36" s="108">
        <v>0</v>
      </c>
      <c r="GL36" s="108">
        <v>0</v>
      </c>
      <c r="GM36" s="108">
        <v>0</v>
      </c>
      <c r="GN36" s="108">
        <v>0</v>
      </c>
      <c r="GO36" s="108">
        <v>0</v>
      </c>
      <c r="GP36" s="108">
        <v>0</v>
      </c>
      <c r="GQ36" s="108">
        <v>0</v>
      </c>
      <c r="GR36" s="108">
        <v>0</v>
      </c>
      <c r="GS36" s="108">
        <v>0</v>
      </c>
      <c r="GT36" s="108">
        <v>0</v>
      </c>
      <c r="GU36" s="108">
        <v>0</v>
      </c>
      <c r="GV36" s="108">
        <v>0</v>
      </c>
      <c r="GW36" s="108">
        <v>0</v>
      </c>
      <c r="GX36" s="108">
        <v>0</v>
      </c>
      <c r="GY36" s="108">
        <v>0</v>
      </c>
      <c r="GZ36" s="108">
        <v>0</v>
      </c>
      <c r="HA36" s="108">
        <v>0</v>
      </c>
      <c r="HB36" s="108">
        <v>0</v>
      </c>
      <c r="HC36" s="108">
        <v>0</v>
      </c>
      <c r="HD36" s="108">
        <v>0</v>
      </c>
      <c r="HE36" s="110">
        <f>FK132</f>
        <v>0</v>
      </c>
      <c r="HF36" s="110">
        <f>FN132</f>
        <v>0</v>
      </c>
      <c r="HG36" s="102">
        <f>FQ132</f>
        <v>0</v>
      </c>
      <c r="HH36" s="86" t="s">
        <v>115</v>
      </c>
      <c r="HI36" s="35" t="e">
        <v>#N/A</v>
      </c>
      <c r="HJ36" s="35" t="e">
        <v>#N/A</v>
      </c>
      <c r="HK36" s="35" t="e">
        <v>#N/A</v>
      </c>
      <c r="HL36" s="48" t="e">
        <v>#N/A</v>
      </c>
      <c r="HM36" s="104" t="e">
        <f t="shared" si="25"/>
        <v>#N/A</v>
      </c>
      <c r="HN36" s="105" t="e">
        <f>IF($F$2=24,IF($F$10=$ER$44,$FF$40,HM36),HM36)</f>
        <v>#N/A</v>
      </c>
      <c r="HO36" s="106"/>
      <c r="HP36" s="106"/>
      <c r="HQ36" s="87"/>
      <c r="HR36" s="154"/>
      <c r="HS36" s="154"/>
      <c r="HT36" s="160"/>
      <c r="HU36" s="38">
        <f>IF(F2=16,IF(F10=ER42,0,IF(F10=ER43,HN28,HN28)),IF(F2&lt;16,0,HN28))</f>
        <v>0</v>
      </c>
      <c r="HV36" s="35" t="s">
        <v>143</v>
      </c>
      <c r="HW36" s="35">
        <f>IF(HS35="-",0,IF(HS35="R0",HW56,HV35-EJ27*HT35-EL27-ER27-EX27))</f>
        <v>0</v>
      </c>
      <c r="HX36" s="38" t="s">
        <v>46</v>
      </c>
      <c r="HY36" s="35">
        <f>HV37-HW36</f>
        <v>0</v>
      </c>
      <c r="HZ36" s="162"/>
      <c r="IA36" s="162"/>
      <c r="IC36" s="164"/>
      <c r="ID36" s="53">
        <f>IF(IC33="-",$ID$33,$ID$33+IF36)</f>
        <v>9</v>
      </c>
      <c r="IE36" s="54" t="s">
        <v>152</v>
      </c>
      <c r="IF36" s="54">
        <f>IF35</f>
        <v>1</v>
      </c>
      <c r="IG36" s="54">
        <f>IF(IC33="-",0,IG35-EL14)</f>
        <v>1329.9153173575132</v>
      </c>
      <c r="IH36" s="79" t="s">
        <v>144</v>
      </c>
      <c r="II36" s="54" t="b">
        <f t="shared" si="44"/>
        <v>1</v>
      </c>
      <c r="IJ36" s="55" t="b">
        <f t="shared" si="68"/>
        <v>1</v>
      </c>
      <c r="IK36" s="54">
        <f t="shared" si="59"/>
        <v>2.3682256351414743</v>
      </c>
      <c r="IL36" s="56">
        <f>IL34*3</f>
        <v>1.7761692263561057</v>
      </c>
      <c r="IM36" s="54">
        <f t="shared" si="60"/>
        <v>6752.8449879023228</v>
      </c>
      <c r="IN36" s="54">
        <f t="shared" si="61"/>
        <v>-1533.2216806380613</v>
      </c>
      <c r="IO36" s="57">
        <f t="shared" si="62"/>
        <v>-1164.2538395341587</v>
      </c>
      <c r="IP36" s="54">
        <f t="shared" si="63"/>
        <v>0</v>
      </c>
      <c r="IQ36" s="54">
        <f t="shared" si="64"/>
        <v>0</v>
      </c>
      <c r="IR36" s="54">
        <f t="shared" si="66"/>
        <v>-2500.0952882124352</v>
      </c>
      <c r="IS36" s="58">
        <f>IF($IC$33="-","",SUM(IM36:IR36))</f>
        <v>1555.2741795176676</v>
      </c>
      <c r="IT36" s="54">
        <f t="shared" si="65"/>
        <v>9.7761692263561066</v>
      </c>
      <c r="IV36" s="54">
        <f>IV37</f>
        <v>12</v>
      </c>
      <c r="IW36" s="54">
        <f>IW34</f>
        <v>48.6</v>
      </c>
      <c r="IY36" s="54">
        <f>IF(IC33="-",-5,IF(ER14=0,-5,ID33+ET14))</f>
        <v>10.5</v>
      </c>
      <c r="IZ36" s="54">
        <v>0</v>
      </c>
      <c r="JB36" s="54"/>
      <c r="JC36" s="54"/>
      <c r="JE36" s="54"/>
      <c r="JF36" s="54"/>
      <c r="JH36" s="54"/>
      <c r="JI36" s="54"/>
      <c r="JK36" s="54"/>
      <c r="JL36" s="54"/>
      <c r="JM36" s="39"/>
      <c r="JN36" s="54"/>
      <c r="JO36" s="54"/>
      <c r="JP36" s="39"/>
      <c r="JQ36" s="54"/>
      <c r="JR36" s="54"/>
      <c r="JS36" s="39"/>
      <c r="JT36" s="54"/>
      <c r="JU36" s="54"/>
      <c r="JW36" s="123"/>
      <c r="JX36" s="123"/>
    </row>
    <row r="37" spans="2:284" ht="14.25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9" t="s">
        <v>182</v>
      </c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113"/>
      <c r="DW37" s="113"/>
      <c r="DX37" s="113"/>
      <c r="DY37" s="113"/>
      <c r="DZ37" s="113"/>
      <c r="EA37" s="113"/>
      <c r="EB37" s="113"/>
      <c r="EC37" s="113"/>
      <c r="ED37" s="113"/>
      <c r="FH37" s="28"/>
      <c r="FI37" s="28"/>
      <c r="FJ37" s="28"/>
      <c r="FK37" s="169">
        <f>EU3</f>
        <v>4</v>
      </c>
      <c r="FL37" s="169"/>
      <c r="FM37" s="169"/>
      <c r="FN37" s="169">
        <f>2*(EU3+EX3)</f>
        <v>16</v>
      </c>
      <c r="FO37" s="169"/>
      <c r="FP37" s="169"/>
      <c r="FQ37" s="169">
        <f>IF($F$2=6,(IF(F10=ER43,EX3,IF(F10=ER44,EX3*FF40,0))),IF(F2&gt;6,EX3,0))</f>
        <v>-4374</v>
      </c>
      <c r="FR37" s="169"/>
      <c r="FS37" s="169"/>
      <c r="FT37" s="98" t="s">
        <v>41</v>
      </c>
      <c r="FU37" s="170">
        <f>(EJ16*EU3^3)/4</f>
        <v>15552</v>
      </c>
      <c r="FV37" s="170"/>
      <c r="FW37" s="170"/>
      <c r="FX37" s="170">
        <f>(EJ17*EX3^3)/4</f>
        <v>15552</v>
      </c>
      <c r="FY37" s="170"/>
      <c r="FZ37" s="170"/>
      <c r="GA37" s="101"/>
      <c r="GB37" s="171">
        <f>-SUM(FU37:FZ40)-IF(F2=6,IF($F$10=$ER$44,FQ37,0))</f>
        <v>-26730</v>
      </c>
      <c r="GC37" s="171"/>
      <c r="GD37" s="171"/>
      <c r="GG37" s="22" t="s">
        <v>14</v>
      </c>
      <c r="GH37" s="103">
        <v>0</v>
      </c>
      <c r="GI37" s="103">
        <v>0</v>
      </c>
      <c r="GJ37" s="103">
        <v>0</v>
      </c>
      <c r="GK37" s="103">
        <v>0</v>
      </c>
      <c r="GL37" s="103">
        <v>0</v>
      </c>
      <c r="GM37" s="103">
        <v>0</v>
      </c>
      <c r="GN37" s="103">
        <v>0</v>
      </c>
      <c r="GO37" s="103">
        <v>0</v>
      </c>
      <c r="GP37" s="103">
        <v>0</v>
      </c>
      <c r="GQ37" s="103">
        <v>0</v>
      </c>
      <c r="GR37" s="103">
        <v>0</v>
      </c>
      <c r="GS37" s="103">
        <v>0</v>
      </c>
      <c r="GT37" s="103">
        <v>0</v>
      </c>
      <c r="GU37" s="103">
        <v>0</v>
      </c>
      <c r="GV37" s="103">
        <v>0</v>
      </c>
      <c r="GW37" s="103">
        <v>0</v>
      </c>
      <c r="GX37" s="103">
        <v>0</v>
      </c>
      <c r="GY37" s="103">
        <v>0</v>
      </c>
      <c r="GZ37" s="103">
        <v>0</v>
      </c>
      <c r="HA37" s="103">
        <v>0</v>
      </c>
      <c r="HB37" s="103">
        <v>0</v>
      </c>
      <c r="HC37" s="103">
        <v>0</v>
      </c>
      <c r="HD37" s="103">
        <v>0</v>
      </c>
      <c r="HE37" s="103">
        <v>0</v>
      </c>
      <c r="HF37" s="102">
        <f>FK137</f>
        <v>0</v>
      </c>
      <c r="HG37" s="102">
        <f>FN137</f>
        <v>0</v>
      </c>
      <c r="HH37" s="39" t="s">
        <v>117</v>
      </c>
      <c r="HI37" s="35">
        <f>FF40</f>
        <v>-1093.5</v>
      </c>
      <c r="HJ37" s="35" t="e">
        <v>#N/A</v>
      </c>
      <c r="HK37" s="35" t="e">
        <v>#N/A</v>
      </c>
      <c r="HL37" s="48" t="e">
        <v>#N/A</v>
      </c>
      <c r="HM37" s="104" t="e">
        <f t="shared" si="25"/>
        <v>#N/A</v>
      </c>
      <c r="HN37" s="105" t="e">
        <f>IF($F$2=25,IF($F$10=$ER$44,$FF$40,HM37),HM37)</f>
        <v>#N/A</v>
      </c>
      <c r="HO37" s="106"/>
      <c r="HP37" s="106"/>
      <c r="HQ37" s="87"/>
      <c r="HR37" s="153" t="str">
        <f t="shared" ref="HR37" si="69">IF(HS37="-","",HS37)</f>
        <v/>
      </c>
      <c r="HS37" s="155" t="str">
        <f>IF(F2=16,IF(F10=ER44,"R0",L25),L25)</f>
        <v>-</v>
      </c>
      <c r="HT37" s="157">
        <f>IF(HS37="R0",HT55,GE3)</f>
        <v>0</v>
      </c>
      <c r="HU37" s="54">
        <f>IF(HS37="R0",HU55,IF(F2&lt;17,0,HN28))</f>
        <v>0</v>
      </c>
      <c r="HV37" s="54">
        <f>IF(HS37="-",0,IF(HS37="R0",HV55,(EJ28*HT37^2*0.5+EL28*EP28+ER28*EV28+EX28*FB28-HU37+HU38)/HT37))</f>
        <v>0</v>
      </c>
      <c r="HW37" s="54" t="s">
        <v>143</v>
      </c>
      <c r="HX37" s="54" t="s">
        <v>41</v>
      </c>
      <c r="HY37" s="54">
        <f>HY36</f>
        <v>0</v>
      </c>
      <c r="HZ37" s="163" t="str">
        <f>IS177</f>
        <v/>
      </c>
      <c r="IA37" s="164" t="str">
        <f>IF(IL177=FALSE,"",IL17)</f>
        <v/>
      </c>
      <c r="IC37" s="164"/>
      <c r="ID37" s="53">
        <f>IF(IC33="-",$ID$33,$ID$33+IF37)</f>
        <v>10.5</v>
      </c>
      <c r="IE37" s="54" t="s">
        <v>153</v>
      </c>
      <c r="IF37" s="54">
        <f>IF(ER14=0,IF36,ET14)</f>
        <v>2.5</v>
      </c>
      <c r="IG37" s="54">
        <f>IF(IC33="-",0,IG36-IF(ER14=0,0,EJ14*(IF37-IF36)))</f>
        <v>-128.08468264248677</v>
      </c>
      <c r="II37" s="54" t="b">
        <f t="shared" si="44"/>
        <v>0</v>
      </c>
      <c r="IJ37" s="55" t="b">
        <f>IF(IF37=IF38,FALSE,TRUE)</f>
        <v>0</v>
      </c>
      <c r="IK37" s="54">
        <f t="shared" si="59"/>
        <v>2.5</v>
      </c>
      <c r="IL37" s="68">
        <f>IF(II33=TRUE,IK33,IF(II34=TRUE,IK34,IF(II35=TRUE,IK35,IF(II36=TRUE,IK36,IF(II37=TRUE,IK37,IF(II38=TRUE,IK38,IF(II39=TRUE,IK39,IF(II40=TRUE,IK40,IF(II41=TRUE,IK41,IF(II42=TRUE,IK42))))))))))</f>
        <v>2.3682256351414743</v>
      </c>
      <c r="IM37" s="68">
        <f t="shared" si="60"/>
        <v>9003.7933172030971</v>
      </c>
      <c r="IN37" s="68">
        <f t="shared" si="61"/>
        <v>-2725.7274322454423</v>
      </c>
      <c r="IO37" s="69">
        <f t="shared" si="62"/>
        <v>-2052.3384527122116</v>
      </c>
      <c r="IP37" s="68">
        <f t="shared" si="63"/>
        <v>0</v>
      </c>
      <c r="IQ37" s="68">
        <f t="shared" si="64"/>
        <v>0</v>
      </c>
      <c r="IR37" s="68">
        <f t="shared" si="66"/>
        <v>-2500.0952882124352</v>
      </c>
      <c r="IS37" s="70">
        <f>IF(IC33="-","",ROUND(SUM(IM37:IR37),2))</f>
        <v>1725.63</v>
      </c>
      <c r="IT37" s="68">
        <f t="shared" si="65"/>
        <v>10.368225635141474</v>
      </c>
      <c r="IV37" s="54">
        <f>ID42</f>
        <v>12</v>
      </c>
      <c r="IW37" s="54">
        <v>0</v>
      </c>
      <c r="IY37" s="54">
        <f>IY36</f>
        <v>10.5</v>
      </c>
      <c r="IZ37" s="54">
        <f>IF(IC33="-",0,ER14/20)</f>
        <v>62.5</v>
      </c>
      <c r="JB37" s="54"/>
      <c r="JC37" s="54"/>
      <c r="JD37" s="80"/>
      <c r="JE37" s="54"/>
      <c r="JF37" s="54"/>
      <c r="JH37" s="54"/>
      <c r="JI37" s="54"/>
      <c r="JK37" s="54">
        <f>IF(IC33=3,IT37,-5)</f>
        <v>10.368225635141474</v>
      </c>
      <c r="JL37" s="59">
        <f>IS37</f>
        <v>1725.63</v>
      </c>
      <c r="JM37" s="40"/>
      <c r="JN37" s="59"/>
      <c r="JO37" s="59"/>
      <c r="JP37" s="40"/>
      <c r="JQ37" s="59"/>
      <c r="JR37" s="59"/>
      <c r="JS37" s="40"/>
      <c r="JT37" s="59"/>
      <c r="JU37" s="59"/>
      <c r="JW37" s="122"/>
      <c r="JX37" s="122"/>
    </row>
    <row r="38" spans="2:284" ht="14.25" customHeight="1" x14ac:dyDescent="0.2">
      <c r="L38" s="20" t="s">
        <v>176</v>
      </c>
      <c r="EC38" s="113"/>
      <c r="ED38" s="113"/>
      <c r="EF38" s="162" t="s">
        <v>16</v>
      </c>
      <c r="EG38" s="162"/>
      <c r="EH38" s="162" t="s">
        <v>15</v>
      </c>
      <c r="EI38" s="162"/>
      <c r="EJ38" s="230" t="s">
        <v>18</v>
      </c>
      <c r="EK38" s="231"/>
      <c r="EL38" s="229" t="s">
        <v>17</v>
      </c>
      <c r="EM38" s="229"/>
      <c r="EN38" s="229" t="s">
        <v>24</v>
      </c>
      <c r="EO38" s="229"/>
      <c r="EP38" s="229" t="s">
        <v>25</v>
      </c>
      <c r="EQ38" s="229"/>
      <c r="ER38" s="228" t="s">
        <v>19</v>
      </c>
      <c r="ES38" s="228"/>
      <c r="ET38" s="228" t="s">
        <v>26</v>
      </c>
      <c r="EU38" s="228"/>
      <c r="EV38" s="228" t="s">
        <v>27</v>
      </c>
      <c r="EW38" s="228"/>
      <c r="EX38" s="233" t="s">
        <v>20</v>
      </c>
      <c r="EY38" s="233"/>
      <c r="EZ38" s="233" t="s">
        <v>28</v>
      </c>
      <c r="FA38" s="233"/>
      <c r="FB38" s="233" t="s">
        <v>29</v>
      </c>
      <c r="FC38" s="233"/>
      <c r="FD38" s="236" t="s">
        <v>22</v>
      </c>
      <c r="FE38" s="236"/>
      <c r="FF38" s="236" t="s">
        <v>23</v>
      </c>
      <c r="FG38" s="236"/>
      <c r="FH38" s="28"/>
      <c r="FI38" s="28"/>
      <c r="FJ38" s="28"/>
      <c r="FT38" s="98" t="s">
        <v>17</v>
      </c>
      <c r="FU38" s="170">
        <f>IF(EU3=0,0,(EL16*EN16/EU3)*(EU3^2-EN16^2))</f>
        <v>0</v>
      </c>
      <c r="FV38" s="170"/>
      <c r="FW38" s="170"/>
      <c r="FX38" s="170">
        <f>IF(EX3=0,0,(EL17*EP17/EX3)*(EX3^2-EP17^2))</f>
        <v>0</v>
      </c>
      <c r="FY38" s="170"/>
      <c r="FZ38" s="170"/>
      <c r="GA38" s="101"/>
      <c r="GB38" s="170"/>
      <c r="GC38" s="170"/>
      <c r="GD38" s="170"/>
      <c r="HQ38" s="87"/>
      <c r="HR38" s="154"/>
      <c r="HS38" s="156"/>
      <c r="HT38" s="158"/>
      <c r="HU38" s="54">
        <f>IF(F2=17,IF(F10=ER42,0,IF(F10=ER43,HN29,HN29)),IF(F2&lt;17,0,HN29))</f>
        <v>0</v>
      </c>
      <c r="HV38" s="54" t="s">
        <v>143</v>
      </c>
      <c r="HW38" s="54">
        <f>IF(HS37="-",0,IF(HS37="R0",HW56,HV37-EJ28*HT37-EL28-ER28-EX28))</f>
        <v>0</v>
      </c>
      <c r="HX38" s="54" t="s">
        <v>46</v>
      </c>
      <c r="HY38" s="54">
        <f>HV39-HW38</f>
        <v>0</v>
      </c>
      <c r="HZ38" s="164"/>
      <c r="IA38" s="164"/>
      <c r="IC38" s="164"/>
      <c r="ID38" s="53">
        <f>IF(IC33="-",$ID$33,$ID$33+IF38)</f>
        <v>10.5</v>
      </c>
      <c r="IE38" s="54" t="s">
        <v>154</v>
      </c>
      <c r="IF38" s="54">
        <f>IF37</f>
        <v>2.5</v>
      </c>
      <c r="IG38" s="54">
        <f>IF(IC33="-",0,IG37-ER14)</f>
        <v>-1378.0846826424868</v>
      </c>
      <c r="II38" s="54" t="b">
        <f t="shared" si="44"/>
        <v>0</v>
      </c>
      <c r="IJ38" s="55" t="b">
        <f t="shared" si="68"/>
        <v>1</v>
      </c>
      <c r="IK38" s="54">
        <f t="shared" si="59"/>
        <v>2.5</v>
      </c>
      <c r="IL38" s="56">
        <f>IL37+($IL$42-$IL$37)/4</f>
        <v>2.7761692263561057</v>
      </c>
      <c r="IM38" s="54">
        <f t="shared" si="60"/>
        <v>10554.760305259835</v>
      </c>
      <c r="IN38" s="54">
        <f t="shared" si="61"/>
        <v>-3745.6581686561963</v>
      </c>
      <c r="IO38" s="57">
        <f t="shared" si="62"/>
        <v>-2664.2538395341585</v>
      </c>
      <c r="IP38" s="54">
        <f t="shared" si="63"/>
        <v>-345.21153294513221</v>
      </c>
      <c r="IQ38" s="54">
        <f t="shared" si="64"/>
        <v>0</v>
      </c>
      <c r="IR38" s="54">
        <f t="shared" si="66"/>
        <v>-2500.0952882124352</v>
      </c>
      <c r="IS38" s="58">
        <f>IF($IC$33="-","",SUM(IM38:IR38))</f>
        <v>1299.541475911913</v>
      </c>
      <c r="IT38" s="54">
        <f t="shared" si="65"/>
        <v>10.776169226356107</v>
      </c>
      <c r="IV38" s="54"/>
      <c r="IW38" s="54"/>
      <c r="IY38" s="65">
        <f>IF(IC33="-","",IF(ER14=0,"",ER14))</f>
        <v>1250</v>
      </c>
      <c r="IZ38" s="55"/>
      <c r="JB38" s="54"/>
      <c r="JC38" s="54"/>
      <c r="JE38" s="54"/>
      <c r="JF38" s="54"/>
      <c r="JH38" s="54"/>
      <c r="JI38" s="54"/>
      <c r="JK38" s="54"/>
      <c r="JL38" s="54"/>
      <c r="JM38" s="39"/>
      <c r="JN38" s="54"/>
      <c r="JO38" s="54"/>
      <c r="JP38" s="39"/>
      <c r="JQ38" s="54"/>
      <c r="JR38" s="54"/>
      <c r="JS38" s="39"/>
      <c r="JT38" s="54"/>
      <c r="JU38" s="54"/>
      <c r="JW38" s="123"/>
      <c r="JX38" s="123"/>
    </row>
    <row r="39" spans="2:284" ht="14.25" customHeight="1" x14ac:dyDescent="0.2">
      <c r="L39" s="20" t="s">
        <v>177</v>
      </c>
      <c r="EC39" s="113"/>
      <c r="ED39" s="113"/>
      <c r="EE39" s="22" t="s">
        <v>13</v>
      </c>
      <c r="EF39" s="232">
        <f>$F$3*$F$4*2400*$F$6</f>
        <v>192.00000000000003</v>
      </c>
      <c r="EG39" s="232"/>
      <c r="EH39" s="232">
        <f>(P4*$F$6)+(R4*$F$7)</f>
        <v>780</v>
      </c>
      <c r="EI39" s="232"/>
      <c r="EJ39" s="232">
        <f>EF39+EH39</f>
        <v>972</v>
      </c>
      <c r="EK39" s="232"/>
      <c r="EL39" s="232">
        <f>(T4*$F$6)+(V4*$F$7)</f>
        <v>0</v>
      </c>
      <c r="EM39" s="232"/>
      <c r="EN39" s="232">
        <f>N4-X4</f>
        <v>1.5</v>
      </c>
      <c r="EO39" s="232"/>
      <c r="EP39" s="232">
        <f>X4</f>
        <v>0</v>
      </c>
      <c r="EQ39" s="232"/>
      <c r="ER39" s="232">
        <f>(Z4*$F$6)+(AB4*$F$7)</f>
        <v>0</v>
      </c>
      <c r="ES39" s="232"/>
      <c r="ET39" s="232">
        <f>N4-AD4</f>
        <v>1.5</v>
      </c>
      <c r="EU39" s="232"/>
      <c r="EV39" s="232">
        <f>AD4</f>
        <v>0</v>
      </c>
      <c r="EW39" s="232"/>
      <c r="EX39" s="232">
        <f>(AF4*$F$6)+(AH4*$F$7)</f>
        <v>0</v>
      </c>
      <c r="EY39" s="232"/>
      <c r="EZ39" s="232">
        <f>N4-AJ4</f>
        <v>1.5</v>
      </c>
      <c r="FA39" s="232"/>
      <c r="FB39" s="232">
        <f>AJ4</f>
        <v>0</v>
      </c>
      <c r="FC39" s="232"/>
      <c r="FD39" s="232">
        <f>IF(F9=ER44,EJ39*N4+EL39+ER39+EX39,0)</f>
        <v>0</v>
      </c>
      <c r="FE39" s="232"/>
      <c r="FF39" s="232">
        <f>IF(F9=ER44,-((EJ39*N4^2*0.5)+(EL39*EP39)+(ER39*EV39)+(EX39*FB39)),0)</f>
        <v>0</v>
      </c>
      <c r="FG39" s="232"/>
      <c r="FH39" s="28"/>
      <c r="FI39" s="28"/>
      <c r="FJ39" s="28"/>
      <c r="FT39" s="98" t="s">
        <v>19</v>
      </c>
      <c r="FU39" s="170">
        <f>IF(EU3=0,0,(ER16*ET16/EU3)*(EU3^2-ET16^2))</f>
        <v>0</v>
      </c>
      <c r="FV39" s="170"/>
      <c r="FW39" s="170"/>
      <c r="FX39" s="170">
        <f>IF(EX3=0,0,(ER17*EV17/EX3)*(EX3^2-EV17^2))</f>
        <v>0</v>
      </c>
      <c r="FY39" s="170"/>
      <c r="FZ39" s="170"/>
      <c r="GA39" s="101"/>
      <c r="GB39" s="170"/>
      <c r="GC39" s="170"/>
      <c r="GD39" s="170"/>
      <c r="GH39" s="22" t="s">
        <v>30</v>
      </c>
      <c r="GI39" s="22" t="s">
        <v>31</v>
      </c>
      <c r="GJ39" s="22" t="s">
        <v>32</v>
      </c>
      <c r="GK39" s="22" t="s">
        <v>33</v>
      </c>
      <c r="GL39" s="22" t="s">
        <v>34</v>
      </c>
      <c r="GM39" s="22" t="s">
        <v>35</v>
      </c>
      <c r="GN39" s="22" t="s">
        <v>36</v>
      </c>
      <c r="GO39" s="22" t="s">
        <v>37</v>
      </c>
      <c r="GP39" s="22" t="s">
        <v>38</v>
      </c>
      <c r="GQ39" s="22" t="s">
        <v>39</v>
      </c>
      <c r="GR39" s="22" t="s">
        <v>40</v>
      </c>
      <c r="GS39" s="22" t="s">
        <v>41</v>
      </c>
      <c r="GT39" s="22" t="s">
        <v>23</v>
      </c>
      <c r="GU39" s="22" t="s">
        <v>42</v>
      </c>
      <c r="GV39" s="22" t="s">
        <v>43</v>
      </c>
      <c r="GW39" s="22" t="s">
        <v>44</v>
      </c>
      <c r="GX39" s="22" t="s">
        <v>45</v>
      </c>
      <c r="GY39" s="22" t="s">
        <v>46</v>
      </c>
      <c r="GZ39" s="22" t="s">
        <v>18</v>
      </c>
      <c r="HA39" s="22" t="s">
        <v>47</v>
      </c>
      <c r="HB39" s="22" t="s">
        <v>48</v>
      </c>
      <c r="HC39" s="22" t="s">
        <v>22</v>
      </c>
      <c r="HD39" s="22" t="s">
        <v>49</v>
      </c>
      <c r="HE39" s="22" t="s">
        <v>50</v>
      </c>
      <c r="HF39" s="22" t="s">
        <v>51</v>
      </c>
      <c r="HG39" s="22" t="s">
        <v>52</v>
      </c>
      <c r="HQ39" s="87"/>
      <c r="HR39" s="153" t="str">
        <f t="shared" ref="HR39" si="70">IF(HS39="-","",HS39)</f>
        <v/>
      </c>
      <c r="HS39" s="153" t="str">
        <f>IF(F2=17,IF(F10=ER44,"R0",L26),L26)</f>
        <v>-</v>
      </c>
      <c r="HT39" s="159">
        <f>IF(HS39="R0",HT55,GH3)</f>
        <v>0</v>
      </c>
      <c r="HU39" s="38">
        <f>IF(HS39="R0",HU55,IF(F2&lt;18,0,HN29))</f>
        <v>0</v>
      </c>
      <c r="HV39" s="35">
        <f>IF(HS39="-",0,IF(HS39="R0",HV55,(EJ29*HT39^2*0.5+EL29*EP29+ER29*EV29+EX29*FB29-HU39+HU40)/HT39))</f>
        <v>0</v>
      </c>
      <c r="HW39" s="35" t="s">
        <v>143</v>
      </c>
      <c r="HX39" s="38" t="s">
        <v>41</v>
      </c>
      <c r="HY39" s="38">
        <f>HY38</f>
        <v>0</v>
      </c>
      <c r="HZ39" s="161" t="str">
        <f>IS187</f>
        <v/>
      </c>
      <c r="IA39" s="162" t="str">
        <f>IF(IL187=FALSE,"",IL187)</f>
        <v/>
      </c>
      <c r="IC39" s="164"/>
      <c r="ID39" s="53">
        <f>IF(IC33="-",$ID$33,$ID$33+IF39)</f>
        <v>11.5</v>
      </c>
      <c r="IE39" s="54" t="s">
        <v>155</v>
      </c>
      <c r="IF39" s="54">
        <f>IF(EX14=0,IF38,EZ14)</f>
        <v>3.5</v>
      </c>
      <c r="IG39" s="54">
        <f>IF(IC33="-",0,IG38-IF(EX14=0,0,EJ14*(IF39-IF38)))</f>
        <v>-2350.0846826424868</v>
      </c>
      <c r="II39" s="54" t="b">
        <f t="shared" si="44"/>
        <v>0</v>
      </c>
      <c r="IJ39" s="55" t="b">
        <f t="shared" si="68"/>
        <v>0</v>
      </c>
      <c r="IK39" s="54">
        <f t="shared" si="59"/>
        <v>3.5</v>
      </c>
      <c r="IL39" s="56">
        <f>IL38+($IL$42-$IL$37)/4</f>
        <v>3.1841128175707372</v>
      </c>
      <c r="IM39" s="54">
        <f t="shared" si="60"/>
        <v>12105.727293316575</v>
      </c>
      <c r="IN39" s="54">
        <f t="shared" si="61"/>
        <v>-4927.3471754188731</v>
      </c>
      <c r="IO39" s="57">
        <f t="shared" si="62"/>
        <v>-3276.1692263561058</v>
      </c>
      <c r="IP39" s="54">
        <f t="shared" si="63"/>
        <v>-855.14102196342151</v>
      </c>
      <c r="IQ39" s="54">
        <f t="shared" si="64"/>
        <v>0</v>
      </c>
      <c r="IR39" s="54">
        <f t="shared" si="66"/>
        <v>-2500.0952882124352</v>
      </c>
      <c r="IS39" s="58">
        <f>IF($IC$33="-","",SUM(IM39:IR39))</f>
        <v>546.9745813657396</v>
      </c>
      <c r="IT39" s="54">
        <f t="shared" si="65"/>
        <v>11.184112817570737</v>
      </c>
      <c r="IV39" s="72">
        <f>IF(IC33="-","",EJ14)</f>
        <v>972</v>
      </c>
      <c r="IW39" s="54"/>
      <c r="IY39" s="54">
        <f>IF(IC33="-",-5,IF(EX14=0,-5,ID33+EZ14))</f>
        <v>11.5</v>
      </c>
      <c r="IZ39" s="54">
        <v>0</v>
      </c>
      <c r="JB39" s="54"/>
      <c r="JC39" s="54"/>
      <c r="JE39" s="54"/>
      <c r="JF39" s="54"/>
      <c r="JH39" s="54"/>
      <c r="JI39" s="54"/>
      <c r="JK39" s="54"/>
      <c r="JL39" s="54"/>
      <c r="JM39" s="39"/>
      <c r="JN39" s="54"/>
      <c r="JO39" s="54"/>
      <c r="JP39" s="39"/>
      <c r="JQ39" s="54"/>
      <c r="JR39" s="54"/>
      <c r="JS39" s="39"/>
      <c r="JT39" s="54"/>
      <c r="JU39" s="54"/>
      <c r="JW39" s="123"/>
      <c r="JX39" s="123"/>
    </row>
    <row r="40" spans="2:284" ht="14.25" customHeight="1" x14ac:dyDescent="0.2">
      <c r="L40" s="20" t="s">
        <v>178</v>
      </c>
      <c r="EC40" s="114"/>
      <c r="ED40" s="114"/>
      <c r="EE40" s="22" t="s">
        <v>14</v>
      </c>
      <c r="EF40" s="192">
        <f>$F$3*$F$4*2400*$F$6</f>
        <v>192.00000000000003</v>
      </c>
      <c r="EG40" s="192"/>
      <c r="EH40" s="192">
        <f>(P5*$F$6)+(R5*$F$7)</f>
        <v>780</v>
      </c>
      <c r="EI40" s="192"/>
      <c r="EJ40" s="192">
        <f>EF40+EH40</f>
        <v>972</v>
      </c>
      <c r="EK40" s="192"/>
      <c r="EL40" s="192">
        <f>(T5*$F$6)+(V5*$F$7)</f>
        <v>0</v>
      </c>
      <c r="EM40" s="192"/>
      <c r="EN40" s="192">
        <f>X5</f>
        <v>0</v>
      </c>
      <c r="EO40" s="192"/>
      <c r="EP40" s="192">
        <f>N5-X5</f>
        <v>1.5</v>
      </c>
      <c r="EQ40" s="192"/>
      <c r="ER40" s="192">
        <f>(Z5*$F$6)+(AB5*$F$7)</f>
        <v>0</v>
      </c>
      <c r="ES40" s="192"/>
      <c r="ET40" s="192">
        <f>AD5</f>
        <v>0</v>
      </c>
      <c r="EU40" s="192"/>
      <c r="EV40" s="192">
        <f>N5-AD5</f>
        <v>1.5</v>
      </c>
      <c r="EW40" s="192"/>
      <c r="EX40" s="192">
        <f>(AF5*$F$6)+(AH5*$F$7)</f>
        <v>0</v>
      </c>
      <c r="EY40" s="192"/>
      <c r="EZ40" s="192">
        <f>AJ5</f>
        <v>0</v>
      </c>
      <c r="FA40" s="192"/>
      <c r="FB40" s="192">
        <f>N5-AJ5</f>
        <v>1.5</v>
      </c>
      <c r="FC40" s="192"/>
      <c r="FD40" s="192">
        <f>IF(F10=ER44,EJ40*N5+EL40+ER40+EX40,0)</f>
        <v>1458</v>
      </c>
      <c r="FE40" s="192"/>
      <c r="FF40" s="192">
        <f>IF(F10=ER44,-((EJ40*N5^2*0.5)+(EL40*EN40)+(ER40*ET40)+(EX40*EZ40)),0)</f>
        <v>-1093.5</v>
      </c>
      <c r="FG40" s="192"/>
      <c r="FH40" s="28"/>
      <c r="FI40" s="28"/>
      <c r="FJ40" s="28"/>
      <c r="FT40" s="98" t="s">
        <v>20</v>
      </c>
      <c r="FU40" s="170">
        <f>IF(EU3=0,0,(EX16*EZ16/EU3)*(EU3^2-EZ16^2))</f>
        <v>0</v>
      </c>
      <c r="FV40" s="170"/>
      <c r="FW40" s="170"/>
      <c r="FX40" s="170">
        <f>IF(EX3=0,0,(EX17*FB17/EX3)*(EX3^2-FB171^2))</f>
        <v>0</v>
      </c>
      <c r="FY40" s="170"/>
      <c r="FZ40" s="170"/>
      <c r="GA40" s="101"/>
      <c r="GB40" s="172"/>
      <c r="GC40" s="172"/>
      <c r="GD40" s="172"/>
      <c r="GG40" s="22" t="s">
        <v>13</v>
      </c>
      <c r="GH40" s="115"/>
      <c r="GI40" s="11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I40" s="35">
        <f>$GB$12</f>
        <v>-22912</v>
      </c>
      <c r="HJ40" s="79"/>
      <c r="HQ40" s="87"/>
      <c r="HR40" s="154"/>
      <c r="HS40" s="154"/>
      <c r="HT40" s="160"/>
      <c r="HU40" s="38">
        <f>IF(F2=18,IF(F10=ER42,0,IF(F10=ER43,HN30,HN30)),IF(F2&lt;18,0,HN30))</f>
        <v>0</v>
      </c>
      <c r="HV40" s="35" t="s">
        <v>143</v>
      </c>
      <c r="HW40" s="35">
        <f>IF(HS39="-",0,IF(HS39="R0",HW56,HV39-EJ29*HT39-EL29-ER29-EX29))</f>
        <v>0</v>
      </c>
      <c r="HX40" s="38" t="s">
        <v>46</v>
      </c>
      <c r="HY40" s="38">
        <f>HV41-HW40</f>
        <v>0</v>
      </c>
      <c r="HZ40" s="162"/>
      <c r="IA40" s="162"/>
      <c r="IC40" s="164"/>
      <c r="ID40" s="53">
        <f>IF(IC33="-",$ID$33,$ID$33+IF40)</f>
        <v>11.5</v>
      </c>
      <c r="IE40" s="54" t="s">
        <v>156</v>
      </c>
      <c r="IF40" s="54">
        <f>IF39</f>
        <v>3.5</v>
      </c>
      <c r="IG40" s="54">
        <f>IF(IC33="-",0,IG39-EX14)</f>
        <v>-3850.0846826424868</v>
      </c>
      <c r="II40" s="54" t="b">
        <f t="shared" si="44"/>
        <v>0</v>
      </c>
      <c r="IJ40" s="55" t="b">
        <f t="shared" si="68"/>
        <v>1</v>
      </c>
      <c r="IK40" s="54">
        <f t="shared" si="59"/>
        <v>3.5</v>
      </c>
      <c r="IL40" s="56">
        <f>IL39+($IL$42-$IL$37)/4</f>
        <v>3.5920564087853686</v>
      </c>
      <c r="IM40" s="54">
        <f t="shared" si="60"/>
        <v>13656.694281373313</v>
      </c>
      <c r="IN40" s="54">
        <f t="shared" si="61"/>
        <v>-6270.7944525334742</v>
      </c>
      <c r="IO40" s="57">
        <f t="shared" si="62"/>
        <v>-3888.0846131780527</v>
      </c>
      <c r="IP40" s="54">
        <f t="shared" si="63"/>
        <v>-1365.0705109817106</v>
      </c>
      <c r="IQ40" s="54">
        <f t="shared" si="64"/>
        <v>-138.08461317805288</v>
      </c>
      <c r="IR40" s="54">
        <f t="shared" si="66"/>
        <v>-2500.0952882124352</v>
      </c>
      <c r="IS40" s="58">
        <f>IF($IC$33="-","",SUM(IM40:IR40))</f>
        <v>-505.43519671041281</v>
      </c>
      <c r="IT40" s="54">
        <f t="shared" si="65"/>
        <v>11.592056408785368</v>
      </c>
      <c r="IV40" s="54"/>
      <c r="IW40" s="54"/>
      <c r="IY40" s="54">
        <f>IY39</f>
        <v>11.5</v>
      </c>
      <c r="IZ40" s="54">
        <f>IF(IC33="-",0,EX14/20)</f>
        <v>75</v>
      </c>
      <c r="JB40" s="66">
        <f>IF(IC33="-","",HY10)</f>
        <v>6567.6471219235755</v>
      </c>
      <c r="JC40" s="54" t="b">
        <f>AND($F$2=3,$F$10=$ER$43)</f>
        <v>0</v>
      </c>
      <c r="JE40" s="66">
        <f>JB40</f>
        <v>6567.6471219235755</v>
      </c>
      <c r="JF40" s="54"/>
      <c r="JH40" s="54"/>
      <c r="JI40" s="54"/>
      <c r="JK40" s="54" t="b">
        <f>AND($F$2=3,$F$10=$ER$43)</f>
        <v>0</v>
      </c>
      <c r="JL40" s="54"/>
      <c r="JM40" s="39"/>
      <c r="JN40" s="54"/>
      <c r="JO40" s="54"/>
      <c r="JP40" s="39"/>
      <c r="JQ40" s="54"/>
      <c r="JR40" s="54"/>
      <c r="JS40" s="39"/>
      <c r="JT40" s="54"/>
      <c r="JU40" s="54"/>
      <c r="JW40" s="123"/>
      <c r="JX40" s="123"/>
    </row>
    <row r="41" spans="2:284" ht="14.25" customHeight="1" x14ac:dyDescent="0.2">
      <c r="L41" s="20" t="s">
        <v>179</v>
      </c>
      <c r="EC41" s="114"/>
      <c r="ED41" s="114"/>
      <c r="FH41" s="28">
        <v>7</v>
      </c>
      <c r="FI41" s="184" t="s">
        <v>78</v>
      </c>
      <c r="FJ41" s="184"/>
      <c r="FK41" s="185" t="s">
        <v>70</v>
      </c>
      <c r="FL41" s="185"/>
      <c r="FM41" s="185"/>
      <c r="FN41" s="185" t="s">
        <v>72</v>
      </c>
      <c r="FO41" s="185"/>
      <c r="FP41" s="185"/>
      <c r="FQ41" s="185" t="s">
        <v>81</v>
      </c>
      <c r="FR41" s="185"/>
      <c r="FS41" s="185"/>
      <c r="FT41" s="98" t="s">
        <v>57</v>
      </c>
      <c r="FU41" s="187" t="s">
        <v>13</v>
      </c>
      <c r="FV41" s="185"/>
      <c r="FW41" s="185"/>
      <c r="FX41" s="187" t="s">
        <v>14</v>
      </c>
      <c r="FY41" s="185"/>
      <c r="FZ41" s="185"/>
      <c r="GA41" s="98" t="s">
        <v>57</v>
      </c>
      <c r="GB41" s="187" t="s">
        <v>60</v>
      </c>
      <c r="GC41" s="185"/>
      <c r="GD41" s="185"/>
      <c r="GG41" s="22">
        <v>2</v>
      </c>
      <c r="GH41" s="45"/>
      <c r="GI41" s="45">
        <f t="array" ref="GI41:HF64">MINVERSE(IF(F2=3,GI13:GJ14,IF(F2=4,GI13:GK15,IF(F2=5,GI13:GL16,IF(F2=6,GI13:GM17,IF(F2=7,GI13:GN18,IF(F2=8,GI13:GO19,IF(F2=9,GI13:GP20,IF(F2=10,GI13:GQ21,IF(F2=11,GI13:GR22,IF(F2=12,GI13:GS23,IF(F2=13,GI13:GT24,IF(F2=14,GI13:GU25,IF(F2=15,GI13:GV26,IF(F2=16,GI13:GW27,IF(F2=17,GI13:GX28,IF(F2=18,GI13:GY29,IF(F2=19,GI13:GZ30,IF(F2=20,GI13:HA31,IF(F2=21,GI13:HB32,IF(F2=22,GI13:HC33,IF(F2=23,GI13:HD34,IF(F2=24,GI13:HE35,IF(F2=25,GI13:HF36,IF(F2=2,GI13,0)))))))))))))))))))))))))</f>
        <v>6.6987179487179485E-2</v>
      </c>
      <c r="GJ41" s="45">
        <v>-1.7948717948717947E-2</v>
      </c>
      <c r="GK41" s="45">
        <v>4.8076923076923071E-3</v>
      </c>
      <c r="GL41" s="45">
        <v>-1.2820512820512818E-3</v>
      </c>
      <c r="GM41" s="45">
        <v>3.2051282051282046E-4</v>
      </c>
      <c r="GN41" s="45" t="e">
        <v>#N/A</v>
      </c>
      <c r="GO41" s="45" t="e">
        <v>#N/A</v>
      </c>
      <c r="GP41" s="45" t="e">
        <v>#N/A</v>
      </c>
      <c r="GQ41" s="45" t="e">
        <v>#N/A</v>
      </c>
      <c r="GR41" s="45" t="e">
        <v>#N/A</v>
      </c>
      <c r="GS41" s="45" t="e">
        <v>#N/A</v>
      </c>
      <c r="GT41" s="45" t="e">
        <v>#N/A</v>
      </c>
      <c r="GU41" s="45" t="e">
        <v>#N/A</v>
      </c>
      <c r="GV41" s="45" t="e">
        <v>#N/A</v>
      </c>
      <c r="GW41" s="45" t="e">
        <v>#N/A</v>
      </c>
      <c r="GX41" s="45" t="e">
        <v>#N/A</v>
      </c>
      <c r="GY41" s="45" t="e">
        <v>#N/A</v>
      </c>
      <c r="GZ41" s="45" t="e">
        <v>#N/A</v>
      </c>
      <c r="HA41" s="45" t="e">
        <v>#N/A</v>
      </c>
      <c r="HB41" s="45" t="e">
        <v>#N/A</v>
      </c>
      <c r="HC41" s="45" t="e">
        <v>#N/A</v>
      </c>
      <c r="HD41" s="45" t="e">
        <v>#N/A</v>
      </c>
      <c r="HE41" s="45" t="e">
        <v>#N/A</v>
      </c>
      <c r="HF41" s="45" t="e">
        <v>#N/A</v>
      </c>
      <c r="HG41" s="45"/>
      <c r="HI41" s="35">
        <f>$GB$17</f>
        <v>-45824</v>
      </c>
      <c r="HJ41" s="79"/>
      <c r="HQ41" s="87"/>
      <c r="HR41" s="153" t="str">
        <f t="shared" ref="HR41" si="71">IF(HS41="-","",HS41)</f>
        <v/>
      </c>
      <c r="HS41" s="155" t="str">
        <f>IF(F2=18,IF(F10=ER44,"R0",L27),L27)</f>
        <v>-</v>
      </c>
      <c r="HT41" s="157">
        <f>IF(HS41="R0",HT55,GK3)</f>
        <v>0</v>
      </c>
      <c r="HU41" s="54">
        <f>IF(HS41="R0",HU55,IF(F2&lt;19,0,HN30))</f>
        <v>0</v>
      </c>
      <c r="HV41" s="54">
        <f>IF(HS41="-",0,IF(HS41="R0",HV55,(EJ30*HT41^2*0.5+EL30*EP30+ER30*EV30+EX30*FB30-HU41+HU42)/HT41))</f>
        <v>0</v>
      </c>
      <c r="HW41" s="54" t="s">
        <v>143</v>
      </c>
      <c r="HX41" s="54" t="s">
        <v>41</v>
      </c>
      <c r="HY41" s="54">
        <f>HY40</f>
        <v>0</v>
      </c>
      <c r="HZ41" s="163" t="str">
        <f>IS197</f>
        <v/>
      </c>
      <c r="IA41" s="164" t="str">
        <f>IF(IL197=FALSE,"",IL197)</f>
        <v/>
      </c>
      <c r="IC41" s="164"/>
      <c r="ID41" s="53">
        <f>IF(IC33="-",$ID$33,$ID$33+IF41)</f>
        <v>12</v>
      </c>
      <c r="IE41" s="54" t="s">
        <v>157</v>
      </c>
      <c r="IF41" s="53">
        <f>IF42</f>
        <v>4</v>
      </c>
      <c r="IG41" s="54">
        <f>IF(IC33="-",0,HW10)</f>
        <v>-4336.0846826424868</v>
      </c>
      <c r="II41" s="54" t="b">
        <f t="shared" si="44"/>
        <v>0</v>
      </c>
      <c r="IJ41" s="55" t="b">
        <f t="shared" si="68"/>
        <v>0</v>
      </c>
      <c r="IK41" s="54">
        <f t="shared" si="59"/>
        <v>4</v>
      </c>
      <c r="IL41" s="56">
        <f>IL40+($IL$42-$IL$37)/4</f>
        <v>4</v>
      </c>
      <c r="IM41" s="54">
        <f t="shared" si="60"/>
        <v>15207.661269430053</v>
      </c>
      <c r="IN41" s="54">
        <f t="shared" si="61"/>
        <v>-7776</v>
      </c>
      <c r="IO41" s="57">
        <f t="shared" si="62"/>
        <v>-4500</v>
      </c>
      <c r="IP41" s="54">
        <f t="shared" si="63"/>
        <v>-1875</v>
      </c>
      <c r="IQ41" s="54">
        <f t="shared" si="64"/>
        <v>-750</v>
      </c>
      <c r="IR41" s="55"/>
      <c r="IS41" s="59">
        <f>IF(IC33="-","",ROUND(HU10,2))</f>
        <v>-2193.4299999999998</v>
      </c>
      <c r="IT41" s="54">
        <f t="shared" si="65"/>
        <v>12</v>
      </c>
      <c r="IV41" s="54"/>
      <c r="IW41" s="54"/>
      <c r="IY41" s="65">
        <f>IF(IC33="-","",IF(EX14=0,"",EX14))</f>
        <v>1500</v>
      </c>
      <c r="IZ41" s="55"/>
      <c r="JB41" s="54">
        <f>ID42</f>
        <v>12</v>
      </c>
      <c r="JC41" s="54">
        <v>0</v>
      </c>
      <c r="JE41" s="54">
        <f>JB41</f>
        <v>12</v>
      </c>
      <c r="JF41" s="54">
        <f>IF(JE40&gt;0,-MAX(IW3:IW272,IZ3:IZ272)*0.5,-MAX(IW3:IW272,IZ3:IZ272)*1.5)</f>
        <v>-37.5</v>
      </c>
      <c r="JH41" s="54">
        <f>IF(IC33=3,ID41,-5)</f>
        <v>12</v>
      </c>
      <c r="JI41" s="54">
        <f>IG41</f>
        <v>-4336.0846826424868</v>
      </c>
      <c r="JK41" s="54">
        <f>IF(JK40=TRUE,IT41,-5)</f>
        <v>-5</v>
      </c>
      <c r="JL41" s="59">
        <f>IS41</f>
        <v>-2193.4299999999998</v>
      </c>
      <c r="JM41" s="40"/>
      <c r="JN41" s="59"/>
      <c r="JO41" s="59"/>
      <c r="JP41" s="40"/>
      <c r="JQ41" s="59"/>
      <c r="JR41" s="59"/>
      <c r="JS41" s="40"/>
      <c r="JT41" s="59"/>
      <c r="JU41" s="59"/>
      <c r="JW41" s="122"/>
      <c r="JX41" s="122"/>
    </row>
    <row r="42" spans="2:284" ht="14.25" customHeight="1" x14ac:dyDescent="0.2">
      <c r="L42" s="20" t="s">
        <v>180</v>
      </c>
      <c r="EF42" s="162" t="s">
        <v>58</v>
      </c>
      <c r="EG42" s="162"/>
      <c r="EH42" s="162"/>
      <c r="EI42" s="162"/>
      <c r="EJ42" s="162"/>
      <c r="EK42" s="162" t="s">
        <v>59</v>
      </c>
      <c r="EL42" s="162"/>
      <c r="EM42" s="162"/>
      <c r="EN42" s="162"/>
      <c r="EO42" s="162"/>
      <c r="ER42" s="95" t="s">
        <v>64</v>
      </c>
      <c r="FH42" s="28"/>
      <c r="FI42" s="28"/>
      <c r="FJ42" s="28"/>
      <c r="FK42" s="169">
        <f>EX3</f>
        <v>4</v>
      </c>
      <c r="FL42" s="169"/>
      <c r="FM42" s="169"/>
      <c r="FN42" s="169">
        <f>2*(EX3+FA3)</f>
        <v>8</v>
      </c>
      <c r="FO42" s="169"/>
      <c r="FP42" s="169"/>
      <c r="FQ42" s="169">
        <f>IF($F$2=7,(IF(F10=ER43,FA3,IF(F10=ER44,FA3*FF40,0))),IF(F2&gt;7,FA3,0))</f>
        <v>0</v>
      </c>
      <c r="FR42" s="169"/>
      <c r="FS42" s="169"/>
      <c r="FT42" s="98" t="s">
        <v>41</v>
      </c>
      <c r="FU42" s="170">
        <f>(EJ17*EX3^3)/4</f>
        <v>15552</v>
      </c>
      <c r="FV42" s="170"/>
      <c r="FW42" s="170"/>
      <c r="FX42" s="170">
        <f>(EJ18*FA3^3)/4</f>
        <v>0</v>
      </c>
      <c r="FY42" s="170"/>
      <c r="FZ42" s="170"/>
      <c r="GA42" s="101"/>
      <c r="GB42" s="171">
        <f>-SUM(FU42:FZ45)-IF(F2=7,IF($F$10=$ER$44,FQ42,0))</f>
        <v>-15552</v>
      </c>
      <c r="GC42" s="171"/>
      <c r="GD42" s="171"/>
      <c r="GG42" s="22">
        <v>3</v>
      </c>
      <c r="GH42" s="45"/>
      <c r="GI42" s="115">
        <v>-1.7948717948717947E-2</v>
      </c>
      <c r="GJ42" s="115">
        <v>7.179487179487179E-2</v>
      </c>
      <c r="GK42" s="115">
        <v>-1.9230769230769228E-2</v>
      </c>
      <c r="GL42" s="45">
        <v>5.1282051282051273E-3</v>
      </c>
      <c r="GM42" s="45">
        <v>-1.2820512820512818E-3</v>
      </c>
      <c r="GN42" s="45" t="e">
        <v>#N/A</v>
      </c>
      <c r="GO42" s="45" t="e">
        <v>#N/A</v>
      </c>
      <c r="GP42" s="45" t="e">
        <v>#N/A</v>
      </c>
      <c r="GQ42" s="45" t="e">
        <v>#N/A</v>
      </c>
      <c r="GR42" s="45" t="e">
        <v>#N/A</v>
      </c>
      <c r="GS42" s="45" t="e">
        <v>#N/A</v>
      </c>
      <c r="GT42" s="45" t="e">
        <v>#N/A</v>
      </c>
      <c r="GU42" s="45" t="e">
        <v>#N/A</v>
      </c>
      <c r="GV42" s="45" t="e">
        <v>#N/A</v>
      </c>
      <c r="GW42" s="45" t="e">
        <v>#N/A</v>
      </c>
      <c r="GX42" s="45" t="e">
        <v>#N/A</v>
      </c>
      <c r="GY42" s="45" t="e">
        <v>#N/A</v>
      </c>
      <c r="GZ42" s="45" t="e">
        <v>#N/A</v>
      </c>
      <c r="HA42" s="45" t="e">
        <v>#N/A</v>
      </c>
      <c r="HB42" s="45" t="e">
        <v>#N/A</v>
      </c>
      <c r="HC42" s="45" t="e">
        <v>#N/A</v>
      </c>
      <c r="HD42" s="45" t="e">
        <v>#N/A</v>
      </c>
      <c r="HE42" s="45" t="e">
        <v>#N/A</v>
      </c>
      <c r="HF42" s="45" t="e">
        <v>#N/A</v>
      </c>
      <c r="HG42" s="45"/>
      <c r="HI42" s="35">
        <f>$GB$22</f>
        <v>-55737.4375</v>
      </c>
      <c r="HJ42" s="79"/>
      <c r="HQ42" s="87"/>
      <c r="HR42" s="154"/>
      <c r="HS42" s="156"/>
      <c r="HT42" s="158"/>
      <c r="HU42" s="54">
        <f>IF(F2=19,IF(F10=ER42,0,IF(F10=ER43,HN31,HN31)),IF(F2&lt;19,0,HN31))</f>
        <v>0</v>
      </c>
      <c r="HV42" s="54" t="s">
        <v>143</v>
      </c>
      <c r="HW42" s="54">
        <f>IF(HS41="-",0,IF(HS41="R0",HW56,HV41-EJ30*HT41-EL30-ER30-EX30))</f>
        <v>0</v>
      </c>
      <c r="HX42" s="54" t="s">
        <v>46</v>
      </c>
      <c r="HY42" s="54">
        <f>HV43-HW42</f>
        <v>0</v>
      </c>
      <c r="HZ42" s="164"/>
      <c r="IA42" s="164"/>
      <c r="IC42" s="164"/>
      <c r="ID42" s="53">
        <f>IF(HS9="R0",ID33,ID33+HT9)</f>
        <v>12</v>
      </c>
      <c r="IE42" s="54" t="s">
        <v>158</v>
      </c>
      <c r="IF42" s="53">
        <f>IF(HS9="R0",0,HT9)</f>
        <v>4</v>
      </c>
      <c r="IG42" s="54">
        <v>0</v>
      </c>
      <c r="II42" s="54" t="b">
        <f t="shared" si="44"/>
        <v>0</v>
      </c>
      <c r="IJ42" s="55" t="b">
        <f>IF(IF42=IF43,FALSE,TRUE)</f>
        <v>1</v>
      </c>
      <c r="IK42" s="54">
        <f t="shared" si="59"/>
        <v>4</v>
      </c>
      <c r="IL42" s="56">
        <f>IK42</f>
        <v>4</v>
      </c>
      <c r="IM42" s="54"/>
      <c r="IN42" s="54"/>
      <c r="IO42" s="55"/>
      <c r="IP42" s="55"/>
      <c r="IQ42" s="55"/>
      <c r="IR42" s="55"/>
      <c r="IS42" s="59"/>
      <c r="IT42" s="54"/>
      <c r="IV42" s="54"/>
      <c r="IW42" s="54"/>
      <c r="IY42" s="55"/>
      <c r="IZ42" s="55"/>
      <c r="JB42" s="54">
        <f>JB41</f>
        <v>12</v>
      </c>
      <c r="JC42" s="54">
        <f>IF(IC33="-",0,IF(JC40=TRUE,0,-20))</f>
        <v>-20</v>
      </c>
      <c r="JE42" s="54">
        <f>JE41</f>
        <v>12</v>
      </c>
      <c r="JF42" s="54">
        <f>IF(IC33="-",JF41,IF(JE40&gt;0,-MAX(IW3:IW272,IZ3:IZ272)*1.5,-MAX(IW3:IW272,IZ3:IZ272)*0.5))</f>
        <v>-112.5</v>
      </c>
      <c r="JH42" s="54"/>
      <c r="JI42" s="54"/>
      <c r="JK42" s="54"/>
      <c r="JL42" s="54"/>
      <c r="JM42" s="39"/>
      <c r="JN42" s="54"/>
      <c r="JO42" s="54"/>
      <c r="JP42" s="39"/>
      <c r="JQ42" s="54"/>
      <c r="JR42" s="54"/>
      <c r="JS42" s="39"/>
      <c r="JT42" s="54"/>
      <c r="JU42" s="54"/>
      <c r="JW42" s="123"/>
      <c r="JX42" s="123"/>
    </row>
    <row r="43" spans="2:284" ht="14.25" customHeight="1" x14ac:dyDescent="0.2">
      <c r="L43" s="20" t="s">
        <v>181</v>
      </c>
      <c r="EC43" s="87"/>
      <c r="ED43" s="87"/>
      <c r="EF43" s="162" t="s">
        <v>21</v>
      </c>
      <c r="EG43" s="162"/>
      <c r="EH43" s="162"/>
      <c r="EI43" s="162"/>
      <c r="EJ43" s="162"/>
      <c r="EK43" s="162"/>
      <c r="EL43" s="162"/>
      <c r="EM43" s="162"/>
      <c r="EN43" s="162"/>
      <c r="EO43" s="162"/>
      <c r="ER43" s="95" t="s">
        <v>73</v>
      </c>
      <c r="FH43" s="28"/>
      <c r="FI43" s="28"/>
      <c r="FJ43" s="28"/>
      <c r="FT43" s="98" t="s">
        <v>17</v>
      </c>
      <c r="FU43" s="170">
        <f>IF(EX3=0,0,(EL17*EN17/EX3)*(EX3^2-EN17^2))</f>
        <v>0</v>
      </c>
      <c r="FV43" s="170"/>
      <c r="FW43" s="170"/>
      <c r="FX43" s="170">
        <f>IF(FA3=0,0,(EL18*EP18/FA3)*(FA3^2-EP18^2))</f>
        <v>0</v>
      </c>
      <c r="FY43" s="170"/>
      <c r="FZ43" s="170"/>
      <c r="GA43" s="101"/>
      <c r="GB43" s="170"/>
      <c r="GC43" s="170"/>
      <c r="GD43" s="170"/>
      <c r="GG43" s="22">
        <v>4</v>
      </c>
      <c r="GH43" s="45"/>
      <c r="GI43" s="45">
        <v>4.8076923076923071E-3</v>
      </c>
      <c r="GJ43" s="115">
        <v>-1.9230769230769228E-2</v>
      </c>
      <c r="GK43" s="115">
        <v>7.2115384615384609E-2</v>
      </c>
      <c r="GL43" s="115">
        <v>-1.9230769230769228E-2</v>
      </c>
      <c r="GM43" s="45">
        <v>4.8076923076923071E-3</v>
      </c>
      <c r="GN43" s="45" t="e">
        <v>#N/A</v>
      </c>
      <c r="GO43" s="45" t="e">
        <v>#N/A</v>
      </c>
      <c r="GP43" s="45" t="e">
        <v>#N/A</v>
      </c>
      <c r="GQ43" s="45" t="e">
        <v>#N/A</v>
      </c>
      <c r="GR43" s="45" t="e">
        <v>#N/A</v>
      </c>
      <c r="GS43" s="45" t="e">
        <v>#N/A</v>
      </c>
      <c r="GT43" s="45" t="e">
        <v>#N/A</v>
      </c>
      <c r="GU43" s="45" t="e">
        <v>#N/A</v>
      </c>
      <c r="GV43" s="45" t="e">
        <v>#N/A</v>
      </c>
      <c r="GW43" s="45" t="e">
        <v>#N/A</v>
      </c>
      <c r="GX43" s="45" t="e">
        <v>#N/A</v>
      </c>
      <c r="GY43" s="45" t="e">
        <v>#N/A</v>
      </c>
      <c r="GZ43" s="45" t="e">
        <v>#N/A</v>
      </c>
      <c r="HA43" s="45" t="e">
        <v>#N/A</v>
      </c>
      <c r="HB43" s="45" t="e">
        <v>#N/A</v>
      </c>
      <c r="HC43" s="45" t="e">
        <v>#N/A</v>
      </c>
      <c r="HD43" s="45" t="e">
        <v>#N/A</v>
      </c>
      <c r="HE43" s="45" t="e">
        <v>#N/A</v>
      </c>
      <c r="HF43" s="45" t="e">
        <v>#N/A</v>
      </c>
      <c r="HG43" s="45"/>
      <c r="HI43" s="35">
        <f>$GB$27</f>
        <v>-49268.0625</v>
      </c>
      <c r="HJ43" s="79"/>
      <c r="HQ43" s="87"/>
      <c r="HR43" s="153" t="str">
        <f t="shared" ref="HR43" si="72">IF(HS43="-","",HS43)</f>
        <v/>
      </c>
      <c r="HS43" s="153" t="str">
        <f>IF(F2=19,IF(F10=ER44,"R0",L28),L28)</f>
        <v>-</v>
      </c>
      <c r="HT43" s="159">
        <f>IF(HS43="R0",HT55,GN3)</f>
        <v>0</v>
      </c>
      <c r="HU43" s="38">
        <f>IF(HS43="R0",HU55,IF(F2&lt;20,0,HN31))</f>
        <v>0</v>
      </c>
      <c r="HV43" s="35">
        <f>IF(HS43="-",0,IF(HS43="R0",HV55,(EJ31*HT43^2*0.5+EL31*EP31+ER31*EV31+EX31*FB31-HU43+HU44)/HT43))</f>
        <v>0</v>
      </c>
      <c r="HW43" s="35" t="s">
        <v>143</v>
      </c>
      <c r="HX43" s="38" t="s">
        <v>41</v>
      </c>
      <c r="HY43" s="38">
        <f>HY42</f>
        <v>0</v>
      </c>
      <c r="HZ43" s="161" t="str">
        <f>IS207</f>
        <v/>
      </c>
      <c r="IA43" s="162" t="str">
        <f>IF(IL207=FALSE,"",IL207)</f>
        <v/>
      </c>
      <c r="IC43" s="162">
        <f>IF(HS11="R0","-",HS11)</f>
        <v>4</v>
      </c>
      <c r="ID43" s="81">
        <f>IF(HS11="R0",ID272,ID42)</f>
        <v>12</v>
      </c>
      <c r="IE43" s="38" t="s">
        <v>149</v>
      </c>
      <c r="IF43" s="38">
        <v>0</v>
      </c>
      <c r="IG43" s="38">
        <v>0</v>
      </c>
      <c r="II43" s="35" t="b">
        <f t="shared" si="44"/>
        <v>0</v>
      </c>
      <c r="IJ43" s="45" t="b">
        <f t="shared" ref="IJ43:IJ106" si="73">IF(IF43=IF44,FALSE,TRUE)</f>
        <v>0</v>
      </c>
      <c r="IK43" s="35">
        <f t="shared" ref="IK43:IK52" si="74">IF(II43=TRUE,IF(IJ43=TRUE,IG43/$EJ$15)+IF43,IF43)</f>
        <v>0</v>
      </c>
      <c r="IL43" s="48">
        <f>IK43</f>
        <v>0</v>
      </c>
      <c r="IM43" s="35">
        <f t="shared" ref="IM43:IM51" si="75">$HV$11*IL43</f>
        <v>0</v>
      </c>
      <c r="IN43" s="35">
        <f t="shared" ref="IN43:IN51" si="76">-$EJ$15*(IL43^2/2)</f>
        <v>0</v>
      </c>
      <c r="IO43" s="36">
        <f t="shared" ref="IO43:IO51" si="77">-IF(IL43&gt;=$EN$15,$EL$15*(IL43-$EN$15),0)</f>
        <v>0</v>
      </c>
      <c r="IP43" s="35">
        <f t="shared" ref="IP43:IP51" si="78">-IF(IL43&gt;=$ET$15,$ER$15*(IL43-$ET$15),0)</f>
        <v>0</v>
      </c>
      <c r="IQ43" s="35">
        <f t="shared" ref="IQ43:IQ51" si="79">-IF(IL43&gt;=$EZ$15,$EX$15*(IL43-$EZ$15),0)</f>
        <v>0</v>
      </c>
      <c r="IR43" s="45"/>
      <c r="IS43" s="37">
        <f>IF(IC43="-","",HU11)</f>
        <v>-2193.4340187823832</v>
      </c>
      <c r="IT43" s="35">
        <f t="shared" ref="IT43:IT51" si="80">$ID$43+IL43</f>
        <v>12</v>
      </c>
      <c r="IV43" s="38">
        <f>ID43</f>
        <v>12</v>
      </c>
      <c r="IW43" s="38">
        <v>0</v>
      </c>
      <c r="IY43" s="35">
        <f>IF(IC43="-",-5,IF(EL15=0,-5,ID43+EN15))</f>
        <v>-5</v>
      </c>
      <c r="IZ43" s="35">
        <v>0</v>
      </c>
      <c r="JB43" s="38"/>
      <c r="JC43" s="38"/>
      <c r="JE43" s="38"/>
      <c r="JF43" s="38"/>
      <c r="JH43" s="38"/>
      <c r="JI43" s="38"/>
      <c r="JK43" s="35">
        <f>IF(IC43=4,IT43,-5)</f>
        <v>12</v>
      </c>
      <c r="JL43" s="37">
        <f>IS43</f>
        <v>-2193.4340187823832</v>
      </c>
      <c r="JM43" s="40"/>
      <c r="JN43" s="37">
        <f>IF(IC43="-",-5,(ID43+ID52)/2)</f>
        <v>14</v>
      </c>
      <c r="JO43" s="37">
        <f>-MAX(IW3:IW272,IZ3:IZ272)*0.7</f>
        <v>-52.5</v>
      </c>
      <c r="JP43" s="40"/>
      <c r="JQ43" s="37">
        <f>IF(IC43="-",-5,(IT43+IT47)/2)</f>
        <v>13.147923065473812</v>
      </c>
      <c r="JR43" s="37">
        <f>JR13</f>
        <v>-760.38306347150262</v>
      </c>
      <c r="JS43" s="40"/>
      <c r="JT43" s="37"/>
      <c r="JU43" s="37"/>
      <c r="JW43" s="37">
        <f>JN43</f>
        <v>14</v>
      </c>
      <c r="JX43" s="37">
        <f>JF52</f>
        <v>-112.5</v>
      </c>
    </row>
    <row r="44" spans="2:284" ht="14.25" customHeight="1" x14ac:dyDescent="0.2">
      <c r="Y44" s="16"/>
      <c r="Z44" s="15"/>
      <c r="AA44" s="15"/>
      <c r="AB44" s="15"/>
      <c r="AC44" s="2"/>
      <c r="AD44" s="2"/>
      <c r="AE44" s="2"/>
      <c r="AF44" s="2"/>
      <c r="EC44" s="87"/>
      <c r="ED44" s="87"/>
      <c r="ER44" s="95" t="s">
        <v>65</v>
      </c>
      <c r="FH44" s="28"/>
      <c r="FI44" s="28"/>
      <c r="FJ44" s="28"/>
      <c r="FT44" s="98" t="s">
        <v>19</v>
      </c>
      <c r="FU44" s="170">
        <f>IF(EX3=0,0,(ER17*ET17/EX3)*(EX3^2-ET17^2))</f>
        <v>0</v>
      </c>
      <c r="FV44" s="170"/>
      <c r="FW44" s="170"/>
      <c r="FX44" s="170">
        <f>IF(FA3=0,0,(ER18*EV18/FA3)*(FA3^2-EV18^2))</f>
        <v>0</v>
      </c>
      <c r="FY44" s="170"/>
      <c r="FZ44" s="170"/>
      <c r="GA44" s="101"/>
      <c r="GB44" s="170"/>
      <c r="GC44" s="170"/>
      <c r="GD44" s="170"/>
      <c r="GG44" s="22">
        <v>5</v>
      </c>
      <c r="GH44" s="45"/>
      <c r="GI44" s="45">
        <v>-1.2820512820512818E-3</v>
      </c>
      <c r="GJ44" s="45">
        <v>5.1282051282051273E-3</v>
      </c>
      <c r="GK44" s="115">
        <v>-1.9230769230769228E-2</v>
      </c>
      <c r="GL44" s="115">
        <v>7.179487179487179E-2</v>
      </c>
      <c r="GM44" s="115">
        <v>-1.7948717948717947E-2</v>
      </c>
      <c r="GN44" s="45" t="e">
        <v>#N/A</v>
      </c>
      <c r="GO44" s="45" t="e">
        <v>#N/A</v>
      </c>
      <c r="GP44" s="45" t="e">
        <v>#N/A</v>
      </c>
      <c r="GQ44" s="45" t="e">
        <v>#N/A</v>
      </c>
      <c r="GR44" s="45" t="e">
        <v>#N/A</v>
      </c>
      <c r="GS44" s="45" t="e">
        <v>#N/A</v>
      </c>
      <c r="GT44" s="45" t="e">
        <v>#N/A</v>
      </c>
      <c r="GU44" s="45" t="e">
        <v>#N/A</v>
      </c>
      <c r="GV44" s="45" t="e">
        <v>#N/A</v>
      </c>
      <c r="GW44" s="45" t="e">
        <v>#N/A</v>
      </c>
      <c r="GX44" s="45" t="e">
        <v>#N/A</v>
      </c>
      <c r="GY44" s="45" t="e">
        <v>#N/A</v>
      </c>
      <c r="GZ44" s="45" t="e">
        <v>#N/A</v>
      </c>
      <c r="HA44" s="45" t="e">
        <v>#N/A</v>
      </c>
      <c r="HB44" s="45" t="e">
        <v>#N/A</v>
      </c>
      <c r="HC44" s="45" t="e">
        <v>#N/A</v>
      </c>
      <c r="HD44" s="45" t="e">
        <v>#N/A</v>
      </c>
      <c r="HE44" s="45" t="e">
        <v>#N/A</v>
      </c>
      <c r="HF44" s="45" t="e">
        <v>#N/A</v>
      </c>
      <c r="HG44" s="45"/>
      <c r="HI44" s="35">
        <f>$GB$32</f>
        <v>-31104</v>
      </c>
      <c r="HJ44" s="79"/>
      <c r="HQ44" s="87"/>
      <c r="HR44" s="154"/>
      <c r="HS44" s="154"/>
      <c r="HT44" s="160"/>
      <c r="HU44" s="38">
        <f>IF(F2=20,IF(F10=ER42,0,IF(F10=ER43,HN32,HN32)),IF(F2&lt;20,0,HN32))</f>
        <v>0</v>
      </c>
      <c r="HV44" s="35" t="s">
        <v>143</v>
      </c>
      <c r="HW44" s="35">
        <f>IF(HS43="-",0,IF(HS43="R0",HW56,HV43-EJ31*HT43-EL31-ER31-EX31))</f>
        <v>0</v>
      </c>
      <c r="HX44" s="38" t="s">
        <v>46</v>
      </c>
      <c r="HY44" s="38">
        <f>HV45-HW44</f>
        <v>0</v>
      </c>
      <c r="HZ44" s="162"/>
      <c r="IA44" s="162"/>
      <c r="IC44" s="162"/>
      <c r="ID44" s="81">
        <f t="shared" ref="ID44:ID51" si="81">IF($IC$43="-",$ID$43,$ID$43+IF44)</f>
        <v>12</v>
      </c>
      <c r="IE44" s="38" t="s">
        <v>150</v>
      </c>
      <c r="IF44" s="38">
        <f>IF43</f>
        <v>0</v>
      </c>
      <c r="IG44" s="38">
        <f>IF(IC43="-",0,HV11)</f>
        <v>2231.5624392810882</v>
      </c>
      <c r="II44" s="35" t="b">
        <f t="shared" si="44"/>
        <v>0</v>
      </c>
      <c r="IJ44" s="45" t="b">
        <f t="shared" si="73"/>
        <v>0</v>
      </c>
      <c r="IK44" s="35">
        <f t="shared" si="74"/>
        <v>0</v>
      </c>
      <c r="IL44" s="48">
        <f>(IL47-IL43)/4</f>
        <v>0.57396153273690542</v>
      </c>
      <c r="IM44" s="35">
        <f t="shared" si="75"/>
        <v>1280.8309980478809</v>
      </c>
      <c r="IN44" s="35">
        <f t="shared" si="76"/>
        <v>-160.10387475598512</v>
      </c>
      <c r="IO44" s="36">
        <f t="shared" si="77"/>
        <v>0</v>
      </c>
      <c r="IP44" s="35">
        <f t="shared" si="78"/>
        <v>0</v>
      </c>
      <c r="IQ44" s="35">
        <f t="shared" si="79"/>
        <v>0</v>
      </c>
      <c r="IR44" s="35">
        <f t="shared" ref="IR44:IR50" si="82">$HU$11</f>
        <v>-2193.4340187823832</v>
      </c>
      <c r="IS44" s="42">
        <f>IF($IC$43="-","",SUM(IM44:IR44))</f>
        <v>-1072.7068954904873</v>
      </c>
      <c r="IT44" s="35">
        <f t="shared" si="80"/>
        <v>12.573961532736906</v>
      </c>
      <c r="IV44" s="38">
        <f>IV43</f>
        <v>12</v>
      </c>
      <c r="IW44" s="38">
        <f>IF(IC43="-",0,EJ15)/20</f>
        <v>48.6</v>
      </c>
      <c r="IY44" s="35">
        <f>IY43</f>
        <v>-5</v>
      </c>
      <c r="IZ44" s="35">
        <f>IF(IC43="-",0,EL15/20)</f>
        <v>0</v>
      </c>
      <c r="JB44" s="38"/>
      <c r="JC44" s="38"/>
      <c r="JE44" s="38"/>
      <c r="JF44" s="38"/>
      <c r="JH44" s="38">
        <f>IF(IC43=4,ID44,-5)</f>
        <v>12</v>
      </c>
      <c r="JI44" s="38">
        <f>IG44</f>
        <v>2231.5624392810882</v>
      </c>
      <c r="JK44" s="35"/>
      <c r="JL44" s="35"/>
      <c r="JM44" s="39"/>
      <c r="JN44" s="75">
        <f>HT11</f>
        <v>4</v>
      </c>
      <c r="JO44" s="35"/>
      <c r="JP44" s="39"/>
      <c r="JQ44" s="76">
        <f>IL47</f>
        <v>2.2958461309476217</v>
      </c>
      <c r="JR44" s="35"/>
      <c r="JS44" s="39"/>
      <c r="JT44" s="35"/>
      <c r="JU44" s="35"/>
      <c r="JW44" s="124">
        <f>IC43</f>
        <v>4</v>
      </c>
      <c r="JX44" s="127"/>
    </row>
    <row r="45" spans="2:284" ht="14.25" customHeight="1" x14ac:dyDescent="0.2">
      <c r="Y45" s="17"/>
      <c r="Z45" s="15"/>
      <c r="AA45" s="15"/>
      <c r="AB45" s="15"/>
      <c r="AC45" s="2"/>
      <c r="AD45" s="2"/>
      <c r="AE45" s="2"/>
      <c r="AF45" s="2"/>
      <c r="EC45" s="87"/>
      <c r="ED45" s="87"/>
      <c r="EE45" s="22">
        <v>0</v>
      </c>
      <c r="FH45" s="28"/>
      <c r="FI45" s="28"/>
      <c r="FJ45" s="28"/>
      <c r="FT45" s="98" t="s">
        <v>20</v>
      </c>
      <c r="FU45" s="170">
        <f>IF(EX3=0,0,(EX17*EZ17/EX3)*(EX3^2-EZ17^2))</f>
        <v>0</v>
      </c>
      <c r="FV45" s="170"/>
      <c r="FW45" s="170"/>
      <c r="FX45" s="170">
        <f>IF(FA3=0,0,(EX18*FB18/FA3)*(FA3^2-FB18^2))</f>
        <v>0</v>
      </c>
      <c r="FY45" s="170"/>
      <c r="FZ45" s="170"/>
      <c r="GA45" s="101"/>
      <c r="GB45" s="172"/>
      <c r="GC45" s="172"/>
      <c r="GD45" s="172"/>
      <c r="GG45" s="22">
        <v>6</v>
      </c>
      <c r="GH45" s="45"/>
      <c r="GI45" s="45">
        <v>3.2051282051282051E-4</v>
      </c>
      <c r="GJ45" s="45">
        <v>-1.2820512820512821E-3</v>
      </c>
      <c r="GK45" s="45">
        <v>4.807692307692308E-3</v>
      </c>
      <c r="GL45" s="115">
        <v>-1.7948717948717951E-2</v>
      </c>
      <c r="GM45" s="115">
        <v>6.6987179487179485E-2</v>
      </c>
      <c r="GN45" s="115" t="e">
        <v>#N/A</v>
      </c>
      <c r="GO45" s="45" t="e">
        <v>#N/A</v>
      </c>
      <c r="GP45" s="45" t="e">
        <v>#N/A</v>
      </c>
      <c r="GQ45" s="45" t="e">
        <v>#N/A</v>
      </c>
      <c r="GR45" s="45" t="e">
        <v>#N/A</v>
      </c>
      <c r="GS45" s="45" t="e">
        <v>#N/A</v>
      </c>
      <c r="GT45" s="45" t="e">
        <v>#N/A</v>
      </c>
      <c r="GU45" s="45" t="e">
        <v>#N/A</v>
      </c>
      <c r="GV45" s="45" t="e">
        <v>#N/A</v>
      </c>
      <c r="GW45" s="45" t="e">
        <v>#N/A</v>
      </c>
      <c r="GX45" s="45" t="e">
        <v>#N/A</v>
      </c>
      <c r="GY45" s="45" t="e">
        <v>#N/A</v>
      </c>
      <c r="GZ45" s="45" t="e">
        <v>#N/A</v>
      </c>
      <c r="HA45" s="45" t="e">
        <v>#N/A</v>
      </c>
      <c r="HB45" s="45" t="e">
        <v>#N/A</v>
      </c>
      <c r="HC45" s="45" t="e">
        <v>#N/A</v>
      </c>
      <c r="HD45" s="45" t="e">
        <v>#N/A</v>
      </c>
      <c r="HE45" s="45" t="e">
        <v>#N/A</v>
      </c>
      <c r="HF45" s="45" t="e">
        <v>#N/A</v>
      </c>
      <c r="HG45" s="45"/>
      <c r="HI45" s="35">
        <f>$GB$37</f>
        <v>-26730</v>
      </c>
      <c r="HJ45" s="79"/>
      <c r="HQ45" s="87"/>
      <c r="HR45" s="153" t="str">
        <f t="shared" ref="HR45" si="83">IF(HS45="-","",HS45)</f>
        <v/>
      </c>
      <c r="HS45" s="155" t="str">
        <f>IF(F2=20,IF(F10=ER44,"R0",L29),L29)</f>
        <v>-</v>
      </c>
      <c r="HT45" s="157">
        <f>IF(HS45="R0",HT55,GQ3)</f>
        <v>0</v>
      </c>
      <c r="HU45" s="54">
        <f>IF(HS45="R0",HU55,IF(F2&lt;21,0,HN32))</f>
        <v>0</v>
      </c>
      <c r="HV45" s="54">
        <f>IF(HS45="-",0,IF(HS45="R0",HV55,(EJ32*HT45^2*0.5+EL32*EP32+ER32*EV32+EX32*FB32-HU45+HU46)/HT45))</f>
        <v>0</v>
      </c>
      <c r="HW45" s="54" t="s">
        <v>143</v>
      </c>
      <c r="HX45" s="54" t="s">
        <v>41</v>
      </c>
      <c r="HY45" s="54">
        <f>HY44</f>
        <v>0</v>
      </c>
      <c r="HZ45" s="163" t="str">
        <f>IS217</f>
        <v/>
      </c>
      <c r="IA45" s="164" t="str">
        <f>IF(IL217=FALSE,"",IL217)</f>
        <v/>
      </c>
      <c r="IC45" s="162"/>
      <c r="ID45" s="81">
        <f t="shared" si="81"/>
        <v>12</v>
      </c>
      <c r="IE45" s="38" t="s">
        <v>151</v>
      </c>
      <c r="IF45" s="35">
        <f>IF(EL15=0,IF44,EN15)</f>
        <v>0</v>
      </c>
      <c r="IG45" s="35">
        <f>IF(IC43="-",0,IG44-IF(EL15=0,0,EJ15*IF45))</f>
        <v>2231.5624392810882</v>
      </c>
      <c r="II45" s="35" t="b">
        <f t="shared" si="44"/>
        <v>0</v>
      </c>
      <c r="IJ45" s="45" t="b">
        <f t="shared" si="73"/>
        <v>0</v>
      </c>
      <c r="IK45" s="35">
        <f t="shared" si="74"/>
        <v>0</v>
      </c>
      <c r="IL45" s="48">
        <f>IL44*2</f>
        <v>1.1479230654738108</v>
      </c>
      <c r="IM45" s="35">
        <f t="shared" si="75"/>
        <v>2561.6619960957619</v>
      </c>
      <c r="IN45" s="35">
        <f t="shared" si="76"/>
        <v>-640.41549902394047</v>
      </c>
      <c r="IO45" s="36">
        <f t="shared" si="77"/>
        <v>0</v>
      </c>
      <c r="IP45" s="35">
        <f t="shared" si="78"/>
        <v>0</v>
      </c>
      <c r="IQ45" s="35">
        <f t="shared" si="79"/>
        <v>0</v>
      </c>
      <c r="IR45" s="35">
        <f t="shared" si="82"/>
        <v>-2193.4340187823832</v>
      </c>
      <c r="IS45" s="42">
        <f>IF($IC$43="-","",SUM(IM45:IR45))</f>
        <v>-272.18752171056167</v>
      </c>
      <c r="IT45" s="35">
        <f t="shared" si="80"/>
        <v>13.147923065473812</v>
      </c>
      <c r="IV45" s="38">
        <f>IF52/2+IV43</f>
        <v>14</v>
      </c>
      <c r="IW45" s="38">
        <f>IW44</f>
        <v>48.6</v>
      </c>
      <c r="IY45" s="44" t="str">
        <f>IF(IC43="-","",IF(EL15=0,"",EL15))</f>
        <v/>
      </c>
      <c r="IZ45" s="45"/>
      <c r="JB45" s="38"/>
      <c r="JC45" s="38"/>
      <c r="JE45" s="38"/>
      <c r="JF45" s="38"/>
      <c r="JH45" s="38"/>
      <c r="JI45" s="38"/>
      <c r="JK45" s="35"/>
      <c r="JL45" s="35"/>
      <c r="JM45" s="39"/>
      <c r="JN45" s="35"/>
      <c r="JO45" s="35"/>
      <c r="JP45" s="39"/>
      <c r="JQ45" s="35"/>
      <c r="JR45" s="35"/>
      <c r="JS45" s="39"/>
      <c r="JT45" s="35"/>
      <c r="JU45" s="35"/>
      <c r="JW45" s="127"/>
      <c r="JX45" s="127"/>
    </row>
    <row r="46" spans="2:284" ht="14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EC46" s="87"/>
      <c r="ED46" s="87"/>
      <c r="EE46" s="22">
        <v>1</v>
      </c>
      <c r="FH46" s="28">
        <v>8</v>
      </c>
      <c r="FI46" s="184" t="s">
        <v>80</v>
      </c>
      <c r="FJ46" s="184"/>
      <c r="FK46" s="185" t="s">
        <v>79</v>
      </c>
      <c r="FL46" s="185"/>
      <c r="FM46" s="185"/>
      <c r="FN46" s="185" t="s">
        <v>81</v>
      </c>
      <c r="FO46" s="185"/>
      <c r="FP46" s="185"/>
      <c r="FQ46" s="185" t="s">
        <v>84</v>
      </c>
      <c r="FR46" s="185"/>
      <c r="FS46" s="185"/>
      <c r="FT46" s="98" t="s">
        <v>57</v>
      </c>
      <c r="FU46" s="187" t="s">
        <v>13</v>
      </c>
      <c r="FV46" s="185"/>
      <c r="FW46" s="185"/>
      <c r="FX46" s="187" t="s">
        <v>14</v>
      </c>
      <c r="FY46" s="185"/>
      <c r="FZ46" s="185"/>
      <c r="GA46" s="98" t="s">
        <v>57</v>
      </c>
      <c r="GB46" s="187" t="s">
        <v>60</v>
      </c>
      <c r="GC46" s="185"/>
      <c r="GD46" s="185"/>
      <c r="GG46" s="22">
        <v>7</v>
      </c>
      <c r="GH46" s="45"/>
      <c r="GI46" s="45" t="e">
        <v>#N/A</v>
      </c>
      <c r="GJ46" s="45" t="e">
        <v>#N/A</v>
      </c>
      <c r="GK46" s="45" t="e">
        <v>#N/A</v>
      </c>
      <c r="GL46" s="45" t="e">
        <v>#N/A</v>
      </c>
      <c r="GM46" s="115" t="e">
        <v>#N/A</v>
      </c>
      <c r="GN46" s="115" t="e">
        <v>#N/A</v>
      </c>
      <c r="GO46" s="115" t="e">
        <v>#N/A</v>
      </c>
      <c r="GP46" s="45" t="e">
        <v>#N/A</v>
      </c>
      <c r="GQ46" s="45" t="e">
        <v>#N/A</v>
      </c>
      <c r="GR46" s="45" t="e">
        <v>#N/A</v>
      </c>
      <c r="GS46" s="45" t="e">
        <v>#N/A</v>
      </c>
      <c r="GT46" s="45" t="e">
        <v>#N/A</v>
      </c>
      <c r="GU46" s="45" t="e">
        <v>#N/A</v>
      </c>
      <c r="GV46" s="45" t="e">
        <v>#N/A</v>
      </c>
      <c r="GW46" s="45" t="e">
        <v>#N/A</v>
      </c>
      <c r="GX46" s="45" t="e">
        <v>#N/A</v>
      </c>
      <c r="GY46" s="45" t="e">
        <v>#N/A</v>
      </c>
      <c r="GZ46" s="45" t="e">
        <v>#N/A</v>
      </c>
      <c r="HA46" s="45" t="e">
        <v>#N/A</v>
      </c>
      <c r="HB46" s="45" t="e">
        <v>#N/A</v>
      </c>
      <c r="HC46" s="45" t="e">
        <v>#N/A</v>
      </c>
      <c r="HD46" s="45" t="e">
        <v>#N/A</v>
      </c>
      <c r="HE46" s="45" t="e">
        <v>#N/A</v>
      </c>
      <c r="HF46" s="45" t="e">
        <v>#N/A</v>
      </c>
      <c r="HG46" s="45"/>
      <c r="HI46" s="35">
        <f>$GB$42</f>
        <v>-15552</v>
      </c>
      <c r="HJ46" s="79"/>
      <c r="HQ46" s="87"/>
      <c r="HR46" s="154"/>
      <c r="HS46" s="156"/>
      <c r="HT46" s="158"/>
      <c r="HU46" s="54">
        <f>IF(F2=21,IF(F10=ER42,0,IF(F10=ER43,HN33,HN33)),IF(F2&lt;21,0,HN33))</f>
        <v>0</v>
      </c>
      <c r="HV46" s="54" t="s">
        <v>143</v>
      </c>
      <c r="HW46" s="54">
        <f>IF(HS45="-",0,IF(HS45="R0",HW56,HV45-EJ32*HT45-EL32-ER32-EX32))</f>
        <v>0</v>
      </c>
      <c r="HX46" s="54" t="s">
        <v>46</v>
      </c>
      <c r="HY46" s="54">
        <f>HV47-HW46</f>
        <v>0</v>
      </c>
      <c r="HZ46" s="164"/>
      <c r="IA46" s="164"/>
      <c r="IC46" s="162"/>
      <c r="ID46" s="81">
        <f t="shared" si="81"/>
        <v>12</v>
      </c>
      <c r="IE46" s="38" t="s">
        <v>152</v>
      </c>
      <c r="IF46" s="35">
        <f>IF45</f>
        <v>0</v>
      </c>
      <c r="IG46" s="35">
        <f>IF(IC43="-",0,IG45-EL15)</f>
        <v>2231.5624392810882</v>
      </c>
      <c r="II46" s="35" t="b">
        <f t="shared" si="44"/>
        <v>0</v>
      </c>
      <c r="IJ46" s="45" t="b">
        <f t="shared" si="73"/>
        <v>0</v>
      </c>
      <c r="IK46" s="35">
        <f t="shared" si="74"/>
        <v>0</v>
      </c>
      <c r="IL46" s="48">
        <f>IL44*3</f>
        <v>1.7218845982107163</v>
      </c>
      <c r="IM46" s="35">
        <f t="shared" si="75"/>
        <v>3842.4929941436426</v>
      </c>
      <c r="IN46" s="35">
        <f t="shared" si="76"/>
        <v>-1440.934872803866</v>
      </c>
      <c r="IO46" s="36">
        <f t="shared" si="77"/>
        <v>0</v>
      </c>
      <c r="IP46" s="35">
        <f t="shared" si="78"/>
        <v>0</v>
      </c>
      <c r="IQ46" s="35">
        <f t="shared" si="79"/>
        <v>0</v>
      </c>
      <c r="IR46" s="35">
        <f t="shared" si="82"/>
        <v>-2193.4340187823832</v>
      </c>
      <c r="IS46" s="42">
        <f>IF($IC$43="-","",SUM(IM46:IR46))</f>
        <v>208.12410255739314</v>
      </c>
      <c r="IT46" s="35">
        <f t="shared" si="80"/>
        <v>13.721884598210716</v>
      </c>
      <c r="IV46" s="38">
        <f>IV47</f>
        <v>16</v>
      </c>
      <c r="IW46" s="38">
        <f>IW44</f>
        <v>48.6</v>
      </c>
      <c r="IY46" s="35">
        <f>IF(IC43="-",-5,IF(ER15=0,-5,ID43+ET15))</f>
        <v>-5</v>
      </c>
      <c r="IZ46" s="35">
        <v>0</v>
      </c>
      <c r="JB46" s="38"/>
      <c r="JC46" s="38"/>
      <c r="JE46" s="38"/>
      <c r="JF46" s="38"/>
      <c r="JH46" s="38"/>
      <c r="JI46" s="38"/>
      <c r="JK46" s="35"/>
      <c r="JL46" s="35"/>
      <c r="JM46" s="39"/>
      <c r="JN46" s="35"/>
      <c r="JO46" s="35"/>
      <c r="JP46" s="39"/>
      <c r="JQ46" s="35"/>
      <c r="JR46" s="35"/>
      <c r="JS46" s="39"/>
      <c r="JT46" s="35"/>
      <c r="JU46" s="35"/>
      <c r="JW46" s="127"/>
      <c r="JX46" s="127"/>
    </row>
    <row r="47" spans="2:284" ht="14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EC47" s="87"/>
      <c r="ED47" s="87"/>
      <c r="EE47" s="22">
        <v>2</v>
      </c>
      <c r="FH47" s="28"/>
      <c r="FI47" s="28"/>
      <c r="FJ47" s="28"/>
      <c r="FK47" s="169">
        <f>FA3</f>
        <v>0</v>
      </c>
      <c r="FL47" s="169"/>
      <c r="FM47" s="169"/>
      <c r="FN47" s="169">
        <f>2*(FA3+FD3)</f>
        <v>0</v>
      </c>
      <c r="FO47" s="169"/>
      <c r="FP47" s="169"/>
      <c r="FQ47" s="169">
        <f>IF($F$2=8,(IF(F10=ER43,FD3,IF(F10=ER44,FD3*FF40,0))),IF(F2&gt;8,FD3,0))</f>
        <v>0</v>
      </c>
      <c r="FR47" s="169"/>
      <c r="FS47" s="169"/>
      <c r="FT47" s="98" t="s">
        <v>41</v>
      </c>
      <c r="FU47" s="170">
        <f>(EJ18*FA3^3)/4</f>
        <v>0</v>
      </c>
      <c r="FV47" s="170"/>
      <c r="FW47" s="170"/>
      <c r="FX47" s="170">
        <f>(EJ19*FD3^3)/4</f>
        <v>0</v>
      </c>
      <c r="FY47" s="170"/>
      <c r="FZ47" s="170"/>
      <c r="GA47" s="101"/>
      <c r="GB47" s="171">
        <f>-SUM(FU47:FZ50)-IF(F2=8,IF($F$10=$ER$44,FQ47,0))</f>
        <v>0</v>
      </c>
      <c r="GC47" s="171"/>
      <c r="GD47" s="171"/>
      <c r="GG47" s="22">
        <v>8</v>
      </c>
      <c r="GH47" s="45"/>
      <c r="GI47" s="45" t="e">
        <v>#N/A</v>
      </c>
      <c r="GJ47" s="45" t="e">
        <v>#N/A</v>
      </c>
      <c r="GK47" s="45" t="e">
        <v>#N/A</v>
      </c>
      <c r="GL47" s="45" t="e">
        <v>#N/A</v>
      </c>
      <c r="GM47" s="45" t="e">
        <v>#N/A</v>
      </c>
      <c r="GN47" s="115" t="e">
        <v>#N/A</v>
      </c>
      <c r="GO47" s="115" t="e">
        <v>#N/A</v>
      </c>
      <c r="GP47" s="115" t="e">
        <v>#N/A</v>
      </c>
      <c r="GQ47" s="45" t="e">
        <v>#N/A</v>
      </c>
      <c r="GR47" s="45" t="e">
        <v>#N/A</v>
      </c>
      <c r="GS47" s="45" t="e">
        <v>#N/A</v>
      </c>
      <c r="GT47" s="45" t="e">
        <v>#N/A</v>
      </c>
      <c r="GU47" s="45" t="e">
        <v>#N/A</v>
      </c>
      <c r="GV47" s="45" t="e">
        <v>#N/A</v>
      </c>
      <c r="GW47" s="45" t="e">
        <v>#N/A</v>
      </c>
      <c r="GX47" s="45" t="e">
        <v>#N/A</v>
      </c>
      <c r="GY47" s="45" t="e">
        <v>#N/A</v>
      </c>
      <c r="GZ47" s="45" t="e">
        <v>#N/A</v>
      </c>
      <c r="HA47" s="45" t="e">
        <v>#N/A</v>
      </c>
      <c r="HB47" s="45" t="e">
        <v>#N/A</v>
      </c>
      <c r="HC47" s="45" t="e">
        <v>#N/A</v>
      </c>
      <c r="HD47" s="45" t="e">
        <v>#N/A</v>
      </c>
      <c r="HE47" s="45" t="e">
        <v>#N/A</v>
      </c>
      <c r="HF47" s="45" t="e">
        <v>#N/A</v>
      </c>
      <c r="HG47" s="45"/>
      <c r="HI47" s="35">
        <f>$GB$47</f>
        <v>0</v>
      </c>
      <c r="HJ47" s="79"/>
      <c r="HQ47" s="87"/>
      <c r="HR47" s="153" t="str">
        <f t="shared" ref="HR47" si="84">IF(HS47="-","",HS47)</f>
        <v/>
      </c>
      <c r="HS47" s="153" t="str">
        <f>IF(F2=21,IF(F10=ER44,"R0",L30),L30)</f>
        <v>-</v>
      </c>
      <c r="HT47" s="159">
        <f>IF(HS47="R0",HT55,GT3)</f>
        <v>0</v>
      </c>
      <c r="HU47" s="38">
        <f>IF(HS47="R0",HU55,IF(F2&lt;22,0,HN33))</f>
        <v>0</v>
      </c>
      <c r="HV47" s="35">
        <f>IF(HS47="-",0,IF(HS47="R0",HV55,(EJ33*HT47^2*0.5+EL33*EP33+ER33*EV33+EX33*FB33-HU47+HU48)/HT47))</f>
        <v>0</v>
      </c>
      <c r="HW47" s="35" t="s">
        <v>143</v>
      </c>
      <c r="HX47" s="38" t="s">
        <v>41</v>
      </c>
      <c r="HY47" s="38">
        <f>HY46</f>
        <v>0</v>
      </c>
      <c r="HZ47" s="161" t="str">
        <f>IS227</f>
        <v/>
      </c>
      <c r="IA47" s="162" t="str">
        <f>IF(IL227=FALSE,"",IL227)</f>
        <v/>
      </c>
      <c r="IC47" s="162"/>
      <c r="ID47" s="81">
        <f t="shared" si="81"/>
        <v>12</v>
      </c>
      <c r="IE47" s="38" t="s">
        <v>153</v>
      </c>
      <c r="IF47" s="35">
        <f>IF(ER15=0,IF46,ET15)</f>
        <v>0</v>
      </c>
      <c r="IG47" s="35">
        <f>IF(IC43="-",0,IG46-IF(ER15=0,0,EJ15*(IF47-IF46)))</f>
        <v>2231.5624392810882</v>
      </c>
      <c r="II47" s="35" t="b">
        <f t="shared" si="44"/>
        <v>0</v>
      </c>
      <c r="IJ47" s="45" t="b">
        <f t="shared" si="73"/>
        <v>0</v>
      </c>
      <c r="IK47" s="35">
        <f t="shared" si="74"/>
        <v>0</v>
      </c>
      <c r="IL47" s="68">
        <f>IF(II43=TRUE,IK43,IF(II44=TRUE,IK44,IF(II45=TRUE,IK45,IF(II46=TRUE,IK46,IF(II47=TRUE,IK47,IF(II48=TRUE,IK48,IF(II49=TRUE,IK49,IF(II50=TRUE,IK50,IF(II51=TRUE,IK51,IF(II52=TRUE,IK52))))))))))</f>
        <v>2.2958461309476217</v>
      </c>
      <c r="IM47" s="68">
        <f t="shared" si="75"/>
        <v>5123.3239921915238</v>
      </c>
      <c r="IN47" s="68">
        <f t="shared" si="76"/>
        <v>-2561.6619960957619</v>
      </c>
      <c r="IO47" s="69">
        <f t="shared" si="77"/>
        <v>0</v>
      </c>
      <c r="IP47" s="68">
        <f t="shared" si="78"/>
        <v>0</v>
      </c>
      <c r="IQ47" s="68">
        <f t="shared" si="79"/>
        <v>0</v>
      </c>
      <c r="IR47" s="68">
        <f t="shared" si="82"/>
        <v>-2193.4340187823832</v>
      </c>
      <c r="IS47" s="70">
        <f>IF(IC43="-","",ROUND(SUM(IM47:IR47),2))</f>
        <v>368.23</v>
      </c>
      <c r="IT47" s="68">
        <f t="shared" si="80"/>
        <v>14.295846130947622</v>
      </c>
      <c r="IV47" s="38">
        <f>ID52</f>
        <v>16</v>
      </c>
      <c r="IW47" s="38">
        <v>0</v>
      </c>
      <c r="IY47" s="35">
        <f>IY46</f>
        <v>-5</v>
      </c>
      <c r="IZ47" s="35">
        <f>IF(IC43="-",0,ER15/20)</f>
        <v>0</v>
      </c>
      <c r="JB47" s="38"/>
      <c r="JC47" s="38"/>
      <c r="JE47" s="38"/>
      <c r="JF47" s="38"/>
      <c r="JH47" s="38"/>
      <c r="JI47" s="38"/>
      <c r="JK47" s="35">
        <f>IF(IC43=4,IT47,-5)</f>
        <v>14.295846130947622</v>
      </c>
      <c r="JL47" s="37">
        <f>IS47</f>
        <v>368.23</v>
      </c>
      <c r="JM47" s="40"/>
      <c r="JN47" s="37"/>
      <c r="JO47" s="37"/>
      <c r="JP47" s="40"/>
      <c r="JQ47" s="37"/>
      <c r="JR47" s="37"/>
      <c r="JS47" s="40"/>
      <c r="JT47" s="37"/>
      <c r="JU47" s="37"/>
      <c r="JW47" s="37"/>
      <c r="JX47" s="37"/>
    </row>
    <row r="48" spans="2:284" ht="14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7"/>
      <c r="AJ48" s="7"/>
      <c r="EC48" s="87"/>
      <c r="ED48" s="87"/>
      <c r="EE48" s="22">
        <v>3</v>
      </c>
      <c r="FH48" s="28"/>
      <c r="FI48" s="28"/>
      <c r="FJ48" s="28"/>
      <c r="FT48" s="98" t="s">
        <v>17</v>
      </c>
      <c r="FU48" s="170">
        <f>IF(FA3=0,0,(EL18*EN18/FA3)*(FA3^2-EN18^2))</f>
        <v>0</v>
      </c>
      <c r="FV48" s="170"/>
      <c r="FW48" s="170"/>
      <c r="FX48" s="170">
        <f>IF(FD3=0,0,(EL19*EP19/FD3)*(FD3^2-EP19^2))</f>
        <v>0</v>
      </c>
      <c r="FY48" s="170"/>
      <c r="FZ48" s="170"/>
      <c r="GA48" s="101"/>
      <c r="GB48" s="170"/>
      <c r="GC48" s="170"/>
      <c r="GD48" s="170"/>
      <c r="GG48" s="22">
        <v>9</v>
      </c>
      <c r="GH48" s="45"/>
      <c r="GI48" s="45" t="e">
        <v>#N/A</v>
      </c>
      <c r="GJ48" s="45" t="e">
        <v>#N/A</v>
      </c>
      <c r="GK48" s="45" t="e">
        <v>#N/A</v>
      </c>
      <c r="GL48" s="45" t="e">
        <v>#N/A</v>
      </c>
      <c r="GM48" s="45" t="e">
        <v>#N/A</v>
      </c>
      <c r="GN48" s="45" t="e">
        <v>#N/A</v>
      </c>
      <c r="GO48" s="115" t="e">
        <v>#N/A</v>
      </c>
      <c r="GP48" s="115" t="e">
        <v>#N/A</v>
      </c>
      <c r="GQ48" s="115" t="e">
        <v>#N/A</v>
      </c>
      <c r="GR48" s="45" t="e">
        <v>#N/A</v>
      </c>
      <c r="GS48" s="45" t="e">
        <v>#N/A</v>
      </c>
      <c r="GT48" s="45" t="e">
        <v>#N/A</v>
      </c>
      <c r="GU48" s="45" t="e">
        <v>#N/A</v>
      </c>
      <c r="GV48" s="45" t="e">
        <v>#N/A</v>
      </c>
      <c r="GW48" s="45" t="e">
        <v>#N/A</v>
      </c>
      <c r="GX48" s="45" t="e">
        <v>#N/A</v>
      </c>
      <c r="GY48" s="45" t="e">
        <v>#N/A</v>
      </c>
      <c r="GZ48" s="45" t="e">
        <v>#N/A</v>
      </c>
      <c r="HA48" s="45" t="e">
        <v>#N/A</v>
      </c>
      <c r="HB48" s="45" t="e">
        <v>#N/A</v>
      </c>
      <c r="HC48" s="45" t="e">
        <v>#N/A</v>
      </c>
      <c r="HD48" s="45" t="e">
        <v>#N/A</v>
      </c>
      <c r="HE48" s="45" t="e">
        <v>#N/A</v>
      </c>
      <c r="HF48" s="45" t="e">
        <v>#N/A</v>
      </c>
      <c r="HG48" s="45"/>
      <c r="HI48" s="35">
        <f>$GB$52</f>
        <v>0</v>
      </c>
      <c r="HJ48" s="79"/>
      <c r="HQ48" s="87"/>
      <c r="HR48" s="154"/>
      <c r="HS48" s="154"/>
      <c r="HT48" s="160"/>
      <c r="HU48" s="38">
        <f>IF(F2=22,IF(F10=ER42,0,IF(F10=ER43,HN34,HN34)),IF(F2&lt;22,0,HN34))</f>
        <v>0</v>
      </c>
      <c r="HV48" s="35" t="s">
        <v>143</v>
      </c>
      <c r="HW48" s="35">
        <f>IF(HS47="-",0,IF(HS47="R0",HW56,HV47-EJ33*HT47-EL33-ER33-EX33))</f>
        <v>0</v>
      </c>
      <c r="HX48" s="38" t="s">
        <v>46</v>
      </c>
      <c r="HY48" s="38">
        <f>HV49-HW48</f>
        <v>0</v>
      </c>
      <c r="HZ48" s="162"/>
      <c r="IA48" s="162"/>
      <c r="IC48" s="162"/>
      <c r="ID48" s="81">
        <f t="shared" si="81"/>
        <v>12</v>
      </c>
      <c r="IE48" s="38" t="s">
        <v>154</v>
      </c>
      <c r="IF48" s="35">
        <f>IF47</f>
        <v>0</v>
      </c>
      <c r="IG48" s="35">
        <f>IF(IC43="-",0,IG47-ER15)</f>
        <v>2231.5624392810882</v>
      </c>
      <c r="II48" s="35" t="b">
        <f t="shared" si="44"/>
        <v>0</v>
      </c>
      <c r="IJ48" s="45" t="b">
        <f t="shared" si="73"/>
        <v>0</v>
      </c>
      <c r="IK48" s="35">
        <f t="shared" si="74"/>
        <v>0</v>
      </c>
      <c r="IL48" s="48">
        <f>IL47+($IL$52-$IL$47)/4</f>
        <v>2.7218845982107163</v>
      </c>
      <c r="IM48" s="35">
        <f t="shared" si="75"/>
        <v>6074.0554334247308</v>
      </c>
      <c r="IN48" s="35">
        <f t="shared" si="76"/>
        <v>-3600.6067022646826</v>
      </c>
      <c r="IO48" s="36">
        <f t="shared" si="77"/>
        <v>0</v>
      </c>
      <c r="IP48" s="35">
        <f t="shared" si="78"/>
        <v>0</v>
      </c>
      <c r="IQ48" s="35">
        <f t="shared" si="79"/>
        <v>0</v>
      </c>
      <c r="IR48" s="35">
        <f t="shared" si="82"/>
        <v>-2193.4340187823832</v>
      </c>
      <c r="IS48" s="42">
        <f>IF($IC$43="-","",SUM(IM48:IR48))</f>
        <v>280.01471237766509</v>
      </c>
      <c r="IT48" s="35">
        <f t="shared" si="80"/>
        <v>14.721884598210716</v>
      </c>
      <c r="IV48" s="38"/>
      <c r="IW48" s="38"/>
      <c r="IY48" s="44" t="str">
        <f>IF(IC43="-","",IF(ER15=0,"",ER15))</f>
        <v/>
      </c>
      <c r="IZ48" s="45"/>
      <c r="JB48" s="38"/>
      <c r="JC48" s="38"/>
      <c r="JE48" s="38"/>
      <c r="JF48" s="38"/>
      <c r="JH48" s="38"/>
      <c r="JI48" s="38"/>
      <c r="JK48" s="35"/>
      <c r="JL48" s="35"/>
      <c r="JM48" s="39"/>
      <c r="JN48" s="35"/>
      <c r="JO48" s="35"/>
      <c r="JP48" s="39"/>
      <c r="JQ48" s="35"/>
      <c r="JR48" s="35"/>
      <c r="JS48" s="39"/>
      <c r="JT48" s="35"/>
      <c r="JU48" s="35"/>
      <c r="JW48" s="127"/>
      <c r="JX48" s="127"/>
    </row>
    <row r="49" spans="12:286" ht="14.25" customHeight="1" x14ac:dyDescent="0.2"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16"/>
      <c r="AC49" s="16"/>
      <c r="AD49" s="16"/>
      <c r="AE49" s="16"/>
      <c r="AF49" s="16"/>
      <c r="AG49" s="16"/>
      <c r="AH49" s="16"/>
      <c r="EC49" s="87"/>
      <c r="ED49" s="87"/>
      <c r="EE49" s="22">
        <v>4</v>
      </c>
      <c r="FH49" s="28"/>
      <c r="FI49" s="28"/>
      <c r="FJ49" s="28"/>
      <c r="FT49" s="98" t="s">
        <v>19</v>
      </c>
      <c r="FU49" s="170">
        <f>IF(FA3=0,0,(ER18*ET18/FA3)*(FA3^2-ET18^2))</f>
        <v>0</v>
      </c>
      <c r="FV49" s="170"/>
      <c r="FW49" s="170"/>
      <c r="FX49" s="170">
        <f>IF(FD3=0,0,(ER19*EV19/FD3)*(FD3^2-EV19^2))</f>
        <v>0</v>
      </c>
      <c r="FY49" s="170"/>
      <c r="FZ49" s="170"/>
      <c r="GA49" s="101"/>
      <c r="GB49" s="170"/>
      <c r="GC49" s="170"/>
      <c r="GD49" s="170"/>
      <c r="GG49" s="22">
        <v>10</v>
      </c>
      <c r="GH49" s="45"/>
      <c r="GI49" s="45" t="e">
        <v>#N/A</v>
      </c>
      <c r="GJ49" s="45" t="e">
        <v>#N/A</v>
      </c>
      <c r="GK49" s="45" t="e">
        <v>#N/A</v>
      </c>
      <c r="GL49" s="45" t="e">
        <v>#N/A</v>
      </c>
      <c r="GM49" s="45" t="e">
        <v>#N/A</v>
      </c>
      <c r="GN49" s="45" t="e">
        <v>#N/A</v>
      </c>
      <c r="GO49" s="45" t="e">
        <v>#N/A</v>
      </c>
      <c r="GP49" s="115" t="e">
        <v>#N/A</v>
      </c>
      <c r="GQ49" s="115" t="e">
        <v>#N/A</v>
      </c>
      <c r="GR49" s="115" t="e">
        <v>#N/A</v>
      </c>
      <c r="GS49" s="45" t="e">
        <v>#N/A</v>
      </c>
      <c r="GT49" s="45" t="e">
        <v>#N/A</v>
      </c>
      <c r="GU49" s="45" t="e">
        <v>#N/A</v>
      </c>
      <c r="GV49" s="45" t="e">
        <v>#N/A</v>
      </c>
      <c r="GW49" s="45" t="e">
        <v>#N/A</v>
      </c>
      <c r="GX49" s="45" t="e">
        <v>#N/A</v>
      </c>
      <c r="GY49" s="45" t="e">
        <v>#N/A</v>
      </c>
      <c r="GZ49" s="45" t="e">
        <v>#N/A</v>
      </c>
      <c r="HA49" s="45" t="e">
        <v>#N/A</v>
      </c>
      <c r="HB49" s="45" t="e">
        <v>#N/A</v>
      </c>
      <c r="HC49" s="45" t="e">
        <v>#N/A</v>
      </c>
      <c r="HD49" s="45" t="e">
        <v>#N/A</v>
      </c>
      <c r="HE49" s="45" t="e">
        <v>#N/A</v>
      </c>
      <c r="HF49" s="45" t="e">
        <v>#N/A</v>
      </c>
      <c r="HG49" s="45"/>
      <c r="HI49" s="35">
        <f>$GB$57</f>
        <v>0</v>
      </c>
      <c r="HJ49" s="79"/>
      <c r="HQ49" s="87"/>
      <c r="HR49" s="153" t="str">
        <f t="shared" ref="HR49" si="85">IF(HS49="-","",HS49)</f>
        <v/>
      </c>
      <c r="HS49" s="155" t="str">
        <f>IF(F2=22,IF(F10=ER44,"R0",L31),L31)</f>
        <v>-</v>
      </c>
      <c r="HT49" s="157">
        <f>IF(HS49="R0",HT55,GW3)</f>
        <v>0</v>
      </c>
      <c r="HU49" s="54">
        <f>IF(HS49="R0",HU55,IF(F2&lt;23,0,HN34))</f>
        <v>0</v>
      </c>
      <c r="HV49" s="54">
        <f>IF(HS49="-",0,IF(HS49="R0",HV55,(EJ34*HT49^2*0.5+EL34*EP34+ER34*EV34+EX34*FB34-HU49+HU50)/HT49))</f>
        <v>0</v>
      </c>
      <c r="HW49" s="54" t="s">
        <v>143</v>
      </c>
      <c r="HX49" s="54" t="s">
        <v>41</v>
      </c>
      <c r="HY49" s="54">
        <f>HY48</f>
        <v>0</v>
      </c>
      <c r="HZ49" s="163" t="str">
        <f>IS237</f>
        <v/>
      </c>
      <c r="IA49" s="164" t="str">
        <f>IF(IL237=FALSE,"",IL237)</f>
        <v/>
      </c>
      <c r="IC49" s="162"/>
      <c r="ID49" s="81">
        <f t="shared" si="81"/>
        <v>12</v>
      </c>
      <c r="IE49" s="38" t="s">
        <v>155</v>
      </c>
      <c r="IF49" s="35">
        <f>IF(EX15=0,IF48,EZ15)</f>
        <v>0</v>
      </c>
      <c r="IG49" s="35">
        <f>IF(IC43="-",0,IG48-IF(EX15=0,0,EJ15*(IF49-IF48)))</f>
        <v>2231.5624392810882</v>
      </c>
      <c r="II49" s="35" t="b">
        <f t="shared" si="44"/>
        <v>0</v>
      </c>
      <c r="IJ49" s="45" t="b">
        <f t="shared" si="73"/>
        <v>0</v>
      </c>
      <c r="IK49" s="35">
        <f t="shared" si="74"/>
        <v>0</v>
      </c>
      <c r="IL49" s="48">
        <f>IL48+($IL$52-$IL$47)/4</f>
        <v>3.1479230654738108</v>
      </c>
      <c r="IM49" s="35">
        <f t="shared" si="75"/>
        <v>7024.7868746579379</v>
      </c>
      <c r="IN49" s="35">
        <f t="shared" si="76"/>
        <v>-4815.9779383050281</v>
      </c>
      <c r="IO49" s="36">
        <f t="shared" si="77"/>
        <v>0</v>
      </c>
      <c r="IP49" s="35">
        <f t="shared" si="78"/>
        <v>0</v>
      </c>
      <c r="IQ49" s="35">
        <f t="shared" si="79"/>
        <v>0</v>
      </c>
      <c r="IR49" s="35">
        <f t="shared" si="82"/>
        <v>-2193.4340187823832</v>
      </c>
      <c r="IS49" s="42">
        <f>IF($IC$43="-","",SUM(IM49:IR49))</f>
        <v>15.374917570526577</v>
      </c>
      <c r="IT49" s="35">
        <f t="shared" si="80"/>
        <v>15.147923065473812</v>
      </c>
      <c r="IV49" s="46">
        <f>IF(IC43="-","",EJ15)</f>
        <v>972</v>
      </c>
      <c r="IW49" s="38"/>
      <c r="IY49" s="35">
        <f>IF(IC43="-",-5,IF(EX15=0,-5,ID43+EZ15))</f>
        <v>-5</v>
      </c>
      <c r="IZ49" s="35">
        <v>0</v>
      </c>
      <c r="JB49" s="38"/>
      <c r="JC49" s="38"/>
      <c r="JE49" s="38"/>
      <c r="JF49" s="38"/>
      <c r="JH49" s="38"/>
      <c r="JI49" s="38"/>
      <c r="JJ49" s="39"/>
      <c r="JK49" s="35"/>
      <c r="JL49" s="35"/>
      <c r="JM49" s="39"/>
      <c r="JN49" s="35"/>
      <c r="JO49" s="35"/>
      <c r="JP49" s="39"/>
      <c r="JQ49" s="35"/>
      <c r="JR49" s="35"/>
      <c r="JS49" s="39"/>
      <c r="JT49" s="35"/>
      <c r="JU49" s="35"/>
      <c r="JV49" s="126"/>
      <c r="JW49" s="127"/>
      <c r="JX49" s="127"/>
      <c r="JY49" s="40"/>
      <c r="JZ49" s="39"/>
    </row>
    <row r="50" spans="12:286" ht="14.25" customHeight="1" x14ac:dyDescent="0.2"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16"/>
      <c r="AC50" s="16"/>
      <c r="AD50" s="16"/>
      <c r="AE50" s="16"/>
      <c r="AF50" s="16"/>
      <c r="AG50" s="16"/>
      <c r="AH50" s="16"/>
      <c r="EC50" s="87"/>
      <c r="ED50" s="87"/>
      <c r="EE50" s="22">
        <v>5</v>
      </c>
      <c r="FH50" s="28"/>
      <c r="FI50" s="28"/>
      <c r="FJ50" s="28"/>
      <c r="FT50" s="98" t="s">
        <v>20</v>
      </c>
      <c r="FU50" s="170">
        <f>IF(FA3=0,0,(EX18*EZ18/FA3)*(FA3^2-EZ18^2))</f>
        <v>0</v>
      </c>
      <c r="FV50" s="170"/>
      <c r="FW50" s="170"/>
      <c r="FX50" s="170">
        <f>IF(FD3=0,0,(EX19*FB19/FD3)*(FD3^2-FB19^2))</f>
        <v>0</v>
      </c>
      <c r="FY50" s="170"/>
      <c r="FZ50" s="170"/>
      <c r="GA50" s="101"/>
      <c r="GB50" s="172"/>
      <c r="GC50" s="172"/>
      <c r="GD50" s="172"/>
      <c r="GG50" s="22">
        <v>11</v>
      </c>
      <c r="GH50" s="45"/>
      <c r="GI50" s="45" t="e">
        <v>#N/A</v>
      </c>
      <c r="GJ50" s="45" t="e">
        <v>#N/A</v>
      </c>
      <c r="GK50" s="45" t="e">
        <v>#N/A</v>
      </c>
      <c r="GL50" s="45" t="e">
        <v>#N/A</v>
      </c>
      <c r="GM50" s="45" t="e">
        <v>#N/A</v>
      </c>
      <c r="GN50" s="45" t="e">
        <v>#N/A</v>
      </c>
      <c r="GO50" s="45" t="e">
        <v>#N/A</v>
      </c>
      <c r="GP50" s="45" t="e">
        <v>#N/A</v>
      </c>
      <c r="GQ50" s="115" t="e">
        <v>#N/A</v>
      </c>
      <c r="GR50" s="115" t="e">
        <v>#N/A</v>
      </c>
      <c r="GS50" s="115" t="e">
        <v>#N/A</v>
      </c>
      <c r="GT50" s="45" t="e">
        <v>#N/A</v>
      </c>
      <c r="GU50" s="45" t="e">
        <v>#N/A</v>
      </c>
      <c r="GV50" s="45" t="e">
        <v>#N/A</v>
      </c>
      <c r="GW50" s="45" t="e">
        <v>#N/A</v>
      </c>
      <c r="GX50" s="45" t="e">
        <v>#N/A</v>
      </c>
      <c r="GY50" s="45" t="e">
        <v>#N/A</v>
      </c>
      <c r="GZ50" s="45" t="e">
        <v>#N/A</v>
      </c>
      <c r="HA50" s="45" t="e">
        <v>#N/A</v>
      </c>
      <c r="HB50" s="45" t="e">
        <v>#N/A</v>
      </c>
      <c r="HC50" s="45" t="e">
        <v>#N/A</v>
      </c>
      <c r="HD50" s="45" t="e">
        <v>#N/A</v>
      </c>
      <c r="HE50" s="45" t="e">
        <v>#N/A</v>
      </c>
      <c r="HF50" s="45" t="e">
        <v>#N/A</v>
      </c>
      <c r="HG50" s="45"/>
      <c r="HI50" s="35">
        <f>$GB$62</f>
        <v>0</v>
      </c>
      <c r="HJ50" s="79"/>
      <c r="HQ50" s="87"/>
      <c r="HR50" s="154"/>
      <c r="HS50" s="156"/>
      <c r="HT50" s="158"/>
      <c r="HU50" s="54">
        <f>IF(F2=23,IF(F10=ER42,0,IF(F10=ER43,HN35,HN35)),IF(F2&lt;23,0,HN35))</f>
        <v>0</v>
      </c>
      <c r="HV50" s="54" t="s">
        <v>143</v>
      </c>
      <c r="HW50" s="54">
        <f>IF(HS49="-",0,IF(HS49="R0",HW56,HV49-EJ34*HT49-EL34-ER34-EX34))</f>
        <v>0</v>
      </c>
      <c r="HX50" s="54" t="s">
        <v>46</v>
      </c>
      <c r="HY50" s="54">
        <f>HV51-HW50</f>
        <v>0</v>
      </c>
      <c r="HZ50" s="164"/>
      <c r="IA50" s="164"/>
      <c r="IC50" s="162"/>
      <c r="ID50" s="81">
        <f t="shared" si="81"/>
        <v>12</v>
      </c>
      <c r="IE50" s="38" t="s">
        <v>156</v>
      </c>
      <c r="IF50" s="35">
        <f>IF49</f>
        <v>0</v>
      </c>
      <c r="IG50" s="35">
        <f>IF(IC43="-",0,IG49-EX15)</f>
        <v>2231.5624392810882</v>
      </c>
      <c r="II50" s="35" t="b">
        <f t="shared" si="44"/>
        <v>1</v>
      </c>
      <c r="IJ50" s="45" t="b">
        <f t="shared" si="73"/>
        <v>1</v>
      </c>
      <c r="IK50" s="35">
        <f t="shared" si="74"/>
        <v>2.2958461309476217</v>
      </c>
      <c r="IL50" s="48">
        <f>IL49+($IL$52-$IL$47)/4</f>
        <v>3.5739615327369054</v>
      </c>
      <c r="IM50" s="35">
        <f t="shared" si="75"/>
        <v>7975.5183158911459</v>
      </c>
      <c r="IN50" s="35">
        <f t="shared" si="76"/>
        <v>-6207.7757042168014</v>
      </c>
      <c r="IO50" s="36">
        <f t="shared" si="77"/>
        <v>0</v>
      </c>
      <c r="IP50" s="35">
        <f t="shared" si="78"/>
        <v>0</v>
      </c>
      <c r="IQ50" s="35">
        <f t="shared" si="79"/>
        <v>0</v>
      </c>
      <c r="IR50" s="35">
        <f t="shared" si="82"/>
        <v>-2193.4340187823832</v>
      </c>
      <c r="IS50" s="42">
        <f>IF($IC$43="-","",SUM(IM50:IR50))</f>
        <v>-425.69140710803867</v>
      </c>
      <c r="IT50" s="35">
        <f t="shared" si="80"/>
        <v>15.573961532736906</v>
      </c>
      <c r="IV50" s="38"/>
      <c r="IW50" s="38"/>
      <c r="IY50" s="35">
        <f>IY49</f>
        <v>-5</v>
      </c>
      <c r="IZ50" s="35">
        <f>IF(IC43="-",0,EX15/20)</f>
        <v>0</v>
      </c>
      <c r="JB50" s="47">
        <f>IF(IC43="-","",HY12)</f>
        <v>3508.7763924870465</v>
      </c>
      <c r="JC50" s="35" t="b">
        <f>AND($F$2=4,$F$10=$ER$43)</f>
        <v>0</v>
      </c>
      <c r="JE50" s="47">
        <f>JB50</f>
        <v>3508.7763924870465</v>
      </c>
      <c r="JF50" s="38"/>
      <c r="JH50" s="38"/>
      <c r="JI50" s="38"/>
      <c r="JJ50" s="39"/>
      <c r="JK50" s="35" t="b">
        <f>AND($F$2=4,$F$10=$ER$43)</f>
        <v>0</v>
      </c>
      <c r="JL50" s="35"/>
      <c r="JM50" s="39"/>
      <c r="JN50" s="35"/>
      <c r="JO50" s="35"/>
      <c r="JP50" s="39"/>
      <c r="JQ50" s="35"/>
      <c r="JR50" s="35"/>
      <c r="JS50" s="39"/>
      <c r="JT50" s="35"/>
      <c r="JU50" s="35"/>
      <c r="JV50" s="126"/>
      <c r="JW50" s="127"/>
      <c r="JX50" s="127"/>
      <c r="JY50" s="40"/>
      <c r="JZ50" s="39"/>
    </row>
    <row r="51" spans="12:286" ht="14.25" customHeight="1" x14ac:dyDescent="0.2"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6"/>
      <c r="AC51" s="16"/>
      <c r="AD51" s="16"/>
      <c r="AE51" s="16"/>
      <c r="AF51" s="16"/>
      <c r="AG51" s="16"/>
      <c r="AH51" s="16"/>
      <c r="EC51" s="87"/>
      <c r="ED51" s="87"/>
      <c r="EE51" s="22">
        <v>6</v>
      </c>
      <c r="FH51" s="28">
        <v>9</v>
      </c>
      <c r="FI51" s="184" t="s">
        <v>82</v>
      </c>
      <c r="FJ51" s="184"/>
      <c r="FK51" s="185" t="s">
        <v>79</v>
      </c>
      <c r="FL51" s="185"/>
      <c r="FM51" s="185"/>
      <c r="FN51" s="185" t="s">
        <v>81</v>
      </c>
      <c r="FO51" s="185"/>
      <c r="FP51" s="185"/>
      <c r="FQ51" s="185" t="s">
        <v>85</v>
      </c>
      <c r="FR51" s="185"/>
      <c r="FS51" s="185"/>
      <c r="FT51" s="98" t="s">
        <v>57</v>
      </c>
      <c r="FU51" s="187" t="s">
        <v>13</v>
      </c>
      <c r="FV51" s="185"/>
      <c r="FW51" s="185"/>
      <c r="FX51" s="187" t="s">
        <v>14</v>
      </c>
      <c r="FY51" s="185"/>
      <c r="FZ51" s="185"/>
      <c r="GA51" s="98" t="s">
        <v>57</v>
      </c>
      <c r="GB51" s="187" t="s">
        <v>60</v>
      </c>
      <c r="GC51" s="185"/>
      <c r="GD51" s="185"/>
      <c r="GG51" s="22">
        <v>12</v>
      </c>
      <c r="GH51" s="45"/>
      <c r="GI51" s="45" t="e">
        <v>#N/A</v>
      </c>
      <c r="GJ51" s="45" t="e">
        <v>#N/A</v>
      </c>
      <c r="GK51" s="45" t="e">
        <v>#N/A</v>
      </c>
      <c r="GL51" s="45" t="e">
        <v>#N/A</v>
      </c>
      <c r="GM51" s="45" t="e">
        <v>#N/A</v>
      </c>
      <c r="GN51" s="45" t="e">
        <v>#N/A</v>
      </c>
      <c r="GO51" s="45" t="e">
        <v>#N/A</v>
      </c>
      <c r="GP51" s="45" t="e">
        <v>#N/A</v>
      </c>
      <c r="GQ51" s="45" t="e">
        <v>#N/A</v>
      </c>
      <c r="GR51" s="115" t="e">
        <v>#N/A</v>
      </c>
      <c r="GS51" s="115" t="e">
        <v>#N/A</v>
      </c>
      <c r="GT51" s="115" t="e">
        <v>#N/A</v>
      </c>
      <c r="GU51" s="45" t="e">
        <v>#N/A</v>
      </c>
      <c r="GV51" s="45" t="e">
        <v>#N/A</v>
      </c>
      <c r="GW51" s="45" t="e">
        <v>#N/A</v>
      </c>
      <c r="GX51" s="45" t="e">
        <v>#N/A</v>
      </c>
      <c r="GY51" s="45" t="e">
        <v>#N/A</v>
      </c>
      <c r="GZ51" s="45" t="e">
        <v>#N/A</v>
      </c>
      <c r="HA51" s="45" t="e">
        <v>#N/A</v>
      </c>
      <c r="HB51" s="45" t="e">
        <v>#N/A</v>
      </c>
      <c r="HC51" s="45" t="e">
        <v>#N/A</v>
      </c>
      <c r="HD51" s="45" t="e">
        <v>#N/A</v>
      </c>
      <c r="HE51" s="45" t="e">
        <v>#N/A</v>
      </c>
      <c r="HF51" s="45" t="e">
        <v>#N/A</v>
      </c>
      <c r="HG51" s="45"/>
      <c r="HI51" s="35">
        <f>$GB$67</f>
        <v>0</v>
      </c>
      <c r="HJ51" s="79"/>
      <c r="HQ51" s="87"/>
      <c r="HR51" s="153" t="str">
        <f t="shared" ref="HR51" si="86">IF(HS51="-","",HS51)</f>
        <v/>
      </c>
      <c r="HS51" s="153" t="str">
        <f>IF(F2=23,IF(F10=ER44,"R0",L32),L32)</f>
        <v>-</v>
      </c>
      <c r="HT51" s="159">
        <f>IF(HS51="R0",HT55,GZ3)</f>
        <v>0</v>
      </c>
      <c r="HU51" s="38">
        <f>IF(HS51="R0",HU55,IF(F2&lt;24,0,HN35))</f>
        <v>0</v>
      </c>
      <c r="HV51" s="35">
        <f>IF(HS51="-",0,IF(HS51="R0",HV55,(EJ35*HT51^2*0.5+EL35*EP35+ER35*EV35+EX35*FB35-HU51+HU52)/HT51))</f>
        <v>0</v>
      </c>
      <c r="HW51" s="35" t="s">
        <v>143</v>
      </c>
      <c r="HX51" s="38" t="s">
        <v>41</v>
      </c>
      <c r="HY51" s="38">
        <f>HY50</f>
        <v>0</v>
      </c>
      <c r="HZ51" s="161" t="str">
        <f>IS247</f>
        <v/>
      </c>
      <c r="IA51" s="162" t="str">
        <f>IF(IL247=FALSE,"",IL247)</f>
        <v/>
      </c>
      <c r="IC51" s="162"/>
      <c r="ID51" s="81">
        <f t="shared" si="81"/>
        <v>16</v>
      </c>
      <c r="IE51" s="38" t="s">
        <v>157</v>
      </c>
      <c r="IF51" s="81">
        <f>IF52</f>
        <v>4</v>
      </c>
      <c r="IG51" s="38">
        <f>HW12</f>
        <v>-1656.4375607189118</v>
      </c>
      <c r="II51" s="35" t="b">
        <f t="shared" si="44"/>
        <v>0</v>
      </c>
      <c r="IJ51" s="45" t="b">
        <f t="shared" si="73"/>
        <v>0</v>
      </c>
      <c r="IK51" s="35">
        <f t="shared" si="74"/>
        <v>4</v>
      </c>
      <c r="IL51" s="48">
        <f>IL50+($IL$52-$IL$47)/4</f>
        <v>4</v>
      </c>
      <c r="IM51" s="35">
        <f t="shared" si="75"/>
        <v>8926.249757124353</v>
      </c>
      <c r="IN51" s="35">
        <f t="shared" si="76"/>
        <v>-7776</v>
      </c>
      <c r="IO51" s="36">
        <f t="shared" si="77"/>
        <v>0</v>
      </c>
      <c r="IP51" s="35">
        <f t="shared" si="78"/>
        <v>0</v>
      </c>
      <c r="IQ51" s="35">
        <f t="shared" si="79"/>
        <v>0</v>
      </c>
      <c r="IR51" s="45"/>
      <c r="IS51" s="37">
        <f>IF(IC43="-","",ROUND(HU12,2))</f>
        <v>-1043.18</v>
      </c>
      <c r="IT51" s="35">
        <f t="shared" si="80"/>
        <v>16</v>
      </c>
      <c r="IV51" s="38"/>
      <c r="IW51" s="38"/>
      <c r="IY51" s="44" t="str">
        <f>IF(IC43="-","",IF(EX15=0,"",EX15))</f>
        <v/>
      </c>
      <c r="IZ51" s="45"/>
      <c r="JB51" s="38">
        <f>ID52</f>
        <v>16</v>
      </c>
      <c r="JC51" s="38">
        <v>0</v>
      </c>
      <c r="JE51" s="38">
        <f>JB51</f>
        <v>16</v>
      </c>
      <c r="JF51" s="38">
        <f>IF(JE50&gt;0,-MAX(IW3:IW272,IZ3:IZ272)*0.5,-MAX(IW3:IW272,IZ3:IZ272)*1.5)</f>
        <v>-37.5</v>
      </c>
      <c r="JH51" s="38">
        <f>IF(IC43=4,ID51,-5)</f>
        <v>16</v>
      </c>
      <c r="JI51" s="38">
        <f>IG51</f>
        <v>-1656.4375607189118</v>
      </c>
      <c r="JJ51" s="39"/>
      <c r="JK51" s="35">
        <f>IF(JK50=TRUE,IT51,-5)</f>
        <v>-5</v>
      </c>
      <c r="JL51" s="49">
        <f>IS51</f>
        <v>-1043.18</v>
      </c>
      <c r="JM51" s="40"/>
      <c r="JN51" s="49"/>
      <c r="JO51" s="49"/>
      <c r="JP51" s="40"/>
      <c r="JQ51" s="49"/>
      <c r="JR51" s="49"/>
      <c r="JS51" s="40"/>
      <c r="JT51" s="49"/>
      <c r="JU51" s="49"/>
      <c r="JV51" s="126"/>
      <c r="JW51" s="120"/>
      <c r="JX51" s="120"/>
      <c r="JY51" s="40"/>
      <c r="JZ51" s="39"/>
    </row>
    <row r="52" spans="12:286" ht="14.25" customHeight="1" x14ac:dyDescent="0.2"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EC52" s="87"/>
      <c r="ED52" s="87"/>
      <c r="EE52" s="22">
        <v>7</v>
      </c>
      <c r="FH52" s="28"/>
      <c r="FI52" s="28"/>
      <c r="FJ52" s="28"/>
      <c r="FK52" s="169">
        <f>FD3</f>
        <v>0</v>
      </c>
      <c r="FL52" s="169"/>
      <c r="FM52" s="169"/>
      <c r="FN52" s="169">
        <f>2*(FD3+FG3)</f>
        <v>0</v>
      </c>
      <c r="FO52" s="169"/>
      <c r="FP52" s="169"/>
      <c r="FQ52" s="169">
        <f>IF($F$2=9,(IF(F10=ER43,FG3,IF(F10=ER44,FG3*FF40,0))),IF(F2&gt;9,FG3,0))</f>
        <v>0</v>
      </c>
      <c r="FR52" s="169"/>
      <c r="FS52" s="169"/>
      <c r="FT52" s="98" t="s">
        <v>41</v>
      </c>
      <c r="FU52" s="170">
        <f>(EJ19*FD3^3)/4</f>
        <v>0</v>
      </c>
      <c r="FV52" s="170"/>
      <c r="FW52" s="170"/>
      <c r="FX52" s="170">
        <f>(EJ20*FG3^3)/4</f>
        <v>0</v>
      </c>
      <c r="FY52" s="170"/>
      <c r="FZ52" s="170"/>
      <c r="GA52" s="101"/>
      <c r="GB52" s="171">
        <f>-SUM(FU52:FZ55)-IF(F2=9,IF($F$10=$ER$44,FQ52,0))</f>
        <v>0</v>
      </c>
      <c r="GC52" s="171"/>
      <c r="GD52" s="171"/>
      <c r="GG52" s="22">
        <v>13</v>
      </c>
      <c r="GH52" s="45"/>
      <c r="GI52" s="45" t="e">
        <v>#N/A</v>
      </c>
      <c r="GJ52" s="45" t="e">
        <v>#N/A</v>
      </c>
      <c r="GK52" s="45" t="e">
        <v>#N/A</v>
      </c>
      <c r="GL52" s="45" t="e">
        <v>#N/A</v>
      </c>
      <c r="GM52" s="45" t="e">
        <v>#N/A</v>
      </c>
      <c r="GN52" s="45" t="e">
        <v>#N/A</v>
      </c>
      <c r="GO52" s="45" t="e">
        <v>#N/A</v>
      </c>
      <c r="GP52" s="45" t="e">
        <v>#N/A</v>
      </c>
      <c r="GQ52" s="45" t="e">
        <v>#N/A</v>
      </c>
      <c r="GR52" s="45" t="e">
        <v>#N/A</v>
      </c>
      <c r="GS52" s="115" t="e">
        <v>#N/A</v>
      </c>
      <c r="GT52" s="115" t="e">
        <v>#N/A</v>
      </c>
      <c r="GU52" s="115" t="e">
        <v>#N/A</v>
      </c>
      <c r="GV52" s="45" t="e">
        <v>#N/A</v>
      </c>
      <c r="GW52" s="45" t="e">
        <v>#N/A</v>
      </c>
      <c r="GX52" s="45" t="e">
        <v>#N/A</v>
      </c>
      <c r="GY52" s="45" t="e">
        <v>#N/A</v>
      </c>
      <c r="GZ52" s="45" t="e">
        <v>#N/A</v>
      </c>
      <c r="HA52" s="45" t="e">
        <v>#N/A</v>
      </c>
      <c r="HB52" s="45" t="e">
        <v>#N/A</v>
      </c>
      <c r="HC52" s="45" t="e">
        <v>#N/A</v>
      </c>
      <c r="HD52" s="45" t="e">
        <v>#N/A</v>
      </c>
      <c r="HE52" s="45" t="e">
        <v>#N/A</v>
      </c>
      <c r="HF52" s="45" t="e">
        <v>#N/A</v>
      </c>
      <c r="HG52" s="45"/>
      <c r="HI52" s="35">
        <f>$GB$72</f>
        <v>0</v>
      </c>
      <c r="HJ52" s="79"/>
      <c r="HQ52" s="87"/>
      <c r="HR52" s="154"/>
      <c r="HS52" s="154"/>
      <c r="HT52" s="160"/>
      <c r="HU52" s="38">
        <f>IF(F2=24,IF(F10=ER42,0,IF(F10=ER43,HN36,HN36)),IF(F2&lt;24,0,HN36))</f>
        <v>0</v>
      </c>
      <c r="HV52" s="35" t="s">
        <v>143</v>
      </c>
      <c r="HW52" s="35">
        <f>IF(HS51="-",0,IF(HS51="R0",HW56,HV51-EJ35*HT51-EL35-ER35-EX35))</f>
        <v>0</v>
      </c>
      <c r="HX52" s="38" t="s">
        <v>46</v>
      </c>
      <c r="HY52" s="38">
        <f>HV53-HW52</f>
        <v>0</v>
      </c>
      <c r="HZ52" s="162"/>
      <c r="IA52" s="162"/>
      <c r="IC52" s="162"/>
      <c r="ID52" s="81">
        <f>IF(HS11="R0",ID43,ID43+HT11)</f>
        <v>16</v>
      </c>
      <c r="IE52" s="38" t="s">
        <v>158</v>
      </c>
      <c r="IF52" s="81">
        <f>IF(HS11="R0",0,HT11)</f>
        <v>4</v>
      </c>
      <c r="IG52" s="38">
        <v>0</v>
      </c>
      <c r="II52" s="35" t="b">
        <f t="shared" si="44"/>
        <v>0</v>
      </c>
      <c r="IJ52" s="45" t="b">
        <f t="shared" si="73"/>
        <v>1</v>
      </c>
      <c r="IK52" s="35">
        <f t="shared" si="74"/>
        <v>4</v>
      </c>
      <c r="IL52" s="48">
        <f>IK52</f>
        <v>4</v>
      </c>
      <c r="IM52" s="35"/>
      <c r="IN52" s="35"/>
      <c r="IO52" s="45"/>
      <c r="IP52" s="45"/>
      <c r="IQ52" s="45"/>
      <c r="IR52" s="45"/>
      <c r="IS52" s="82"/>
      <c r="IT52" s="35"/>
      <c r="IV52" s="38"/>
      <c r="IW52" s="38"/>
      <c r="IY52" s="45"/>
      <c r="IZ52" s="45"/>
      <c r="JB52" s="38">
        <f>JB51</f>
        <v>16</v>
      </c>
      <c r="JC52" s="38">
        <f>IF(IC43="-",0,IF(JC50=TRUE,0,-20))</f>
        <v>-20</v>
      </c>
      <c r="JE52" s="38">
        <f>JE51</f>
        <v>16</v>
      </c>
      <c r="JF52" s="38">
        <f>IF(IC43="-",JF51,IF(JE50&gt;0,-MAX(IW3:IW272,IZ3:IZ272)*1.5,-MAX(IW3:IW272,IZ3:IZ272)*0.5))</f>
        <v>-112.5</v>
      </c>
      <c r="JH52" s="38"/>
      <c r="JI52" s="38"/>
      <c r="JJ52" s="39"/>
      <c r="JK52" s="35"/>
      <c r="JL52" s="35"/>
      <c r="JM52" s="39"/>
      <c r="JN52" s="35"/>
      <c r="JO52" s="35"/>
      <c r="JP52" s="39"/>
      <c r="JQ52" s="35"/>
      <c r="JR52" s="35"/>
      <c r="JS52" s="39"/>
      <c r="JT52" s="35"/>
      <c r="JU52" s="35"/>
      <c r="JV52" s="126"/>
      <c r="JW52" s="127"/>
      <c r="JX52" s="127"/>
      <c r="JY52" s="40"/>
      <c r="JZ52" s="39"/>
    </row>
    <row r="53" spans="12:286" ht="14.25" customHeight="1" x14ac:dyDescent="0.2"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16"/>
      <c r="AC53" s="16"/>
      <c r="AD53" s="16"/>
      <c r="AE53" s="16"/>
      <c r="AF53" s="16"/>
      <c r="AG53" s="16"/>
      <c r="AH53" s="16"/>
      <c r="EC53" s="87"/>
      <c r="ED53" s="87"/>
      <c r="EE53" s="22">
        <v>8</v>
      </c>
      <c r="FH53" s="28"/>
      <c r="FI53" s="28"/>
      <c r="FJ53" s="28"/>
      <c r="FT53" s="98" t="s">
        <v>17</v>
      </c>
      <c r="FU53" s="170">
        <f>IF(FD3=0,0,(EL19*EN19/FD3)*(FD3^2-EN19^2))</f>
        <v>0</v>
      </c>
      <c r="FV53" s="170"/>
      <c r="FW53" s="170"/>
      <c r="FX53" s="170">
        <f>IF(FG3=0,0,(EL20*EP20/FG3)*(FG3^2-EP20^2))</f>
        <v>0</v>
      </c>
      <c r="FY53" s="170"/>
      <c r="FZ53" s="170"/>
      <c r="GA53" s="101"/>
      <c r="GB53" s="170"/>
      <c r="GC53" s="170"/>
      <c r="GD53" s="170"/>
      <c r="GG53" s="22">
        <v>14</v>
      </c>
      <c r="GH53" s="45"/>
      <c r="GI53" s="45" t="e">
        <v>#N/A</v>
      </c>
      <c r="GJ53" s="45" t="e">
        <v>#N/A</v>
      </c>
      <c r="GK53" s="45" t="e">
        <v>#N/A</v>
      </c>
      <c r="GL53" s="45" t="e">
        <v>#N/A</v>
      </c>
      <c r="GM53" s="45" t="e">
        <v>#N/A</v>
      </c>
      <c r="GN53" s="45" t="e">
        <v>#N/A</v>
      </c>
      <c r="GO53" s="45" t="e">
        <v>#N/A</v>
      </c>
      <c r="GP53" s="45" t="e">
        <v>#N/A</v>
      </c>
      <c r="GQ53" s="45" t="e">
        <v>#N/A</v>
      </c>
      <c r="GR53" s="45" t="e">
        <v>#N/A</v>
      </c>
      <c r="GS53" s="45" t="e">
        <v>#N/A</v>
      </c>
      <c r="GT53" s="115" t="e">
        <v>#N/A</v>
      </c>
      <c r="GU53" s="115" t="e">
        <v>#N/A</v>
      </c>
      <c r="GV53" s="115" t="e">
        <v>#N/A</v>
      </c>
      <c r="GW53" s="45" t="e">
        <v>#N/A</v>
      </c>
      <c r="GX53" s="45" t="e">
        <v>#N/A</v>
      </c>
      <c r="GY53" s="45" t="e">
        <v>#N/A</v>
      </c>
      <c r="GZ53" s="45" t="e">
        <v>#N/A</v>
      </c>
      <c r="HA53" s="45" t="e">
        <v>#N/A</v>
      </c>
      <c r="HB53" s="45" t="e">
        <v>#N/A</v>
      </c>
      <c r="HC53" s="45" t="e">
        <v>#N/A</v>
      </c>
      <c r="HD53" s="45" t="e">
        <v>#N/A</v>
      </c>
      <c r="HE53" s="45" t="e">
        <v>#N/A</v>
      </c>
      <c r="HF53" s="45" t="e">
        <v>#N/A</v>
      </c>
      <c r="HG53" s="45"/>
      <c r="HI53" s="35">
        <f>$GB$77</f>
        <v>0</v>
      </c>
      <c r="HJ53" s="79"/>
      <c r="HQ53" s="87"/>
      <c r="HR53" s="153" t="str">
        <f t="shared" ref="HR53" si="87">IF(HS53="-","",HS53)</f>
        <v/>
      </c>
      <c r="HS53" s="155" t="str">
        <f>IF(F2=24,IF(F10=ER44,"R0",L33),L33)</f>
        <v>-</v>
      </c>
      <c r="HT53" s="157">
        <f>IF(HS53="R0",HT55,HC3)</f>
        <v>0</v>
      </c>
      <c r="HU53" s="54">
        <f>IF(HS53="R0",HU55,IF(F2&lt;25,0,HN36))</f>
        <v>0</v>
      </c>
      <c r="HV53" s="54">
        <f>IF(HS53="-",0,IF(HS53="R0",HV55,(EJ36*HT53^2*0.5+EL36*EP36+ER36*EV36+EX36*FB36-HU53+HU54)/HT53))</f>
        <v>0</v>
      </c>
      <c r="HW53" s="54" t="s">
        <v>143</v>
      </c>
      <c r="HX53" s="54" t="s">
        <v>41</v>
      </c>
      <c r="HY53" s="54">
        <f>HY52</f>
        <v>0</v>
      </c>
      <c r="HZ53" s="157" t="str">
        <f>IS257</f>
        <v/>
      </c>
      <c r="IA53" s="155" t="str">
        <f>IF(IL257=FALSE,"",IL257)</f>
        <v/>
      </c>
      <c r="IC53" s="155">
        <f>IF(HS13="R0","-",HS13)</f>
        <v>5</v>
      </c>
      <c r="ID53" s="53">
        <f>IF(HS13="R0",ID272,ID52)</f>
        <v>16</v>
      </c>
      <c r="IE53" s="54" t="s">
        <v>149</v>
      </c>
      <c r="IF53" s="54">
        <v>0</v>
      </c>
      <c r="IG53" s="54">
        <v>0</v>
      </c>
      <c r="II53" s="54" t="b">
        <f>AND(IG53&gt;=0,IG54&lt;0)</f>
        <v>0</v>
      </c>
      <c r="IJ53" s="55" t="b">
        <f>IF(IF53=IF54,FALSE,TRUE)</f>
        <v>0</v>
      </c>
      <c r="IK53" s="54">
        <f t="shared" ref="IK53:IK62" si="88">IF(II53=TRUE,IF(IJ53=TRUE,IG53/$EJ$16)+IF53,IF53)</f>
        <v>0</v>
      </c>
      <c r="IL53" s="56">
        <f>IK53</f>
        <v>0</v>
      </c>
      <c r="IM53" s="54">
        <f t="shared" ref="IM53:IM61" si="89">$HV$13*IL53</f>
        <v>0</v>
      </c>
      <c r="IN53" s="54">
        <f t="shared" ref="IN53:IN61" si="90">-$EJ$16*(IL53^2/2)</f>
        <v>0</v>
      </c>
      <c r="IO53" s="57">
        <f t="shared" ref="IO53:IO61" si="91">-IF(IL53&gt;=$EN$16,$EL$16*(IL53-$EN$16),0)</f>
        <v>0</v>
      </c>
      <c r="IP53" s="54">
        <f t="shared" ref="IP53:IP61" si="92">-IF(IL53&gt;=$ET$16,$ER$16*(IL53-$ET$16),0)</f>
        <v>0</v>
      </c>
      <c r="IQ53" s="54">
        <f t="shared" ref="IQ53:IQ61" si="93">-IF(IL53&gt;=$EZ$16,$EX$16*(IL53-$EZ$16),0)</f>
        <v>0</v>
      </c>
      <c r="IR53" s="55"/>
      <c r="IS53" s="59">
        <f>IF(IC53="-","",HU13)</f>
        <v>-1043.1842616580311</v>
      </c>
      <c r="IT53" s="54">
        <f t="shared" ref="IT53:IT61" si="94">$ID$53+IL53</f>
        <v>16</v>
      </c>
      <c r="IV53" s="54">
        <f>ID53</f>
        <v>16</v>
      </c>
      <c r="IW53" s="54">
        <v>0</v>
      </c>
      <c r="IY53" s="54">
        <f>IF(IC53="-",-5,IF(EL16=0,-5,ID53+EN16))</f>
        <v>-5</v>
      </c>
      <c r="IZ53" s="54">
        <v>0</v>
      </c>
      <c r="JB53" s="54"/>
      <c r="JC53" s="54"/>
      <c r="JE53" s="54"/>
      <c r="JF53" s="54"/>
      <c r="JH53" s="54"/>
      <c r="JI53" s="54"/>
      <c r="JJ53" s="39"/>
      <c r="JK53" s="54">
        <f>IF(IC53=5,IT53,-5)</f>
        <v>16</v>
      </c>
      <c r="JL53" s="59">
        <f>IS53</f>
        <v>-1043.1842616580311</v>
      </c>
      <c r="JM53" s="40"/>
      <c r="JN53" s="59">
        <f>IF(IC53="-",-5,(ID53+ID62)/2)</f>
        <v>18</v>
      </c>
      <c r="JO53" s="59">
        <f>-MAX(IW3:IW272,IZ3:IZ272)*0.7</f>
        <v>-52.5</v>
      </c>
      <c r="JP53" s="40"/>
      <c r="JQ53" s="59">
        <f>IF(IC53="-",-5,(IT53+IT57)/2)</f>
        <v>16.952849193296366</v>
      </c>
      <c r="JR53" s="59">
        <f>JR13</f>
        <v>-760.38306347150262</v>
      </c>
      <c r="JS53" s="40"/>
      <c r="JT53" s="59"/>
      <c r="JU53" s="59"/>
      <c r="JV53" s="126"/>
      <c r="JW53" s="122">
        <f>JN53</f>
        <v>18</v>
      </c>
      <c r="JX53" s="122">
        <f>JF62</f>
        <v>-112.5</v>
      </c>
      <c r="JY53" s="40"/>
      <c r="JZ53" s="39"/>
    </row>
    <row r="54" spans="12:286" ht="14.25" customHeight="1" x14ac:dyDescent="0.2">
      <c r="L54" s="20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7"/>
      <c r="EC54" s="87"/>
      <c r="ED54" s="87"/>
      <c r="EE54" s="22">
        <v>9</v>
      </c>
      <c r="FH54" s="28"/>
      <c r="FI54" s="28"/>
      <c r="FJ54" s="28"/>
      <c r="FT54" s="98" t="s">
        <v>19</v>
      </c>
      <c r="FU54" s="170">
        <f>IF(FD3=0,0,(ER19*ET19/FD3)*(FD3^2-ET19^2))</f>
        <v>0</v>
      </c>
      <c r="FV54" s="170"/>
      <c r="FW54" s="170"/>
      <c r="FX54" s="170">
        <f>IF(FG3=0,0,(ER20*EV20/FG3)*(FG3^2-EV20^2))</f>
        <v>0</v>
      </c>
      <c r="FY54" s="170"/>
      <c r="FZ54" s="170"/>
      <c r="GA54" s="101"/>
      <c r="GB54" s="170"/>
      <c r="GC54" s="170"/>
      <c r="GD54" s="170"/>
      <c r="GG54" s="22">
        <v>15</v>
      </c>
      <c r="GH54" s="45"/>
      <c r="GI54" s="45" t="e">
        <v>#N/A</v>
      </c>
      <c r="GJ54" s="45" t="e">
        <v>#N/A</v>
      </c>
      <c r="GK54" s="45" t="e">
        <v>#N/A</v>
      </c>
      <c r="GL54" s="45" t="e">
        <v>#N/A</v>
      </c>
      <c r="GM54" s="45" t="e">
        <v>#N/A</v>
      </c>
      <c r="GN54" s="45" t="e">
        <v>#N/A</v>
      </c>
      <c r="GO54" s="45" t="e">
        <v>#N/A</v>
      </c>
      <c r="GP54" s="45" t="e">
        <v>#N/A</v>
      </c>
      <c r="GQ54" s="45" t="e">
        <v>#N/A</v>
      </c>
      <c r="GR54" s="45" t="e">
        <v>#N/A</v>
      </c>
      <c r="GS54" s="45" t="e">
        <v>#N/A</v>
      </c>
      <c r="GT54" s="45" t="e">
        <v>#N/A</v>
      </c>
      <c r="GU54" s="115" t="e">
        <v>#N/A</v>
      </c>
      <c r="GV54" s="115" t="e">
        <v>#N/A</v>
      </c>
      <c r="GW54" s="115" t="e">
        <v>#N/A</v>
      </c>
      <c r="GX54" s="45" t="e">
        <v>#N/A</v>
      </c>
      <c r="GY54" s="45" t="e">
        <v>#N/A</v>
      </c>
      <c r="GZ54" s="45" t="e">
        <v>#N/A</v>
      </c>
      <c r="HA54" s="45" t="e">
        <v>#N/A</v>
      </c>
      <c r="HB54" s="45" t="e">
        <v>#N/A</v>
      </c>
      <c r="HC54" s="45" t="e">
        <v>#N/A</v>
      </c>
      <c r="HD54" s="45" t="e">
        <v>#N/A</v>
      </c>
      <c r="HE54" s="45" t="e">
        <v>#N/A</v>
      </c>
      <c r="HF54" s="45" t="e">
        <v>#N/A</v>
      </c>
      <c r="HG54" s="45"/>
      <c r="HI54" s="35">
        <f>$GB$82</f>
        <v>0</v>
      </c>
      <c r="HJ54" s="79"/>
      <c r="HQ54" s="116"/>
      <c r="HR54" s="154"/>
      <c r="HS54" s="156"/>
      <c r="HT54" s="158"/>
      <c r="HU54" s="54">
        <f>IF(F2=25,IF(F10=ER42,0,IF(F10=ER43,HN37,HN37)),IF(F2&lt;25,0,HN37))</f>
        <v>0</v>
      </c>
      <c r="HV54" s="54" t="s">
        <v>143</v>
      </c>
      <c r="HW54" s="54">
        <f>IF(HS53="-",0,IF(HS53="R0",HW56,HV53-EJ36*HT53-EL36-ER36-EX36))</f>
        <v>0</v>
      </c>
      <c r="HX54" s="54" t="s">
        <v>46</v>
      </c>
      <c r="HY54" s="54">
        <f>HV55-HW54</f>
        <v>1458</v>
      </c>
      <c r="HZ54" s="158"/>
      <c r="IA54" s="156"/>
      <c r="IC54" s="253"/>
      <c r="ID54" s="53">
        <f t="shared" ref="ID54:ID61" si="95">IF($IC$53="-",$ID$53,$ID$53+IF54)</f>
        <v>16</v>
      </c>
      <c r="IE54" s="54" t="s">
        <v>150</v>
      </c>
      <c r="IF54" s="54">
        <f>IF53</f>
        <v>0</v>
      </c>
      <c r="IG54" s="54">
        <f>IF(IC53="-",0,HV13)</f>
        <v>1852.3388317681347</v>
      </c>
      <c r="II54" s="54" t="b">
        <f t="shared" si="44"/>
        <v>0</v>
      </c>
      <c r="IJ54" s="55" t="b">
        <f t="shared" si="73"/>
        <v>0</v>
      </c>
      <c r="IK54" s="54">
        <f t="shared" si="88"/>
        <v>0</v>
      </c>
      <c r="IL54" s="56">
        <f>(IL57-IL53)/4</f>
        <v>0.47642459664818282</v>
      </c>
      <c r="IM54" s="54">
        <f t="shared" si="89"/>
        <v>882.49978078089975</v>
      </c>
      <c r="IN54" s="54">
        <f t="shared" si="90"/>
        <v>-110.31247259761247</v>
      </c>
      <c r="IO54" s="57">
        <f t="shared" si="91"/>
        <v>0</v>
      </c>
      <c r="IP54" s="54">
        <f t="shared" si="92"/>
        <v>0</v>
      </c>
      <c r="IQ54" s="54">
        <f t="shared" si="93"/>
        <v>0</v>
      </c>
      <c r="IR54" s="54">
        <f t="shared" ref="IR54:IR60" si="96">$HU$13</f>
        <v>-1043.1842616580311</v>
      </c>
      <c r="IS54" s="58">
        <f>IF(IC53="-","",SUM(IM54:IR54))</f>
        <v>-270.9969534747438</v>
      </c>
      <c r="IT54" s="54">
        <f t="shared" si="94"/>
        <v>16.476424596648183</v>
      </c>
      <c r="IV54" s="54">
        <f>IV53</f>
        <v>16</v>
      </c>
      <c r="IW54" s="54">
        <f>IF(IC53="-",0,EJ16)/20</f>
        <v>48.6</v>
      </c>
      <c r="IY54" s="54">
        <f>IY53</f>
        <v>-5</v>
      </c>
      <c r="IZ54" s="54">
        <f>IF(IC53="-",0,EL16/20)</f>
        <v>0</v>
      </c>
      <c r="JB54" s="54"/>
      <c r="JC54" s="54"/>
      <c r="JE54" s="54"/>
      <c r="JF54" s="54"/>
      <c r="JH54" s="54">
        <f>IF(IC53=5,ID54,-5)</f>
        <v>16</v>
      </c>
      <c r="JI54" s="54">
        <f>IG54</f>
        <v>1852.3388317681347</v>
      </c>
      <c r="JJ54" s="39"/>
      <c r="JK54" s="54"/>
      <c r="JL54" s="54"/>
      <c r="JM54" s="39"/>
      <c r="JN54" s="61">
        <f>HT13</f>
        <v>4</v>
      </c>
      <c r="JO54" s="54"/>
      <c r="JP54" s="39"/>
      <c r="JQ54" s="62">
        <f>IL57</f>
        <v>1.9056983865927313</v>
      </c>
      <c r="JR54" s="54"/>
      <c r="JS54" s="39"/>
      <c r="JT54" s="54"/>
      <c r="JU54" s="54"/>
      <c r="JV54" s="126"/>
      <c r="JW54" s="125">
        <f>IC53</f>
        <v>5</v>
      </c>
      <c r="JX54" s="123"/>
      <c r="JY54" s="40"/>
      <c r="JZ54" s="39"/>
    </row>
    <row r="55" spans="12:286" ht="14.25" customHeight="1" x14ac:dyDescent="0.2">
      <c r="EC55" s="87"/>
      <c r="ED55" s="87"/>
      <c r="EE55" s="22">
        <v>10</v>
      </c>
      <c r="FH55" s="28"/>
      <c r="FI55" s="28"/>
      <c r="FJ55" s="28"/>
      <c r="FT55" s="98" t="s">
        <v>20</v>
      </c>
      <c r="FU55" s="170">
        <f>IF(FD3=0,0,(EX19*EZ19/FD3)*(FD3^2-EZ19^2))</f>
        <v>0</v>
      </c>
      <c r="FV55" s="170"/>
      <c r="FW55" s="170"/>
      <c r="FX55" s="170">
        <f>IF(FG3=0,0,(EX20*FB20/FG3)*(FG3^2-FB20^2))</f>
        <v>0</v>
      </c>
      <c r="FY55" s="170"/>
      <c r="FZ55" s="170"/>
      <c r="GA55" s="101"/>
      <c r="GB55" s="172"/>
      <c r="GC55" s="172"/>
      <c r="GD55" s="172"/>
      <c r="GG55" s="22">
        <v>16</v>
      </c>
      <c r="GH55" s="45"/>
      <c r="GI55" s="45" t="e">
        <v>#N/A</v>
      </c>
      <c r="GJ55" s="45" t="e">
        <v>#N/A</v>
      </c>
      <c r="GK55" s="45" t="e">
        <v>#N/A</v>
      </c>
      <c r="GL55" s="45" t="e">
        <v>#N/A</v>
      </c>
      <c r="GM55" s="45" t="e">
        <v>#N/A</v>
      </c>
      <c r="GN55" s="45" t="e">
        <v>#N/A</v>
      </c>
      <c r="GO55" s="45" t="e">
        <v>#N/A</v>
      </c>
      <c r="GP55" s="45" t="e">
        <v>#N/A</v>
      </c>
      <c r="GQ55" s="45" t="e">
        <v>#N/A</v>
      </c>
      <c r="GR55" s="45" t="e">
        <v>#N/A</v>
      </c>
      <c r="GS55" s="45" t="e">
        <v>#N/A</v>
      </c>
      <c r="GT55" s="45" t="e">
        <v>#N/A</v>
      </c>
      <c r="GU55" s="45" t="e">
        <v>#N/A</v>
      </c>
      <c r="GV55" s="115" t="e">
        <v>#N/A</v>
      </c>
      <c r="GW55" s="115" t="e">
        <v>#N/A</v>
      </c>
      <c r="GX55" s="115" t="e">
        <v>#N/A</v>
      </c>
      <c r="GY55" s="45" t="e">
        <v>#N/A</v>
      </c>
      <c r="GZ55" s="45" t="e">
        <v>#N/A</v>
      </c>
      <c r="HA55" s="45" t="e">
        <v>#N/A</v>
      </c>
      <c r="HB55" s="45" t="e">
        <v>#N/A</v>
      </c>
      <c r="HC55" s="45" t="e">
        <v>#N/A</v>
      </c>
      <c r="HD55" s="45" t="e">
        <v>#N/A</v>
      </c>
      <c r="HE55" s="45" t="e">
        <v>#N/A</v>
      </c>
      <c r="HF55" s="45" t="e">
        <v>#N/A</v>
      </c>
      <c r="HG55" s="45"/>
      <c r="HI55" s="35">
        <f>$GB$87</f>
        <v>0</v>
      </c>
      <c r="HJ55" s="79"/>
      <c r="HQ55" s="87"/>
      <c r="HR55" s="153" t="str">
        <f>IF(HQ56=TRUE,HS55,"")</f>
        <v/>
      </c>
      <c r="HS55" s="246" t="str">
        <f>L5</f>
        <v>R0</v>
      </c>
      <c r="HT55" s="248">
        <f>HF3</f>
        <v>1.5</v>
      </c>
      <c r="HU55" s="117">
        <f>IF(HS55="-",0,FF40)</f>
        <v>-1093.5</v>
      </c>
      <c r="HV55" s="117">
        <f>IF(HS55="-",0,(EJ40*HT55+EL40+ER40+EX40))</f>
        <v>1458</v>
      </c>
      <c r="HW55" s="117" t="s">
        <v>143</v>
      </c>
      <c r="HX55" s="117" t="s">
        <v>41</v>
      </c>
      <c r="HY55" s="117">
        <f>HY54</f>
        <v>1458</v>
      </c>
      <c r="HZ55" s="254"/>
      <c r="IA55" s="231"/>
      <c r="IC55" s="253"/>
      <c r="ID55" s="53">
        <f t="shared" si="95"/>
        <v>16</v>
      </c>
      <c r="IE55" s="54" t="s">
        <v>151</v>
      </c>
      <c r="IF55" s="54">
        <f>IF(EL16=0,IF54,EN16)</f>
        <v>0</v>
      </c>
      <c r="IG55" s="54">
        <f>IF(IC53="-",0,IG54-IF(EL16=0,0,EJ16*IF55))</f>
        <v>1852.3388317681347</v>
      </c>
      <c r="II55" s="54" t="b">
        <f t="shared" si="44"/>
        <v>0</v>
      </c>
      <c r="IJ55" s="55" t="b">
        <f t="shared" si="73"/>
        <v>0</v>
      </c>
      <c r="IK55" s="54">
        <f t="shared" si="88"/>
        <v>0</v>
      </c>
      <c r="IL55" s="56">
        <f>IL54*2</f>
        <v>0.95284919329636564</v>
      </c>
      <c r="IM55" s="54">
        <f t="shared" si="89"/>
        <v>1764.9995615617995</v>
      </c>
      <c r="IN55" s="54">
        <f t="shared" si="90"/>
        <v>-441.24989039044988</v>
      </c>
      <c r="IO55" s="57">
        <f t="shared" si="91"/>
        <v>0</v>
      </c>
      <c r="IP55" s="54">
        <f t="shared" si="92"/>
        <v>0</v>
      </c>
      <c r="IQ55" s="54">
        <f t="shared" si="93"/>
        <v>0</v>
      </c>
      <c r="IR55" s="54">
        <f t="shared" si="96"/>
        <v>-1043.1842616580311</v>
      </c>
      <c r="IS55" s="58">
        <f>IF(IC53="-","",SUM(IM55:IR55))</f>
        <v>280.56540951331863</v>
      </c>
      <c r="IT55" s="54">
        <f t="shared" si="94"/>
        <v>16.952849193296366</v>
      </c>
      <c r="IV55" s="54">
        <f>IF62/2+IV53</f>
        <v>18</v>
      </c>
      <c r="IW55" s="54">
        <f>IW54</f>
        <v>48.6</v>
      </c>
      <c r="IY55" s="65" t="str">
        <f>IF(IC53="-","",IF(EL16=0,"",EL16))</f>
        <v/>
      </c>
      <c r="IZ55" s="55"/>
      <c r="JB55" s="54"/>
      <c r="JC55" s="54"/>
      <c r="JE55" s="54"/>
      <c r="JF55" s="54"/>
      <c r="JH55" s="54"/>
      <c r="JI55" s="54"/>
      <c r="JJ55" s="39"/>
      <c r="JK55" s="54"/>
      <c r="JL55" s="54"/>
      <c r="JM55" s="39"/>
      <c r="JN55" s="54"/>
      <c r="JO55" s="54"/>
      <c r="JP55" s="39"/>
      <c r="JQ55" s="54"/>
      <c r="JR55" s="54"/>
      <c r="JS55" s="39"/>
      <c r="JT55" s="54"/>
      <c r="JU55" s="54"/>
      <c r="JV55" s="126"/>
      <c r="JW55" s="123"/>
      <c r="JX55" s="123"/>
      <c r="JY55" s="40"/>
      <c r="JZ55" s="39"/>
    </row>
    <row r="56" spans="12:286" ht="14.25" customHeight="1" x14ac:dyDescent="0.2">
      <c r="EC56" s="87"/>
      <c r="ED56" s="87"/>
      <c r="EE56" s="22">
        <v>11</v>
      </c>
      <c r="FH56" s="28">
        <v>10</v>
      </c>
      <c r="FI56" s="184" t="s">
        <v>83</v>
      </c>
      <c r="FJ56" s="184"/>
      <c r="FK56" s="185" t="s">
        <v>84</v>
      </c>
      <c r="FL56" s="185"/>
      <c r="FM56" s="185"/>
      <c r="FN56" s="185" t="s">
        <v>85</v>
      </c>
      <c r="FO56" s="185"/>
      <c r="FP56" s="185"/>
      <c r="FQ56" s="185" t="s">
        <v>87</v>
      </c>
      <c r="FR56" s="185"/>
      <c r="FS56" s="185"/>
      <c r="FT56" s="98" t="s">
        <v>57</v>
      </c>
      <c r="FU56" s="187" t="s">
        <v>13</v>
      </c>
      <c r="FV56" s="185"/>
      <c r="FW56" s="185"/>
      <c r="FX56" s="187" t="s">
        <v>14</v>
      </c>
      <c r="FY56" s="185"/>
      <c r="FZ56" s="185"/>
      <c r="GA56" s="98" t="s">
        <v>57</v>
      </c>
      <c r="GB56" s="187" t="s">
        <v>60</v>
      </c>
      <c r="GC56" s="185"/>
      <c r="GD56" s="185"/>
      <c r="GG56" s="22">
        <v>17</v>
      </c>
      <c r="GH56" s="45"/>
      <c r="GI56" s="45" t="e">
        <v>#N/A</v>
      </c>
      <c r="GJ56" s="45" t="e">
        <v>#N/A</v>
      </c>
      <c r="GK56" s="45" t="e">
        <v>#N/A</v>
      </c>
      <c r="GL56" s="45" t="e">
        <v>#N/A</v>
      </c>
      <c r="GM56" s="45" t="e">
        <v>#N/A</v>
      </c>
      <c r="GN56" s="45" t="e">
        <v>#N/A</v>
      </c>
      <c r="GO56" s="45" t="e">
        <v>#N/A</v>
      </c>
      <c r="GP56" s="45" t="e">
        <v>#N/A</v>
      </c>
      <c r="GQ56" s="45" t="e">
        <v>#N/A</v>
      </c>
      <c r="GR56" s="45" t="e">
        <v>#N/A</v>
      </c>
      <c r="GS56" s="45" t="e">
        <v>#N/A</v>
      </c>
      <c r="GT56" s="45" t="e">
        <v>#N/A</v>
      </c>
      <c r="GU56" s="45" t="e">
        <v>#N/A</v>
      </c>
      <c r="GV56" s="45" t="e">
        <v>#N/A</v>
      </c>
      <c r="GW56" s="115" t="e">
        <v>#N/A</v>
      </c>
      <c r="GX56" s="115" t="e">
        <v>#N/A</v>
      </c>
      <c r="GY56" s="115" t="e">
        <v>#N/A</v>
      </c>
      <c r="GZ56" s="45" t="e">
        <v>#N/A</v>
      </c>
      <c r="HA56" s="45" t="e">
        <v>#N/A</v>
      </c>
      <c r="HB56" s="45" t="e">
        <v>#N/A</v>
      </c>
      <c r="HC56" s="45" t="e">
        <v>#N/A</v>
      </c>
      <c r="HD56" s="45" t="e">
        <v>#N/A</v>
      </c>
      <c r="HE56" s="45" t="e">
        <v>#N/A</v>
      </c>
      <c r="HF56" s="45" t="e">
        <v>#N/A</v>
      </c>
      <c r="HG56" s="45"/>
      <c r="HI56" s="35">
        <f>$GB$92</f>
        <v>0</v>
      </c>
      <c r="HJ56" s="79"/>
      <c r="HQ56" s="97" t="b">
        <f>AND($F$2=25,$F$10=$ER$44)</f>
        <v>0</v>
      </c>
      <c r="HR56" s="154"/>
      <c r="HS56" s="247"/>
      <c r="HT56" s="249"/>
      <c r="HU56" s="117">
        <v>0</v>
      </c>
      <c r="HV56" s="117" t="s">
        <v>143</v>
      </c>
      <c r="HW56" s="117">
        <f>IF(HS55="-",0,IF(EN40=HT55,EL40+(IF(ET40=HT55,ER40,0))+(IF(EZ40=HT55,EX40,0)),0))</f>
        <v>0</v>
      </c>
      <c r="HX56" s="117" t="s">
        <v>46</v>
      </c>
      <c r="HY56" s="117">
        <f>HW56</f>
        <v>0</v>
      </c>
      <c r="HZ56" s="231"/>
      <c r="IA56" s="231"/>
      <c r="IC56" s="253"/>
      <c r="ID56" s="53">
        <f t="shared" si="95"/>
        <v>16</v>
      </c>
      <c r="IE56" s="54" t="s">
        <v>152</v>
      </c>
      <c r="IF56" s="54">
        <f>IF55</f>
        <v>0</v>
      </c>
      <c r="IG56" s="54">
        <f>IF(IC53="-",0,IG55-EL16)</f>
        <v>1852.3388317681347</v>
      </c>
      <c r="II56" s="54" t="b">
        <f t="shared" si="44"/>
        <v>0</v>
      </c>
      <c r="IJ56" s="55" t="b">
        <f t="shared" si="73"/>
        <v>0</v>
      </c>
      <c r="IK56" s="54">
        <f t="shared" si="88"/>
        <v>0</v>
      </c>
      <c r="IL56" s="56">
        <f>IL54*3</f>
        <v>1.4292737899445485</v>
      </c>
      <c r="IM56" s="54">
        <f t="shared" si="89"/>
        <v>2647.499342342699</v>
      </c>
      <c r="IN56" s="54">
        <f t="shared" si="90"/>
        <v>-992.81225337851231</v>
      </c>
      <c r="IO56" s="57">
        <f t="shared" si="91"/>
        <v>0</v>
      </c>
      <c r="IP56" s="54">
        <f t="shared" si="92"/>
        <v>0</v>
      </c>
      <c r="IQ56" s="54">
        <f t="shared" si="93"/>
        <v>0</v>
      </c>
      <c r="IR56" s="54">
        <f t="shared" si="96"/>
        <v>-1043.1842616580311</v>
      </c>
      <c r="IS56" s="58">
        <f>IF(IC53="-","",SUM(IM56:IR56))</f>
        <v>611.50282730615572</v>
      </c>
      <c r="IT56" s="54">
        <f t="shared" si="94"/>
        <v>17.429273789944549</v>
      </c>
      <c r="IV56" s="54">
        <f>IV57</f>
        <v>20</v>
      </c>
      <c r="IW56" s="54">
        <f>IW54</f>
        <v>48.6</v>
      </c>
      <c r="IY56" s="54">
        <f>IF(IC53="-",-5,IF(ER16=0,-5,ID53+ET16))</f>
        <v>-5</v>
      </c>
      <c r="IZ56" s="54">
        <v>0</v>
      </c>
      <c r="JB56" s="54"/>
      <c r="JC56" s="54"/>
      <c r="JE56" s="54"/>
      <c r="JF56" s="54"/>
      <c r="JH56" s="54"/>
      <c r="JI56" s="54"/>
      <c r="JJ56" s="39"/>
      <c r="JK56" s="54"/>
      <c r="JL56" s="54"/>
      <c r="JM56" s="39"/>
      <c r="JN56" s="54"/>
      <c r="JO56" s="54"/>
      <c r="JP56" s="39"/>
      <c r="JQ56" s="54"/>
      <c r="JR56" s="54"/>
      <c r="JS56" s="39"/>
      <c r="JT56" s="54"/>
      <c r="JU56" s="54"/>
      <c r="JV56" s="126"/>
      <c r="JW56" s="123"/>
      <c r="JX56" s="123"/>
      <c r="JY56" s="40"/>
      <c r="JZ56" s="39"/>
    </row>
    <row r="57" spans="12:286" ht="14.25" customHeight="1" x14ac:dyDescent="0.2">
      <c r="EC57" s="87"/>
      <c r="ED57" s="87"/>
      <c r="EE57" s="22">
        <v>12</v>
      </c>
      <c r="FH57" s="28"/>
      <c r="FI57" s="28"/>
      <c r="FJ57" s="28"/>
      <c r="FK57" s="169">
        <f>FG3</f>
        <v>0</v>
      </c>
      <c r="FL57" s="169"/>
      <c r="FM57" s="169"/>
      <c r="FN57" s="169">
        <f>2*(FG3+FJ3)</f>
        <v>0</v>
      </c>
      <c r="FO57" s="169"/>
      <c r="FP57" s="169"/>
      <c r="FQ57" s="169">
        <f>IF($F$2=10,(IF(F10=ER43,FJ3,IF(F10=ER44,FJ3*FF40,0))),IF(F2&gt;10,FJ3,0))</f>
        <v>0</v>
      </c>
      <c r="FR57" s="169"/>
      <c r="FS57" s="169"/>
      <c r="FT57" s="98" t="s">
        <v>41</v>
      </c>
      <c r="FU57" s="170">
        <f>(EJ20*FG3^3)/4</f>
        <v>0</v>
      </c>
      <c r="FV57" s="170"/>
      <c r="FW57" s="170"/>
      <c r="FX57" s="170">
        <f>(EJ21*FJ3^3)/4</f>
        <v>0</v>
      </c>
      <c r="FY57" s="170"/>
      <c r="FZ57" s="170"/>
      <c r="GA57" s="101"/>
      <c r="GB57" s="171">
        <f>-SUM(FU57:FZ60)-IF(F2=10,IF($F$10=$ER$44,FQ57,0))</f>
        <v>0</v>
      </c>
      <c r="GC57" s="171"/>
      <c r="GD57" s="171"/>
      <c r="GG57" s="22">
        <v>18</v>
      </c>
      <c r="GH57" s="45"/>
      <c r="GI57" s="45" t="e">
        <v>#N/A</v>
      </c>
      <c r="GJ57" s="45" t="e">
        <v>#N/A</v>
      </c>
      <c r="GK57" s="45" t="e">
        <v>#N/A</v>
      </c>
      <c r="GL57" s="45" t="e">
        <v>#N/A</v>
      </c>
      <c r="GM57" s="45" t="e">
        <v>#N/A</v>
      </c>
      <c r="GN57" s="45" t="e">
        <v>#N/A</v>
      </c>
      <c r="GO57" s="45" t="e">
        <v>#N/A</v>
      </c>
      <c r="GP57" s="45" t="e">
        <v>#N/A</v>
      </c>
      <c r="GQ57" s="45" t="e">
        <v>#N/A</v>
      </c>
      <c r="GR57" s="45" t="e">
        <v>#N/A</v>
      </c>
      <c r="GS57" s="45" t="e">
        <v>#N/A</v>
      </c>
      <c r="GT57" s="45" t="e">
        <v>#N/A</v>
      </c>
      <c r="GU57" s="45" t="e">
        <v>#N/A</v>
      </c>
      <c r="GV57" s="45" t="e">
        <v>#N/A</v>
      </c>
      <c r="GW57" s="45" t="e">
        <v>#N/A</v>
      </c>
      <c r="GX57" s="115" t="e">
        <v>#N/A</v>
      </c>
      <c r="GY57" s="115" t="e">
        <v>#N/A</v>
      </c>
      <c r="GZ57" s="115" t="e">
        <v>#N/A</v>
      </c>
      <c r="HA57" s="45" t="e">
        <v>#N/A</v>
      </c>
      <c r="HB57" s="45" t="e">
        <v>#N/A</v>
      </c>
      <c r="HC57" s="45" t="e">
        <v>#N/A</v>
      </c>
      <c r="HD57" s="45" t="e">
        <v>#N/A</v>
      </c>
      <c r="HE57" s="45" t="e">
        <v>#N/A</v>
      </c>
      <c r="HF57" s="45" t="e">
        <v>#N/A</v>
      </c>
      <c r="HG57" s="45"/>
      <c r="HI57" s="35">
        <f>$GB$97</f>
        <v>0</v>
      </c>
      <c r="HJ57" s="79"/>
      <c r="HQ57" s="87"/>
      <c r="HR57" s="87"/>
      <c r="HS57" s="118"/>
      <c r="IC57" s="253"/>
      <c r="ID57" s="53">
        <f t="shared" si="95"/>
        <v>16</v>
      </c>
      <c r="IE57" s="54" t="s">
        <v>153</v>
      </c>
      <c r="IF57" s="54">
        <f>IF(ER16=0,IF56,ET16)</f>
        <v>0</v>
      </c>
      <c r="IG57" s="54">
        <f>IF(IC53="-",0,IG56-IF(ER16=0,0,EJ16*(IF57-IF56)))</f>
        <v>1852.3388317681347</v>
      </c>
      <c r="II57" s="54" t="b">
        <f t="shared" si="44"/>
        <v>0</v>
      </c>
      <c r="IJ57" s="55" t="b">
        <f t="shared" si="73"/>
        <v>0</v>
      </c>
      <c r="IK57" s="54">
        <f t="shared" si="88"/>
        <v>0</v>
      </c>
      <c r="IL57" s="68">
        <f>IF(II53=TRUE,IK53,IF(II54=TRUE,IK54,IF(II55=TRUE,IK55,IF(II56=TRUE,IK56,IF(II57=TRUE,IK57,IF(II58=TRUE,IK58,IF(II59=TRUE,IK59,IF(II60=TRUE,IK60,IF(II61=TRUE,IK61,IF(II62=TRUE,IK62))))))))))</f>
        <v>1.9056983865927313</v>
      </c>
      <c r="IM57" s="68">
        <f t="shared" si="89"/>
        <v>3529.999123123599</v>
      </c>
      <c r="IN57" s="68">
        <f t="shared" si="90"/>
        <v>-1764.9995615617995</v>
      </c>
      <c r="IO57" s="69">
        <f t="shared" si="91"/>
        <v>0</v>
      </c>
      <c r="IP57" s="68">
        <f t="shared" si="92"/>
        <v>0</v>
      </c>
      <c r="IQ57" s="68">
        <f t="shared" si="93"/>
        <v>0</v>
      </c>
      <c r="IR57" s="68">
        <f t="shared" si="96"/>
        <v>-1043.1842616580311</v>
      </c>
      <c r="IS57" s="70">
        <f>IF(IC53="-","",ROUND(SUM(IM57:IR57),2))</f>
        <v>721.82</v>
      </c>
      <c r="IT57" s="68">
        <f t="shared" si="94"/>
        <v>17.905698386592732</v>
      </c>
      <c r="IV57" s="54">
        <f>ID62</f>
        <v>20</v>
      </c>
      <c r="IW57" s="54">
        <v>0</v>
      </c>
      <c r="IY57" s="54">
        <f>IY56</f>
        <v>-5</v>
      </c>
      <c r="IZ57" s="54">
        <f>IF(IC53="-",0,ER16/20)</f>
        <v>0</v>
      </c>
      <c r="JB57" s="54"/>
      <c r="JC57" s="54"/>
      <c r="JE57" s="54"/>
      <c r="JF57" s="54"/>
      <c r="JH57" s="54"/>
      <c r="JI57" s="54"/>
      <c r="JJ57" s="39"/>
      <c r="JK57" s="54">
        <f>IF(IC53=5,IT57,-5)</f>
        <v>17.905698386592732</v>
      </c>
      <c r="JL57" s="59">
        <f>IS57</f>
        <v>721.82</v>
      </c>
      <c r="JM57" s="40"/>
      <c r="JN57" s="59"/>
      <c r="JO57" s="59"/>
      <c r="JP57" s="40"/>
      <c r="JQ57" s="59"/>
      <c r="JR57" s="59"/>
      <c r="JS57" s="40"/>
      <c r="JT57" s="59"/>
      <c r="JU57" s="59"/>
      <c r="JV57" s="126"/>
      <c r="JW57" s="122"/>
      <c r="JX57" s="122"/>
      <c r="JY57" s="40"/>
      <c r="JZ57" s="39"/>
    </row>
    <row r="58" spans="12:286" ht="14.25" customHeight="1" x14ac:dyDescent="0.2">
      <c r="EC58" s="87"/>
      <c r="ED58" s="87"/>
      <c r="EE58" s="22">
        <v>13</v>
      </c>
      <c r="FH58" s="28"/>
      <c r="FI58" s="28"/>
      <c r="FJ58" s="28"/>
      <c r="FT58" s="98" t="s">
        <v>17</v>
      </c>
      <c r="FU58" s="170">
        <f>IF(FG3=0,0,(EL20*EN20/FG3)*(FG3^2-EN20^2))</f>
        <v>0</v>
      </c>
      <c r="FV58" s="170"/>
      <c r="FW58" s="170"/>
      <c r="FX58" s="170">
        <f>IF(FJ3=0,0,(EL21*EP21/FJ3)*(FJ3^2-EP21^2))</f>
        <v>0</v>
      </c>
      <c r="FY58" s="170"/>
      <c r="FZ58" s="170"/>
      <c r="GA58" s="101"/>
      <c r="GB58" s="170"/>
      <c r="GC58" s="170"/>
      <c r="GD58" s="170"/>
      <c r="GG58" s="22">
        <v>19</v>
      </c>
      <c r="GH58" s="45"/>
      <c r="GI58" s="45" t="e">
        <v>#N/A</v>
      </c>
      <c r="GJ58" s="45" t="e">
        <v>#N/A</v>
      </c>
      <c r="GK58" s="45" t="e">
        <v>#N/A</v>
      </c>
      <c r="GL58" s="45" t="e">
        <v>#N/A</v>
      </c>
      <c r="GM58" s="45" t="e">
        <v>#N/A</v>
      </c>
      <c r="GN58" s="45" t="e">
        <v>#N/A</v>
      </c>
      <c r="GO58" s="45" t="e">
        <v>#N/A</v>
      </c>
      <c r="GP58" s="45" t="e">
        <v>#N/A</v>
      </c>
      <c r="GQ58" s="45" t="e">
        <v>#N/A</v>
      </c>
      <c r="GR58" s="45" t="e">
        <v>#N/A</v>
      </c>
      <c r="GS58" s="45" t="e">
        <v>#N/A</v>
      </c>
      <c r="GT58" s="45" t="e">
        <v>#N/A</v>
      </c>
      <c r="GU58" s="45" t="e">
        <v>#N/A</v>
      </c>
      <c r="GV58" s="45" t="e">
        <v>#N/A</v>
      </c>
      <c r="GW58" s="45" t="e">
        <v>#N/A</v>
      </c>
      <c r="GX58" s="45" t="e">
        <v>#N/A</v>
      </c>
      <c r="GY58" s="115" t="e">
        <v>#N/A</v>
      </c>
      <c r="GZ58" s="115" t="e">
        <v>#N/A</v>
      </c>
      <c r="HA58" s="115" t="e">
        <v>#N/A</v>
      </c>
      <c r="HB58" s="45" t="e">
        <v>#N/A</v>
      </c>
      <c r="HC58" s="45" t="e">
        <v>#N/A</v>
      </c>
      <c r="HD58" s="45" t="e">
        <v>#N/A</v>
      </c>
      <c r="HE58" s="45" t="e">
        <v>#N/A</v>
      </c>
      <c r="HF58" s="45" t="e">
        <v>#N/A</v>
      </c>
      <c r="HG58" s="45"/>
      <c r="HI58" s="35">
        <f>$GB$102</f>
        <v>0</v>
      </c>
      <c r="HJ58" s="79"/>
      <c r="IC58" s="253"/>
      <c r="ID58" s="53">
        <f t="shared" si="95"/>
        <v>16</v>
      </c>
      <c r="IE58" s="54" t="s">
        <v>154</v>
      </c>
      <c r="IF58" s="54">
        <f>IF57</f>
        <v>0</v>
      </c>
      <c r="IG58" s="54">
        <f>IF(IC53="-",0,IG57-ER16)</f>
        <v>1852.3388317681347</v>
      </c>
      <c r="II58" s="54" t="b">
        <f t="shared" si="44"/>
        <v>0</v>
      </c>
      <c r="IJ58" s="55" t="b">
        <f t="shared" si="73"/>
        <v>0</v>
      </c>
      <c r="IK58" s="54">
        <f t="shared" si="88"/>
        <v>0</v>
      </c>
      <c r="IL58" s="56">
        <f>IL57+($IL$62-$IL$57)/4</f>
        <v>2.4292737899445482</v>
      </c>
      <c r="IM58" s="54">
        <f t="shared" si="89"/>
        <v>4499.8381741108333</v>
      </c>
      <c r="IN58" s="54">
        <f t="shared" si="90"/>
        <v>-2868.0663772046128</v>
      </c>
      <c r="IO58" s="57">
        <f t="shared" si="91"/>
        <v>0</v>
      </c>
      <c r="IP58" s="54">
        <f t="shared" si="92"/>
        <v>0</v>
      </c>
      <c r="IQ58" s="54">
        <f t="shared" si="93"/>
        <v>0</v>
      </c>
      <c r="IR58" s="54">
        <f t="shared" si="96"/>
        <v>-1043.1842616580311</v>
      </c>
      <c r="IS58" s="58">
        <f>IF(IC53="-","",SUM(IM58:IR58))</f>
        <v>588.5875352481894</v>
      </c>
      <c r="IT58" s="54">
        <f t="shared" si="94"/>
        <v>18.429273789944549</v>
      </c>
      <c r="IV58" s="54"/>
      <c r="IW58" s="54"/>
      <c r="IY58" s="65" t="str">
        <f>IF(IC53="-","",IF(ER16=0,"",ER16))</f>
        <v/>
      </c>
      <c r="IZ58" s="55"/>
      <c r="JB58" s="54"/>
      <c r="JC58" s="54"/>
      <c r="JE58" s="54"/>
      <c r="JF58" s="54"/>
      <c r="JH58" s="54"/>
      <c r="JI58" s="54"/>
      <c r="JJ58" s="39"/>
      <c r="JK58" s="54"/>
      <c r="JL58" s="54"/>
      <c r="JM58" s="39"/>
      <c r="JN58" s="54"/>
      <c r="JO58" s="54"/>
      <c r="JP58" s="39"/>
      <c r="JQ58" s="54"/>
      <c r="JR58" s="54"/>
      <c r="JS58" s="39"/>
      <c r="JT58" s="54"/>
      <c r="JU58" s="54"/>
      <c r="JV58" s="126"/>
      <c r="JW58" s="123"/>
      <c r="JX58" s="123"/>
      <c r="JY58" s="40"/>
      <c r="JZ58" s="39"/>
    </row>
    <row r="59" spans="12:286" ht="14.25" customHeight="1" x14ac:dyDescent="0.2">
      <c r="EC59" s="87"/>
      <c r="ED59" s="87"/>
      <c r="EE59" s="22">
        <v>14</v>
      </c>
      <c r="FH59" s="28"/>
      <c r="FI59" s="28"/>
      <c r="FJ59" s="28"/>
      <c r="FT59" s="98" t="s">
        <v>19</v>
      </c>
      <c r="FU59" s="170">
        <f>IF(FG3=0,0,(ER20*ET20/FG3)*(FG3^2-ET20^2))</f>
        <v>0</v>
      </c>
      <c r="FV59" s="170"/>
      <c r="FW59" s="170"/>
      <c r="FX59" s="170">
        <f>IF(FJ3=0,0,(ER21*EV21/FJ3)*(FJ3^2-EV21^2))</f>
        <v>0</v>
      </c>
      <c r="FY59" s="170"/>
      <c r="FZ59" s="170"/>
      <c r="GA59" s="101"/>
      <c r="GB59" s="170"/>
      <c r="GC59" s="170"/>
      <c r="GD59" s="170"/>
      <c r="GG59" s="22">
        <v>20</v>
      </c>
      <c r="GH59" s="45"/>
      <c r="GI59" s="45" t="e">
        <v>#N/A</v>
      </c>
      <c r="GJ59" s="45" t="e">
        <v>#N/A</v>
      </c>
      <c r="GK59" s="45" t="e">
        <v>#N/A</v>
      </c>
      <c r="GL59" s="45" t="e">
        <v>#N/A</v>
      </c>
      <c r="GM59" s="45" t="e">
        <v>#N/A</v>
      </c>
      <c r="GN59" s="45" t="e">
        <v>#N/A</v>
      </c>
      <c r="GO59" s="45" t="e">
        <v>#N/A</v>
      </c>
      <c r="GP59" s="45" t="e">
        <v>#N/A</v>
      </c>
      <c r="GQ59" s="45" t="e">
        <v>#N/A</v>
      </c>
      <c r="GR59" s="45" t="e">
        <v>#N/A</v>
      </c>
      <c r="GS59" s="45" t="e">
        <v>#N/A</v>
      </c>
      <c r="GT59" s="45" t="e">
        <v>#N/A</v>
      </c>
      <c r="GU59" s="45" t="e">
        <v>#N/A</v>
      </c>
      <c r="GV59" s="45" t="e">
        <v>#N/A</v>
      </c>
      <c r="GW59" s="45" t="e">
        <v>#N/A</v>
      </c>
      <c r="GX59" s="45" t="e">
        <v>#N/A</v>
      </c>
      <c r="GY59" s="45" t="e">
        <v>#N/A</v>
      </c>
      <c r="GZ59" s="115" t="e">
        <v>#N/A</v>
      </c>
      <c r="HA59" s="115" t="e">
        <v>#N/A</v>
      </c>
      <c r="HB59" s="115" t="e">
        <v>#N/A</v>
      </c>
      <c r="HC59" s="45" t="e">
        <v>#N/A</v>
      </c>
      <c r="HD59" s="45" t="e">
        <v>#N/A</v>
      </c>
      <c r="HE59" s="45" t="e">
        <v>#N/A</v>
      </c>
      <c r="HF59" s="45" t="e">
        <v>#N/A</v>
      </c>
      <c r="HG59" s="45"/>
      <c r="HI59" s="35">
        <f>$GB$107</f>
        <v>0</v>
      </c>
      <c r="HJ59" s="79"/>
      <c r="IC59" s="253"/>
      <c r="ID59" s="53">
        <f t="shared" si="95"/>
        <v>16</v>
      </c>
      <c r="IE59" s="54" t="s">
        <v>155</v>
      </c>
      <c r="IF59" s="54">
        <f>IF(EX16=0,IF58,EZ16)</f>
        <v>0</v>
      </c>
      <c r="IG59" s="54">
        <f>IF(IC53="-",0,IG58-IF(EX16=0,0,EJ16*(IF59-IF58)))</f>
        <v>1852.3388317681347</v>
      </c>
      <c r="II59" s="54" t="b">
        <f t="shared" si="44"/>
        <v>0</v>
      </c>
      <c r="IJ59" s="55" t="b">
        <f t="shared" si="73"/>
        <v>0</v>
      </c>
      <c r="IK59" s="54">
        <f t="shared" si="88"/>
        <v>0</v>
      </c>
      <c r="IL59" s="56">
        <f>IL58+($IL$62-$IL$57)/4</f>
        <v>2.9528491932963652</v>
      </c>
      <c r="IM59" s="54">
        <f t="shared" si="89"/>
        <v>5469.6772250980684</v>
      </c>
      <c r="IN59" s="54">
        <f t="shared" si="90"/>
        <v>-4237.5887221585836</v>
      </c>
      <c r="IO59" s="57">
        <f t="shared" si="91"/>
        <v>0</v>
      </c>
      <c r="IP59" s="54">
        <f t="shared" si="92"/>
        <v>0</v>
      </c>
      <c r="IQ59" s="54">
        <f t="shared" si="93"/>
        <v>0</v>
      </c>
      <c r="IR59" s="54">
        <f t="shared" si="96"/>
        <v>-1043.1842616580311</v>
      </c>
      <c r="IS59" s="58">
        <f>IF(IC53="-","",SUM(IM59:IR59))</f>
        <v>188.90424128145378</v>
      </c>
      <c r="IT59" s="54">
        <f t="shared" si="94"/>
        <v>18.952849193296366</v>
      </c>
      <c r="IV59" s="72">
        <f>IF(IC53="-","",EJ16)</f>
        <v>972</v>
      </c>
      <c r="IW59" s="54"/>
      <c r="IY59" s="54">
        <f>IF(IC53="-",-5,IF(EX16=0,-5,ID53+EZ16))</f>
        <v>-5</v>
      </c>
      <c r="IZ59" s="54">
        <v>0</v>
      </c>
      <c r="JB59" s="54"/>
      <c r="JC59" s="54"/>
      <c r="JE59" s="54"/>
      <c r="JF59" s="54"/>
      <c r="JH59" s="54"/>
      <c r="JI59" s="54"/>
      <c r="JJ59" s="39"/>
      <c r="JK59" s="54"/>
      <c r="JL59" s="54"/>
      <c r="JM59" s="39"/>
      <c r="JN59" s="54"/>
      <c r="JO59" s="54"/>
      <c r="JP59" s="39"/>
      <c r="JQ59" s="54"/>
      <c r="JR59" s="54"/>
      <c r="JS59" s="39"/>
      <c r="JT59" s="54"/>
      <c r="JU59" s="54"/>
      <c r="JV59" s="95"/>
      <c r="JW59" s="123"/>
      <c r="JX59" s="123"/>
      <c r="JY59" s="95"/>
      <c r="JZ59" s="95"/>
    </row>
    <row r="60" spans="12:286" ht="14.25" customHeight="1" x14ac:dyDescent="0.2">
      <c r="EC60" s="87"/>
      <c r="ED60" s="87"/>
      <c r="EE60" s="22">
        <v>15</v>
      </c>
      <c r="FH60" s="28"/>
      <c r="FI60" s="28"/>
      <c r="FJ60" s="28"/>
      <c r="FT60" s="98" t="s">
        <v>20</v>
      </c>
      <c r="FU60" s="170">
        <f>IF(FG3=0,0,(EX20*EZ20/FG3)*(FG3^2-EZ20^2))</f>
        <v>0</v>
      </c>
      <c r="FV60" s="170"/>
      <c r="FW60" s="170"/>
      <c r="FX60" s="170">
        <f>IF(FJ3=0,0,(EX21*FB21/FJ3)*(FJ3^2-FB21^2))</f>
        <v>0</v>
      </c>
      <c r="FY60" s="170"/>
      <c r="FZ60" s="170"/>
      <c r="GA60" s="101"/>
      <c r="GB60" s="172"/>
      <c r="GC60" s="172"/>
      <c r="GD60" s="172"/>
      <c r="GG60" s="22">
        <v>21</v>
      </c>
      <c r="GH60" s="45"/>
      <c r="GI60" s="45" t="e">
        <v>#N/A</v>
      </c>
      <c r="GJ60" s="45" t="e">
        <v>#N/A</v>
      </c>
      <c r="GK60" s="45" t="e">
        <v>#N/A</v>
      </c>
      <c r="GL60" s="45" t="e">
        <v>#N/A</v>
      </c>
      <c r="GM60" s="45" t="e">
        <v>#N/A</v>
      </c>
      <c r="GN60" s="45" t="e">
        <v>#N/A</v>
      </c>
      <c r="GO60" s="45" t="e">
        <v>#N/A</v>
      </c>
      <c r="GP60" s="45" t="e">
        <v>#N/A</v>
      </c>
      <c r="GQ60" s="45" t="e">
        <v>#N/A</v>
      </c>
      <c r="GR60" s="45" t="e">
        <v>#N/A</v>
      </c>
      <c r="GS60" s="45" t="e">
        <v>#N/A</v>
      </c>
      <c r="GT60" s="45" t="e">
        <v>#N/A</v>
      </c>
      <c r="GU60" s="45" t="e">
        <v>#N/A</v>
      </c>
      <c r="GV60" s="45" t="e">
        <v>#N/A</v>
      </c>
      <c r="GW60" s="45" t="e">
        <v>#N/A</v>
      </c>
      <c r="GX60" s="45" t="e">
        <v>#N/A</v>
      </c>
      <c r="GY60" s="45" t="e">
        <v>#N/A</v>
      </c>
      <c r="GZ60" s="45" t="e">
        <v>#N/A</v>
      </c>
      <c r="HA60" s="115" t="e">
        <v>#N/A</v>
      </c>
      <c r="HB60" s="115" t="e">
        <v>#N/A</v>
      </c>
      <c r="HC60" s="115" t="e">
        <v>#N/A</v>
      </c>
      <c r="HD60" s="45" t="e">
        <v>#N/A</v>
      </c>
      <c r="HE60" s="45" t="e">
        <v>#N/A</v>
      </c>
      <c r="HF60" s="45" t="e">
        <v>#N/A</v>
      </c>
      <c r="HG60" s="45"/>
      <c r="HI60" s="35">
        <f>$GB$112</f>
        <v>0</v>
      </c>
      <c r="HJ60" s="79"/>
      <c r="IC60" s="253"/>
      <c r="ID60" s="53">
        <f t="shared" si="95"/>
        <v>16</v>
      </c>
      <c r="IE60" s="54" t="s">
        <v>156</v>
      </c>
      <c r="IF60" s="54">
        <f>IF59</f>
        <v>0</v>
      </c>
      <c r="IG60" s="54">
        <f>IF(IC53="-",0,IG59-EX16)</f>
        <v>1852.3388317681347</v>
      </c>
      <c r="II60" s="54" t="b">
        <f t="shared" si="44"/>
        <v>1</v>
      </c>
      <c r="IJ60" s="55" t="b">
        <f t="shared" si="73"/>
        <v>1</v>
      </c>
      <c r="IK60" s="54">
        <f t="shared" si="88"/>
        <v>1.9056983865927313</v>
      </c>
      <c r="IL60" s="56">
        <f>IL59+($IL$62-$IL$57)/4</f>
        <v>3.4764245966481822</v>
      </c>
      <c r="IM60" s="54">
        <f t="shared" si="89"/>
        <v>6439.5162760853027</v>
      </c>
      <c r="IN60" s="54">
        <f t="shared" si="90"/>
        <v>-5873.5665964237114</v>
      </c>
      <c r="IO60" s="57">
        <f t="shared" si="91"/>
        <v>0</v>
      </c>
      <c r="IP60" s="54">
        <f t="shared" si="92"/>
        <v>0</v>
      </c>
      <c r="IQ60" s="54">
        <f t="shared" si="93"/>
        <v>0</v>
      </c>
      <c r="IR60" s="54">
        <f t="shared" si="96"/>
        <v>-1043.1842616580311</v>
      </c>
      <c r="IS60" s="58">
        <f>IF(IC53="-","",SUM(IM60:IR60))</f>
        <v>-477.23458199643983</v>
      </c>
      <c r="IT60" s="54">
        <f t="shared" si="94"/>
        <v>19.476424596648183</v>
      </c>
      <c r="IV60" s="54"/>
      <c r="IW60" s="54"/>
      <c r="IY60" s="54">
        <f>IY59</f>
        <v>-5</v>
      </c>
      <c r="IZ60" s="54">
        <f>IF(IC53="-",0,EX16/20)</f>
        <v>0</v>
      </c>
      <c r="JB60" s="66">
        <f>IF(IC53="-","",HY14)</f>
        <v>4058.7434018782383</v>
      </c>
      <c r="JC60" s="54" t="b">
        <f>AND($F$2=5,$F$10=$ER$43)</f>
        <v>0</v>
      </c>
      <c r="JE60" s="66">
        <f>JB60</f>
        <v>4058.7434018782383</v>
      </c>
      <c r="JF60" s="54"/>
      <c r="JH60" s="54"/>
      <c r="JI60" s="54"/>
      <c r="JK60" s="54" t="b">
        <f>AND($F$2=5,$F$10=$ER$43)</f>
        <v>0</v>
      </c>
      <c r="JL60" s="54"/>
      <c r="JM60" s="39"/>
      <c r="JN60" s="54"/>
      <c r="JO60" s="54"/>
      <c r="JP60" s="39"/>
      <c r="JQ60" s="54"/>
      <c r="JR60" s="54"/>
      <c r="JS60" s="39"/>
      <c r="JT60" s="54"/>
      <c r="JU60" s="54"/>
      <c r="JW60" s="123"/>
      <c r="JX60" s="123"/>
      <c r="JY60" s="87"/>
      <c r="JZ60" s="87"/>
    </row>
    <row r="61" spans="12:286" ht="14.25" customHeight="1" x14ac:dyDescent="0.2">
      <c r="EC61" s="87"/>
      <c r="ED61" s="87"/>
      <c r="EE61" s="22">
        <v>16</v>
      </c>
      <c r="FH61" s="28">
        <v>11</v>
      </c>
      <c r="FI61" s="184" t="s">
        <v>86</v>
      </c>
      <c r="FJ61" s="184"/>
      <c r="FK61" s="185" t="s">
        <v>85</v>
      </c>
      <c r="FL61" s="185"/>
      <c r="FM61" s="185"/>
      <c r="FN61" s="185" t="s">
        <v>87</v>
      </c>
      <c r="FO61" s="185"/>
      <c r="FP61" s="185"/>
      <c r="FQ61" s="185" t="s">
        <v>89</v>
      </c>
      <c r="FR61" s="185"/>
      <c r="FS61" s="185"/>
      <c r="FT61" s="98" t="s">
        <v>57</v>
      </c>
      <c r="FU61" s="187" t="s">
        <v>13</v>
      </c>
      <c r="FV61" s="185"/>
      <c r="FW61" s="185"/>
      <c r="FX61" s="187" t="s">
        <v>14</v>
      </c>
      <c r="FY61" s="185"/>
      <c r="FZ61" s="185"/>
      <c r="GA61" s="98" t="s">
        <v>57</v>
      </c>
      <c r="GB61" s="187" t="s">
        <v>60</v>
      </c>
      <c r="GC61" s="185"/>
      <c r="GD61" s="185"/>
      <c r="GG61" s="22">
        <v>22</v>
      </c>
      <c r="GH61" s="45"/>
      <c r="GI61" s="45" t="e">
        <v>#N/A</v>
      </c>
      <c r="GJ61" s="45" t="e">
        <v>#N/A</v>
      </c>
      <c r="GK61" s="45" t="e">
        <v>#N/A</v>
      </c>
      <c r="GL61" s="45" t="e">
        <v>#N/A</v>
      </c>
      <c r="GM61" s="45" t="e">
        <v>#N/A</v>
      </c>
      <c r="GN61" s="45" t="e">
        <v>#N/A</v>
      </c>
      <c r="GO61" s="45" t="e">
        <v>#N/A</v>
      </c>
      <c r="GP61" s="45" t="e">
        <v>#N/A</v>
      </c>
      <c r="GQ61" s="45" t="e">
        <v>#N/A</v>
      </c>
      <c r="GR61" s="45" t="e">
        <v>#N/A</v>
      </c>
      <c r="GS61" s="45" t="e">
        <v>#N/A</v>
      </c>
      <c r="GT61" s="45" t="e">
        <v>#N/A</v>
      </c>
      <c r="GU61" s="45" t="e">
        <v>#N/A</v>
      </c>
      <c r="GV61" s="45" t="e">
        <v>#N/A</v>
      </c>
      <c r="GW61" s="45" t="e">
        <v>#N/A</v>
      </c>
      <c r="GX61" s="45" t="e">
        <v>#N/A</v>
      </c>
      <c r="GY61" s="45" t="e">
        <v>#N/A</v>
      </c>
      <c r="GZ61" s="45" t="e">
        <v>#N/A</v>
      </c>
      <c r="HA61" s="45" t="e">
        <v>#N/A</v>
      </c>
      <c r="HB61" s="115" t="e">
        <v>#N/A</v>
      </c>
      <c r="HC61" s="115" t="e">
        <v>#N/A</v>
      </c>
      <c r="HD61" s="115" t="e">
        <v>#N/A</v>
      </c>
      <c r="HE61" s="45" t="e">
        <v>#N/A</v>
      </c>
      <c r="HF61" s="45" t="e">
        <v>#N/A</v>
      </c>
      <c r="HG61" s="45"/>
      <c r="HI61" s="35">
        <f>$GB$117</f>
        <v>0</v>
      </c>
      <c r="HJ61" s="79"/>
      <c r="IC61" s="253"/>
      <c r="ID61" s="53">
        <f t="shared" si="95"/>
        <v>20</v>
      </c>
      <c r="IE61" s="54" t="s">
        <v>157</v>
      </c>
      <c r="IF61" s="53">
        <f>IF62</f>
        <v>4</v>
      </c>
      <c r="IG61" s="54">
        <f>HW14</f>
        <v>-2035.6611682318653</v>
      </c>
      <c r="II61" s="54" t="b">
        <f t="shared" si="44"/>
        <v>0</v>
      </c>
      <c r="IJ61" s="55" t="b">
        <f t="shared" si="73"/>
        <v>0</v>
      </c>
      <c r="IK61" s="54">
        <f t="shared" si="88"/>
        <v>4</v>
      </c>
      <c r="IL61" s="56">
        <f>IL60+($IL$62-$IL$57)/4</f>
        <v>3.9999999999999991</v>
      </c>
      <c r="IM61" s="54">
        <f t="shared" si="89"/>
        <v>7409.355327072537</v>
      </c>
      <c r="IN61" s="54">
        <f t="shared" si="90"/>
        <v>-7775.9999999999964</v>
      </c>
      <c r="IO61" s="57">
        <f t="shared" si="91"/>
        <v>0</v>
      </c>
      <c r="IP61" s="54">
        <f t="shared" si="92"/>
        <v>0</v>
      </c>
      <c r="IQ61" s="54">
        <f t="shared" si="93"/>
        <v>0</v>
      </c>
      <c r="IR61" s="55"/>
      <c r="IS61" s="59">
        <f>IF(IC53="-","",ROUND(HU14,2))</f>
        <v>-1409.83</v>
      </c>
      <c r="IT61" s="54">
        <f t="shared" si="94"/>
        <v>20</v>
      </c>
      <c r="IV61" s="54"/>
      <c r="IW61" s="54"/>
      <c r="IY61" s="65" t="str">
        <f>IF(IC53="-","",IF(EX16=0,"",EX16))</f>
        <v/>
      </c>
      <c r="IZ61" s="55"/>
      <c r="JB61" s="54">
        <f>ID62</f>
        <v>20</v>
      </c>
      <c r="JC61" s="54">
        <v>0</v>
      </c>
      <c r="JE61" s="54">
        <f>JB61</f>
        <v>20</v>
      </c>
      <c r="JF61" s="54">
        <f>IF(JE60&gt;0,-MAX(IW3:IW272,IZ3:IZ272)*0.5,-MAX(IW3:IW272,IZ3:IZ272)*1.5)</f>
        <v>-37.5</v>
      </c>
      <c r="JH61" s="54">
        <f>IF(IC53=5,ID61,-5)</f>
        <v>20</v>
      </c>
      <c r="JI61" s="54">
        <f>IG61</f>
        <v>-2035.6611682318653</v>
      </c>
      <c r="JK61" s="54">
        <f>IF(JK60=TRUE,IT61,-5)</f>
        <v>-5</v>
      </c>
      <c r="JL61" s="59">
        <f>IS61</f>
        <v>-1409.83</v>
      </c>
      <c r="JM61" s="40"/>
      <c r="JN61" s="59"/>
      <c r="JO61" s="59"/>
      <c r="JP61" s="40"/>
      <c r="JQ61" s="59"/>
      <c r="JR61" s="59"/>
      <c r="JS61" s="40"/>
      <c r="JT61" s="59"/>
      <c r="JU61" s="59"/>
      <c r="JW61" s="122"/>
      <c r="JX61" s="122"/>
    </row>
    <row r="62" spans="12:286" ht="14.25" customHeight="1" x14ac:dyDescent="0.2">
      <c r="EC62" s="87"/>
      <c r="ED62" s="87"/>
      <c r="EE62" s="22">
        <v>17</v>
      </c>
      <c r="FH62" s="28"/>
      <c r="FI62" s="28"/>
      <c r="FJ62" s="28"/>
      <c r="FK62" s="169">
        <f>FJ3</f>
        <v>0</v>
      </c>
      <c r="FL62" s="169"/>
      <c r="FM62" s="169"/>
      <c r="FN62" s="169">
        <f>2*(FJ3+FM3)</f>
        <v>0</v>
      </c>
      <c r="FO62" s="169"/>
      <c r="FP62" s="169"/>
      <c r="FQ62" s="169">
        <f>IF($F$2=11,(IF(F10=ER43,FM3,IF(F10=ER44,FM3*FF40,0))),IF(F2&gt;11,FM3,0))</f>
        <v>0</v>
      </c>
      <c r="FR62" s="169"/>
      <c r="FS62" s="169"/>
      <c r="FT62" s="98" t="s">
        <v>41</v>
      </c>
      <c r="FU62" s="170">
        <f>(EJ21*FJ3^3)/4</f>
        <v>0</v>
      </c>
      <c r="FV62" s="170"/>
      <c r="FW62" s="170"/>
      <c r="FX62" s="170">
        <f>(EJ22*FM3^3)/4</f>
        <v>0</v>
      </c>
      <c r="FY62" s="170"/>
      <c r="FZ62" s="170"/>
      <c r="GA62" s="101"/>
      <c r="GB62" s="171">
        <f>-SUM(FU62:FZ65)-IF(F2=11,IF($F$10=$ER$44,FQ62,0))</f>
        <v>0</v>
      </c>
      <c r="GC62" s="171"/>
      <c r="GD62" s="171"/>
      <c r="GG62" s="22">
        <v>23</v>
      </c>
      <c r="GH62" s="45"/>
      <c r="GI62" s="45" t="e">
        <v>#N/A</v>
      </c>
      <c r="GJ62" s="45" t="e">
        <v>#N/A</v>
      </c>
      <c r="GK62" s="45" t="e">
        <v>#N/A</v>
      </c>
      <c r="GL62" s="45" t="e">
        <v>#N/A</v>
      </c>
      <c r="GM62" s="45" t="e">
        <v>#N/A</v>
      </c>
      <c r="GN62" s="45" t="e">
        <v>#N/A</v>
      </c>
      <c r="GO62" s="45" t="e">
        <v>#N/A</v>
      </c>
      <c r="GP62" s="45" t="e">
        <v>#N/A</v>
      </c>
      <c r="GQ62" s="45" t="e">
        <v>#N/A</v>
      </c>
      <c r="GR62" s="45" t="e">
        <v>#N/A</v>
      </c>
      <c r="GS62" s="45" t="e">
        <v>#N/A</v>
      </c>
      <c r="GT62" s="45" t="e">
        <v>#N/A</v>
      </c>
      <c r="GU62" s="45" t="e">
        <v>#N/A</v>
      </c>
      <c r="GV62" s="45" t="e">
        <v>#N/A</v>
      </c>
      <c r="GW62" s="45" t="e">
        <v>#N/A</v>
      </c>
      <c r="GX62" s="45" t="e">
        <v>#N/A</v>
      </c>
      <c r="GY62" s="45" t="e">
        <v>#N/A</v>
      </c>
      <c r="GZ62" s="45" t="e">
        <v>#N/A</v>
      </c>
      <c r="HA62" s="45" t="e">
        <v>#N/A</v>
      </c>
      <c r="HB62" s="45" t="e">
        <v>#N/A</v>
      </c>
      <c r="HC62" s="115" t="e">
        <v>#N/A</v>
      </c>
      <c r="HD62" s="115" t="e">
        <v>#N/A</v>
      </c>
      <c r="HE62" s="115" t="e">
        <v>#N/A</v>
      </c>
      <c r="HF62" s="45" t="e">
        <v>#N/A</v>
      </c>
      <c r="HG62" s="45"/>
      <c r="HI62" s="35">
        <f>$GB$122</f>
        <v>0</v>
      </c>
      <c r="HJ62" s="79"/>
      <c r="IC62" s="156"/>
      <c r="ID62" s="53">
        <f>IF(HS13="R0",ID53,ID53+HT13)</f>
        <v>20</v>
      </c>
      <c r="IE62" s="54" t="s">
        <v>158</v>
      </c>
      <c r="IF62" s="53">
        <f>IF(HS13="R0",0,HT13)</f>
        <v>4</v>
      </c>
      <c r="IG62" s="54">
        <v>0</v>
      </c>
      <c r="II62" s="54" t="b">
        <f t="shared" si="44"/>
        <v>0</v>
      </c>
      <c r="IJ62" s="55" t="b">
        <f t="shared" si="73"/>
        <v>1</v>
      </c>
      <c r="IK62" s="54">
        <f t="shared" si="88"/>
        <v>4</v>
      </c>
      <c r="IL62" s="56">
        <f>IK62</f>
        <v>4</v>
      </c>
      <c r="IM62" s="54"/>
      <c r="IN62" s="54"/>
      <c r="IO62" s="55"/>
      <c r="IP62" s="55"/>
      <c r="IQ62" s="55"/>
      <c r="IR62" s="55"/>
      <c r="IS62" s="83"/>
      <c r="IT62" s="54"/>
      <c r="IV62" s="54"/>
      <c r="IW62" s="54"/>
      <c r="IY62" s="55"/>
      <c r="IZ62" s="55"/>
      <c r="JB62" s="54">
        <f>JB61</f>
        <v>20</v>
      </c>
      <c r="JC62" s="54">
        <f>IF(IC53="-",0,IF(JC60=TRUE,0,-20))</f>
        <v>-20</v>
      </c>
      <c r="JE62" s="54">
        <f>JE61</f>
        <v>20</v>
      </c>
      <c r="JF62" s="54">
        <f>IF(IC53="-",JF61,IF(JE60&gt;0,-MAX(IW3:IW272,IZ3:IZ272)*1.5,-MAX(IW3:IW272,IZ3:IZ272)*0.5))</f>
        <v>-112.5</v>
      </c>
      <c r="JH62" s="54"/>
      <c r="JI62" s="54"/>
      <c r="JK62" s="54"/>
      <c r="JL62" s="54"/>
      <c r="JM62" s="39"/>
      <c r="JN62" s="54"/>
      <c r="JO62" s="54"/>
      <c r="JP62" s="39"/>
      <c r="JQ62" s="54"/>
      <c r="JR62" s="54"/>
      <c r="JS62" s="39"/>
      <c r="JT62" s="54"/>
      <c r="JU62" s="54"/>
      <c r="JW62" s="123"/>
      <c r="JX62" s="123"/>
    </row>
    <row r="63" spans="12:286" ht="14.25" customHeight="1" x14ac:dyDescent="0.2">
      <c r="AB63" s="1" t="s">
        <v>162</v>
      </c>
      <c r="EC63" s="87"/>
      <c r="ED63" s="87"/>
      <c r="EE63" s="22">
        <v>18</v>
      </c>
      <c r="FH63" s="28"/>
      <c r="FI63" s="28"/>
      <c r="FJ63" s="28"/>
      <c r="FT63" s="98" t="s">
        <v>17</v>
      </c>
      <c r="FU63" s="170">
        <f>IF(FJ3=0,0,(EL21*EN21/FJ3)*(FJ3^2-EN21^2))</f>
        <v>0</v>
      </c>
      <c r="FV63" s="170"/>
      <c r="FW63" s="170"/>
      <c r="FX63" s="170">
        <f>IF(FM3=0,0,(EL22*EP22/FM3)*(FM3^2-EP22^2))</f>
        <v>0</v>
      </c>
      <c r="FY63" s="170"/>
      <c r="FZ63" s="170"/>
      <c r="GA63" s="101"/>
      <c r="GB63" s="170"/>
      <c r="GC63" s="170"/>
      <c r="GD63" s="170"/>
      <c r="GG63" s="22">
        <v>24</v>
      </c>
      <c r="GH63" s="45"/>
      <c r="GI63" s="45" t="e">
        <v>#N/A</v>
      </c>
      <c r="GJ63" s="45" t="e">
        <v>#N/A</v>
      </c>
      <c r="GK63" s="45" t="e">
        <v>#N/A</v>
      </c>
      <c r="GL63" s="45" t="e">
        <v>#N/A</v>
      </c>
      <c r="GM63" s="45" t="e">
        <v>#N/A</v>
      </c>
      <c r="GN63" s="45" t="e">
        <v>#N/A</v>
      </c>
      <c r="GO63" s="45" t="e">
        <v>#N/A</v>
      </c>
      <c r="GP63" s="45" t="e">
        <v>#N/A</v>
      </c>
      <c r="GQ63" s="45" t="e">
        <v>#N/A</v>
      </c>
      <c r="GR63" s="45" t="e">
        <v>#N/A</v>
      </c>
      <c r="GS63" s="45" t="e">
        <v>#N/A</v>
      </c>
      <c r="GT63" s="45" t="e">
        <v>#N/A</v>
      </c>
      <c r="GU63" s="45" t="e">
        <v>#N/A</v>
      </c>
      <c r="GV63" s="45" t="e">
        <v>#N/A</v>
      </c>
      <c r="GW63" s="45" t="e">
        <v>#N/A</v>
      </c>
      <c r="GX63" s="45" t="e">
        <v>#N/A</v>
      </c>
      <c r="GY63" s="45" t="e">
        <v>#N/A</v>
      </c>
      <c r="GZ63" s="45" t="e">
        <v>#N/A</v>
      </c>
      <c r="HA63" s="45" t="e">
        <v>#N/A</v>
      </c>
      <c r="HB63" s="45" t="e">
        <v>#N/A</v>
      </c>
      <c r="HC63" s="45" t="e">
        <v>#N/A</v>
      </c>
      <c r="HD63" s="115" t="e">
        <v>#N/A</v>
      </c>
      <c r="HE63" s="115" t="e">
        <v>#N/A</v>
      </c>
      <c r="HF63" s="115" t="e">
        <v>#N/A</v>
      </c>
      <c r="HG63" s="45"/>
      <c r="HI63" s="35">
        <f>$GB$127</f>
        <v>0</v>
      </c>
      <c r="HJ63" s="79"/>
      <c r="IC63" s="162">
        <f>IF(HS15="R0","-",HS15)</f>
        <v>6</v>
      </c>
      <c r="ID63" s="81">
        <f>IF(HS15="R0",ID272,ID62)</f>
        <v>20</v>
      </c>
      <c r="IE63" s="38" t="s">
        <v>149</v>
      </c>
      <c r="IF63" s="38">
        <v>0</v>
      </c>
      <c r="IG63" s="38">
        <v>0</v>
      </c>
      <c r="II63" s="35" t="b">
        <f t="shared" si="44"/>
        <v>0</v>
      </c>
      <c r="IJ63" s="45" t="b">
        <f t="shared" si="73"/>
        <v>0</v>
      </c>
      <c r="IK63" s="35">
        <f t="shared" ref="IK63:IK72" si="97">IF(II63=TRUE,IF(IJ63=TRUE,IG63/$EJ$17)+IF63,IF63)</f>
        <v>0</v>
      </c>
      <c r="IL63" s="48">
        <f>IK63</f>
        <v>0</v>
      </c>
      <c r="IM63" s="35">
        <f t="shared" ref="IM63:IM71" si="98">$HV$15*IL63</f>
        <v>0</v>
      </c>
      <c r="IN63" s="35">
        <f t="shared" ref="IN63:IN71" si="99">-$EJ$17*(IL63^2/2)</f>
        <v>0</v>
      </c>
      <c r="IO63" s="36">
        <f t="shared" ref="IO63:IO71" si="100">-IF(IL63&gt;=$EN$17,$EL$17*(IL63-$EN$17),0)</f>
        <v>0</v>
      </c>
      <c r="IP63" s="35">
        <f t="shared" ref="IP63:IP71" si="101">-IF(IL63&gt;=$ET$17,$ER$17*(IL63-$ET$17),0)</f>
        <v>0</v>
      </c>
      <c r="IQ63" s="35">
        <f t="shared" ref="IQ63:IQ71" si="102">-IF(IL63&gt;=$EZ$17,$EX$17*(IL63-$EZ$17),0)</f>
        <v>0</v>
      </c>
      <c r="IR63" s="45"/>
      <c r="IS63" s="37">
        <f>IF(IC63="-","",HU15)</f>
        <v>-1409.8289345854923</v>
      </c>
      <c r="IT63" s="35">
        <f t="shared" ref="IT63:IT71" si="103">$ID$63+IL63</f>
        <v>20</v>
      </c>
      <c r="IV63" s="35">
        <f>ID63</f>
        <v>20</v>
      </c>
      <c r="IW63" s="35">
        <v>0</v>
      </c>
      <c r="IY63" s="35">
        <f>IF(IC63="-",-5,IF(EL17=0,-5,ID63+EN17))</f>
        <v>-5</v>
      </c>
      <c r="IZ63" s="35">
        <v>0</v>
      </c>
      <c r="JB63" s="38"/>
      <c r="JC63" s="38"/>
      <c r="JE63" s="38"/>
      <c r="JF63" s="38"/>
      <c r="JH63" s="38"/>
      <c r="JI63" s="38"/>
      <c r="JK63" s="35">
        <f>IF(IC63=6,IT63,-5)</f>
        <v>20</v>
      </c>
      <c r="JL63" s="37">
        <f>IS63</f>
        <v>-1409.8289345854923</v>
      </c>
      <c r="JM63" s="40"/>
      <c r="JN63" s="37">
        <f>IF(IC63="-",-5,(ID63+ID72)/2)</f>
        <v>22</v>
      </c>
      <c r="JO63" s="37">
        <f>-MAX(IW3:IW272,IZ3:IZ272)*0.7</f>
        <v>-52.5</v>
      </c>
      <c r="JP63" s="40"/>
      <c r="JQ63" s="37">
        <f>IF(IC63="-",-5,(IT63+IT67)/2)</f>
        <v>21.040680161340727</v>
      </c>
      <c r="JR63" s="37">
        <f>JR13</f>
        <v>-760.38306347150262</v>
      </c>
      <c r="JS63" s="40"/>
      <c r="JT63" s="37"/>
      <c r="JU63" s="37"/>
      <c r="JW63" s="37">
        <f>JN63</f>
        <v>22</v>
      </c>
      <c r="JX63" s="37">
        <f>JF72</f>
        <v>-112.5</v>
      </c>
    </row>
    <row r="64" spans="12:286" ht="14.25" customHeight="1" x14ac:dyDescent="0.2">
      <c r="EC64" s="87"/>
      <c r="ED64" s="87"/>
      <c r="EE64" s="22">
        <v>19</v>
      </c>
      <c r="FH64" s="28"/>
      <c r="FI64" s="28"/>
      <c r="FJ64" s="28"/>
      <c r="FT64" s="98" t="s">
        <v>19</v>
      </c>
      <c r="FU64" s="170">
        <f>IF(FJ3=0,0,(ER21*ET21/FJ3)*(FJ3^2-ET21^2))</f>
        <v>0</v>
      </c>
      <c r="FV64" s="170"/>
      <c r="FW64" s="170"/>
      <c r="FX64" s="170">
        <f>IF(FM3=0,0,(ER22*EV22/FM3)*(FM3^2-EV22^2))</f>
        <v>0</v>
      </c>
      <c r="FY64" s="170"/>
      <c r="FZ64" s="170"/>
      <c r="GA64" s="101"/>
      <c r="GB64" s="170"/>
      <c r="GC64" s="170"/>
      <c r="GD64" s="170"/>
      <c r="GG64" s="22">
        <v>25</v>
      </c>
      <c r="GH64" s="45"/>
      <c r="GI64" s="45" t="e">
        <v>#N/A</v>
      </c>
      <c r="GJ64" s="45" t="e">
        <v>#N/A</v>
      </c>
      <c r="GK64" s="45" t="e">
        <v>#N/A</v>
      </c>
      <c r="GL64" s="45" t="e">
        <v>#N/A</v>
      </c>
      <c r="GM64" s="45" t="e">
        <v>#N/A</v>
      </c>
      <c r="GN64" s="45" t="e">
        <v>#N/A</v>
      </c>
      <c r="GO64" s="45" t="e">
        <v>#N/A</v>
      </c>
      <c r="GP64" s="45" t="e">
        <v>#N/A</v>
      </c>
      <c r="GQ64" s="45" t="e">
        <v>#N/A</v>
      </c>
      <c r="GR64" s="45" t="e">
        <v>#N/A</v>
      </c>
      <c r="GS64" s="45" t="e">
        <v>#N/A</v>
      </c>
      <c r="GT64" s="45" t="e">
        <v>#N/A</v>
      </c>
      <c r="GU64" s="45" t="e">
        <v>#N/A</v>
      </c>
      <c r="GV64" s="45" t="e">
        <v>#N/A</v>
      </c>
      <c r="GW64" s="45" t="e">
        <v>#N/A</v>
      </c>
      <c r="GX64" s="45" t="e">
        <v>#N/A</v>
      </c>
      <c r="GY64" s="45" t="e">
        <v>#N/A</v>
      </c>
      <c r="GZ64" s="45" t="e">
        <v>#N/A</v>
      </c>
      <c r="HA64" s="45" t="e">
        <v>#N/A</v>
      </c>
      <c r="HB64" s="45" t="e">
        <v>#N/A</v>
      </c>
      <c r="HC64" s="45" t="e">
        <v>#N/A</v>
      </c>
      <c r="HD64" s="45" t="e">
        <v>#N/A</v>
      </c>
      <c r="HE64" s="115" t="e">
        <v>#N/A</v>
      </c>
      <c r="HF64" s="115" t="e">
        <v>#N/A</v>
      </c>
      <c r="HG64" s="45"/>
      <c r="HI64" s="35">
        <f>$GB$132</f>
        <v>0</v>
      </c>
      <c r="HJ64" s="79"/>
      <c r="IC64" s="162"/>
      <c r="ID64" s="74">
        <f>IF($IC$63="-",$ID$63,$ID$63+IF64)</f>
        <v>20</v>
      </c>
      <c r="IE64" s="35" t="s">
        <v>150</v>
      </c>
      <c r="IF64" s="35">
        <f>IF63</f>
        <v>0</v>
      </c>
      <c r="IG64" s="35">
        <f>IF(IC63="-",0,HV15)</f>
        <v>2023.082233646373</v>
      </c>
      <c r="II64" s="35" t="b">
        <f t="shared" si="44"/>
        <v>0</v>
      </c>
      <c r="IJ64" s="45" t="b">
        <f t="shared" si="73"/>
        <v>0</v>
      </c>
      <c r="IK64" s="35">
        <f t="shared" si="97"/>
        <v>0</v>
      </c>
      <c r="IL64" s="48">
        <f>(IL67-IL63)/4</f>
        <v>0.52034008067036341</v>
      </c>
      <c r="IM64" s="35">
        <f t="shared" si="98"/>
        <v>1052.6907726583327</v>
      </c>
      <c r="IN64" s="35">
        <f t="shared" si="99"/>
        <v>-131.58634658229158</v>
      </c>
      <c r="IO64" s="36">
        <f t="shared" si="100"/>
        <v>0</v>
      </c>
      <c r="IP64" s="35">
        <f t="shared" si="101"/>
        <v>0</v>
      </c>
      <c r="IQ64" s="35">
        <f t="shared" si="102"/>
        <v>0</v>
      </c>
      <c r="IR64" s="35">
        <f t="shared" ref="IR64:IR70" si="104">$HU$15</f>
        <v>-1409.8289345854923</v>
      </c>
      <c r="IS64" s="42">
        <f>IF(IC63="-","",SUM(IM64:IR64))</f>
        <v>-488.7245085094512</v>
      </c>
      <c r="IT64" s="35">
        <f t="shared" si="103"/>
        <v>20.520340080670362</v>
      </c>
      <c r="IV64" s="35">
        <f>IV63</f>
        <v>20</v>
      </c>
      <c r="IW64" s="35">
        <f>IF(IC63="-",0,EJ17)/20</f>
        <v>48.6</v>
      </c>
      <c r="IY64" s="35">
        <f>IY63</f>
        <v>-5</v>
      </c>
      <c r="IZ64" s="35">
        <f>IF(IC63="-",0,EL17/20)</f>
        <v>0</v>
      </c>
      <c r="JB64" s="38"/>
      <c r="JC64" s="38"/>
      <c r="JE64" s="38"/>
      <c r="JF64" s="38"/>
      <c r="JH64" s="38">
        <f>IF(IC63=6,ID64,-5)</f>
        <v>20</v>
      </c>
      <c r="JI64" s="38">
        <f>IG64</f>
        <v>2023.082233646373</v>
      </c>
      <c r="JK64" s="35"/>
      <c r="JL64" s="35"/>
      <c r="JM64" s="39"/>
      <c r="JN64" s="75">
        <f>HT15</f>
        <v>4</v>
      </c>
      <c r="JO64" s="35"/>
      <c r="JP64" s="39"/>
      <c r="JQ64" s="76">
        <f>IL67</f>
        <v>2.0813603226814537</v>
      </c>
      <c r="JR64" s="35"/>
      <c r="JS64" s="39"/>
      <c r="JT64" s="35"/>
      <c r="JU64" s="35"/>
      <c r="JW64" s="124">
        <f>IC63</f>
        <v>6</v>
      </c>
      <c r="JX64" s="127"/>
    </row>
    <row r="65" spans="12:284" ht="14.25" customHeight="1" x14ac:dyDescent="0.2"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87"/>
      <c r="DW65" s="87"/>
      <c r="DX65" s="87"/>
      <c r="DY65" s="87"/>
      <c r="DZ65" s="87"/>
      <c r="EA65" s="87"/>
      <c r="EB65" s="87"/>
      <c r="EC65" s="87"/>
      <c r="ED65" s="87"/>
      <c r="EE65" s="22">
        <v>20</v>
      </c>
      <c r="FH65" s="28"/>
      <c r="FI65" s="28"/>
      <c r="FJ65" s="28"/>
      <c r="FT65" s="98" t="s">
        <v>20</v>
      </c>
      <c r="FU65" s="170">
        <f>IF(FJ3=0,0,(EX21*EZ21/FJ3)*(FJ3^2-EZ21^2))</f>
        <v>0</v>
      </c>
      <c r="FV65" s="170"/>
      <c r="FW65" s="170"/>
      <c r="FX65" s="170">
        <f>IF(FM3=0,0,(EX22*FB22/FM3)*(FM3^2-FB22^2))</f>
        <v>0</v>
      </c>
      <c r="FY65" s="170"/>
      <c r="FZ65" s="170"/>
      <c r="GA65" s="101"/>
      <c r="GB65" s="172"/>
      <c r="GC65" s="172"/>
      <c r="GD65" s="172"/>
      <c r="GG65" s="22" t="s">
        <v>14</v>
      </c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115"/>
      <c r="HG65" s="115"/>
      <c r="HI65" s="35">
        <f>$GB$137</f>
        <v>0</v>
      </c>
      <c r="HJ65" s="79"/>
      <c r="IC65" s="162"/>
      <c r="ID65" s="74">
        <f t="shared" ref="ID65:ID71" si="105">IF($IC$63="-",$ID$63,$ID$63+IF65)</f>
        <v>20</v>
      </c>
      <c r="IE65" s="35" t="s">
        <v>151</v>
      </c>
      <c r="IF65" s="35">
        <f>IF(EL17=0,IF64,EN17)</f>
        <v>0</v>
      </c>
      <c r="IG65" s="35">
        <f>IF(IC63="-",0,IG64-IF(EL17=0,0,EJ17*IF65))</f>
        <v>2023.082233646373</v>
      </c>
      <c r="II65" s="35" t="b">
        <f t="shared" si="44"/>
        <v>0</v>
      </c>
      <c r="IJ65" s="45" t="b">
        <f t="shared" si="73"/>
        <v>0</v>
      </c>
      <c r="IK65" s="35">
        <f t="shared" si="97"/>
        <v>0</v>
      </c>
      <c r="IL65" s="48">
        <f>IL64*2</f>
        <v>1.0406801613407268</v>
      </c>
      <c r="IM65" s="35">
        <f t="shared" si="98"/>
        <v>2105.3815453166653</v>
      </c>
      <c r="IN65" s="35">
        <f t="shared" si="99"/>
        <v>-526.34538632916633</v>
      </c>
      <c r="IO65" s="36">
        <f t="shared" si="100"/>
        <v>0</v>
      </c>
      <c r="IP65" s="35">
        <f t="shared" si="101"/>
        <v>0</v>
      </c>
      <c r="IQ65" s="35">
        <f t="shared" si="102"/>
        <v>0</v>
      </c>
      <c r="IR65" s="35">
        <f t="shared" si="104"/>
        <v>-1409.8289345854923</v>
      </c>
      <c r="IS65" s="42">
        <f>IF(IC63="-","",SUM(IM65:IR65))</f>
        <v>169.20722440200666</v>
      </c>
      <c r="IT65" s="35">
        <f t="shared" si="103"/>
        <v>21.040680161340727</v>
      </c>
      <c r="IV65" s="35">
        <f>IF72/2+IV63</f>
        <v>22</v>
      </c>
      <c r="IW65" s="35">
        <f>IW64</f>
        <v>48.6</v>
      </c>
      <c r="IY65" s="44" t="str">
        <f>IF(IC63="-","",IF(EL17=0,"",EL17))</f>
        <v/>
      </c>
      <c r="IZ65" s="45"/>
      <c r="JB65" s="38"/>
      <c r="JC65" s="38"/>
      <c r="JE65" s="38"/>
      <c r="JF65" s="38"/>
      <c r="JH65" s="38"/>
      <c r="JI65" s="38"/>
      <c r="JK65" s="35"/>
      <c r="JL65" s="35"/>
      <c r="JM65" s="39"/>
      <c r="JN65" s="35"/>
      <c r="JO65" s="35"/>
      <c r="JP65" s="39"/>
      <c r="JQ65" s="35"/>
      <c r="JR65" s="35"/>
      <c r="JS65" s="39"/>
      <c r="JT65" s="35"/>
      <c r="JU65" s="35"/>
      <c r="JW65" s="127"/>
      <c r="JX65" s="127"/>
    </row>
    <row r="66" spans="12:284" ht="14.25" customHeight="1" x14ac:dyDescent="0.2"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87"/>
      <c r="DW66" s="87"/>
      <c r="DX66" s="87"/>
      <c r="DY66" s="87"/>
      <c r="DZ66" s="87"/>
      <c r="EA66" s="87"/>
      <c r="EB66" s="87"/>
      <c r="EC66" s="87"/>
      <c r="ED66" s="87"/>
      <c r="EE66" s="22">
        <v>21</v>
      </c>
      <c r="FH66" s="28">
        <v>12</v>
      </c>
      <c r="FI66" s="184" t="s">
        <v>88</v>
      </c>
      <c r="FJ66" s="184"/>
      <c r="FK66" s="185" t="s">
        <v>87</v>
      </c>
      <c r="FL66" s="185"/>
      <c r="FM66" s="185"/>
      <c r="FN66" s="185" t="s">
        <v>89</v>
      </c>
      <c r="FO66" s="185"/>
      <c r="FP66" s="185"/>
      <c r="FQ66" s="185" t="s">
        <v>91</v>
      </c>
      <c r="FR66" s="185"/>
      <c r="FS66" s="185"/>
      <c r="FT66" s="98" t="s">
        <v>57</v>
      </c>
      <c r="FU66" s="187" t="s">
        <v>13</v>
      </c>
      <c r="FV66" s="185"/>
      <c r="FW66" s="185"/>
      <c r="FX66" s="187" t="s">
        <v>14</v>
      </c>
      <c r="FY66" s="185"/>
      <c r="FZ66" s="185"/>
      <c r="GA66" s="98" t="s">
        <v>57</v>
      </c>
      <c r="GB66" s="187" t="s">
        <v>60</v>
      </c>
      <c r="GC66" s="185"/>
      <c r="GD66" s="185"/>
      <c r="IC66" s="162"/>
      <c r="ID66" s="74">
        <f t="shared" si="105"/>
        <v>20</v>
      </c>
      <c r="IE66" s="35" t="s">
        <v>152</v>
      </c>
      <c r="IF66" s="35">
        <f>IF65</f>
        <v>0</v>
      </c>
      <c r="IG66" s="35">
        <f>IF(IC63="-",0,IG65-EL17)</f>
        <v>2023.082233646373</v>
      </c>
      <c r="II66" s="35" t="b">
        <f t="shared" si="44"/>
        <v>0</v>
      </c>
      <c r="IJ66" s="45" t="b">
        <f t="shared" si="73"/>
        <v>0</v>
      </c>
      <c r="IK66" s="35">
        <f t="shared" si="97"/>
        <v>0</v>
      </c>
      <c r="IL66" s="48">
        <f>IL64*3</f>
        <v>1.5610202420110904</v>
      </c>
      <c r="IM66" s="35">
        <f t="shared" si="98"/>
        <v>3158.0723179749984</v>
      </c>
      <c r="IN66" s="35">
        <f t="shared" si="99"/>
        <v>-1184.2771192406244</v>
      </c>
      <c r="IO66" s="36">
        <f t="shared" si="100"/>
        <v>0</v>
      </c>
      <c r="IP66" s="35">
        <f t="shared" si="101"/>
        <v>0</v>
      </c>
      <c r="IQ66" s="35">
        <f t="shared" si="102"/>
        <v>0</v>
      </c>
      <c r="IR66" s="35">
        <f t="shared" si="104"/>
        <v>-1409.8289345854923</v>
      </c>
      <c r="IS66" s="42">
        <f>IF(IC63="-","",SUM(IM66:IR66))</f>
        <v>563.96626414888169</v>
      </c>
      <c r="IT66" s="35">
        <f t="shared" si="103"/>
        <v>21.561020242011089</v>
      </c>
      <c r="IV66" s="35">
        <f>IV67</f>
        <v>24</v>
      </c>
      <c r="IW66" s="35">
        <f>IW64</f>
        <v>48.6</v>
      </c>
      <c r="IY66" s="35">
        <f>IF(IC63="-",-5,IF(ER16=0,-5,ID63+ET16))</f>
        <v>-5</v>
      </c>
      <c r="IZ66" s="35">
        <v>0</v>
      </c>
      <c r="JB66" s="38"/>
      <c r="JC66" s="38"/>
      <c r="JE66" s="38"/>
      <c r="JF66" s="38"/>
      <c r="JH66" s="38"/>
      <c r="JI66" s="38"/>
      <c r="JK66" s="35"/>
      <c r="JL66" s="35"/>
      <c r="JM66" s="39"/>
      <c r="JN66" s="35"/>
      <c r="JO66" s="35"/>
      <c r="JP66" s="39"/>
      <c r="JQ66" s="35"/>
      <c r="JR66" s="35"/>
      <c r="JS66" s="39"/>
      <c r="JT66" s="35"/>
      <c r="JU66" s="35"/>
      <c r="JW66" s="127"/>
      <c r="JX66" s="127"/>
    </row>
    <row r="67" spans="12:284" ht="14.25" customHeight="1" x14ac:dyDescent="0.2"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87"/>
      <c r="DW67" s="87"/>
      <c r="DX67" s="87"/>
      <c r="DY67" s="87"/>
      <c r="DZ67" s="87"/>
      <c r="EA67" s="87"/>
      <c r="EB67" s="87"/>
      <c r="EC67" s="87"/>
      <c r="ED67" s="87"/>
      <c r="EE67" s="22">
        <v>22</v>
      </c>
      <c r="FH67" s="28"/>
      <c r="FI67" s="28"/>
      <c r="FJ67" s="28"/>
      <c r="FK67" s="169">
        <f>FM3</f>
        <v>0</v>
      </c>
      <c r="FL67" s="169"/>
      <c r="FM67" s="169"/>
      <c r="FN67" s="169">
        <f>2*(FM3+FP3)</f>
        <v>0</v>
      </c>
      <c r="FO67" s="169"/>
      <c r="FP67" s="169"/>
      <c r="FQ67" s="169">
        <f>IF($F$2=12,(IF(F10=ER43,FP3,IF(F10=ER44,FP3*FF40,0))),IF(F2&gt;12,FP3,0))</f>
        <v>0</v>
      </c>
      <c r="FR67" s="169"/>
      <c r="FS67" s="169"/>
      <c r="FT67" s="98" t="s">
        <v>41</v>
      </c>
      <c r="FU67" s="170">
        <f>(EJ22*FM3^3)/4</f>
        <v>0</v>
      </c>
      <c r="FV67" s="170"/>
      <c r="FW67" s="170"/>
      <c r="FX67" s="170">
        <f>(EJ23*FP3^3)/4</f>
        <v>0</v>
      </c>
      <c r="FY67" s="170"/>
      <c r="FZ67" s="170"/>
      <c r="GA67" s="101"/>
      <c r="GB67" s="171">
        <f>-SUM(FU67:FZ70)-IF(F2=12,IF($F$10=$ER$44,FQ67,0))</f>
        <v>0</v>
      </c>
      <c r="GC67" s="171"/>
      <c r="GD67" s="171"/>
      <c r="GH67" s="22" t="s">
        <v>30</v>
      </c>
      <c r="GI67" s="22" t="s">
        <v>31</v>
      </c>
      <c r="GJ67" s="22" t="s">
        <v>32</v>
      </c>
      <c r="GK67" s="22" t="s">
        <v>33</v>
      </c>
      <c r="GL67" s="22" t="s">
        <v>34</v>
      </c>
      <c r="GM67" s="22" t="s">
        <v>35</v>
      </c>
      <c r="GN67" s="22" t="s">
        <v>36</v>
      </c>
      <c r="GO67" s="22" t="s">
        <v>37</v>
      </c>
      <c r="GP67" s="22" t="s">
        <v>38</v>
      </c>
      <c r="GQ67" s="22" t="s">
        <v>39</v>
      </c>
      <c r="GR67" s="22" t="s">
        <v>40</v>
      </c>
      <c r="GS67" s="22" t="s">
        <v>41</v>
      </c>
      <c r="GT67" s="22" t="s">
        <v>23</v>
      </c>
      <c r="GU67" s="22" t="s">
        <v>42</v>
      </c>
      <c r="GV67" s="22" t="s">
        <v>43</v>
      </c>
      <c r="GW67" s="22" t="s">
        <v>44</v>
      </c>
      <c r="GX67" s="22" t="s">
        <v>45</v>
      </c>
      <c r="GY67" s="22" t="s">
        <v>46</v>
      </c>
      <c r="GZ67" s="22" t="s">
        <v>18</v>
      </c>
      <c r="HA67" s="22" t="s">
        <v>47</v>
      </c>
      <c r="HB67" s="22" t="s">
        <v>48</v>
      </c>
      <c r="HC67" s="22" t="s">
        <v>22</v>
      </c>
      <c r="HD67" s="22" t="s">
        <v>49</v>
      </c>
      <c r="HE67" s="22" t="s">
        <v>50</v>
      </c>
      <c r="HF67" s="22" t="s">
        <v>51</v>
      </c>
      <c r="HG67" s="22" t="s">
        <v>52</v>
      </c>
      <c r="IC67" s="162"/>
      <c r="ID67" s="74">
        <f t="shared" si="105"/>
        <v>20</v>
      </c>
      <c r="IE67" s="35" t="s">
        <v>153</v>
      </c>
      <c r="IF67" s="35">
        <f>IF(ER17=0,IF66,ET17)</f>
        <v>0</v>
      </c>
      <c r="IG67" s="35">
        <f>IF(IC63="-",0,IG66-IF(ER17=0,0,EJ17*(IF67-IF66)))</f>
        <v>2023.082233646373</v>
      </c>
      <c r="II67" s="35" t="b">
        <f t="shared" si="44"/>
        <v>0</v>
      </c>
      <c r="IJ67" s="45" t="b">
        <f t="shared" si="73"/>
        <v>0</v>
      </c>
      <c r="IK67" s="35">
        <f t="shared" si="97"/>
        <v>0</v>
      </c>
      <c r="IL67" s="68">
        <f>IF(II63=TRUE,IK63,IF(II64=TRUE,IK64,IF(II65=TRUE,IK65,IF(II66=TRUE,IK66,IF(II67=TRUE,IK67,IF(II68=TRUE,IK68,IF(II69=TRUE,IK69,IF(II70=TRUE,IK70,IF(II71=TRUE,IK71,IF(II72=TRUE,IK72))))))))))</f>
        <v>2.0813603226814537</v>
      </c>
      <c r="IM67" s="68">
        <f t="shared" si="98"/>
        <v>4210.7630906333306</v>
      </c>
      <c r="IN67" s="68">
        <f t="shared" si="99"/>
        <v>-2105.3815453166653</v>
      </c>
      <c r="IO67" s="69">
        <f t="shared" si="100"/>
        <v>0</v>
      </c>
      <c r="IP67" s="68">
        <f t="shared" si="101"/>
        <v>0</v>
      </c>
      <c r="IQ67" s="68">
        <f t="shared" si="102"/>
        <v>0</v>
      </c>
      <c r="IR67" s="68">
        <f t="shared" si="104"/>
        <v>-1409.8289345854923</v>
      </c>
      <c r="IS67" s="70">
        <f>IF(IC63="-","",ROUND(SUM(IM67:IR67),2))</f>
        <v>695.55</v>
      </c>
      <c r="IT67" s="68">
        <f t="shared" si="103"/>
        <v>22.081360322681455</v>
      </c>
      <c r="IV67" s="35">
        <f>ID72</f>
        <v>24</v>
      </c>
      <c r="IW67" s="35">
        <v>0</v>
      </c>
      <c r="IY67" s="35">
        <f>IY66</f>
        <v>-5</v>
      </c>
      <c r="IZ67" s="35">
        <f>IF(IC63="-",0,ER17/20)</f>
        <v>0</v>
      </c>
      <c r="JB67" s="38"/>
      <c r="JC67" s="38"/>
      <c r="JE67" s="38"/>
      <c r="JF67" s="38"/>
      <c r="JH67" s="38"/>
      <c r="JI67" s="38"/>
      <c r="JK67" s="35">
        <f>IF(IC63=6,IT67,-5)</f>
        <v>22.081360322681455</v>
      </c>
      <c r="JL67" s="37">
        <f>IS67</f>
        <v>695.55</v>
      </c>
      <c r="JM67" s="40"/>
      <c r="JN67" s="37"/>
      <c r="JO67" s="37"/>
      <c r="JP67" s="40"/>
      <c r="JQ67" s="37"/>
      <c r="JR67" s="37"/>
      <c r="JS67" s="40"/>
      <c r="JT67" s="37"/>
      <c r="JU67" s="37"/>
      <c r="JW67" s="37"/>
      <c r="JX67" s="37"/>
    </row>
    <row r="68" spans="12:284" ht="14.25" customHeight="1" x14ac:dyDescent="0.2"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87"/>
      <c r="DW68" s="87"/>
      <c r="DX68" s="87"/>
      <c r="DY68" s="87"/>
      <c r="DZ68" s="87"/>
      <c r="EA68" s="87"/>
      <c r="EB68" s="87"/>
      <c r="EC68" s="87"/>
      <c r="ED68" s="87"/>
      <c r="EE68" s="22">
        <v>23</v>
      </c>
      <c r="FH68" s="28"/>
      <c r="FI68" s="28"/>
      <c r="FJ68" s="28"/>
      <c r="FT68" s="98" t="s">
        <v>17</v>
      </c>
      <c r="FU68" s="170">
        <f>IF(FM3=0,0,(EL22*EN22/FM3)*(FM3^2-EN22^2))</f>
        <v>0</v>
      </c>
      <c r="FV68" s="170"/>
      <c r="FW68" s="170"/>
      <c r="FX68" s="170">
        <f>IF(FP3=0,0,(EL23*EP23/FP3)*(FP3^2-EP23^2))</f>
        <v>0</v>
      </c>
      <c r="FY68" s="170"/>
      <c r="FZ68" s="170"/>
      <c r="GA68" s="101"/>
      <c r="GB68" s="170"/>
      <c r="GC68" s="170"/>
      <c r="GD68" s="170"/>
      <c r="GG68" s="22" t="s">
        <v>13</v>
      </c>
      <c r="GH68" s="115">
        <f t="array" ref="GH68:HG93">MINVERSE(IF(F2=2,GH12:GJ14,IF(F2=3,GH12:GK15,IF(F2=4,GH12:GL16,IF(F2=5,GH12:GM17,IF(F2=6,GH12:GN18,IF(F2=7,GH12:GO19,IF(F2=8,GH12:GP20,IF(F2=9,GH12:GQ21,IF(F2=10,GH12:GR22,IF(F2=11,GH12:GS23,IF(F2=12,GH12:GT24,IF(F2=13,GH12:GU25,IF(F2=14,GH12:GV26,IF(F2=15,GH12:GW27,IF(F2=16,GH12:GX28,IF(F2=17,GH12:GY29,IF(F2=18,GH12:GZ30,IF(F2=19,GH12:HA31,IF(F2=20,GH12:HB32,IF(F2=21,GH12:HC33,IF(F2=22,GH12:HD34,IF(F2=23,GH12:HE35,IF(F2=24,GH12:HF36,IF(F2=25,GH12:HG37,IF(F2=1,GH12:GI13,0))))))))))))))))))))))))))</f>
        <v>0.1443370200401958</v>
      </c>
      <c r="GI68" s="115">
        <v>-3.8674040080391617E-2</v>
      </c>
      <c r="GJ68" s="45">
        <v>1.0359140281370671E-2</v>
      </c>
      <c r="GK68" s="45">
        <v>-2.7625210450910676E-3</v>
      </c>
      <c r="GL68" s="45">
        <v>6.9094389899359936E-4</v>
      </c>
      <c r="GM68" s="45">
        <v>-1.2545508833292714E-6</v>
      </c>
      <c r="GN68" s="45">
        <v>-6.8592569546028213E-4</v>
      </c>
      <c r="GO68" s="45" t="e">
        <v>#N/A</v>
      </c>
      <c r="GP68" s="45" t="e">
        <v>#N/A</v>
      </c>
      <c r="GQ68" s="45" t="e">
        <v>#N/A</v>
      </c>
      <c r="GR68" s="45" t="e">
        <v>#N/A</v>
      </c>
      <c r="GS68" s="45" t="e">
        <v>#N/A</v>
      </c>
      <c r="GT68" s="45" t="e">
        <v>#N/A</v>
      </c>
      <c r="GU68" s="45" t="e">
        <v>#N/A</v>
      </c>
      <c r="GV68" s="45" t="e">
        <v>#N/A</v>
      </c>
      <c r="GW68" s="45" t="e">
        <v>#N/A</v>
      </c>
      <c r="GX68" s="45" t="e">
        <v>#N/A</v>
      </c>
      <c r="GY68" s="45" t="e">
        <v>#N/A</v>
      </c>
      <c r="GZ68" s="45" t="e">
        <v>#N/A</v>
      </c>
      <c r="HA68" s="45" t="e">
        <v>#N/A</v>
      </c>
      <c r="HB68" s="45" t="e">
        <v>#N/A</v>
      </c>
      <c r="HC68" s="45" t="e">
        <v>#N/A</v>
      </c>
      <c r="HD68" s="45" t="e">
        <v>#N/A</v>
      </c>
      <c r="HE68" s="45" t="e">
        <v>#N/A</v>
      </c>
      <c r="HF68" s="45" t="e">
        <v>#N/A</v>
      </c>
      <c r="HG68" s="45" t="e">
        <v>#N/A</v>
      </c>
      <c r="HI68" s="35">
        <f>$GB$12</f>
        <v>-22912</v>
      </c>
      <c r="HK68" s="39"/>
      <c r="IC68" s="162"/>
      <c r="ID68" s="74">
        <f t="shared" si="105"/>
        <v>20</v>
      </c>
      <c r="IE68" s="35" t="s">
        <v>154</v>
      </c>
      <c r="IF68" s="35">
        <f>IF67</f>
        <v>0</v>
      </c>
      <c r="IG68" s="35">
        <f>IF(IC63="-",0,IG67-ER17)</f>
        <v>2023.082233646373</v>
      </c>
      <c r="II68" s="35" t="b">
        <f t="shared" si="44"/>
        <v>0</v>
      </c>
      <c r="IJ68" s="45" t="b">
        <f t="shared" si="73"/>
        <v>0</v>
      </c>
      <c r="IK68" s="35">
        <f t="shared" si="97"/>
        <v>0</v>
      </c>
      <c r="IL68" s="48">
        <f>IL67+($IL$72-$IL$67)/4</f>
        <v>2.5610202420110904</v>
      </c>
      <c r="IM68" s="35">
        <f t="shared" si="98"/>
        <v>5181.154551621371</v>
      </c>
      <c r="IN68" s="35">
        <f t="shared" si="99"/>
        <v>-3187.588794475404</v>
      </c>
      <c r="IO68" s="36">
        <f t="shared" si="100"/>
        <v>0</v>
      </c>
      <c r="IP68" s="35">
        <f t="shared" si="101"/>
        <v>0</v>
      </c>
      <c r="IQ68" s="35">
        <f t="shared" si="102"/>
        <v>0</v>
      </c>
      <c r="IR68" s="35">
        <f t="shared" si="104"/>
        <v>-1409.8289345854923</v>
      </c>
      <c r="IS68" s="42">
        <f>IF(IC63="-","",SUM(IM68:IR68))</f>
        <v>583.73682256047459</v>
      </c>
      <c r="IT68" s="35">
        <f t="shared" si="103"/>
        <v>22.561020242011089</v>
      </c>
      <c r="IV68" s="35"/>
      <c r="IW68" s="35"/>
      <c r="IY68" s="44" t="str">
        <f>IF(IC63="-","",IF(ER17=0,"",ER17))</f>
        <v/>
      </c>
      <c r="IZ68" s="45"/>
      <c r="JB68" s="38"/>
      <c r="JC68" s="38"/>
      <c r="JE68" s="38"/>
      <c r="JF68" s="38"/>
      <c r="JH68" s="38"/>
      <c r="JI68" s="38"/>
      <c r="JK68" s="35"/>
      <c r="JL68" s="35"/>
      <c r="JM68" s="39"/>
      <c r="JN68" s="35"/>
      <c r="JO68" s="35"/>
      <c r="JP68" s="39"/>
      <c r="JQ68" s="35"/>
      <c r="JR68" s="35"/>
      <c r="JS68" s="39"/>
      <c r="JT68" s="35"/>
      <c r="JU68" s="35"/>
      <c r="JW68" s="127"/>
      <c r="JX68" s="127"/>
    </row>
    <row r="69" spans="12:284" ht="14.25" customHeight="1" x14ac:dyDescent="0.2"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87"/>
      <c r="DW69" s="87"/>
      <c r="DX69" s="87"/>
      <c r="DY69" s="87"/>
      <c r="DZ69" s="87"/>
      <c r="EA69" s="87"/>
      <c r="EB69" s="87"/>
      <c r="EC69" s="87"/>
      <c r="ED69" s="87"/>
      <c r="EE69" s="22">
        <v>24</v>
      </c>
      <c r="FH69" s="28"/>
      <c r="FI69" s="28"/>
      <c r="FJ69" s="28"/>
      <c r="FT69" s="98" t="s">
        <v>19</v>
      </c>
      <c r="FU69" s="170">
        <f>IF(FM3=0,0,(ER22*ET22/FM3)*(FM3^2-ET22^2))</f>
        <v>0</v>
      </c>
      <c r="FV69" s="170"/>
      <c r="FW69" s="170"/>
      <c r="FX69" s="170">
        <f>IF(FP3=0,0,(ER23*EV23/FP3)*(FP3^2-EV23^2))</f>
        <v>0</v>
      </c>
      <c r="FY69" s="170"/>
      <c r="FZ69" s="170"/>
      <c r="GA69" s="101"/>
      <c r="GB69" s="170"/>
      <c r="GC69" s="170"/>
      <c r="GD69" s="170"/>
      <c r="GG69" s="22">
        <v>2</v>
      </c>
      <c r="GH69" s="45">
        <v>-3.8674040080391617E-2</v>
      </c>
      <c r="GI69" s="45">
        <v>7.7348080160783234E-2</v>
      </c>
      <c r="GJ69" s="45">
        <v>-2.0718280562741342E-2</v>
      </c>
      <c r="GK69" s="45">
        <v>5.5250420901821352E-3</v>
      </c>
      <c r="GL69" s="45">
        <v>-1.3818877979871987E-3</v>
      </c>
      <c r="GM69" s="45">
        <v>2.5091017666585428E-6</v>
      </c>
      <c r="GN69" s="45">
        <v>1.3718513909205643E-3</v>
      </c>
      <c r="GO69" s="45" t="e">
        <v>#N/A</v>
      </c>
      <c r="GP69" s="45" t="e">
        <v>#N/A</v>
      </c>
      <c r="GQ69" s="45" t="e">
        <v>#N/A</v>
      </c>
      <c r="GR69" s="45" t="e">
        <v>#N/A</v>
      </c>
      <c r="GS69" s="45" t="e">
        <v>#N/A</v>
      </c>
      <c r="GT69" s="45" t="e">
        <v>#N/A</v>
      </c>
      <c r="GU69" s="45" t="e">
        <v>#N/A</v>
      </c>
      <c r="GV69" s="45" t="e">
        <v>#N/A</v>
      </c>
      <c r="GW69" s="45" t="e">
        <v>#N/A</v>
      </c>
      <c r="GX69" s="45" t="e">
        <v>#N/A</v>
      </c>
      <c r="GY69" s="45" t="e">
        <v>#N/A</v>
      </c>
      <c r="GZ69" s="45" t="e">
        <v>#N/A</v>
      </c>
      <c r="HA69" s="45" t="e">
        <v>#N/A</v>
      </c>
      <c r="HB69" s="45" t="e">
        <v>#N/A</v>
      </c>
      <c r="HC69" s="45" t="e">
        <v>#N/A</v>
      </c>
      <c r="HD69" s="45" t="e">
        <v>#N/A</v>
      </c>
      <c r="HE69" s="45" t="e">
        <v>#N/A</v>
      </c>
      <c r="HF69" s="45" t="e">
        <v>#N/A</v>
      </c>
      <c r="HG69" s="45" t="e">
        <v>#N/A</v>
      </c>
      <c r="HI69" s="35">
        <f>$GB$17</f>
        <v>-45824</v>
      </c>
      <c r="HK69" s="39"/>
      <c r="IC69" s="162"/>
      <c r="ID69" s="74">
        <f t="shared" si="105"/>
        <v>20</v>
      </c>
      <c r="IE69" s="35" t="s">
        <v>155</v>
      </c>
      <c r="IF69" s="35">
        <f>IF(EX17=0,IF68,EZ17)</f>
        <v>0</v>
      </c>
      <c r="IG69" s="35">
        <f>IF(IC63="-",0,IG68-IF(EX17=0,0,EJ17*(IF69-IF68)))</f>
        <v>2023.082233646373</v>
      </c>
      <c r="II69" s="35" t="b">
        <f t="shared" si="44"/>
        <v>0</v>
      </c>
      <c r="IJ69" s="45" t="b">
        <f t="shared" si="73"/>
        <v>0</v>
      </c>
      <c r="IK69" s="35">
        <f t="shared" si="97"/>
        <v>0</v>
      </c>
      <c r="IL69" s="48">
        <f>IL68+($IL$72-$IL$67)/4</f>
        <v>3.0406801613407271</v>
      </c>
      <c r="IM69" s="35">
        <f t="shared" si="98"/>
        <v>6151.5460126094122</v>
      </c>
      <c r="IN69" s="35">
        <f t="shared" si="99"/>
        <v>-4493.4276199755404</v>
      </c>
      <c r="IO69" s="36">
        <f t="shared" si="100"/>
        <v>0</v>
      </c>
      <c r="IP69" s="35">
        <f t="shared" si="101"/>
        <v>0</v>
      </c>
      <c r="IQ69" s="35">
        <f t="shared" si="102"/>
        <v>0</v>
      </c>
      <c r="IR69" s="35">
        <f t="shared" si="104"/>
        <v>-1409.8289345854923</v>
      </c>
      <c r="IS69" s="42">
        <f>IF(IC63="-","",SUM(IM69:IR69))</f>
        <v>248.2894580483794</v>
      </c>
      <c r="IT69" s="35">
        <f t="shared" si="103"/>
        <v>23.040680161340727</v>
      </c>
      <c r="IV69" s="84">
        <f>IF(IC63="-","",EJ17)</f>
        <v>972</v>
      </c>
      <c r="IW69" s="35"/>
      <c r="IY69" s="35">
        <f>IF(IC63="-",-5,IF(EX16=0,-5,ID63+EZ16))</f>
        <v>-5</v>
      </c>
      <c r="IZ69" s="35">
        <v>0</v>
      </c>
      <c r="JB69" s="38"/>
      <c r="JC69" s="38"/>
      <c r="JE69" s="38"/>
      <c r="JF69" s="38"/>
      <c r="JH69" s="38"/>
      <c r="JI69" s="38"/>
      <c r="JK69" s="35"/>
      <c r="JL69" s="35"/>
      <c r="JM69" s="39"/>
      <c r="JN69" s="35"/>
      <c r="JO69" s="35"/>
      <c r="JP69" s="39"/>
      <c r="JQ69" s="35"/>
      <c r="JR69" s="35"/>
      <c r="JS69" s="39"/>
      <c r="JT69" s="35"/>
      <c r="JU69" s="35"/>
      <c r="JW69" s="127"/>
      <c r="JX69" s="127"/>
    </row>
    <row r="70" spans="12:284" ht="14.25" customHeight="1" x14ac:dyDescent="0.2"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87"/>
      <c r="DW70" s="87"/>
      <c r="DX70" s="87"/>
      <c r="DY70" s="87"/>
      <c r="DZ70" s="87"/>
      <c r="EA70" s="87"/>
      <c r="EB70" s="87"/>
      <c r="EC70" s="87"/>
      <c r="ED70" s="87"/>
      <c r="EE70" s="22">
        <v>25</v>
      </c>
      <c r="FH70" s="28"/>
      <c r="FI70" s="28"/>
      <c r="FJ70" s="28"/>
      <c r="FT70" s="98" t="s">
        <v>20</v>
      </c>
      <c r="FU70" s="170">
        <f>IF(FM3=0,0,(EX22*EZ22/FM3)*(FM3^2-EZ22^2))</f>
        <v>0</v>
      </c>
      <c r="FV70" s="170"/>
      <c r="FW70" s="170"/>
      <c r="FX70" s="170">
        <f>IF(FP3=0,0,(EX23*FB23/FP3)*(FP3^2-FB23^2))</f>
        <v>0</v>
      </c>
      <c r="FY70" s="170"/>
      <c r="FZ70" s="170"/>
      <c r="GA70" s="101"/>
      <c r="GB70" s="172"/>
      <c r="GC70" s="172"/>
      <c r="GD70" s="172"/>
      <c r="GG70" s="22">
        <v>3</v>
      </c>
      <c r="GH70" s="45">
        <v>1.0359140281370671E-2</v>
      </c>
      <c r="GI70" s="115">
        <v>-2.0718280562741342E-2</v>
      </c>
      <c r="GJ70" s="115">
        <v>7.2513981969594701E-2</v>
      </c>
      <c r="GK70" s="115">
        <v>-1.9337647315637474E-2</v>
      </c>
      <c r="GL70" s="45">
        <v>4.8366072929551954E-3</v>
      </c>
      <c r="GM70" s="45">
        <v>-8.7818561833049002E-6</v>
      </c>
      <c r="GN70" s="45">
        <v>-4.8014798682219752E-3</v>
      </c>
      <c r="GO70" s="45" t="e">
        <v>#N/A</v>
      </c>
      <c r="GP70" s="45" t="e">
        <v>#N/A</v>
      </c>
      <c r="GQ70" s="45" t="e">
        <v>#N/A</v>
      </c>
      <c r="GR70" s="45" t="e">
        <v>#N/A</v>
      </c>
      <c r="GS70" s="45" t="e">
        <v>#N/A</v>
      </c>
      <c r="GT70" s="45" t="e">
        <v>#N/A</v>
      </c>
      <c r="GU70" s="45" t="e">
        <v>#N/A</v>
      </c>
      <c r="GV70" s="45" t="e">
        <v>#N/A</v>
      </c>
      <c r="GW70" s="45" t="e">
        <v>#N/A</v>
      </c>
      <c r="GX70" s="45" t="e">
        <v>#N/A</v>
      </c>
      <c r="GY70" s="45" t="e">
        <v>#N/A</v>
      </c>
      <c r="GZ70" s="45" t="e">
        <v>#N/A</v>
      </c>
      <c r="HA70" s="45" t="e">
        <v>#N/A</v>
      </c>
      <c r="HB70" s="45" t="e">
        <v>#N/A</v>
      </c>
      <c r="HC70" s="45" t="e">
        <v>#N/A</v>
      </c>
      <c r="HD70" s="45" t="e">
        <v>#N/A</v>
      </c>
      <c r="HE70" s="45" t="e">
        <v>#N/A</v>
      </c>
      <c r="HF70" s="45" t="e">
        <v>#N/A</v>
      </c>
      <c r="HG70" s="45" t="e">
        <v>#N/A</v>
      </c>
      <c r="HI70" s="35">
        <f>$GB$22</f>
        <v>-55737.4375</v>
      </c>
      <c r="HK70" s="28"/>
      <c r="IC70" s="162"/>
      <c r="ID70" s="74">
        <f t="shared" si="105"/>
        <v>20</v>
      </c>
      <c r="IE70" s="35" t="s">
        <v>156</v>
      </c>
      <c r="IF70" s="35">
        <f>IF69</f>
        <v>0</v>
      </c>
      <c r="IG70" s="35">
        <f>IF(IC63="-",0,IG69-EX17)</f>
        <v>2023.082233646373</v>
      </c>
      <c r="II70" s="35" t="b">
        <f t="shared" si="44"/>
        <v>1</v>
      </c>
      <c r="IJ70" s="45" t="b">
        <f t="shared" si="73"/>
        <v>1</v>
      </c>
      <c r="IK70" s="35">
        <f t="shared" si="97"/>
        <v>2.0813603226814537</v>
      </c>
      <c r="IL70" s="48">
        <f>IL69+($IL$72-$IL$67)/4</f>
        <v>3.5203400806703637</v>
      </c>
      <c r="IM70" s="35">
        <f t="shared" si="98"/>
        <v>7121.9374735974525</v>
      </c>
      <c r="IN70" s="35">
        <f t="shared" si="99"/>
        <v>-6022.8980218170727</v>
      </c>
      <c r="IO70" s="36">
        <f t="shared" si="100"/>
        <v>0</v>
      </c>
      <c r="IP70" s="35">
        <f t="shared" si="101"/>
        <v>0</v>
      </c>
      <c r="IQ70" s="35">
        <f t="shared" si="102"/>
        <v>0</v>
      </c>
      <c r="IR70" s="35">
        <f t="shared" si="104"/>
        <v>-1409.8289345854923</v>
      </c>
      <c r="IS70" s="42">
        <f>IF(IC63="-","",SUM(IM70:IR70))</f>
        <v>-310.78948280511258</v>
      </c>
      <c r="IT70" s="35">
        <f t="shared" si="103"/>
        <v>23.520340080670366</v>
      </c>
      <c r="IV70" s="35"/>
      <c r="IW70" s="35"/>
      <c r="IY70" s="35">
        <f>IY69</f>
        <v>-5</v>
      </c>
      <c r="IZ70" s="35">
        <f>IF(IC63="-",0,EX17/20)</f>
        <v>0</v>
      </c>
      <c r="JB70" s="47">
        <f>IF(IC63="-","",HY16)</f>
        <v>3322.917766353627</v>
      </c>
      <c r="JC70" s="35" t="b">
        <f>AND($F$2=6,$F$10=$ER$43)</f>
        <v>0</v>
      </c>
      <c r="JE70" s="47">
        <f>JB70</f>
        <v>3322.917766353627</v>
      </c>
      <c r="JF70" s="38"/>
      <c r="JH70" s="38"/>
      <c r="JI70" s="38"/>
      <c r="JK70" s="35" t="b">
        <f>AND($F$2=6,$F$10=$ER$43)</f>
        <v>0</v>
      </c>
      <c r="JL70" s="35"/>
      <c r="JM70" s="39"/>
      <c r="JN70" s="35"/>
      <c r="JO70" s="35"/>
      <c r="JP70" s="39"/>
      <c r="JQ70" s="35"/>
      <c r="JR70" s="35"/>
      <c r="JS70" s="39"/>
      <c r="JT70" s="35"/>
      <c r="JU70" s="35"/>
      <c r="JW70" s="127"/>
      <c r="JX70" s="127"/>
    </row>
    <row r="71" spans="12:284" ht="14.25" customHeight="1" x14ac:dyDescent="0.2"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87"/>
      <c r="DW71" s="87"/>
      <c r="DX71" s="87"/>
      <c r="DY71" s="87"/>
      <c r="DZ71" s="87"/>
      <c r="EA71" s="87"/>
      <c r="EB71" s="87"/>
      <c r="EC71" s="87"/>
      <c r="ED71" s="87"/>
      <c r="FH71" s="28">
        <v>13</v>
      </c>
      <c r="FI71" s="184" t="s">
        <v>90</v>
      </c>
      <c r="FJ71" s="184"/>
      <c r="FK71" s="185" t="s">
        <v>89</v>
      </c>
      <c r="FL71" s="185"/>
      <c r="FM71" s="185"/>
      <c r="FN71" s="185" t="s">
        <v>91</v>
      </c>
      <c r="FO71" s="185"/>
      <c r="FP71" s="185"/>
      <c r="FQ71" s="185" t="s">
        <v>93</v>
      </c>
      <c r="FR71" s="185"/>
      <c r="FS71" s="185"/>
      <c r="FT71" s="98" t="s">
        <v>57</v>
      </c>
      <c r="FU71" s="187" t="s">
        <v>13</v>
      </c>
      <c r="FV71" s="185"/>
      <c r="FW71" s="185"/>
      <c r="FX71" s="187" t="s">
        <v>14</v>
      </c>
      <c r="FY71" s="185"/>
      <c r="FZ71" s="185"/>
      <c r="GA71" s="98" t="s">
        <v>57</v>
      </c>
      <c r="GB71" s="187" t="s">
        <v>60</v>
      </c>
      <c r="GC71" s="185"/>
      <c r="GD71" s="185"/>
      <c r="GG71" s="22">
        <v>4</v>
      </c>
      <c r="GH71" s="45">
        <v>-2.7625210450910676E-3</v>
      </c>
      <c r="GI71" s="45">
        <v>5.5250420901821352E-3</v>
      </c>
      <c r="GJ71" s="115">
        <v>-1.9337647315637474E-2</v>
      </c>
      <c r="GK71" s="115">
        <v>7.1825547172367762E-2</v>
      </c>
      <c r="GL71" s="115">
        <v>-1.7964541373833583E-2</v>
      </c>
      <c r="GM71" s="45">
        <v>3.2618322966561059E-5</v>
      </c>
      <c r="GN71" s="45">
        <v>1.7834068081967337E-2</v>
      </c>
      <c r="GO71" s="45" t="e">
        <v>#N/A</v>
      </c>
      <c r="GP71" s="45" t="e">
        <v>#N/A</v>
      </c>
      <c r="GQ71" s="45" t="e">
        <v>#N/A</v>
      </c>
      <c r="GR71" s="45" t="e">
        <v>#N/A</v>
      </c>
      <c r="GS71" s="45" t="e">
        <v>#N/A</v>
      </c>
      <c r="GT71" s="45" t="e">
        <v>#N/A</v>
      </c>
      <c r="GU71" s="45" t="e">
        <v>#N/A</v>
      </c>
      <c r="GV71" s="45" t="e">
        <v>#N/A</v>
      </c>
      <c r="GW71" s="45" t="e">
        <v>#N/A</v>
      </c>
      <c r="GX71" s="45" t="e">
        <v>#N/A</v>
      </c>
      <c r="GY71" s="45" t="e">
        <v>#N/A</v>
      </c>
      <c r="GZ71" s="45" t="e">
        <v>#N/A</v>
      </c>
      <c r="HA71" s="45" t="e">
        <v>#N/A</v>
      </c>
      <c r="HB71" s="45" t="e">
        <v>#N/A</v>
      </c>
      <c r="HC71" s="45" t="e">
        <v>#N/A</v>
      </c>
      <c r="HD71" s="45" t="e">
        <v>#N/A</v>
      </c>
      <c r="HE71" s="45" t="e">
        <v>#N/A</v>
      </c>
      <c r="HF71" s="45" t="e">
        <v>#N/A</v>
      </c>
      <c r="HG71" s="45" t="e">
        <v>#N/A</v>
      </c>
      <c r="HI71" s="35">
        <f>$GB$27</f>
        <v>-49268.0625</v>
      </c>
      <c r="HK71" s="28"/>
      <c r="IC71" s="162"/>
      <c r="ID71" s="74">
        <f t="shared" si="105"/>
        <v>24</v>
      </c>
      <c r="IE71" s="35" t="s">
        <v>157</v>
      </c>
      <c r="IF71" s="74">
        <f>IF72</f>
        <v>4</v>
      </c>
      <c r="IG71" s="35">
        <f>HW16</f>
        <v>-1864.917766353627</v>
      </c>
      <c r="II71" s="35" t="b">
        <f t="shared" si="44"/>
        <v>0</v>
      </c>
      <c r="IJ71" s="45" t="b">
        <f t="shared" si="73"/>
        <v>0</v>
      </c>
      <c r="IK71" s="35">
        <f t="shared" si="97"/>
        <v>4</v>
      </c>
      <c r="IL71" s="48">
        <f>IL70+($IL$72-$IL$67)/4</f>
        <v>4</v>
      </c>
      <c r="IM71" s="35">
        <f t="shared" si="98"/>
        <v>8092.3289345854919</v>
      </c>
      <c r="IN71" s="35">
        <f t="shared" si="99"/>
        <v>-7776</v>
      </c>
      <c r="IO71" s="36">
        <f t="shared" si="100"/>
        <v>0</v>
      </c>
      <c r="IP71" s="35">
        <f t="shared" si="101"/>
        <v>0</v>
      </c>
      <c r="IQ71" s="35">
        <f t="shared" si="102"/>
        <v>0</v>
      </c>
      <c r="IR71" s="45"/>
      <c r="IS71" s="37">
        <f>IF(IC63="-","",ROUND(HU16,2))</f>
        <v>-1093.5</v>
      </c>
      <c r="IT71" s="35">
        <f t="shared" si="103"/>
        <v>24</v>
      </c>
      <c r="IV71" s="35"/>
      <c r="IW71" s="35"/>
      <c r="IY71" s="44" t="str">
        <f>IF(IC63="-","",IF(EX17=0,"",EX17))</f>
        <v/>
      </c>
      <c r="IZ71" s="45"/>
      <c r="JB71" s="38">
        <f>ID72</f>
        <v>24</v>
      </c>
      <c r="JC71" s="38">
        <v>0</v>
      </c>
      <c r="JE71" s="38">
        <f>JB71</f>
        <v>24</v>
      </c>
      <c r="JF71" s="38">
        <f>IF(JE70&gt;0,-MAX(IW3:IW272,IZ3:IZ272)*0.5,-MAX(IW3:IW272,IZ3:IZ272)*1.5)</f>
        <v>-37.5</v>
      </c>
      <c r="JH71" s="38">
        <f>IF(IC63=6,ID71,-5)</f>
        <v>24</v>
      </c>
      <c r="JI71" s="38">
        <f>IG71</f>
        <v>-1864.917766353627</v>
      </c>
      <c r="JK71" s="35">
        <f>IF(JK70=TRUE,IT71,-5)</f>
        <v>-5</v>
      </c>
      <c r="JL71" s="49">
        <f>IS71</f>
        <v>-1093.5</v>
      </c>
      <c r="JM71" s="40"/>
      <c r="JN71" s="49"/>
      <c r="JO71" s="49"/>
      <c r="JP71" s="40"/>
      <c r="JQ71" s="49"/>
      <c r="JR71" s="49"/>
      <c r="JS71" s="40"/>
      <c r="JT71" s="49"/>
      <c r="JU71" s="49"/>
      <c r="JW71" s="120"/>
      <c r="JX71" s="120"/>
    </row>
    <row r="72" spans="12:284" ht="14.25" customHeight="1" x14ac:dyDescent="0.2"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87"/>
      <c r="DW72" s="87"/>
      <c r="DX72" s="87"/>
      <c r="DY72" s="87"/>
      <c r="DZ72" s="87"/>
      <c r="EA72" s="87"/>
      <c r="EB72" s="87"/>
      <c r="EC72" s="87"/>
      <c r="ED72" s="87"/>
      <c r="FH72" s="28"/>
      <c r="FI72" s="28"/>
      <c r="FJ72" s="28"/>
      <c r="FK72" s="169">
        <f>FP3</f>
        <v>0</v>
      </c>
      <c r="FL72" s="169"/>
      <c r="FM72" s="169"/>
      <c r="FN72" s="169">
        <f>2*(FP3+FS3)</f>
        <v>0</v>
      </c>
      <c r="FO72" s="169"/>
      <c r="FP72" s="169"/>
      <c r="FQ72" s="169">
        <f>IF($F$2=13,(IF(F10=ER43,FS3,IF(F10=ER44,FS3*FF40,0))),IF(F2&gt;13,FS3,0))</f>
        <v>0</v>
      </c>
      <c r="FR72" s="169"/>
      <c r="FS72" s="169"/>
      <c r="FT72" s="98" t="s">
        <v>41</v>
      </c>
      <c r="FU72" s="170">
        <f>(EJ23*FP3^3)/4</f>
        <v>0</v>
      </c>
      <c r="FV72" s="170"/>
      <c r="FW72" s="170"/>
      <c r="FX72" s="170">
        <f>(EJ24*FS3^3)/4</f>
        <v>0</v>
      </c>
      <c r="FY72" s="170"/>
      <c r="FZ72" s="170"/>
      <c r="GA72" s="101"/>
      <c r="GB72" s="171">
        <f>-SUM(FU72:FZ75)-IF(F2=13,IF($F$10=$ER$44,FQ72,0))</f>
        <v>0</v>
      </c>
      <c r="GC72" s="171"/>
      <c r="GD72" s="171"/>
      <c r="GG72" s="22">
        <v>5</v>
      </c>
      <c r="GH72" s="45">
        <v>6.9094389899359914E-4</v>
      </c>
      <c r="GI72" s="45">
        <v>-1.3818877979871983E-3</v>
      </c>
      <c r="GJ72" s="45">
        <v>4.8366072929551945E-3</v>
      </c>
      <c r="GK72" s="115">
        <v>-1.7964541373833579E-2</v>
      </c>
      <c r="GL72" s="115">
        <v>6.7021558202379136E-2</v>
      </c>
      <c r="GM72" s="115">
        <v>-1.2169143568293934E-4</v>
      </c>
      <c r="GN72" s="45">
        <v>-6.6534792459647371E-2</v>
      </c>
      <c r="GO72" s="45" t="e">
        <v>#N/A</v>
      </c>
      <c r="GP72" s="45" t="e">
        <v>#N/A</v>
      </c>
      <c r="GQ72" s="45" t="e">
        <v>#N/A</v>
      </c>
      <c r="GR72" s="45" t="e">
        <v>#N/A</v>
      </c>
      <c r="GS72" s="45" t="e">
        <v>#N/A</v>
      </c>
      <c r="GT72" s="45" t="e">
        <v>#N/A</v>
      </c>
      <c r="GU72" s="45" t="e">
        <v>#N/A</v>
      </c>
      <c r="GV72" s="45" t="e">
        <v>#N/A</v>
      </c>
      <c r="GW72" s="45" t="e">
        <v>#N/A</v>
      </c>
      <c r="GX72" s="45" t="e">
        <v>#N/A</v>
      </c>
      <c r="GY72" s="45" t="e">
        <v>#N/A</v>
      </c>
      <c r="GZ72" s="45" t="e">
        <v>#N/A</v>
      </c>
      <c r="HA72" s="45" t="e">
        <v>#N/A</v>
      </c>
      <c r="HB72" s="45" t="e">
        <v>#N/A</v>
      </c>
      <c r="HC72" s="45" t="e">
        <v>#N/A</v>
      </c>
      <c r="HD72" s="45" t="e">
        <v>#N/A</v>
      </c>
      <c r="HE72" s="45" t="e">
        <v>#N/A</v>
      </c>
      <c r="HF72" s="45" t="e">
        <v>#N/A</v>
      </c>
      <c r="HG72" s="45" t="e">
        <v>#N/A</v>
      </c>
      <c r="HI72" s="35">
        <f>$GB$32</f>
        <v>-31104</v>
      </c>
      <c r="HK72" s="28"/>
      <c r="IC72" s="162"/>
      <c r="ID72" s="81">
        <f>IF(HS15="R0",ID63,ID63+HT15)</f>
        <v>24</v>
      </c>
      <c r="IE72" s="38" t="s">
        <v>158</v>
      </c>
      <c r="IF72" s="81">
        <f>IF(HS15="R0",0,HT15)</f>
        <v>4</v>
      </c>
      <c r="IG72" s="38">
        <v>0</v>
      </c>
      <c r="II72" s="35" t="b">
        <f t="shared" si="44"/>
        <v>0</v>
      </c>
      <c r="IJ72" s="45" t="b">
        <f t="shared" si="73"/>
        <v>1</v>
      </c>
      <c r="IK72" s="35">
        <f t="shared" si="97"/>
        <v>4</v>
      </c>
      <c r="IL72" s="48">
        <f>IK72</f>
        <v>4</v>
      </c>
      <c r="IM72" s="35"/>
      <c r="IN72" s="35"/>
      <c r="IO72" s="45"/>
      <c r="IP72" s="45"/>
      <c r="IQ72" s="45"/>
      <c r="IR72" s="45"/>
      <c r="IS72" s="82"/>
      <c r="IT72" s="35"/>
      <c r="IV72" s="35"/>
      <c r="IW72" s="35"/>
      <c r="IY72" s="45"/>
      <c r="IZ72" s="45"/>
      <c r="JB72" s="38">
        <f>JB71</f>
        <v>24</v>
      </c>
      <c r="JC72" s="38">
        <f>IF(IC63="-",0,IF(JC70=TRUE,0,-20))</f>
        <v>-20</v>
      </c>
      <c r="JE72" s="38">
        <f>JE71</f>
        <v>24</v>
      </c>
      <c r="JF72" s="38">
        <f>IF(IC63="-",JF71,IF(JE70&gt;0,-MAX(IW3:IW272,IZ3:IZ272)*1.5,-MAX(IW3:IW272,IZ3:IZ272)*0.5))</f>
        <v>-112.5</v>
      </c>
      <c r="JH72" s="38"/>
      <c r="JI72" s="38"/>
      <c r="JK72" s="35"/>
      <c r="JL72" s="35"/>
      <c r="JM72" s="39"/>
      <c r="JN72" s="35"/>
      <c r="JO72" s="35"/>
      <c r="JP72" s="39"/>
      <c r="JQ72" s="35"/>
      <c r="JR72" s="35"/>
      <c r="JS72" s="39"/>
      <c r="JT72" s="35"/>
      <c r="JU72" s="35"/>
      <c r="JW72" s="127"/>
      <c r="JX72" s="127"/>
    </row>
    <row r="73" spans="12:284" ht="14.25" customHeight="1" x14ac:dyDescent="0.2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87"/>
      <c r="DW73" s="87"/>
      <c r="DX73" s="87"/>
      <c r="DY73" s="87"/>
      <c r="DZ73" s="87"/>
      <c r="EA73" s="87"/>
      <c r="EB73" s="87"/>
      <c r="EC73" s="87"/>
      <c r="ED73" s="87"/>
      <c r="FH73" s="28"/>
      <c r="FI73" s="28"/>
      <c r="FJ73" s="28"/>
      <c r="FT73" s="98" t="s">
        <v>17</v>
      </c>
      <c r="FU73" s="170">
        <f>IF(FP3=0,0,(EL23*EN23/FP3)*(FP3^2-EN23^2))</f>
        <v>0</v>
      </c>
      <c r="FV73" s="170"/>
      <c r="FW73" s="170"/>
      <c r="FX73" s="170">
        <f>IF(FS3=0,0,(EL24*EP24/FS3)*(FS3^2-EP24^2))</f>
        <v>0</v>
      </c>
      <c r="FY73" s="170"/>
      <c r="FZ73" s="170"/>
      <c r="GA73" s="101"/>
      <c r="GB73" s="170"/>
      <c r="GC73" s="170"/>
      <c r="GD73" s="170"/>
      <c r="GG73" s="22">
        <v>6</v>
      </c>
      <c r="GH73" s="45">
        <v>-1.254550883329282E-6</v>
      </c>
      <c r="GI73" s="45">
        <v>2.509101766658564E-6</v>
      </c>
      <c r="GJ73" s="45">
        <v>-8.7818561833048867E-6</v>
      </c>
      <c r="GK73" s="45">
        <v>3.2618322966560808E-5</v>
      </c>
      <c r="GL73" s="115">
        <v>-1.216914356829423E-4</v>
      </c>
      <c r="GM73" s="115">
        <v>4.541474197651963E-4</v>
      </c>
      <c r="GN73" s="115">
        <v>0.24830510175662213</v>
      </c>
      <c r="GO73" s="45" t="e">
        <v>#N/A</v>
      </c>
      <c r="GP73" s="45" t="e">
        <v>#N/A</v>
      </c>
      <c r="GQ73" s="45" t="e">
        <v>#N/A</v>
      </c>
      <c r="GR73" s="45" t="e">
        <v>#N/A</v>
      </c>
      <c r="GS73" s="45" t="e">
        <v>#N/A</v>
      </c>
      <c r="GT73" s="45" t="e">
        <v>#N/A</v>
      </c>
      <c r="GU73" s="45" t="e">
        <v>#N/A</v>
      </c>
      <c r="GV73" s="45" t="e">
        <v>#N/A</v>
      </c>
      <c r="GW73" s="45" t="e">
        <v>#N/A</v>
      </c>
      <c r="GX73" s="45" t="e">
        <v>#N/A</v>
      </c>
      <c r="GY73" s="45" t="e">
        <v>#N/A</v>
      </c>
      <c r="GZ73" s="45" t="e">
        <v>#N/A</v>
      </c>
      <c r="HA73" s="45" t="e">
        <v>#N/A</v>
      </c>
      <c r="HB73" s="45" t="e">
        <v>#N/A</v>
      </c>
      <c r="HC73" s="45" t="e">
        <v>#N/A</v>
      </c>
      <c r="HD73" s="45" t="e">
        <v>#N/A</v>
      </c>
      <c r="HE73" s="45" t="e">
        <v>#N/A</v>
      </c>
      <c r="HF73" s="45" t="e">
        <v>#N/A</v>
      </c>
      <c r="HG73" s="45" t="e">
        <v>#N/A</v>
      </c>
      <c r="HI73" s="35">
        <f>$GB$37</f>
        <v>-26730</v>
      </c>
      <c r="HK73" s="28"/>
      <c r="IC73" s="164" t="str">
        <f>IF(HS17="R0","-",HS17)</f>
        <v>-</v>
      </c>
      <c r="ID73" s="53">
        <f>IF(HS17="R0",ID272,ID72)</f>
        <v>25.5</v>
      </c>
      <c r="IE73" s="54" t="s">
        <v>149</v>
      </c>
      <c r="IF73" s="54">
        <v>0</v>
      </c>
      <c r="IG73" s="54">
        <v>0</v>
      </c>
      <c r="II73" s="54" t="b">
        <f t="shared" si="44"/>
        <v>0</v>
      </c>
      <c r="IJ73" s="55" t="b">
        <f t="shared" si="73"/>
        <v>0</v>
      </c>
      <c r="IK73" s="54">
        <f t="shared" ref="IK73:IK82" si="106">IF(II73=TRUE,IF(IJ73=TRUE,IG73/$EJ$18)+IF73,IF73)</f>
        <v>0</v>
      </c>
      <c r="IL73" s="56">
        <f>IK73</f>
        <v>0</v>
      </c>
      <c r="IM73" s="54">
        <f t="shared" ref="IM73:IM81" si="107">$HV$17*IL73</f>
        <v>0</v>
      </c>
      <c r="IN73" s="54">
        <f t="shared" ref="IN73:IN81" si="108">-$EJ$18*(IL73^2/2)</f>
        <v>0</v>
      </c>
      <c r="IO73" s="57">
        <f t="shared" ref="IO73:IO81" si="109">-IF(IL73&gt;=$EN$18,$EL$18*(IL73-$EN$18),0)</f>
        <v>0</v>
      </c>
      <c r="IP73" s="54">
        <f t="shared" ref="IP73:IP81" si="110">-IF(IL73&gt;=$ET$18,$ER$18*(IL73-$ET$18),0)</f>
        <v>0</v>
      </c>
      <c r="IQ73" s="54">
        <f t="shared" ref="IQ73:IQ81" si="111">-IF(IL73&gt;=$EZ$18,$EX$18*(IL73-$EZ$18),0)</f>
        <v>0</v>
      </c>
      <c r="IR73" s="55"/>
      <c r="IS73" s="59" t="str">
        <f>IF(IC73="-","",HU17)</f>
        <v/>
      </c>
      <c r="IT73" s="54">
        <f t="shared" ref="IT73:IT81" si="112">$ID$73+IL73</f>
        <v>25.5</v>
      </c>
      <c r="IV73" s="54">
        <f>ID73</f>
        <v>25.5</v>
      </c>
      <c r="IW73" s="54">
        <v>0</v>
      </c>
      <c r="IY73" s="54">
        <f>IF(IC73="-",-5,IF(IF75=0,-5,ID73+EN18))</f>
        <v>-5</v>
      </c>
      <c r="IZ73" s="54">
        <v>0</v>
      </c>
      <c r="JB73" s="54"/>
      <c r="JC73" s="54"/>
      <c r="JE73" s="54"/>
      <c r="JF73" s="54"/>
      <c r="JH73" s="54"/>
      <c r="JI73" s="54"/>
      <c r="JK73" s="54">
        <f>IF(IC73=7,IT73,-5)</f>
        <v>-5</v>
      </c>
      <c r="JL73" s="59" t="str">
        <f>IS73</f>
        <v/>
      </c>
      <c r="JM73" s="40"/>
      <c r="JN73" s="59">
        <f>IF(IC73="-",-5,(ID73+ID82)/2)</f>
        <v>-5</v>
      </c>
      <c r="JO73" s="59">
        <f>-MAX(IW3:IW272,IZ3:IZ272)*0.7</f>
        <v>-52.5</v>
      </c>
      <c r="JP73" s="40"/>
      <c r="JQ73" s="59">
        <f>IF(IC73="-",-5,(IT73+IT77)/2)</f>
        <v>-5</v>
      </c>
      <c r="JR73" s="59">
        <f>JR13</f>
        <v>-760.38306347150262</v>
      </c>
      <c r="JS73" s="40"/>
      <c r="JT73" s="59"/>
      <c r="JU73" s="59"/>
      <c r="JW73" s="122">
        <f>JN73</f>
        <v>-5</v>
      </c>
      <c r="JX73" s="122">
        <f>JF82</f>
        <v>-37.5</v>
      </c>
    </row>
    <row r="74" spans="12:284" ht="14.25" customHeight="1" x14ac:dyDescent="0.2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87"/>
      <c r="DW74" s="87"/>
      <c r="DX74" s="87"/>
      <c r="DY74" s="87"/>
      <c r="DZ74" s="87"/>
      <c r="EA74" s="87"/>
      <c r="EB74" s="87"/>
      <c r="EC74" s="87"/>
      <c r="ED74" s="87"/>
      <c r="FH74" s="28"/>
      <c r="FI74" s="28"/>
      <c r="FJ74" s="28"/>
      <c r="FT74" s="98" t="s">
        <v>19</v>
      </c>
      <c r="FU74" s="170">
        <f>IF(FP3=0,0,(ER23*ET23/FP3)*(FP3^2-ET23^2))</f>
        <v>0</v>
      </c>
      <c r="FV74" s="170"/>
      <c r="FW74" s="170"/>
      <c r="FX74" s="170">
        <f>IF(FS3=0,0,(ER24*EV24/FS3)*(FS3^2-EV24^2))</f>
        <v>0</v>
      </c>
      <c r="FY74" s="170"/>
      <c r="FZ74" s="170"/>
      <c r="GA74" s="101"/>
      <c r="GB74" s="170"/>
      <c r="GC74" s="170"/>
      <c r="GD74" s="170"/>
      <c r="GG74" s="22">
        <v>7</v>
      </c>
      <c r="GH74" s="45">
        <v>6.2727544166463835E-7</v>
      </c>
      <c r="GI74" s="45">
        <v>-1.2545508833292767E-6</v>
      </c>
      <c r="GJ74" s="45">
        <v>4.3909280916524687E-6</v>
      </c>
      <c r="GK74" s="45">
        <v>-1.6309161483280601E-5</v>
      </c>
      <c r="GL74" s="45">
        <v>6.0845717841469925E-5</v>
      </c>
      <c r="GM74" s="115">
        <v>-2.2707370988259913E-4</v>
      </c>
      <c r="GN74" s="115">
        <v>8.4744912168892652E-4</v>
      </c>
      <c r="GO74" s="115" t="e">
        <v>#N/A</v>
      </c>
      <c r="GP74" s="45" t="e">
        <v>#N/A</v>
      </c>
      <c r="GQ74" s="45" t="e">
        <v>#N/A</v>
      </c>
      <c r="GR74" s="45" t="e">
        <v>#N/A</v>
      </c>
      <c r="GS74" s="45" t="e">
        <v>#N/A</v>
      </c>
      <c r="GT74" s="45" t="e">
        <v>#N/A</v>
      </c>
      <c r="GU74" s="45" t="e">
        <v>#N/A</v>
      </c>
      <c r="GV74" s="45" t="e">
        <v>#N/A</v>
      </c>
      <c r="GW74" s="45" t="e">
        <v>#N/A</v>
      </c>
      <c r="GX74" s="45" t="e">
        <v>#N/A</v>
      </c>
      <c r="GY74" s="45" t="e">
        <v>#N/A</v>
      </c>
      <c r="GZ74" s="45" t="e">
        <v>#N/A</v>
      </c>
      <c r="HA74" s="45" t="e">
        <v>#N/A</v>
      </c>
      <c r="HB74" s="45" t="e">
        <v>#N/A</v>
      </c>
      <c r="HC74" s="45" t="e">
        <v>#N/A</v>
      </c>
      <c r="HD74" s="45" t="e">
        <v>#N/A</v>
      </c>
      <c r="HE74" s="45" t="e">
        <v>#N/A</v>
      </c>
      <c r="HF74" s="45" t="e">
        <v>#N/A</v>
      </c>
      <c r="HG74" s="45" t="e">
        <v>#N/A</v>
      </c>
      <c r="HI74" s="35">
        <f>$GB$42</f>
        <v>-15552</v>
      </c>
      <c r="HK74" s="28"/>
      <c r="IC74" s="164"/>
      <c r="ID74" s="53">
        <f>IF($IC$73="-",$ID$73,$ID$73+IF74)</f>
        <v>25.5</v>
      </c>
      <c r="IE74" s="54" t="s">
        <v>150</v>
      </c>
      <c r="IF74" s="54">
        <f>IF73</f>
        <v>0</v>
      </c>
      <c r="IG74" s="54">
        <f>IF(IC73="-",0,HV17)</f>
        <v>0</v>
      </c>
      <c r="II74" s="54" t="b">
        <f t="shared" si="44"/>
        <v>0</v>
      </c>
      <c r="IJ74" s="55" t="b">
        <f t="shared" si="73"/>
        <v>0</v>
      </c>
      <c r="IK74" s="54">
        <f t="shared" si="106"/>
        <v>0</v>
      </c>
      <c r="IL74" s="56">
        <f>(IL77-IL73)/4</f>
        <v>0</v>
      </c>
      <c r="IM74" s="54">
        <f t="shared" si="107"/>
        <v>0</v>
      </c>
      <c r="IN74" s="54">
        <f t="shared" si="108"/>
        <v>0</v>
      </c>
      <c r="IO74" s="57">
        <f t="shared" si="109"/>
        <v>0</v>
      </c>
      <c r="IP74" s="54">
        <f t="shared" si="110"/>
        <v>0</v>
      </c>
      <c r="IQ74" s="54">
        <f t="shared" si="111"/>
        <v>0</v>
      </c>
      <c r="IR74" s="54">
        <f t="shared" ref="IR74:IR80" si="113">$HU$17</f>
        <v>-1093.5</v>
      </c>
      <c r="IS74" s="58" t="str">
        <f>IF(IC73="-","",SUM(IM74:IR74))</f>
        <v/>
      </c>
      <c r="IT74" s="54">
        <f t="shared" si="112"/>
        <v>25.5</v>
      </c>
      <c r="IV74" s="54">
        <f>IV73</f>
        <v>25.5</v>
      </c>
      <c r="IW74" s="54">
        <f>IF(IC73="-",0,EJ18)/20</f>
        <v>0</v>
      </c>
      <c r="IY74" s="54">
        <f>IY73</f>
        <v>-5</v>
      </c>
      <c r="IZ74" s="54">
        <f>IF(IC73="-",0,EL18/20)</f>
        <v>0</v>
      </c>
      <c r="JB74" s="54"/>
      <c r="JC74" s="54"/>
      <c r="JE74" s="54"/>
      <c r="JF74" s="54"/>
      <c r="JH74" s="54">
        <f>IF(IC73=7,ID74,-5)</f>
        <v>-5</v>
      </c>
      <c r="JI74" s="54">
        <f>IG74</f>
        <v>0</v>
      </c>
      <c r="JK74" s="54"/>
      <c r="JL74" s="54"/>
      <c r="JM74" s="39"/>
      <c r="JN74" s="61">
        <f>HT17</f>
        <v>1.5</v>
      </c>
      <c r="JO74" s="54"/>
      <c r="JP74" s="39"/>
      <c r="JQ74" s="62" t="b">
        <f>IL77</f>
        <v>0</v>
      </c>
      <c r="JR74" s="54"/>
      <c r="JS74" s="39"/>
      <c r="JT74" s="54"/>
      <c r="JU74" s="54"/>
      <c r="JW74" s="125" t="str">
        <f>IC73</f>
        <v>-</v>
      </c>
      <c r="JX74" s="123"/>
    </row>
    <row r="75" spans="12:284" ht="14.25" customHeight="1" x14ac:dyDescent="0.2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87"/>
      <c r="DW75" s="87"/>
      <c r="DX75" s="87"/>
      <c r="DY75" s="87"/>
      <c r="DZ75" s="87"/>
      <c r="EA75" s="87"/>
      <c r="EB75" s="87"/>
      <c r="EC75" s="87"/>
      <c r="ED75" s="87"/>
      <c r="FH75" s="28"/>
      <c r="FI75" s="28"/>
      <c r="FJ75" s="28"/>
      <c r="FT75" s="98" t="s">
        <v>20</v>
      </c>
      <c r="FU75" s="170">
        <f>IF(FP3=0,0,(EX23*EZ23/FP3)*(FP3^2-EZ23^2))</f>
        <v>0</v>
      </c>
      <c r="FV75" s="170"/>
      <c r="FW75" s="170"/>
      <c r="FX75" s="170">
        <f>IF(FS3=0,0,(EX24*FB24/FS3)*(FS3^2-FB24^2))</f>
        <v>0</v>
      </c>
      <c r="FY75" s="170"/>
      <c r="FZ75" s="170"/>
      <c r="GA75" s="101"/>
      <c r="GB75" s="172"/>
      <c r="GC75" s="172"/>
      <c r="GD75" s="172"/>
      <c r="GG75" s="22">
        <v>8</v>
      </c>
      <c r="GH75" s="45" t="e">
        <v>#N/A</v>
      </c>
      <c r="GI75" s="45" t="e">
        <v>#N/A</v>
      </c>
      <c r="GJ75" s="45" t="e">
        <v>#N/A</v>
      </c>
      <c r="GK75" s="45" t="e">
        <v>#N/A</v>
      </c>
      <c r="GL75" s="45" t="e">
        <v>#N/A</v>
      </c>
      <c r="GM75" s="45" t="e">
        <v>#N/A</v>
      </c>
      <c r="GN75" s="115" t="e">
        <v>#N/A</v>
      </c>
      <c r="GO75" s="115" t="e">
        <v>#N/A</v>
      </c>
      <c r="GP75" s="115" t="e">
        <v>#N/A</v>
      </c>
      <c r="GQ75" s="45" t="e">
        <v>#N/A</v>
      </c>
      <c r="GR75" s="45" t="e">
        <v>#N/A</v>
      </c>
      <c r="GS75" s="45" t="e">
        <v>#N/A</v>
      </c>
      <c r="GT75" s="45" t="e">
        <v>#N/A</v>
      </c>
      <c r="GU75" s="45" t="e">
        <v>#N/A</v>
      </c>
      <c r="GV75" s="45" t="e">
        <v>#N/A</v>
      </c>
      <c r="GW75" s="45" t="e">
        <v>#N/A</v>
      </c>
      <c r="GX75" s="45" t="e">
        <v>#N/A</v>
      </c>
      <c r="GY75" s="45" t="e">
        <v>#N/A</v>
      </c>
      <c r="GZ75" s="45" t="e">
        <v>#N/A</v>
      </c>
      <c r="HA75" s="45" t="e">
        <v>#N/A</v>
      </c>
      <c r="HB75" s="45" t="e">
        <v>#N/A</v>
      </c>
      <c r="HC75" s="45" t="e">
        <v>#N/A</v>
      </c>
      <c r="HD75" s="45" t="e">
        <v>#N/A</v>
      </c>
      <c r="HE75" s="45" t="e">
        <v>#N/A</v>
      </c>
      <c r="HF75" s="45" t="e">
        <v>#N/A</v>
      </c>
      <c r="HG75" s="45" t="e">
        <v>#N/A</v>
      </c>
      <c r="HI75" s="35">
        <f>$GB$47</f>
        <v>0</v>
      </c>
      <c r="HK75" s="28"/>
      <c r="IC75" s="164"/>
      <c r="ID75" s="53">
        <f t="shared" ref="ID75:ID81" si="114">IF($IC$73="-",$ID$73,$ID$73+IF75)</f>
        <v>25.5</v>
      </c>
      <c r="IE75" s="54" t="s">
        <v>151</v>
      </c>
      <c r="IF75" s="54">
        <f>IF(EL18=0,IF74,EN18)</f>
        <v>0</v>
      </c>
      <c r="IG75" s="54">
        <f>IF(IC73="-",0,IG74-IF(EL18=0,0,EJ18*IF75))</f>
        <v>0</v>
      </c>
      <c r="II75" s="54" t="b">
        <f t="shared" si="44"/>
        <v>0</v>
      </c>
      <c r="IJ75" s="55" t="b">
        <f t="shared" si="73"/>
        <v>0</v>
      </c>
      <c r="IK75" s="54">
        <f t="shared" si="106"/>
        <v>0</v>
      </c>
      <c r="IL75" s="56">
        <f>IL74*2</f>
        <v>0</v>
      </c>
      <c r="IM75" s="54">
        <f t="shared" si="107"/>
        <v>0</v>
      </c>
      <c r="IN75" s="54">
        <f t="shared" si="108"/>
        <v>0</v>
      </c>
      <c r="IO75" s="57">
        <f t="shared" si="109"/>
        <v>0</v>
      </c>
      <c r="IP75" s="54">
        <f t="shared" si="110"/>
        <v>0</v>
      </c>
      <c r="IQ75" s="54">
        <f t="shared" si="111"/>
        <v>0</v>
      </c>
      <c r="IR75" s="54">
        <f t="shared" si="113"/>
        <v>-1093.5</v>
      </c>
      <c r="IS75" s="58" t="str">
        <f>IF(IC73="-","",SUM(IM75:IR75))</f>
        <v/>
      </c>
      <c r="IT75" s="54">
        <f t="shared" si="112"/>
        <v>25.5</v>
      </c>
      <c r="IV75" s="54">
        <f>IF82/2+IV73</f>
        <v>25.5</v>
      </c>
      <c r="IW75" s="54">
        <f>IW74</f>
        <v>0</v>
      </c>
      <c r="IY75" s="65" t="str">
        <f>IF(IC73="-","",IF(EL18=0,"",EL18))</f>
        <v/>
      </c>
      <c r="IZ75" s="55"/>
      <c r="JB75" s="54"/>
      <c r="JC75" s="54"/>
      <c r="JE75" s="54"/>
      <c r="JF75" s="54"/>
      <c r="JH75" s="54"/>
      <c r="JI75" s="54"/>
      <c r="JK75" s="54"/>
      <c r="JL75" s="54"/>
      <c r="JM75" s="39"/>
      <c r="JN75" s="54"/>
      <c r="JO75" s="54"/>
      <c r="JP75" s="39"/>
      <c r="JQ75" s="54"/>
      <c r="JR75" s="54"/>
      <c r="JS75" s="39"/>
      <c r="JT75" s="54"/>
      <c r="JU75" s="54"/>
      <c r="JW75" s="123"/>
      <c r="JX75" s="123"/>
    </row>
    <row r="76" spans="12:284" ht="14.25" customHeight="1" x14ac:dyDescent="0.2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87"/>
      <c r="DW76" s="87"/>
      <c r="DX76" s="87"/>
      <c r="DY76" s="87"/>
      <c r="DZ76" s="87"/>
      <c r="EA76" s="87"/>
      <c r="EB76" s="87"/>
      <c r="EC76" s="87"/>
      <c r="ED76" s="87"/>
      <c r="FH76" s="28">
        <v>14</v>
      </c>
      <c r="FI76" s="184" t="s">
        <v>92</v>
      </c>
      <c r="FJ76" s="184"/>
      <c r="FK76" s="185" t="s">
        <v>91</v>
      </c>
      <c r="FL76" s="185"/>
      <c r="FM76" s="185"/>
      <c r="FN76" s="185" t="s">
        <v>93</v>
      </c>
      <c r="FO76" s="185"/>
      <c r="FP76" s="185"/>
      <c r="FQ76" s="185" t="s">
        <v>94</v>
      </c>
      <c r="FR76" s="185"/>
      <c r="FS76" s="185"/>
      <c r="FT76" s="98" t="s">
        <v>57</v>
      </c>
      <c r="FU76" s="187" t="s">
        <v>13</v>
      </c>
      <c r="FV76" s="185"/>
      <c r="FW76" s="185"/>
      <c r="FX76" s="187" t="s">
        <v>14</v>
      </c>
      <c r="FY76" s="185"/>
      <c r="FZ76" s="185"/>
      <c r="GA76" s="98" t="s">
        <v>57</v>
      </c>
      <c r="GB76" s="187" t="s">
        <v>60</v>
      </c>
      <c r="GC76" s="185"/>
      <c r="GD76" s="185"/>
      <c r="GG76" s="22">
        <v>9</v>
      </c>
      <c r="GH76" s="45" t="e">
        <v>#N/A</v>
      </c>
      <c r="GI76" s="45" t="e">
        <v>#N/A</v>
      </c>
      <c r="GJ76" s="45" t="e">
        <v>#N/A</v>
      </c>
      <c r="GK76" s="45" t="e">
        <v>#N/A</v>
      </c>
      <c r="GL76" s="45" t="e">
        <v>#N/A</v>
      </c>
      <c r="GM76" s="45" t="e">
        <v>#N/A</v>
      </c>
      <c r="GN76" s="45" t="e">
        <v>#N/A</v>
      </c>
      <c r="GO76" s="115" t="e">
        <v>#N/A</v>
      </c>
      <c r="GP76" s="115" t="e">
        <v>#N/A</v>
      </c>
      <c r="GQ76" s="115" t="e">
        <v>#N/A</v>
      </c>
      <c r="GR76" s="45" t="e">
        <v>#N/A</v>
      </c>
      <c r="GS76" s="45" t="e">
        <v>#N/A</v>
      </c>
      <c r="GT76" s="45" t="e">
        <v>#N/A</v>
      </c>
      <c r="GU76" s="45" t="e">
        <v>#N/A</v>
      </c>
      <c r="GV76" s="45" t="e">
        <v>#N/A</v>
      </c>
      <c r="GW76" s="45" t="e">
        <v>#N/A</v>
      </c>
      <c r="GX76" s="45" t="e">
        <v>#N/A</v>
      </c>
      <c r="GY76" s="45" t="e">
        <v>#N/A</v>
      </c>
      <c r="GZ76" s="45" t="e">
        <v>#N/A</v>
      </c>
      <c r="HA76" s="45" t="e">
        <v>#N/A</v>
      </c>
      <c r="HB76" s="45" t="e">
        <v>#N/A</v>
      </c>
      <c r="HC76" s="45" t="e">
        <v>#N/A</v>
      </c>
      <c r="HD76" s="45" t="e">
        <v>#N/A</v>
      </c>
      <c r="HE76" s="45" t="e">
        <v>#N/A</v>
      </c>
      <c r="HF76" s="45" t="e">
        <v>#N/A</v>
      </c>
      <c r="HG76" s="45" t="e">
        <v>#N/A</v>
      </c>
      <c r="HI76" s="35">
        <f>$GB$52</f>
        <v>0</v>
      </c>
      <c r="HK76" s="28"/>
      <c r="IC76" s="164"/>
      <c r="ID76" s="53">
        <f t="shared" si="114"/>
        <v>25.5</v>
      </c>
      <c r="IE76" s="54" t="s">
        <v>152</v>
      </c>
      <c r="IF76" s="54">
        <f>IF75</f>
        <v>0</v>
      </c>
      <c r="IG76" s="54">
        <f>IF(IC73="-",0,IG75-EL18)</f>
        <v>0</v>
      </c>
      <c r="II76" s="54" t="b">
        <f t="shared" si="44"/>
        <v>0</v>
      </c>
      <c r="IJ76" s="55" t="b">
        <f t="shared" si="73"/>
        <v>0</v>
      </c>
      <c r="IK76" s="54">
        <f t="shared" si="106"/>
        <v>0</v>
      </c>
      <c r="IL76" s="56">
        <f>IL74*3</f>
        <v>0</v>
      </c>
      <c r="IM76" s="54">
        <f t="shared" si="107"/>
        <v>0</v>
      </c>
      <c r="IN76" s="54">
        <f t="shared" si="108"/>
        <v>0</v>
      </c>
      <c r="IO76" s="57">
        <f t="shared" si="109"/>
        <v>0</v>
      </c>
      <c r="IP76" s="54">
        <f t="shared" si="110"/>
        <v>0</v>
      </c>
      <c r="IQ76" s="54">
        <f t="shared" si="111"/>
        <v>0</v>
      </c>
      <c r="IR76" s="54">
        <f t="shared" si="113"/>
        <v>-1093.5</v>
      </c>
      <c r="IS76" s="58" t="str">
        <f>IF(IC73="-","",SUM(IM76:IR76))</f>
        <v/>
      </c>
      <c r="IT76" s="54">
        <f t="shared" si="112"/>
        <v>25.5</v>
      </c>
      <c r="IV76" s="54">
        <f>IV77</f>
        <v>25.5</v>
      </c>
      <c r="IW76" s="54">
        <f>IW74</f>
        <v>0</v>
      </c>
      <c r="IY76" s="54">
        <f>IF(IC73="-",-5,IF(ER18=0,-5,ID73+ET18))</f>
        <v>-5</v>
      </c>
      <c r="IZ76" s="54">
        <v>0</v>
      </c>
      <c r="JB76" s="54"/>
      <c r="JC76" s="54"/>
      <c r="JE76" s="54"/>
      <c r="JF76" s="54"/>
      <c r="JH76" s="54"/>
      <c r="JI76" s="54"/>
      <c r="JK76" s="54"/>
      <c r="JL76" s="54"/>
      <c r="JM76" s="39"/>
      <c r="JN76" s="54"/>
      <c r="JO76" s="54"/>
      <c r="JP76" s="39"/>
      <c r="JQ76" s="54"/>
      <c r="JR76" s="54"/>
      <c r="JS76" s="39"/>
      <c r="JT76" s="54"/>
      <c r="JU76" s="54"/>
      <c r="JW76" s="123"/>
      <c r="JX76" s="123"/>
    </row>
    <row r="77" spans="12:284" ht="14.25" customHeight="1" x14ac:dyDescent="0.2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87"/>
      <c r="DW77" s="87"/>
      <c r="DX77" s="87"/>
      <c r="DY77" s="87"/>
      <c r="DZ77" s="87"/>
      <c r="EA77" s="87"/>
      <c r="EB77" s="87"/>
      <c r="EC77" s="87"/>
      <c r="ED77" s="87"/>
      <c r="FH77" s="28"/>
      <c r="FI77" s="28"/>
      <c r="FJ77" s="28"/>
      <c r="FK77" s="169">
        <f>FS3</f>
        <v>0</v>
      </c>
      <c r="FL77" s="169"/>
      <c r="FM77" s="169"/>
      <c r="FN77" s="169">
        <f>2*(FS3+FV3)</f>
        <v>0</v>
      </c>
      <c r="FO77" s="169"/>
      <c r="FP77" s="169"/>
      <c r="FQ77" s="169">
        <f>IF($F$2=14,(IF(F10=ER43,FV3,IF(F10=ER44,FV3*FF40,0))),IF(F2&gt;14,FV3,0))</f>
        <v>0</v>
      </c>
      <c r="FR77" s="169"/>
      <c r="FS77" s="169"/>
      <c r="FT77" s="98" t="s">
        <v>41</v>
      </c>
      <c r="FU77" s="170">
        <f>(EJ24*FS3^3)/4</f>
        <v>0</v>
      </c>
      <c r="FV77" s="170"/>
      <c r="FW77" s="170"/>
      <c r="FX77" s="170">
        <f>(EJ25*FV3^3)/4</f>
        <v>0</v>
      </c>
      <c r="FY77" s="170"/>
      <c r="FZ77" s="170"/>
      <c r="GA77" s="101"/>
      <c r="GB77" s="171">
        <f>-SUM(FU77:FZ80)-IF(F2=14,IF($F$10=$ER$44,FQ77,0))</f>
        <v>0</v>
      </c>
      <c r="GC77" s="171"/>
      <c r="GD77" s="171"/>
      <c r="GG77" s="22">
        <v>10</v>
      </c>
      <c r="GH77" s="45" t="e">
        <v>#N/A</v>
      </c>
      <c r="GI77" s="45" t="e">
        <v>#N/A</v>
      </c>
      <c r="GJ77" s="45" t="e">
        <v>#N/A</v>
      </c>
      <c r="GK77" s="45" t="e">
        <v>#N/A</v>
      </c>
      <c r="GL77" s="45" t="e">
        <v>#N/A</v>
      </c>
      <c r="GM77" s="45" t="e">
        <v>#N/A</v>
      </c>
      <c r="GN77" s="45" t="e">
        <v>#N/A</v>
      </c>
      <c r="GO77" s="45" t="e">
        <v>#N/A</v>
      </c>
      <c r="GP77" s="115" t="e">
        <v>#N/A</v>
      </c>
      <c r="GQ77" s="115" t="e">
        <v>#N/A</v>
      </c>
      <c r="GR77" s="115" t="e">
        <v>#N/A</v>
      </c>
      <c r="GS77" s="45" t="e">
        <v>#N/A</v>
      </c>
      <c r="GT77" s="45" t="e">
        <v>#N/A</v>
      </c>
      <c r="GU77" s="45" t="e">
        <v>#N/A</v>
      </c>
      <c r="GV77" s="45" t="e">
        <v>#N/A</v>
      </c>
      <c r="GW77" s="45" t="e">
        <v>#N/A</v>
      </c>
      <c r="GX77" s="45" t="e">
        <v>#N/A</v>
      </c>
      <c r="GY77" s="45" t="e">
        <v>#N/A</v>
      </c>
      <c r="GZ77" s="45" t="e">
        <v>#N/A</v>
      </c>
      <c r="HA77" s="45" t="e">
        <v>#N/A</v>
      </c>
      <c r="HB77" s="45" t="e">
        <v>#N/A</v>
      </c>
      <c r="HC77" s="45" t="e">
        <v>#N/A</v>
      </c>
      <c r="HD77" s="45" t="e">
        <v>#N/A</v>
      </c>
      <c r="HE77" s="45" t="e">
        <v>#N/A</v>
      </c>
      <c r="HF77" s="45" t="e">
        <v>#N/A</v>
      </c>
      <c r="HG77" s="45" t="e">
        <v>#N/A</v>
      </c>
      <c r="HI77" s="35">
        <f>$GB$57</f>
        <v>0</v>
      </c>
      <c r="HK77" s="28"/>
      <c r="IC77" s="164"/>
      <c r="ID77" s="53">
        <f t="shared" si="114"/>
        <v>25.5</v>
      </c>
      <c r="IE77" s="54" t="s">
        <v>153</v>
      </c>
      <c r="IF77" s="54">
        <f>IF(ER18=0,IF76,ET18)</f>
        <v>0</v>
      </c>
      <c r="IG77" s="54">
        <f>IF(IC73="-",0,IG76-IF(ER18=0,0,EJ18*(IF77-IF76)))</f>
        <v>0</v>
      </c>
      <c r="II77" s="54" t="b">
        <f t="shared" si="44"/>
        <v>0</v>
      </c>
      <c r="IJ77" s="55" t="b">
        <f t="shared" si="73"/>
        <v>0</v>
      </c>
      <c r="IK77" s="54">
        <f t="shared" si="106"/>
        <v>0</v>
      </c>
      <c r="IL77" s="68" t="b">
        <f>IF(II73=TRUE,IK73,IF(II74=TRUE,IK74,IF(II75=TRUE,IK75,IF(II76=TRUE,IK76,IF(II77=TRUE,IK77,IF(II78=TRUE,IK78,IF(II79=TRUE,IK79,IF(II80=TRUE,IK80,IF(II81=TRUE,IK81,IF(II82=TRUE,IK82))))))))))</f>
        <v>0</v>
      </c>
      <c r="IM77" s="68">
        <f t="shared" si="107"/>
        <v>0</v>
      </c>
      <c r="IN77" s="68">
        <f t="shared" si="108"/>
        <v>0</v>
      </c>
      <c r="IO77" s="69">
        <f t="shared" si="109"/>
        <v>0</v>
      </c>
      <c r="IP77" s="68">
        <f t="shared" si="110"/>
        <v>0</v>
      </c>
      <c r="IQ77" s="68">
        <f t="shared" si="111"/>
        <v>0</v>
      </c>
      <c r="IR77" s="68">
        <f t="shared" si="113"/>
        <v>-1093.5</v>
      </c>
      <c r="IS77" s="70" t="str">
        <f>IF(IC73="-","",ROUND(SUM(IM77:IR77),2))</f>
        <v/>
      </c>
      <c r="IT77" s="68">
        <f t="shared" si="112"/>
        <v>25.5</v>
      </c>
      <c r="IV77" s="54">
        <f>ID82</f>
        <v>25.5</v>
      </c>
      <c r="IW77" s="54">
        <v>0</v>
      </c>
      <c r="IY77" s="54">
        <f>IY76</f>
        <v>-5</v>
      </c>
      <c r="IZ77" s="54">
        <f>IF(IC73="-",0,ER18/20)</f>
        <v>0</v>
      </c>
      <c r="JB77" s="54"/>
      <c r="JC77" s="54"/>
      <c r="JE77" s="54"/>
      <c r="JF77" s="54"/>
      <c r="JH77" s="54"/>
      <c r="JI77" s="54"/>
      <c r="JK77" s="54">
        <f>IF(IC73=7,IT77,-5)</f>
        <v>-5</v>
      </c>
      <c r="JL77" s="59" t="str">
        <f>IS77</f>
        <v/>
      </c>
      <c r="JM77" s="40"/>
      <c r="JN77" s="59"/>
      <c r="JO77" s="59"/>
      <c r="JP77" s="40"/>
      <c r="JQ77" s="59"/>
      <c r="JR77" s="59"/>
      <c r="JS77" s="40"/>
      <c r="JT77" s="59"/>
      <c r="JU77" s="59"/>
      <c r="JW77" s="122"/>
      <c r="JX77" s="122"/>
    </row>
    <row r="78" spans="12:284" ht="14.25" customHeight="1" x14ac:dyDescent="0.2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87"/>
      <c r="DW78" s="87"/>
      <c r="DX78" s="87"/>
      <c r="DY78" s="87"/>
      <c r="DZ78" s="87"/>
      <c r="EA78" s="87"/>
      <c r="EB78" s="87"/>
      <c r="EC78" s="87"/>
      <c r="ED78" s="87"/>
      <c r="FH78" s="28"/>
      <c r="FI78" s="28"/>
      <c r="FJ78" s="28"/>
      <c r="FT78" s="98" t="s">
        <v>17</v>
      </c>
      <c r="FU78" s="170">
        <f>IF(FS3=0,0,(EL24*EN24/FS3)*(FS3^2-EN24^2))</f>
        <v>0</v>
      </c>
      <c r="FV78" s="170"/>
      <c r="FW78" s="170"/>
      <c r="FX78" s="170">
        <f>IF(FV3=0,0,(EL25*EP25/FV3)*(FV3^2-EP25^2))</f>
        <v>0</v>
      </c>
      <c r="FY78" s="170"/>
      <c r="FZ78" s="170"/>
      <c r="GA78" s="101"/>
      <c r="GB78" s="170"/>
      <c r="GC78" s="170"/>
      <c r="GD78" s="170"/>
      <c r="GG78" s="22">
        <v>11</v>
      </c>
      <c r="GH78" s="45" t="e">
        <v>#N/A</v>
      </c>
      <c r="GI78" s="45" t="e">
        <v>#N/A</v>
      </c>
      <c r="GJ78" s="45" t="e">
        <v>#N/A</v>
      </c>
      <c r="GK78" s="45" t="e">
        <v>#N/A</v>
      </c>
      <c r="GL78" s="45" t="e">
        <v>#N/A</v>
      </c>
      <c r="GM78" s="45" t="e">
        <v>#N/A</v>
      </c>
      <c r="GN78" s="45" t="e">
        <v>#N/A</v>
      </c>
      <c r="GO78" s="45" t="e">
        <v>#N/A</v>
      </c>
      <c r="GP78" s="45" t="e">
        <v>#N/A</v>
      </c>
      <c r="GQ78" s="115" t="e">
        <v>#N/A</v>
      </c>
      <c r="GR78" s="115" t="e">
        <v>#N/A</v>
      </c>
      <c r="GS78" s="115" t="e">
        <v>#N/A</v>
      </c>
      <c r="GT78" s="45" t="e">
        <v>#N/A</v>
      </c>
      <c r="GU78" s="45" t="e">
        <v>#N/A</v>
      </c>
      <c r="GV78" s="45" t="e">
        <v>#N/A</v>
      </c>
      <c r="GW78" s="45" t="e">
        <v>#N/A</v>
      </c>
      <c r="GX78" s="45" t="e">
        <v>#N/A</v>
      </c>
      <c r="GY78" s="45" t="e">
        <v>#N/A</v>
      </c>
      <c r="GZ78" s="45" t="e">
        <v>#N/A</v>
      </c>
      <c r="HA78" s="45" t="e">
        <v>#N/A</v>
      </c>
      <c r="HB78" s="45" t="e">
        <v>#N/A</v>
      </c>
      <c r="HC78" s="45" t="e">
        <v>#N/A</v>
      </c>
      <c r="HD78" s="45" t="e">
        <v>#N/A</v>
      </c>
      <c r="HE78" s="45" t="e">
        <v>#N/A</v>
      </c>
      <c r="HF78" s="45" t="e">
        <v>#N/A</v>
      </c>
      <c r="HG78" s="45" t="e">
        <v>#N/A</v>
      </c>
      <c r="HI78" s="35">
        <f>$GB$62</f>
        <v>0</v>
      </c>
      <c r="HK78" s="28"/>
      <c r="IC78" s="164"/>
      <c r="ID78" s="53">
        <f t="shared" si="114"/>
        <v>25.5</v>
      </c>
      <c r="IE78" s="54" t="s">
        <v>154</v>
      </c>
      <c r="IF78" s="54">
        <f>IF77</f>
        <v>0</v>
      </c>
      <c r="IG78" s="54">
        <f>IF(IC73="-",0,IG77-ER18)</f>
        <v>0</v>
      </c>
      <c r="II78" s="54" t="b">
        <f t="shared" si="44"/>
        <v>0</v>
      </c>
      <c r="IJ78" s="55" t="b">
        <f t="shared" si="73"/>
        <v>0</v>
      </c>
      <c r="IK78" s="54">
        <f t="shared" si="106"/>
        <v>0</v>
      </c>
      <c r="IL78" s="56">
        <f>IL77+($IL$82-$IL$77)/4</f>
        <v>0</v>
      </c>
      <c r="IM78" s="54">
        <f t="shared" si="107"/>
        <v>0</v>
      </c>
      <c r="IN78" s="54">
        <f t="shared" si="108"/>
        <v>0</v>
      </c>
      <c r="IO78" s="57">
        <f t="shared" si="109"/>
        <v>0</v>
      </c>
      <c r="IP78" s="54">
        <f t="shared" si="110"/>
        <v>0</v>
      </c>
      <c r="IQ78" s="54">
        <f t="shared" si="111"/>
        <v>0</v>
      </c>
      <c r="IR78" s="54">
        <f t="shared" si="113"/>
        <v>-1093.5</v>
      </c>
      <c r="IS78" s="58" t="str">
        <f>IF(IC73="-","",SUM(IM78:IR78))</f>
        <v/>
      </c>
      <c r="IT78" s="54">
        <f t="shared" si="112"/>
        <v>25.5</v>
      </c>
      <c r="IV78" s="54"/>
      <c r="IW78" s="54"/>
      <c r="IY78" s="65" t="str">
        <f>IF(IC73="-","",IF(ER18=0,"",ER18))</f>
        <v/>
      </c>
      <c r="IZ78" s="55"/>
      <c r="JB78" s="54"/>
      <c r="JC78" s="54"/>
      <c r="JE78" s="54"/>
      <c r="JF78" s="54"/>
      <c r="JH78" s="54"/>
      <c r="JI78" s="54"/>
      <c r="JK78" s="54"/>
      <c r="JL78" s="54"/>
      <c r="JM78" s="39"/>
      <c r="JN78" s="54"/>
      <c r="JO78" s="54"/>
      <c r="JP78" s="39"/>
      <c r="JQ78" s="54"/>
      <c r="JR78" s="54"/>
      <c r="JS78" s="39"/>
      <c r="JT78" s="54"/>
      <c r="JU78" s="54"/>
      <c r="JW78" s="123"/>
      <c r="JX78" s="123"/>
    </row>
    <row r="79" spans="12:284" ht="14.25" customHeight="1" x14ac:dyDescent="0.2"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87"/>
      <c r="DW79" s="87"/>
      <c r="DX79" s="87"/>
      <c r="DY79" s="87"/>
      <c r="DZ79" s="87"/>
      <c r="EA79" s="87"/>
      <c r="EB79" s="87"/>
      <c r="EC79" s="87"/>
      <c r="ED79" s="87"/>
      <c r="FH79" s="28"/>
      <c r="FI79" s="28"/>
      <c r="FJ79" s="28"/>
      <c r="FT79" s="98" t="s">
        <v>19</v>
      </c>
      <c r="FU79" s="170">
        <f>IF(FS3=0,0,(ER24*ET24/FS3)*(FS3^2-ET24^2))</f>
        <v>0</v>
      </c>
      <c r="FV79" s="170"/>
      <c r="FW79" s="170"/>
      <c r="FX79" s="170">
        <f>IF(FV3=0,0,(ER25*EV25/FV3)*(FV3^2-EV25^2))</f>
        <v>0</v>
      </c>
      <c r="FY79" s="170"/>
      <c r="FZ79" s="170"/>
      <c r="GA79" s="101"/>
      <c r="GB79" s="170"/>
      <c r="GC79" s="170"/>
      <c r="GD79" s="170"/>
      <c r="GG79" s="22">
        <v>12</v>
      </c>
      <c r="GH79" s="45" t="e">
        <v>#N/A</v>
      </c>
      <c r="GI79" s="45" t="e">
        <v>#N/A</v>
      </c>
      <c r="GJ79" s="45" t="e">
        <v>#N/A</v>
      </c>
      <c r="GK79" s="45" t="e">
        <v>#N/A</v>
      </c>
      <c r="GL79" s="45" t="e">
        <v>#N/A</v>
      </c>
      <c r="GM79" s="45" t="e">
        <v>#N/A</v>
      </c>
      <c r="GN79" s="45" t="e">
        <v>#N/A</v>
      </c>
      <c r="GO79" s="45" t="e">
        <v>#N/A</v>
      </c>
      <c r="GP79" s="45" t="e">
        <v>#N/A</v>
      </c>
      <c r="GQ79" s="45" t="e">
        <v>#N/A</v>
      </c>
      <c r="GR79" s="115" t="e">
        <v>#N/A</v>
      </c>
      <c r="GS79" s="115" t="e">
        <v>#N/A</v>
      </c>
      <c r="GT79" s="115" t="e">
        <v>#N/A</v>
      </c>
      <c r="GU79" s="45" t="e">
        <v>#N/A</v>
      </c>
      <c r="GV79" s="45" t="e">
        <v>#N/A</v>
      </c>
      <c r="GW79" s="45" t="e">
        <v>#N/A</v>
      </c>
      <c r="GX79" s="45" t="e">
        <v>#N/A</v>
      </c>
      <c r="GY79" s="45" t="e">
        <v>#N/A</v>
      </c>
      <c r="GZ79" s="45" t="e">
        <v>#N/A</v>
      </c>
      <c r="HA79" s="45" t="e">
        <v>#N/A</v>
      </c>
      <c r="HB79" s="45" t="e">
        <v>#N/A</v>
      </c>
      <c r="HC79" s="45" t="e">
        <v>#N/A</v>
      </c>
      <c r="HD79" s="45" t="e">
        <v>#N/A</v>
      </c>
      <c r="HE79" s="45" t="e">
        <v>#N/A</v>
      </c>
      <c r="HF79" s="45" t="e">
        <v>#N/A</v>
      </c>
      <c r="HG79" s="45" t="e">
        <v>#N/A</v>
      </c>
      <c r="HI79" s="35">
        <f>$GB$67</f>
        <v>0</v>
      </c>
      <c r="HK79" s="28"/>
      <c r="IC79" s="164"/>
      <c r="ID79" s="53">
        <f t="shared" si="114"/>
        <v>25.5</v>
      </c>
      <c r="IE79" s="54" t="s">
        <v>155</v>
      </c>
      <c r="IF79" s="54">
        <f>IF(EX18=0,IF78,EZ18)</f>
        <v>0</v>
      </c>
      <c r="IG79" s="54">
        <f>IF(IC73="-",0,IG78-IF(EX18=0,0,EJ18*(IF79-IF78)))</f>
        <v>0</v>
      </c>
      <c r="II79" s="54" t="b">
        <f t="shared" si="44"/>
        <v>0</v>
      </c>
      <c r="IJ79" s="55" t="b">
        <f t="shared" si="73"/>
        <v>0</v>
      </c>
      <c r="IK79" s="54">
        <f t="shared" si="106"/>
        <v>0</v>
      </c>
      <c r="IL79" s="56">
        <f>IL78+($IL$82-$IL$77)/4</f>
        <v>0</v>
      </c>
      <c r="IM79" s="54">
        <f t="shared" si="107"/>
        <v>0</v>
      </c>
      <c r="IN79" s="54">
        <f t="shared" si="108"/>
        <v>0</v>
      </c>
      <c r="IO79" s="57">
        <f t="shared" si="109"/>
        <v>0</v>
      </c>
      <c r="IP79" s="54">
        <f t="shared" si="110"/>
        <v>0</v>
      </c>
      <c r="IQ79" s="54">
        <f t="shared" si="111"/>
        <v>0</v>
      </c>
      <c r="IR79" s="54">
        <f t="shared" si="113"/>
        <v>-1093.5</v>
      </c>
      <c r="IS79" s="58" t="str">
        <f>IF(IC73="-","",SUM(IM79:IR79))</f>
        <v/>
      </c>
      <c r="IT79" s="54">
        <f t="shared" si="112"/>
        <v>25.5</v>
      </c>
      <c r="IV79" s="72" t="str">
        <f>IF(IC73="-","",EJ18)</f>
        <v/>
      </c>
      <c r="IW79" s="54"/>
      <c r="IY79" s="54">
        <f>IF(IC73="-",-5,IF(EX18=0,-5,ID73+EZ18))</f>
        <v>-5</v>
      </c>
      <c r="IZ79" s="54">
        <v>0</v>
      </c>
      <c r="JB79" s="54"/>
      <c r="JC79" s="54"/>
      <c r="JE79" s="54"/>
      <c r="JF79" s="54"/>
      <c r="JH79" s="54"/>
      <c r="JI79" s="54"/>
      <c r="JK79" s="54"/>
      <c r="JL79" s="54"/>
      <c r="JM79" s="39"/>
      <c r="JN79" s="54"/>
      <c r="JO79" s="54"/>
      <c r="JP79" s="39"/>
      <c r="JQ79" s="54"/>
      <c r="JR79" s="54"/>
      <c r="JS79" s="39"/>
      <c r="JT79" s="54"/>
      <c r="JU79" s="54"/>
      <c r="JW79" s="123"/>
      <c r="JX79" s="123"/>
    </row>
    <row r="80" spans="12:284" ht="14.25" customHeight="1" x14ac:dyDescent="0.2"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87"/>
      <c r="DW80" s="87"/>
      <c r="DX80" s="87"/>
      <c r="DY80" s="87"/>
      <c r="DZ80" s="87"/>
      <c r="EA80" s="87"/>
      <c r="EB80" s="87"/>
      <c r="EC80" s="87"/>
      <c r="ED80" s="87"/>
      <c r="FH80" s="28"/>
      <c r="FI80" s="28"/>
      <c r="FJ80" s="28"/>
      <c r="FT80" s="98" t="s">
        <v>20</v>
      </c>
      <c r="FU80" s="170">
        <f>IF(FS3=0,0,(EX24*EZ24/FS3)*(FS3^2-EZ24^2))</f>
        <v>0</v>
      </c>
      <c r="FV80" s="170"/>
      <c r="FW80" s="170"/>
      <c r="FX80" s="170">
        <f>IF(FV3=0,0,(EX25*FB25/FV3)*(FV3^2-FB25^2))</f>
        <v>0</v>
      </c>
      <c r="FY80" s="170"/>
      <c r="FZ80" s="170"/>
      <c r="GA80" s="101"/>
      <c r="GB80" s="172"/>
      <c r="GC80" s="172"/>
      <c r="GD80" s="172"/>
      <c r="GG80" s="22">
        <v>13</v>
      </c>
      <c r="GH80" s="45" t="e">
        <v>#N/A</v>
      </c>
      <c r="GI80" s="45" t="e">
        <v>#N/A</v>
      </c>
      <c r="GJ80" s="45" t="e">
        <v>#N/A</v>
      </c>
      <c r="GK80" s="45" t="e">
        <v>#N/A</v>
      </c>
      <c r="GL80" s="45" t="e">
        <v>#N/A</v>
      </c>
      <c r="GM80" s="45" t="e">
        <v>#N/A</v>
      </c>
      <c r="GN80" s="45" t="e">
        <v>#N/A</v>
      </c>
      <c r="GO80" s="45" t="e">
        <v>#N/A</v>
      </c>
      <c r="GP80" s="45" t="e">
        <v>#N/A</v>
      </c>
      <c r="GQ80" s="45" t="e">
        <v>#N/A</v>
      </c>
      <c r="GR80" s="45" t="e">
        <v>#N/A</v>
      </c>
      <c r="GS80" s="115" t="e">
        <v>#N/A</v>
      </c>
      <c r="GT80" s="115" t="e">
        <v>#N/A</v>
      </c>
      <c r="GU80" s="115" t="e">
        <v>#N/A</v>
      </c>
      <c r="GV80" s="45" t="e">
        <v>#N/A</v>
      </c>
      <c r="GW80" s="45" t="e">
        <v>#N/A</v>
      </c>
      <c r="GX80" s="45" t="e">
        <v>#N/A</v>
      </c>
      <c r="GY80" s="45" t="e">
        <v>#N/A</v>
      </c>
      <c r="GZ80" s="45" t="e">
        <v>#N/A</v>
      </c>
      <c r="HA80" s="45" t="e">
        <v>#N/A</v>
      </c>
      <c r="HB80" s="45" t="e">
        <v>#N/A</v>
      </c>
      <c r="HC80" s="45" t="e">
        <v>#N/A</v>
      </c>
      <c r="HD80" s="45" t="e">
        <v>#N/A</v>
      </c>
      <c r="HE80" s="45" t="e">
        <v>#N/A</v>
      </c>
      <c r="HF80" s="45" t="e">
        <v>#N/A</v>
      </c>
      <c r="HG80" s="45" t="e">
        <v>#N/A</v>
      </c>
      <c r="HI80" s="35">
        <f>$GB$72</f>
        <v>0</v>
      </c>
      <c r="HK80" s="28"/>
      <c r="IC80" s="164"/>
      <c r="ID80" s="53">
        <f t="shared" si="114"/>
        <v>25.5</v>
      </c>
      <c r="IE80" s="54" t="s">
        <v>156</v>
      </c>
      <c r="IF80" s="54">
        <f>IF79</f>
        <v>0</v>
      </c>
      <c r="IG80" s="54">
        <f>IF(IC73="-",0,IG79-EX18)</f>
        <v>0</v>
      </c>
      <c r="II80" s="54" t="b">
        <f t="shared" si="44"/>
        <v>0</v>
      </c>
      <c r="IJ80" s="55" t="b">
        <f t="shared" si="73"/>
        <v>0</v>
      </c>
      <c r="IK80" s="54">
        <f t="shared" si="106"/>
        <v>0</v>
      </c>
      <c r="IL80" s="56">
        <f>IL79+($IL$82-$IL$77)/4</f>
        <v>0</v>
      </c>
      <c r="IM80" s="54">
        <f t="shared" si="107"/>
        <v>0</v>
      </c>
      <c r="IN80" s="54">
        <f t="shared" si="108"/>
        <v>0</v>
      </c>
      <c r="IO80" s="57">
        <f t="shared" si="109"/>
        <v>0</v>
      </c>
      <c r="IP80" s="54">
        <f t="shared" si="110"/>
        <v>0</v>
      </c>
      <c r="IQ80" s="54">
        <f t="shared" si="111"/>
        <v>0</v>
      </c>
      <c r="IR80" s="54">
        <f t="shared" si="113"/>
        <v>-1093.5</v>
      </c>
      <c r="IS80" s="58" t="str">
        <f>IF(IC73="-","",SUM(IM80:IR80))</f>
        <v/>
      </c>
      <c r="IT80" s="54">
        <f t="shared" si="112"/>
        <v>25.5</v>
      </c>
      <c r="IV80" s="54"/>
      <c r="IW80" s="54"/>
      <c r="IY80" s="54">
        <f>IY79</f>
        <v>-5</v>
      </c>
      <c r="IZ80" s="54">
        <f>IF(IC73="-",0,EX18/20)</f>
        <v>0</v>
      </c>
      <c r="JB80" s="66" t="str">
        <f>IF(IC73="-","",HY18)</f>
        <v/>
      </c>
      <c r="JC80" s="54" t="b">
        <f>AND($F$2=7,$F$10=$ER$43)</f>
        <v>0</v>
      </c>
      <c r="JE80" s="66" t="str">
        <f>JB80</f>
        <v/>
      </c>
      <c r="JF80" s="54"/>
      <c r="JH80" s="54"/>
      <c r="JI80" s="54"/>
      <c r="JK80" s="54" t="b">
        <f>AND($F$2=7,$F$10=$ER$43)</f>
        <v>0</v>
      </c>
      <c r="JL80" s="54"/>
      <c r="JM80" s="39"/>
      <c r="JN80" s="54"/>
      <c r="JO80" s="54"/>
      <c r="JP80" s="39"/>
      <c r="JQ80" s="54"/>
      <c r="JR80" s="54"/>
      <c r="JS80" s="39"/>
      <c r="JT80" s="54"/>
      <c r="JU80" s="54"/>
      <c r="JW80" s="123"/>
      <c r="JX80" s="123"/>
    </row>
    <row r="81" spans="12:284" ht="14.25" customHeight="1" x14ac:dyDescent="0.2"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87"/>
      <c r="DW81" s="87"/>
      <c r="DX81" s="87"/>
      <c r="DY81" s="87"/>
      <c r="DZ81" s="87"/>
      <c r="EA81" s="87"/>
      <c r="EB81" s="87"/>
      <c r="EC81" s="87"/>
      <c r="ED81" s="87"/>
      <c r="FH81" s="28">
        <v>15</v>
      </c>
      <c r="FI81" s="184" t="s">
        <v>96</v>
      </c>
      <c r="FJ81" s="184"/>
      <c r="FK81" s="185" t="s">
        <v>93</v>
      </c>
      <c r="FL81" s="185"/>
      <c r="FM81" s="185"/>
      <c r="FN81" s="185" t="s">
        <v>94</v>
      </c>
      <c r="FO81" s="185"/>
      <c r="FP81" s="185"/>
      <c r="FQ81" s="185" t="s">
        <v>98</v>
      </c>
      <c r="FR81" s="185"/>
      <c r="FS81" s="185"/>
      <c r="FT81" s="98" t="s">
        <v>57</v>
      </c>
      <c r="FU81" s="187" t="s">
        <v>13</v>
      </c>
      <c r="FV81" s="185"/>
      <c r="FW81" s="185"/>
      <c r="FX81" s="187" t="s">
        <v>14</v>
      </c>
      <c r="FY81" s="185"/>
      <c r="FZ81" s="185"/>
      <c r="GA81" s="98" t="s">
        <v>57</v>
      </c>
      <c r="GB81" s="187" t="s">
        <v>60</v>
      </c>
      <c r="GC81" s="185"/>
      <c r="GD81" s="185"/>
      <c r="GG81" s="22">
        <v>14</v>
      </c>
      <c r="GH81" s="45" t="e">
        <v>#N/A</v>
      </c>
      <c r="GI81" s="45" t="e">
        <v>#N/A</v>
      </c>
      <c r="GJ81" s="45" t="e">
        <v>#N/A</v>
      </c>
      <c r="GK81" s="45" t="e">
        <v>#N/A</v>
      </c>
      <c r="GL81" s="45" t="e">
        <v>#N/A</v>
      </c>
      <c r="GM81" s="45" t="e">
        <v>#N/A</v>
      </c>
      <c r="GN81" s="45" t="e">
        <v>#N/A</v>
      </c>
      <c r="GO81" s="45" t="e">
        <v>#N/A</v>
      </c>
      <c r="GP81" s="45" t="e">
        <v>#N/A</v>
      </c>
      <c r="GQ81" s="45" t="e">
        <v>#N/A</v>
      </c>
      <c r="GR81" s="45" t="e">
        <v>#N/A</v>
      </c>
      <c r="GS81" s="45" t="e">
        <v>#N/A</v>
      </c>
      <c r="GT81" s="115" t="e">
        <v>#N/A</v>
      </c>
      <c r="GU81" s="115" t="e">
        <v>#N/A</v>
      </c>
      <c r="GV81" s="115" t="e">
        <v>#N/A</v>
      </c>
      <c r="GW81" s="45" t="e">
        <v>#N/A</v>
      </c>
      <c r="GX81" s="45" t="e">
        <v>#N/A</v>
      </c>
      <c r="GY81" s="45" t="e">
        <v>#N/A</v>
      </c>
      <c r="GZ81" s="45" t="e">
        <v>#N/A</v>
      </c>
      <c r="HA81" s="45" t="e">
        <v>#N/A</v>
      </c>
      <c r="HB81" s="45" t="e">
        <v>#N/A</v>
      </c>
      <c r="HC81" s="45" t="e">
        <v>#N/A</v>
      </c>
      <c r="HD81" s="45" t="e">
        <v>#N/A</v>
      </c>
      <c r="HE81" s="45" t="e">
        <v>#N/A</v>
      </c>
      <c r="HF81" s="45" t="e">
        <v>#N/A</v>
      </c>
      <c r="HG81" s="45" t="e">
        <v>#N/A</v>
      </c>
      <c r="HI81" s="35">
        <f>$GB$77</f>
        <v>0</v>
      </c>
      <c r="HK81" s="28"/>
      <c r="IC81" s="164"/>
      <c r="ID81" s="53">
        <f t="shared" si="114"/>
        <v>25.5</v>
      </c>
      <c r="IE81" s="54" t="s">
        <v>157</v>
      </c>
      <c r="IF81" s="53">
        <f>IF82</f>
        <v>0</v>
      </c>
      <c r="IG81" s="54">
        <f>HW18</f>
        <v>0</v>
      </c>
      <c r="II81" s="54" t="b">
        <f t="shared" si="44"/>
        <v>0</v>
      </c>
      <c r="IJ81" s="55" t="b">
        <f t="shared" si="73"/>
        <v>0</v>
      </c>
      <c r="IK81" s="54">
        <f t="shared" si="106"/>
        <v>0</v>
      </c>
      <c r="IL81" s="56">
        <f>IL80+($IL$82-$IL$77)/4</f>
        <v>0</v>
      </c>
      <c r="IM81" s="54">
        <f t="shared" si="107"/>
        <v>0</v>
      </c>
      <c r="IN81" s="54">
        <f t="shared" si="108"/>
        <v>0</v>
      </c>
      <c r="IO81" s="57">
        <f t="shared" si="109"/>
        <v>0</v>
      </c>
      <c r="IP81" s="54">
        <f t="shared" si="110"/>
        <v>0</v>
      </c>
      <c r="IQ81" s="54">
        <f t="shared" si="111"/>
        <v>0</v>
      </c>
      <c r="IR81" s="55"/>
      <c r="IS81" s="59" t="str">
        <f>IF(IC73="-","",ROUND(HU18,2))</f>
        <v/>
      </c>
      <c r="IT81" s="54">
        <f t="shared" si="112"/>
        <v>25.5</v>
      </c>
      <c r="IV81" s="54"/>
      <c r="IW81" s="54"/>
      <c r="IY81" s="65" t="str">
        <f>IF(IC73="-","",IF(EX18=0,"",EX18))</f>
        <v/>
      </c>
      <c r="IZ81" s="55"/>
      <c r="JB81" s="54">
        <f>ID82</f>
        <v>25.5</v>
      </c>
      <c r="JC81" s="54">
        <v>0</v>
      </c>
      <c r="JE81" s="54">
        <f>JB81</f>
        <v>25.5</v>
      </c>
      <c r="JF81" s="54">
        <f>IF(JE80&gt;0,-MAX(IW3:IW272,IZ3:IZ272)*0.5,-MAX(IW3:IW272,IZ3:IZ272)*1.5)</f>
        <v>-37.5</v>
      </c>
      <c r="JH81" s="54">
        <f>IF(IC73=7,ID81,-5)</f>
        <v>-5</v>
      </c>
      <c r="JI81" s="54">
        <f>IG81</f>
        <v>0</v>
      </c>
      <c r="JK81" s="54">
        <f>IF(JK80=TRUE,IT81,-5)</f>
        <v>-5</v>
      </c>
      <c r="JL81" s="59" t="str">
        <f>IS81</f>
        <v/>
      </c>
      <c r="JM81" s="40"/>
      <c r="JN81" s="59"/>
      <c r="JO81" s="59"/>
      <c r="JP81" s="40"/>
      <c r="JQ81" s="59"/>
      <c r="JR81" s="59"/>
      <c r="JS81" s="40"/>
      <c r="JT81" s="59"/>
      <c r="JU81" s="59"/>
      <c r="JW81" s="122"/>
      <c r="JX81" s="122"/>
    </row>
    <row r="82" spans="12:284" ht="14.25" customHeight="1" x14ac:dyDescent="0.2"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87"/>
      <c r="DW82" s="87"/>
      <c r="DX82" s="87"/>
      <c r="DY82" s="87"/>
      <c r="DZ82" s="87"/>
      <c r="EA82" s="87"/>
      <c r="EB82" s="87"/>
      <c r="EC82" s="87"/>
      <c r="ED82" s="87"/>
      <c r="FK82" s="169">
        <f>FV3</f>
        <v>0</v>
      </c>
      <c r="FL82" s="169"/>
      <c r="FM82" s="169"/>
      <c r="FN82" s="169">
        <f>2*(FV3+FY3)</f>
        <v>0</v>
      </c>
      <c r="FO82" s="169"/>
      <c r="FP82" s="169"/>
      <c r="FQ82" s="169">
        <f>IF($F$2=15,(IF(F10=ER43,FY3,IF(F10=ER44,FY3*FF40,0))),IF(F2&gt;15,FY3,0))</f>
        <v>0</v>
      </c>
      <c r="FR82" s="169"/>
      <c r="FS82" s="169"/>
      <c r="FT82" s="98" t="s">
        <v>41</v>
      </c>
      <c r="FU82" s="170">
        <f>(EJ25*FV3^3)/4</f>
        <v>0</v>
      </c>
      <c r="FV82" s="170"/>
      <c r="FW82" s="170"/>
      <c r="FX82" s="170">
        <f>(EJ26*FY3^3)/4</f>
        <v>0</v>
      </c>
      <c r="FY82" s="170"/>
      <c r="FZ82" s="170"/>
      <c r="GA82" s="101"/>
      <c r="GB82" s="171">
        <f>-SUM(FU82:FZ85)-IF(F2=15,IF($F$10=$ER$44,FQ82,0))</f>
        <v>0</v>
      </c>
      <c r="GC82" s="171"/>
      <c r="GD82" s="171"/>
      <c r="GG82" s="22">
        <v>15</v>
      </c>
      <c r="GH82" s="45" t="e">
        <v>#N/A</v>
      </c>
      <c r="GI82" s="45" t="e">
        <v>#N/A</v>
      </c>
      <c r="GJ82" s="45" t="e">
        <v>#N/A</v>
      </c>
      <c r="GK82" s="45" t="e">
        <v>#N/A</v>
      </c>
      <c r="GL82" s="45" t="e">
        <v>#N/A</v>
      </c>
      <c r="GM82" s="45" t="e">
        <v>#N/A</v>
      </c>
      <c r="GN82" s="45" t="e">
        <v>#N/A</v>
      </c>
      <c r="GO82" s="45" t="e">
        <v>#N/A</v>
      </c>
      <c r="GP82" s="45" t="e">
        <v>#N/A</v>
      </c>
      <c r="GQ82" s="45" t="e">
        <v>#N/A</v>
      </c>
      <c r="GR82" s="45" t="e">
        <v>#N/A</v>
      </c>
      <c r="GS82" s="45" t="e">
        <v>#N/A</v>
      </c>
      <c r="GT82" s="45" t="e">
        <v>#N/A</v>
      </c>
      <c r="GU82" s="115" t="e">
        <v>#N/A</v>
      </c>
      <c r="GV82" s="115" t="e">
        <v>#N/A</v>
      </c>
      <c r="GW82" s="115" t="e">
        <v>#N/A</v>
      </c>
      <c r="GX82" s="45" t="e">
        <v>#N/A</v>
      </c>
      <c r="GY82" s="45" t="e">
        <v>#N/A</v>
      </c>
      <c r="GZ82" s="45" t="e">
        <v>#N/A</v>
      </c>
      <c r="HA82" s="45" t="e">
        <v>#N/A</v>
      </c>
      <c r="HB82" s="45" t="e">
        <v>#N/A</v>
      </c>
      <c r="HC82" s="45" t="e">
        <v>#N/A</v>
      </c>
      <c r="HD82" s="45" t="e">
        <v>#N/A</v>
      </c>
      <c r="HE82" s="45" t="e">
        <v>#N/A</v>
      </c>
      <c r="HF82" s="45" t="e">
        <v>#N/A</v>
      </c>
      <c r="HG82" s="45" t="e">
        <v>#N/A</v>
      </c>
      <c r="HI82" s="35">
        <f>$GB$82</f>
        <v>0</v>
      </c>
      <c r="HK82" s="28"/>
      <c r="IC82" s="164"/>
      <c r="ID82" s="53">
        <f>IF(HS17="R0",ID73,ID73+HT17)</f>
        <v>25.5</v>
      </c>
      <c r="IE82" s="54" t="s">
        <v>158</v>
      </c>
      <c r="IF82" s="53">
        <f>IF(HS17="R0",0,HT17)</f>
        <v>0</v>
      </c>
      <c r="IG82" s="54">
        <v>0</v>
      </c>
      <c r="II82" s="54" t="b">
        <f t="shared" si="44"/>
        <v>0</v>
      </c>
      <c r="IJ82" s="55" t="b">
        <f t="shared" si="73"/>
        <v>0</v>
      </c>
      <c r="IK82" s="54">
        <f t="shared" si="106"/>
        <v>0</v>
      </c>
      <c r="IL82" s="56">
        <f>IK82</f>
        <v>0</v>
      </c>
      <c r="IM82" s="54"/>
      <c r="IN82" s="55"/>
      <c r="IO82" s="55"/>
      <c r="IP82" s="55"/>
      <c r="IQ82" s="55"/>
      <c r="IR82" s="55"/>
      <c r="IS82" s="83"/>
      <c r="IT82" s="54"/>
      <c r="IV82" s="54"/>
      <c r="IW82" s="54"/>
      <c r="IY82" s="55"/>
      <c r="IZ82" s="55"/>
      <c r="JB82" s="54">
        <f>JB81</f>
        <v>25.5</v>
      </c>
      <c r="JC82" s="54">
        <f>IF(IC73="-",0,IF(JC80=TRUE,0,-20))</f>
        <v>0</v>
      </c>
      <c r="JE82" s="54">
        <f>JE81</f>
        <v>25.5</v>
      </c>
      <c r="JF82" s="54">
        <f>IF(IC73="-",JF81,IF(JE80&gt;0,-MAX(IW3:IW272,IZ3:IZ272)*1.5,-MAX(IW3:IW272,IZ3:IZ272)*0.5))</f>
        <v>-37.5</v>
      </c>
      <c r="JH82" s="54"/>
      <c r="JI82" s="54"/>
      <c r="JK82" s="54"/>
      <c r="JL82" s="54"/>
      <c r="JM82" s="39"/>
      <c r="JN82" s="54"/>
      <c r="JO82" s="54"/>
      <c r="JP82" s="39"/>
      <c r="JQ82" s="54"/>
      <c r="JR82" s="54"/>
      <c r="JS82" s="39"/>
      <c r="JT82" s="54"/>
      <c r="JU82" s="54"/>
      <c r="JW82" s="123"/>
      <c r="JX82" s="123"/>
    </row>
    <row r="83" spans="12:284" ht="14.25" customHeight="1" x14ac:dyDescent="0.2"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87"/>
      <c r="DW83" s="87"/>
      <c r="DX83" s="87"/>
      <c r="DY83" s="87"/>
      <c r="DZ83" s="87"/>
      <c r="EA83" s="87"/>
      <c r="EB83" s="87"/>
      <c r="EC83" s="87"/>
      <c r="ED83" s="87"/>
      <c r="FT83" s="98" t="s">
        <v>17</v>
      </c>
      <c r="FU83" s="170">
        <f>IF(FV3=0,0,(EL25*EN25/FV3)*(FV3^2-EN25^2))</f>
        <v>0</v>
      </c>
      <c r="FV83" s="170"/>
      <c r="FW83" s="170"/>
      <c r="FX83" s="170">
        <f>IF(FY3=0,0,(EL26*EP26/FY3)*(FY3^2-EP26^2))</f>
        <v>0</v>
      </c>
      <c r="FY83" s="170"/>
      <c r="FZ83" s="170"/>
      <c r="GA83" s="101"/>
      <c r="GB83" s="170"/>
      <c r="GC83" s="170"/>
      <c r="GD83" s="170"/>
      <c r="GG83" s="22">
        <v>16</v>
      </c>
      <c r="GH83" s="45" t="e">
        <v>#N/A</v>
      </c>
      <c r="GI83" s="45" t="e">
        <v>#N/A</v>
      </c>
      <c r="GJ83" s="45" t="e">
        <v>#N/A</v>
      </c>
      <c r="GK83" s="45" t="e">
        <v>#N/A</v>
      </c>
      <c r="GL83" s="45" t="e">
        <v>#N/A</v>
      </c>
      <c r="GM83" s="45" t="e">
        <v>#N/A</v>
      </c>
      <c r="GN83" s="45" t="e">
        <v>#N/A</v>
      </c>
      <c r="GO83" s="45" t="e">
        <v>#N/A</v>
      </c>
      <c r="GP83" s="45" t="e">
        <v>#N/A</v>
      </c>
      <c r="GQ83" s="45" t="e">
        <v>#N/A</v>
      </c>
      <c r="GR83" s="45" t="e">
        <v>#N/A</v>
      </c>
      <c r="GS83" s="45" t="e">
        <v>#N/A</v>
      </c>
      <c r="GT83" s="45" t="e">
        <v>#N/A</v>
      </c>
      <c r="GU83" s="45" t="e">
        <v>#N/A</v>
      </c>
      <c r="GV83" s="115" t="e">
        <v>#N/A</v>
      </c>
      <c r="GW83" s="115" t="e">
        <v>#N/A</v>
      </c>
      <c r="GX83" s="115" t="e">
        <v>#N/A</v>
      </c>
      <c r="GY83" s="45" t="e">
        <v>#N/A</v>
      </c>
      <c r="GZ83" s="45" t="e">
        <v>#N/A</v>
      </c>
      <c r="HA83" s="45" t="e">
        <v>#N/A</v>
      </c>
      <c r="HB83" s="45" t="e">
        <v>#N/A</v>
      </c>
      <c r="HC83" s="45" t="e">
        <v>#N/A</v>
      </c>
      <c r="HD83" s="45" t="e">
        <v>#N/A</v>
      </c>
      <c r="HE83" s="45" t="e">
        <v>#N/A</v>
      </c>
      <c r="HF83" s="45" t="e">
        <v>#N/A</v>
      </c>
      <c r="HG83" s="45" t="e">
        <v>#N/A</v>
      </c>
      <c r="HI83" s="35">
        <f>$GB$87</f>
        <v>0</v>
      </c>
      <c r="HK83" s="28"/>
      <c r="IC83" s="252" t="str">
        <f>IF(HS19="R0","-",HS19)</f>
        <v>-</v>
      </c>
      <c r="ID83" s="74">
        <f>IF(HS19="R0",ID272,ID82)</f>
        <v>25.5</v>
      </c>
      <c r="IE83" s="74" t="s">
        <v>149</v>
      </c>
      <c r="IF83" s="74">
        <v>0</v>
      </c>
      <c r="IG83" s="74">
        <v>0</v>
      </c>
      <c r="II83" s="35" t="b">
        <f t="shared" si="44"/>
        <v>0</v>
      </c>
      <c r="IJ83" s="45" t="b">
        <f t="shared" si="73"/>
        <v>0</v>
      </c>
      <c r="IK83" s="35">
        <f t="shared" ref="IK83:IK92" si="115">IF(II83=TRUE,IF(IJ83=TRUE,IG83/$EJ$19)+IF83,IF83)</f>
        <v>0</v>
      </c>
      <c r="IL83" s="48">
        <f>IK83</f>
        <v>0</v>
      </c>
      <c r="IM83" s="35">
        <f t="shared" ref="IM83:IM91" si="116">$HV$19*IL83</f>
        <v>0</v>
      </c>
      <c r="IN83" s="35">
        <f t="shared" ref="IN83:IN91" si="117">-$EJ$19*(IL83^2/2)</f>
        <v>0</v>
      </c>
      <c r="IO83" s="36">
        <f t="shared" ref="IO83:IO91" si="118">-IF(IL83&gt;=$EN$19,$EL$19*(IL83-$EN$19),0)</f>
        <v>0</v>
      </c>
      <c r="IP83" s="35">
        <f t="shared" ref="IP83:IP91" si="119">-IF(IL83&gt;=$ET$19,$ER$19*(IL83-$ET$19),0)</f>
        <v>0</v>
      </c>
      <c r="IQ83" s="35">
        <f t="shared" ref="IQ83:IQ91" si="120">-IF(IL83&gt;=$EZ$19,$EX$19*(IL83-$EZ$19),0)</f>
        <v>0</v>
      </c>
      <c r="IR83" s="45"/>
      <c r="IS83" s="37" t="str">
        <f>IF(IC83="-","",HU19)</f>
        <v/>
      </c>
      <c r="IT83" s="35">
        <f t="shared" ref="IT83:IT91" si="121">$ID$83+IL83</f>
        <v>25.5</v>
      </c>
      <c r="IV83" s="35">
        <f>ID83</f>
        <v>25.5</v>
      </c>
      <c r="IW83" s="35">
        <v>0</v>
      </c>
      <c r="IY83" s="35">
        <f>IF(IC83="-",-5,IF(EL19=0,-5,ID83+EN19))</f>
        <v>-5</v>
      </c>
      <c r="IZ83" s="35">
        <v>0</v>
      </c>
      <c r="JB83" s="38"/>
      <c r="JC83" s="38"/>
      <c r="JE83" s="38"/>
      <c r="JF83" s="38"/>
      <c r="JH83" s="38"/>
      <c r="JI83" s="38"/>
      <c r="JK83" s="35">
        <f>IF(IC83=8,IT83,-5)</f>
        <v>-5</v>
      </c>
      <c r="JL83" s="37" t="str">
        <f>IS83</f>
        <v/>
      </c>
      <c r="JM83" s="40"/>
      <c r="JN83" s="37">
        <f>IF(IC83="-",-5,(ID83+ID92)/2)</f>
        <v>-5</v>
      </c>
      <c r="JO83" s="37">
        <f>-MAX(IW3:IW272,IZ3:IZ272)*0.7</f>
        <v>-52.5</v>
      </c>
      <c r="JP83" s="40"/>
      <c r="JQ83" s="37">
        <f>IF(IC83="-",-5,(IT83+IT87)/2)</f>
        <v>-5</v>
      </c>
      <c r="JR83" s="37">
        <f>JR13</f>
        <v>-760.38306347150262</v>
      </c>
      <c r="JS83" s="40"/>
      <c r="JT83" s="37"/>
      <c r="JU83" s="37"/>
      <c r="JW83" s="37">
        <f>JN83</f>
        <v>-5</v>
      </c>
      <c r="JX83" s="37">
        <f>JF92</f>
        <v>-37.5</v>
      </c>
    </row>
    <row r="84" spans="12:284" ht="14.25" customHeight="1" x14ac:dyDescent="0.2"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87"/>
      <c r="DW84" s="87"/>
      <c r="DX84" s="87"/>
      <c r="DY84" s="87"/>
      <c r="DZ84" s="87"/>
      <c r="EA84" s="87"/>
      <c r="EB84" s="87"/>
      <c r="EC84" s="87"/>
      <c r="ED84" s="87"/>
      <c r="FT84" s="98" t="s">
        <v>19</v>
      </c>
      <c r="FU84" s="170">
        <f>IF(FV3=0,0,(ER25*ET25/FV3)*(FV3^2-ET25^2))</f>
        <v>0</v>
      </c>
      <c r="FV84" s="170"/>
      <c r="FW84" s="170"/>
      <c r="FX84" s="170">
        <f>IF(FY3=0,0,(ER26*EV26/FY3)*(FY3^2-EV26^2))</f>
        <v>0</v>
      </c>
      <c r="FY84" s="170"/>
      <c r="FZ84" s="170"/>
      <c r="GA84" s="101"/>
      <c r="GB84" s="170"/>
      <c r="GC84" s="170"/>
      <c r="GD84" s="170"/>
      <c r="GG84" s="22">
        <v>17</v>
      </c>
      <c r="GH84" s="45" t="e">
        <v>#N/A</v>
      </c>
      <c r="GI84" s="45" t="e">
        <v>#N/A</v>
      </c>
      <c r="GJ84" s="45" t="e">
        <v>#N/A</v>
      </c>
      <c r="GK84" s="45" t="e">
        <v>#N/A</v>
      </c>
      <c r="GL84" s="45" t="e">
        <v>#N/A</v>
      </c>
      <c r="GM84" s="45" t="e">
        <v>#N/A</v>
      </c>
      <c r="GN84" s="45" t="e">
        <v>#N/A</v>
      </c>
      <c r="GO84" s="45" t="e">
        <v>#N/A</v>
      </c>
      <c r="GP84" s="45" t="e">
        <v>#N/A</v>
      </c>
      <c r="GQ84" s="45" t="e">
        <v>#N/A</v>
      </c>
      <c r="GR84" s="45" t="e">
        <v>#N/A</v>
      </c>
      <c r="GS84" s="45" t="e">
        <v>#N/A</v>
      </c>
      <c r="GT84" s="45" t="e">
        <v>#N/A</v>
      </c>
      <c r="GU84" s="45" t="e">
        <v>#N/A</v>
      </c>
      <c r="GV84" s="45" t="e">
        <v>#N/A</v>
      </c>
      <c r="GW84" s="115" t="e">
        <v>#N/A</v>
      </c>
      <c r="GX84" s="115" t="e">
        <v>#N/A</v>
      </c>
      <c r="GY84" s="115" t="e">
        <v>#N/A</v>
      </c>
      <c r="GZ84" s="45" t="e">
        <v>#N/A</v>
      </c>
      <c r="HA84" s="45" t="e">
        <v>#N/A</v>
      </c>
      <c r="HB84" s="45" t="e">
        <v>#N/A</v>
      </c>
      <c r="HC84" s="45" t="e">
        <v>#N/A</v>
      </c>
      <c r="HD84" s="45" t="e">
        <v>#N/A</v>
      </c>
      <c r="HE84" s="45" t="e">
        <v>#N/A</v>
      </c>
      <c r="HF84" s="45" t="e">
        <v>#N/A</v>
      </c>
      <c r="HG84" s="45" t="e">
        <v>#N/A</v>
      </c>
      <c r="HI84" s="35">
        <f>$GB$92</f>
        <v>0</v>
      </c>
      <c r="HK84" s="28"/>
      <c r="IC84" s="252"/>
      <c r="ID84" s="74">
        <f>IF($IC$83="-",$ID$83,$ID$83+IF84)</f>
        <v>25.5</v>
      </c>
      <c r="IE84" s="74" t="s">
        <v>150</v>
      </c>
      <c r="IF84" s="74">
        <f>IF83</f>
        <v>0</v>
      </c>
      <c r="IG84" s="74">
        <f>IF(IC83="-",0,HV19)</f>
        <v>0</v>
      </c>
      <c r="II84" s="35" t="b">
        <f t="shared" si="44"/>
        <v>0</v>
      </c>
      <c r="IJ84" s="45" t="b">
        <f t="shared" si="73"/>
        <v>0</v>
      </c>
      <c r="IK84" s="35">
        <f t="shared" si="115"/>
        <v>0</v>
      </c>
      <c r="IL84" s="48">
        <f>(IL87-IL83)/4</f>
        <v>0</v>
      </c>
      <c r="IM84" s="35">
        <f t="shared" si="116"/>
        <v>0</v>
      </c>
      <c r="IN84" s="35">
        <f t="shared" si="117"/>
        <v>0</v>
      </c>
      <c r="IO84" s="36">
        <f t="shared" si="118"/>
        <v>0</v>
      </c>
      <c r="IP84" s="35">
        <f t="shared" si="119"/>
        <v>0</v>
      </c>
      <c r="IQ84" s="35">
        <f t="shared" si="120"/>
        <v>0</v>
      </c>
      <c r="IR84" s="35">
        <f t="shared" ref="IR84:IR90" si="122">$HU$19</f>
        <v>0</v>
      </c>
      <c r="IS84" s="42" t="str">
        <f>IF(IC83="-","",SUM(IM84:IR84))</f>
        <v/>
      </c>
      <c r="IT84" s="35">
        <f t="shared" si="121"/>
        <v>25.5</v>
      </c>
      <c r="IV84" s="35">
        <f>IV83</f>
        <v>25.5</v>
      </c>
      <c r="IW84" s="35">
        <f>IF(IC83="-",0,EJ19)/20</f>
        <v>0</v>
      </c>
      <c r="IY84" s="35">
        <f>IY83</f>
        <v>-5</v>
      </c>
      <c r="IZ84" s="35">
        <f>IF(IC83="-",0,EL19/20)</f>
        <v>0</v>
      </c>
      <c r="JB84" s="38"/>
      <c r="JC84" s="38"/>
      <c r="JE84" s="38"/>
      <c r="JF84" s="38"/>
      <c r="JH84" s="38">
        <f>IF(IC83=8,ID84,-5)</f>
        <v>-5</v>
      </c>
      <c r="JI84" s="38">
        <f>IG84</f>
        <v>0</v>
      </c>
      <c r="JK84" s="35"/>
      <c r="JL84" s="35"/>
      <c r="JM84" s="39"/>
      <c r="JN84" s="75">
        <f>HT19</f>
        <v>0</v>
      </c>
      <c r="JO84" s="35"/>
      <c r="JP84" s="39"/>
      <c r="JQ84" s="76" t="b">
        <f>IL87</f>
        <v>0</v>
      </c>
      <c r="JR84" s="35"/>
      <c r="JS84" s="39"/>
      <c r="JT84" s="35"/>
      <c r="JU84" s="35"/>
      <c r="JW84" s="124" t="str">
        <f>IC83</f>
        <v>-</v>
      </c>
      <c r="JX84" s="127"/>
    </row>
    <row r="85" spans="12:284" ht="14.25" customHeight="1" x14ac:dyDescent="0.2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87"/>
      <c r="DW85" s="87"/>
      <c r="DX85" s="87"/>
      <c r="DY85" s="87"/>
      <c r="DZ85" s="87"/>
      <c r="EA85" s="87"/>
      <c r="EB85" s="87"/>
      <c r="EC85" s="87"/>
      <c r="ED85" s="87"/>
      <c r="FT85" s="98" t="s">
        <v>20</v>
      </c>
      <c r="FU85" s="170">
        <f>IF(FV3=0,0,(EX25*EZ25/FV3)*(FV3^2-EZ25^2))</f>
        <v>0</v>
      </c>
      <c r="FV85" s="170"/>
      <c r="FW85" s="170"/>
      <c r="FX85" s="170">
        <f>IF(FY3=0,0,(EX26*FB26/FY3)*(FY3^2-FB26^2))</f>
        <v>0</v>
      </c>
      <c r="FY85" s="170"/>
      <c r="FZ85" s="170"/>
      <c r="GA85" s="101"/>
      <c r="GB85" s="172"/>
      <c r="GC85" s="172"/>
      <c r="GD85" s="172"/>
      <c r="GG85" s="22">
        <v>18</v>
      </c>
      <c r="GH85" s="45" t="e">
        <v>#N/A</v>
      </c>
      <c r="GI85" s="45" t="e">
        <v>#N/A</v>
      </c>
      <c r="GJ85" s="45" t="e">
        <v>#N/A</v>
      </c>
      <c r="GK85" s="45" t="e">
        <v>#N/A</v>
      </c>
      <c r="GL85" s="45" t="e">
        <v>#N/A</v>
      </c>
      <c r="GM85" s="45" t="e">
        <v>#N/A</v>
      </c>
      <c r="GN85" s="45" t="e">
        <v>#N/A</v>
      </c>
      <c r="GO85" s="45" t="e">
        <v>#N/A</v>
      </c>
      <c r="GP85" s="45" t="e">
        <v>#N/A</v>
      </c>
      <c r="GQ85" s="45" t="e">
        <v>#N/A</v>
      </c>
      <c r="GR85" s="45" t="e">
        <v>#N/A</v>
      </c>
      <c r="GS85" s="45" t="e">
        <v>#N/A</v>
      </c>
      <c r="GT85" s="45" t="e">
        <v>#N/A</v>
      </c>
      <c r="GU85" s="45" t="e">
        <v>#N/A</v>
      </c>
      <c r="GV85" s="45" t="e">
        <v>#N/A</v>
      </c>
      <c r="GW85" s="45" t="e">
        <v>#N/A</v>
      </c>
      <c r="GX85" s="115" t="e">
        <v>#N/A</v>
      </c>
      <c r="GY85" s="115" t="e">
        <v>#N/A</v>
      </c>
      <c r="GZ85" s="115" t="e">
        <v>#N/A</v>
      </c>
      <c r="HA85" s="45" t="e">
        <v>#N/A</v>
      </c>
      <c r="HB85" s="45" t="e">
        <v>#N/A</v>
      </c>
      <c r="HC85" s="45" t="e">
        <v>#N/A</v>
      </c>
      <c r="HD85" s="45" t="e">
        <v>#N/A</v>
      </c>
      <c r="HE85" s="45" t="e">
        <v>#N/A</v>
      </c>
      <c r="HF85" s="45" t="e">
        <v>#N/A</v>
      </c>
      <c r="HG85" s="45" t="e">
        <v>#N/A</v>
      </c>
      <c r="HI85" s="35">
        <f>$GB$97</f>
        <v>0</v>
      </c>
      <c r="HK85" s="28"/>
      <c r="IC85" s="252"/>
      <c r="ID85" s="74">
        <f t="shared" ref="ID85:ID91" si="123">IF($IC$83="-",$ID$83,$ID$83+IF85)</f>
        <v>25.5</v>
      </c>
      <c r="IE85" s="74" t="s">
        <v>151</v>
      </c>
      <c r="IF85" s="74">
        <f>IF(EL19=0,IF84,EN19)</f>
        <v>0</v>
      </c>
      <c r="IG85" s="74">
        <f>IF(IC83="-",0,IG84-IF(EL19=0,0,EJ19*IF85))</f>
        <v>0</v>
      </c>
      <c r="II85" s="35" t="b">
        <f t="shared" si="44"/>
        <v>0</v>
      </c>
      <c r="IJ85" s="45" t="b">
        <f t="shared" si="73"/>
        <v>0</v>
      </c>
      <c r="IK85" s="35">
        <f t="shared" si="115"/>
        <v>0</v>
      </c>
      <c r="IL85" s="48">
        <f>IL84*2</f>
        <v>0</v>
      </c>
      <c r="IM85" s="35">
        <f t="shared" si="116"/>
        <v>0</v>
      </c>
      <c r="IN85" s="35">
        <f t="shared" si="117"/>
        <v>0</v>
      </c>
      <c r="IO85" s="36">
        <f t="shared" si="118"/>
        <v>0</v>
      </c>
      <c r="IP85" s="35">
        <f t="shared" si="119"/>
        <v>0</v>
      </c>
      <c r="IQ85" s="35">
        <f t="shared" si="120"/>
        <v>0</v>
      </c>
      <c r="IR85" s="35">
        <f t="shared" si="122"/>
        <v>0</v>
      </c>
      <c r="IS85" s="42" t="str">
        <f>IF(IC83="-","",SUM(IM85:IR85))</f>
        <v/>
      </c>
      <c r="IT85" s="35">
        <f t="shared" si="121"/>
        <v>25.5</v>
      </c>
      <c r="IV85" s="35">
        <f>IF92/2+IV83</f>
        <v>25.5</v>
      </c>
      <c r="IW85" s="35">
        <f>IW84</f>
        <v>0</v>
      </c>
      <c r="IY85" s="44" t="str">
        <f>IF(IC83="-","",IF(EL19=0,"",EL19))</f>
        <v/>
      </c>
      <c r="IZ85" s="45"/>
      <c r="JB85" s="38"/>
      <c r="JC85" s="38"/>
      <c r="JE85" s="38"/>
      <c r="JF85" s="38"/>
      <c r="JH85" s="38"/>
      <c r="JI85" s="38"/>
      <c r="JK85" s="35"/>
      <c r="JL85" s="35"/>
      <c r="JM85" s="39"/>
      <c r="JN85" s="35"/>
      <c r="JO85" s="35"/>
      <c r="JP85" s="39"/>
      <c r="JQ85" s="35"/>
      <c r="JR85" s="35"/>
      <c r="JS85" s="39"/>
      <c r="JT85" s="35"/>
      <c r="JU85" s="35"/>
      <c r="JW85" s="124"/>
      <c r="JX85" s="127"/>
    </row>
    <row r="86" spans="12:284" ht="14.25" customHeight="1" x14ac:dyDescent="0.2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87"/>
      <c r="DW86" s="87"/>
      <c r="DX86" s="87"/>
      <c r="DY86" s="87"/>
      <c r="DZ86" s="87"/>
      <c r="EA86" s="87"/>
      <c r="EB86" s="87"/>
      <c r="EC86" s="87"/>
      <c r="ED86" s="87"/>
      <c r="FH86" s="28">
        <v>16</v>
      </c>
      <c r="FI86" s="184" t="s">
        <v>95</v>
      </c>
      <c r="FJ86" s="184"/>
      <c r="FK86" s="185" t="s">
        <v>94</v>
      </c>
      <c r="FL86" s="185"/>
      <c r="FM86" s="185"/>
      <c r="FN86" s="185" t="s">
        <v>98</v>
      </c>
      <c r="FO86" s="185"/>
      <c r="FP86" s="185"/>
      <c r="FQ86" s="185" t="s">
        <v>99</v>
      </c>
      <c r="FR86" s="185"/>
      <c r="FS86" s="185"/>
      <c r="FT86" s="98" t="s">
        <v>57</v>
      </c>
      <c r="FU86" s="187" t="s">
        <v>13</v>
      </c>
      <c r="FV86" s="185"/>
      <c r="FW86" s="185"/>
      <c r="FX86" s="187" t="s">
        <v>14</v>
      </c>
      <c r="FY86" s="185"/>
      <c r="FZ86" s="185"/>
      <c r="GA86" s="98" t="s">
        <v>57</v>
      </c>
      <c r="GB86" s="187" t="s">
        <v>60</v>
      </c>
      <c r="GC86" s="185"/>
      <c r="GD86" s="185"/>
      <c r="GG86" s="22">
        <v>19</v>
      </c>
      <c r="GH86" s="45" t="e">
        <v>#N/A</v>
      </c>
      <c r="GI86" s="45" t="e">
        <v>#N/A</v>
      </c>
      <c r="GJ86" s="45" t="e">
        <v>#N/A</v>
      </c>
      <c r="GK86" s="45" t="e">
        <v>#N/A</v>
      </c>
      <c r="GL86" s="45" t="e">
        <v>#N/A</v>
      </c>
      <c r="GM86" s="45" t="e">
        <v>#N/A</v>
      </c>
      <c r="GN86" s="45" t="e">
        <v>#N/A</v>
      </c>
      <c r="GO86" s="45" t="e">
        <v>#N/A</v>
      </c>
      <c r="GP86" s="45" t="e">
        <v>#N/A</v>
      </c>
      <c r="GQ86" s="45" t="e">
        <v>#N/A</v>
      </c>
      <c r="GR86" s="45" t="e">
        <v>#N/A</v>
      </c>
      <c r="GS86" s="45" t="e">
        <v>#N/A</v>
      </c>
      <c r="GT86" s="45" t="e">
        <v>#N/A</v>
      </c>
      <c r="GU86" s="45" t="e">
        <v>#N/A</v>
      </c>
      <c r="GV86" s="45" t="e">
        <v>#N/A</v>
      </c>
      <c r="GW86" s="45" t="e">
        <v>#N/A</v>
      </c>
      <c r="GX86" s="45" t="e">
        <v>#N/A</v>
      </c>
      <c r="GY86" s="115" t="e">
        <v>#N/A</v>
      </c>
      <c r="GZ86" s="115" t="e">
        <v>#N/A</v>
      </c>
      <c r="HA86" s="115" t="e">
        <v>#N/A</v>
      </c>
      <c r="HB86" s="45" t="e">
        <v>#N/A</v>
      </c>
      <c r="HC86" s="45" t="e">
        <v>#N/A</v>
      </c>
      <c r="HD86" s="45" t="e">
        <v>#N/A</v>
      </c>
      <c r="HE86" s="45" t="e">
        <v>#N/A</v>
      </c>
      <c r="HF86" s="45" t="e">
        <v>#N/A</v>
      </c>
      <c r="HG86" s="45" t="e">
        <v>#N/A</v>
      </c>
      <c r="HI86" s="35">
        <f>$GB$102</f>
        <v>0</v>
      </c>
      <c r="HK86" s="28"/>
      <c r="IC86" s="252"/>
      <c r="ID86" s="74">
        <f t="shared" si="123"/>
        <v>25.5</v>
      </c>
      <c r="IE86" s="74" t="s">
        <v>152</v>
      </c>
      <c r="IF86" s="74">
        <f>IF85</f>
        <v>0</v>
      </c>
      <c r="IG86" s="74">
        <f>IF(IC83="-",0,IG85-EL19)</f>
        <v>0</v>
      </c>
      <c r="II86" s="35" t="b">
        <f t="shared" si="44"/>
        <v>0</v>
      </c>
      <c r="IJ86" s="45" t="b">
        <f t="shared" si="73"/>
        <v>0</v>
      </c>
      <c r="IK86" s="35">
        <f t="shared" si="115"/>
        <v>0</v>
      </c>
      <c r="IL86" s="48">
        <f>IL84*3</f>
        <v>0</v>
      </c>
      <c r="IM86" s="35">
        <f t="shared" si="116"/>
        <v>0</v>
      </c>
      <c r="IN86" s="35">
        <f t="shared" si="117"/>
        <v>0</v>
      </c>
      <c r="IO86" s="36">
        <f t="shared" si="118"/>
        <v>0</v>
      </c>
      <c r="IP86" s="35">
        <f t="shared" si="119"/>
        <v>0</v>
      </c>
      <c r="IQ86" s="35">
        <f t="shared" si="120"/>
        <v>0</v>
      </c>
      <c r="IR86" s="35">
        <f t="shared" si="122"/>
        <v>0</v>
      </c>
      <c r="IS86" s="42" t="str">
        <f>IF(IC83="-","",SUM(IM86:IR86))</f>
        <v/>
      </c>
      <c r="IT86" s="35">
        <f t="shared" si="121"/>
        <v>25.5</v>
      </c>
      <c r="IV86" s="35">
        <f>IV87</f>
        <v>25.5</v>
      </c>
      <c r="IW86" s="35">
        <f>IW84</f>
        <v>0</v>
      </c>
      <c r="IY86" s="35">
        <f>IF(IC83="-",-5,IF(ER19=0,-5,ID83+ET19))</f>
        <v>-5</v>
      </c>
      <c r="IZ86" s="35">
        <v>0</v>
      </c>
      <c r="JB86" s="38"/>
      <c r="JC86" s="38"/>
      <c r="JE86" s="38"/>
      <c r="JF86" s="38"/>
      <c r="JH86" s="38"/>
      <c r="JI86" s="38"/>
      <c r="JK86" s="35"/>
      <c r="JL86" s="35"/>
      <c r="JM86" s="39"/>
      <c r="JN86" s="35"/>
      <c r="JO86" s="35"/>
      <c r="JP86" s="39"/>
      <c r="JQ86" s="35"/>
      <c r="JR86" s="35"/>
      <c r="JS86" s="39"/>
      <c r="JT86" s="35"/>
      <c r="JU86" s="35"/>
      <c r="JW86" s="127"/>
      <c r="JX86" s="127"/>
    </row>
    <row r="87" spans="12:284" ht="14.25" customHeight="1" x14ac:dyDescent="0.2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87"/>
      <c r="DW87" s="87"/>
      <c r="DX87" s="87"/>
      <c r="DY87" s="87"/>
      <c r="DZ87" s="87"/>
      <c r="EA87" s="87"/>
      <c r="EB87" s="87"/>
      <c r="EC87" s="87"/>
      <c r="ED87" s="87"/>
      <c r="FK87" s="169">
        <f>FY3</f>
        <v>0</v>
      </c>
      <c r="FL87" s="169"/>
      <c r="FM87" s="169"/>
      <c r="FN87" s="169">
        <f>2*(FY3+GB3)</f>
        <v>0</v>
      </c>
      <c r="FO87" s="169"/>
      <c r="FP87" s="169"/>
      <c r="FQ87" s="169">
        <f>IF($F$2=16,(IF(F10=ER43,GB3,IF(F10=ER44,GB3*FF40,0))),IF(F2&gt;16,GB3,0))</f>
        <v>0</v>
      </c>
      <c r="FR87" s="169"/>
      <c r="FS87" s="169"/>
      <c r="FT87" s="98" t="s">
        <v>41</v>
      </c>
      <c r="FU87" s="170">
        <f>(EJ26*FY3^3)/4</f>
        <v>0</v>
      </c>
      <c r="FV87" s="170"/>
      <c r="FW87" s="170"/>
      <c r="FX87" s="170">
        <f>(EJ27*GB3^3)/4</f>
        <v>0</v>
      </c>
      <c r="FY87" s="170"/>
      <c r="FZ87" s="170"/>
      <c r="GA87" s="101"/>
      <c r="GB87" s="171">
        <f>-SUM(FU87:FZ90)-IF(F2=16,IF($F$10=$ER$44,FQ87,0))</f>
        <v>0</v>
      </c>
      <c r="GC87" s="171"/>
      <c r="GD87" s="171"/>
      <c r="GG87" s="22">
        <v>20</v>
      </c>
      <c r="GH87" s="45" t="e">
        <v>#N/A</v>
      </c>
      <c r="GI87" s="45" t="e">
        <v>#N/A</v>
      </c>
      <c r="GJ87" s="45" t="e">
        <v>#N/A</v>
      </c>
      <c r="GK87" s="45" t="e">
        <v>#N/A</v>
      </c>
      <c r="GL87" s="45" t="e">
        <v>#N/A</v>
      </c>
      <c r="GM87" s="45" t="e">
        <v>#N/A</v>
      </c>
      <c r="GN87" s="45" t="e">
        <v>#N/A</v>
      </c>
      <c r="GO87" s="45" t="e">
        <v>#N/A</v>
      </c>
      <c r="GP87" s="45" t="e">
        <v>#N/A</v>
      </c>
      <c r="GQ87" s="45" t="e">
        <v>#N/A</v>
      </c>
      <c r="GR87" s="45" t="e">
        <v>#N/A</v>
      </c>
      <c r="GS87" s="45" t="e">
        <v>#N/A</v>
      </c>
      <c r="GT87" s="45" t="e">
        <v>#N/A</v>
      </c>
      <c r="GU87" s="45" t="e">
        <v>#N/A</v>
      </c>
      <c r="GV87" s="45" t="e">
        <v>#N/A</v>
      </c>
      <c r="GW87" s="45" t="e">
        <v>#N/A</v>
      </c>
      <c r="GX87" s="45" t="e">
        <v>#N/A</v>
      </c>
      <c r="GY87" s="45" t="e">
        <v>#N/A</v>
      </c>
      <c r="GZ87" s="115" t="e">
        <v>#N/A</v>
      </c>
      <c r="HA87" s="115" t="e">
        <v>#N/A</v>
      </c>
      <c r="HB87" s="115" t="e">
        <v>#N/A</v>
      </c>
      <c r="HC87" s="45" t="e">
        <v>#N/A</v>
      </c>
      <c r="HD87" s="45" t="e">
        <v>#N/A</v>
      </c>
      <c r="HE87" s="45" t="e">
        <v>#N/A</v>
      </c>
      <c r="HF87" s="45" t="e">
        <v>#N/A</v>
      </c>
      <c r="HG87" s="45" t="e">
        <v>#N/A</v>
      </c>
      <c r="HI87" s="35">
        <f>$GB$107</f>
        <v>0</v>
      </c>
      <c r="HK87" s="28"/>
      <c r="IC87" s="252"/>
      <c r="ID87" s="74">
        <f t="shared" si="123"/>
        <v>25.5</v>
      </c>
      <c r="IE87" s="74" t="s">
        <v>153</v>
      </c>
      <c r="IF87" s="74">
        <f>IF(ER19=0,IF86,ET19)</f>
        <v>0</v>
      </c>
      <c r="IG87" s="74">
        <f>IF(IC83="-",0,IG86-IF(ER19=0,0,EJ19*(IF87-IF86)))</f>
        <v>0</v>
      </c>
      <c r="II87" s="35" t="b">
        <f t="shared" ref="II87:II150" si="124">AND(IG87&gt;=0,IG88&lt;0)</f>
        <v>0</v>
      </c>
      <c r="IJ87" s="45" t="b">
        <f t="shared" si="73"/>
        <v>0</v>
      </c>
      <c r="IK87" s="35">
        <f t="shared" si="115"/>
        <v>0</v>
      </c>
      <c r="IL87" s="68" t="b">
        <f>IF(II83=TRUE,IK83,IF(II84=TRUE,IK84,IF(II85=TRUE,IK85,IF(II86=TRUE,IK86,IF(II87=TRUE,IK87,IF(II88=TRUE,IK88,IF(II89=TRUE,IK89,IF(II90=TRUE,IK90,IF(II91=TRUE,IK91,IF(II92=TRUE,IK92))))))))))</f>
        <v>0</v>
      </c>
      <c r="IM87" s="68">
        <f t="shared" si="116"/>
        <v>0</v>
      </c>
      <c r="IN87" s="68">
        <f t="shared" si="117"/>
        <v>0</v>
      </c>
      <c r="IO87" s="69">
        <f t="shared" si="118"/>
        <v>0</v>
      </c>
      <c r="IP87" s="68">
        <f t="shared" si="119"/>
        <v>0</v>
      </c>
      <c r="IQ87" s="68">
        <f t="shared" si="120"/>
        <v>0</v>
      </c>
      <c r="IR87" s="68">
        <f t="shared" si="122"/>
        <v>0</v>
      </c>
      <c r="IS87" s="70" t="str">
        <f>IF(IC83="-","",ROUND(SUM(IM87:IR87),2))</f>
        <v/>
      </c>
      <c r="IT87" s="68">
        <f t="shared" si="121"/>
        <v>25.5</v>
      </c>
      <c r="IV87" s="35">
        <f>ID92</f>
        <v>25.5</v>
      </c>
      <c r="IW87" s="35">
        <v>0</v>
      </c>
      <c r="IY87" s="35">
        <f>IY86</f>
        <v>-5</v>
      </c>
      <c r="IZ87" s="35">
        <f>IF(IC83="-",0,ER19/20)</f>
        <v>0</v>
      </c>
      <c r="JB87" s="38"/>
      <c r="JC87" s="38"/>
      <c r="JE87" s="38"/>
      <c r="JF87" s="38"/>
      <c r="JH87" s="38"/>
      <c r="JI87" s="38"/>
      <c r="JK87" s="35">
        <f>IF(IC83=8,IT87,-5)</f>
        <v>-5</v>
      </c>
      <c r="JL87" s="37" t="str">
        <f>IS87</f>
        <v/>
      </c>
      <c r="JM87" s="40"/>
      <c r="JN87" s="37"/>
      <c r="JO87" s="37"/>
      <c r="JP87" s="40"/>
      <c r="JQ87" s="37"/>
      <c r="JR87" s="37"/>
      <c r="JS87" s="40"/>
      <c r="JT87" s="37"/>
      <c r="JU87" s="37"/>
      <c r="JW87" s="37"/>
      <c r="JX87" s="37"/>
    </row>
    <row r="88" spans="12:284" ht="14.25" customHeight="1" x14ac:dyDescent="0.2"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87"/>
      <c r="DW88" s="87"/>
      <c r="DX88" s="87"/>
      <c r="DY88" s="87"/>
      <c r="DZ88" s="87"/>
      <c r="EA88" s="87"/>
      <c r="EB88" s="87"/>
      <c r="EC88" s="87"/>
      <c r="ED88" s="87"/>
      <c r="FT88" s="98" t="s">
        <v>17</v>
      </c>
      <c r="FU88" s="170">
        <f>IF(FY3=0,0,(EL26*EN26/FY3)*(FY3^2-EN26^2))</f>
        <v>0</v>
      </c>
      <c r="FV88" s="170"/>
      <c r="FW88" s="170"/>
      <c r="FX88" s="170">
        <f>IF(GB3=0,0,(EL27*EP27/GB3)*(GB3^2-EP27^2))</f>
        <v>0</v>
      </c>
      <c r="FY88" s="170"/>
      <c r="FZ88" s="170"/>
      <c r="GA88" s="101"/>
      <c r="GB88" s="170"/>
      <c r="GC88" s="170"/>
      <c r="GD88" s="170"/>
      <c r="GG88" s="22">
        <v>21</v>
      </c>
      <c r="GH88" s="45" t="e">
        <v>#N/A</v>
      </c>
      <c r="GI88" s="45" t="e">
        <v>#N/A</v>
      </c>
      <c r="GJ88" s="45" t="e">
        <v>#N/A</v>
      </c>
      <c r="GK88" s="45" t="e">
        <v>#N/A</v>
      </c>
      <c r="GL88" s="45" t="e">
        <v>#N/A</v>
      </c>
      <c r="GM88" s="45" t="e">
        <v>#N/A</v>
      </c>
      <c r="GN88" s="45" t="e">
        <v>#N/A</v>
      </c>
      <c r="GO88" s="45" t="e">
        <v>#N/A</v>
      </c>
      <c r="GP88" s="45" t="e">
        <v>#N/A</v>
      </c>
      <c r="GQ88" s="45" t="e">
        <v>#N/A</v>
      </c>
      <c r="GR88" s="45" t="e">
        <v>#N/A</v>
      </c>
      <c r="GS88" s="45" t="e">
        <v>#N/A</v>
      </c>
      <c r="GT88" s="45" t="e">
        <v>#N/A</v>
      </c>
      <c r="GU88" s="45" t="e">
        <v>#N/A</v>
      </c>
      <c r="GV88" s="45" t="e">
        <v>#N/A</v>
      </c>
      <c r="GW88" s="45" t="e">
        <v>#N/A</v>
      </c>
      <c r="GX88" s="45" t="e">
        <v>#N/A</v>
      </c>
      <c r="GY88" s="45" t="e">
        <v>#N/A</v>
      </c>
      <c r="GZ88" s="45" t="e">
        <v>#N/A</v>
      </c>
      <c r="HA88" s="115" t="e">
        <v>#N/A</v>
      </c>
      <c r="HB88" s="115" t="e">
        <v>#N/A</v>
      </c>
      <c r="HC88" s="115" t="e">
        <v>#N/A</v>
      </c>
      <c r="HD88" s="45" t="e">
        <v>#N/A</v>
      </c>
      <c r="HE88" s="45" t="e">
        <v>#N/A</v>
      </c>
      <c r="HF88" s="45" t="e">
        <v>#N/A</v>
      </c>
      <c r="HG88" s="45" t="e">
        <v>#N/A</v>
      </c>
      <c r="HI88" s="35">
        <f>$GB$112</f>
        <v>0</v>
      </c>
      <c r="HK88" s="28"/>
      <c r="IC88" s="252"/>
      <c r="ID88" s="74">
        <f t="shared" si="123"/>
        <v>25.5</v>
      </c>
      <c r="IE88" s="74" t="s">
        <v>154</v>
      </c>
      <c r="IF88" s="74">
        <f>IF87</f>
        <v>0</v>
      </c>
      <c r="IG88" s="74">
        <f>IF(IC83="-",0,IG87-ER19)</f>
        <v>0</v>
      </c>
      <c r="II88" s="35" t="b">
        <f t="shared" si="124"/>
        <v>0</v>
      </c>
      <c r="IJ88" s="45" t="b">
        <f t="shared" si="73"/>
        <v>0</v>
      </c>
      <c r="IK88" s="35">
        <f t="shared" si="115"/>
        <v>0</v>
      </c>
      <c r="IL88" s="48">
        <f>IL87+($IL$92-$IL$87)/4</f>
        <v>0</v>
      </c>
      <c r="IM88" s="35">
        <f t="shared" si="116"/>
        <v>0</v>
      </c>
      <c r="IN88" s="35">
        <f t="shared" si="117"/>
        <v>0</v>
      </c>
      <c r="IO88" s="36">
        <f t="shared" si="118"/>
        <v>0</v>
      </c>
      <c r="IP88" s="35">
        <f t="shared" si="119"/>
        <v>0</v>
      </c>
      <c r="IQ88" s="35">
        <f t="shared" si="120"/>
        <v>0</v>
      </c>
      <c r="IR88" s="35">
        <f t="shared" si="122"/>
        <v>0</v>
      </c>
      <c r="IS88" s="42" t="str">
        <f>IF(IC83="-","",SUM(IM88:IR88))</f>
        <v/>
      </c>
      <c r="IT88" s="35">
        <f t="shared" si="121"/>
        <v>25.5</v>
      </c>
      <c r="IV88" s="35"/>
      <c r="IW88" s="35"/>
      <c r="IY88" s="44" t="str">
        <f>IF(IC83="-","",IF(ER19=0,"",ER19))</f>
        <v/>
      </c>
      <c r="IZ88" s="45"/>
      <c r="JB88" s="38"/>
      <c r="JC88" s="38"/>
      <c r="JE88" s="38"/>
      <c r="JF88" s="38"/>
      <c r="JH88" s="38"/>
      <c r="JI88" s="38"/>
      <c r="JK88" s="35"/>
      <c r="JL88" s="35"/>
      <c r="JM88" s="39"/>
      <c r="JN88" s="35"/>
      <c r="JO88" s="35"/>
      <c r="JP88" s="39"/>
      <c r="JQ88" s="35"/>
      <c r="JR88" s="35"/>
      <c r="JS88" s="39"/>
      <c r="JT88" s="35"/>
      <c r="JU88" s="35"/>
      <c r="JW88" s="127"/>
      <c r="JX88" s="127"/>
    </row>
    <row r="89" spans="12:284" ht="14.25" customHeight="1" x14ac:dyDescent="0.2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87"/>
      <c r="DW89" s="87"/>
      <c r="DX89" s="87"/>
      <c r="DY89" s="87"/>
      <c r="DZ89" s="87"/>
      <c r="EA89" s="87"/>
      <c r="EB89" s="87"/>
      <c r="EC89" s="87"/>
      <c r="ED89" s="87"/>
      <c r="FT89" s="98" t="s">
        <v>19</v>
      </c>
      <c r="FU89" s="170">
        <f>IF(FY3=0,0,(ER26*ET26/FY3)*(FY3^2-ET26^2))</f>
        <v>0</v>
      </c>
      <c r="FV89" s="170"/>
      <c r="FW89" s="170"/>
      <c r="FX89" s="170">
        <f>IF(GB3=0,0,(ER27*EV27/GB3)*(GB3^2-EV27^2))</f>
        <v>0</v>
      </c>
      <c r="FY89" s="170"/>
      <c r="FZ89" s="170"/>
      <c r="GA89" s="101"/>
      <c r="GB89" s="170"/>
      <c r="GC89" s="170"/>
      <c r="GD89" s="170"/>
      <c r="GG89" s="22">
        <v>22</v>
      </c>
      <c r="GH89" s="45" t="e">
        <v>#N/A</v>
      </c>
      <c r="GI89" s="45" t="e">
        <v>#N/A</v>
      </c>
      <c r="GJ89" s="45" t="e">
        <v>#N/A</v>
      </c>
      <c r="GK89" s="45" t="e">
        <v>#N/A</v>
      </c>
      <c r="GL89" s="45" t="e">
        <v>#N/A</v>
      </c>
      <c r="GM89" s="45" t="e">
        <v>#N/A</v>
      </c>
      <c r="GN89" s="45" t="e">
        <v>#N/A</v>
      </c>
      <c r="GO89" s="45" t="e">
        <v>#N/A</v>
      </c>
      <c r="GP89" s="45" t="e">
        <v>#N/A</v>
      </c>
      <c r="GQ89" s="45" t="e">
        <v>#N/A</v>
      </c>
      <c r="GR89" s="45" t="e">
        <v>#N/A</v>
      </c>
      <c r="GS89" s="45" t="e">
        <v>#N/A</v>
      </c>
      <c r="GT89" s="45" t="e">
        <v>#N/A</v>
      </c>
      <c r="GU89" s="45" t="e">
        <v>#N/A</v>
      </c>
      <c r="GV89" s="45" t="e">
        <v>#N/A</v>
      </c>
      <c r="GW89" s="45" t="e">
        <v>#N/A</v>
      </c>
      <c r="GX89" s="45" t="e">
        <v>#N/A</v>
      </c>
      <c r="GY89" s="45" t="e">
        <v>#N/A</v>
      </c>
      <c r="GZ89" s="45" t="e">
        <v>#N/A</v>
      </c>
      <c r="HA89" s="45" t="e">
        <v>#N/A</v>
      </c>
      <c r="HB89" s="115" t="e">
        <v>#N/A</v>
      </c>
      <c r="HC89" s="115" t="e">
        <v>#N/A</v>
      </c>
      <c r="HD89" s="115" t="e">
        <v>#N/A</v>
      </c>
      <c r="HE89" s="45" t="e">
        <v>#N/A</v>
      </c>
      <c r="HF89" s="45" t="e">
        <v>#N/A</v>
      </c>
      <c r="HG89" s="45" t="e">
        <v>#N/A</v>
      </c>
      <c r="HI89" s="35">
        <f>$GB$117</f>
        <v>0</v>
      </c>
      <c r="HK89" s="28"/>
      <c r="IC89" s="252"/>
      <c r="ID89" s="74">
        <f t="shared" si="123"/>
        <v>25.5</v>
      </c>
      <c r="IE89" s="74" t="s">
        <v>155</v>
      </c>
      <c r="IF89" s="74">
        <f>IF(EX19=0,IF88,EZ19)</f>
        <v>0</v>
      </c>
      <c r="IG89" s="74">
        <f>IF(IC83="-",0,IG88-IF(EX19=0,0,EJ19*(IF89-IF88)))</f>
        <v>0</v>
      </c>
      <c r="II89" s="35" t="b">
        <f t="shared" si="124"/>
        <v>0</v>
      </c>
      <c r="IJ89" s="45" t="b">
        <f t="shared" si="73"/>
        <v>0</v>
      </c>
      <c r="IK89" s="35">
        <f t="shared" si="115"/>
        <v>0</v>
      </c>
      <c r="IL89" s="48">
        <f>IL88+($IL$92-$IL$87)/4</f>
        <v>0</v>
      </c>
      <c r="IM89" s="35">
        <f t="shared" si="116"/>
        <v>0</v>
      </c>
      <c r="IN89" s="35">
        <f t="shared" si="117"/>
        <v>0</v>
      </c>
      <c r="IO89" s="36">
        <f t="shared" si="118"/>
        <v>0</v>
      </c>
      <c r="IP89" s="35">
        <f t="shared" si="119"/>
        <v>0</v>
      </c>
      <c r="IQ89" s="35">
        <f t="shared" si="120"/>
        <v>0</v>
      </c>
      <c r="IR89" s="35">
        <f t="shared" si="122"/>
        <v>0</v>
      </c>
      <c r="IS89" s="42" t="str">
        <f>IF(IC83="-","",SUM(IM89:IR89))</f>
        <v/>
      </c>
      <c r="IT89" s="35">
        <f t="shared" si="121"/>
        <v>25.5</v>
      </c>
      <c r="IV89" s="84" t="str">
        <f>IF(IC83="-","",EJ19)</f>
        <v/>
      </c>
      <c r="IW89" s="35"/>
      <c r="IY89" s="35">
        <f>IF(IC83="-",-5,IF(EX19=0,-5,ID83+EZ19))</f>
        <v>-5</v>
      </c>
      <c r="IZ89" s="35">
        <v>0</v>
      </c>
      <c r="JB89" s="38"/>
      <c r="JC89" s="38"/>
      <c r="JE89" s="38"/>
      <c r="JF89" s="38"/>
      <c r="JH89" s="38"/>
      <c r="JI89" s="38"/>
      <c r="JK89" s="35"/>
      <c r="JL89" s="35"/>
      <c r="JM89" s="39"/>
      <c r="JN89" s="35"/>
      <c r="JO89" s="35"/>
      <c r="JP89" s="39"/>
      <c r="JQ89" s="35"/>
      <c r="JR89" s="35"/>
      <c r="JS89" s="39"/>
      <c r="JT89" s="35"/>
      <c r="JU89" s="35"/>
      <c r="JW89" s="127"/>
      <c r="JX89" s="127"/>
    </row>
    <row r="90" spans="12:284" ht="14.25" customHeight="1" x14ac:dyDescent="0.2"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87"/>
      <c r="DW90" s="87"/>
      <c r="DX90" s="87"/>
      <c r="DY90" s="87"/>
      <c r="DZ90" s="87"/>
      <c r="EA90" s="87"/>
      <c r="EB90" s="87"/>
      <c r="EC90" s="87"/>
      <c r="ED90" s="87"/>
      <c r="FT90" s="98" t="s">
        <v>20</v>
      </c>
      <c r="FU90" s="170">
        <f>IF(FY3=0,0,(EX26*EZ26/FY3)*(FY3^2-EZ26^2))</f>
        <v>0</v>
      </c>
      <c r="FV90" s="170"/>
      <c r="FW90" s="170"/>
      <c r="FX90" s="170">
        <f>IF(GB3=0,0,(EX27*FB27/GB3)*(GB3^2-FB27^2))</f>
        <v>0</v>
      </c>
      <c r="FY90" s="170"/>
      <c r="FZ90" s="170"/>
      <c r="GA90" s="101"/>
      <c r="GB90" s="172"/>
      <c r="GC90" s="172"/>
      <c r="GD90" s="172"/>
      <c r="GG90" s="22">
        <v>23</v>
      </c>
      <c r="GH90" s="45" t="e">
        <v>#N/A</v>
      </c>
      <c r="GI90" s="45" t="e">
        <v>#N/A</v>
      </c>
      <c r="GJ90" s="45" t="e">
        <v>#N/A</v>
      </c>
      <c r="GK90" s="45" t="e">
        <v>#N/A</v>
      </c>
      <c r="GL90" s="45" t="e">
        <v>#N/A</v>
      </c>
      <c r="GM90" s="45" t="e">
        <v>#N/A</v>
      </c>
      <c r="GN90" s="45" t="e">
        <v>#N/A</v>
      </c>
      <c r="GO90" s="45" t="e">
        <v>#N/A</v>
      </c>
      <c r="GP90" s="45" t="e">
        <v>#N/A</v>
      </c>
      <c r="GQ90" s="45" t="e">
        <v>#N/A</v>
      </c>
      <c r="GR90" s="45" t="e">
        <v>#N/A</v>
      </c>
      <c r="GS90" s="45" t="e">
        <v>#N/A</v>
      </c>
      <c r="GT90" s="45" t="e">
        <v>#N/A</v>
      </c>
      <c r="GU90" s="45" t="e">
        <v>#N/A</v>
      </c>
      <c r="GV90" s="45" t="e">
        <v>#N/A</v>
      </c>
      <c r="GW90" s="45" t="e">
        <v>#N/A</v>
      </c>
      <c r="GX90" s="45" t="e">
        <v>#N/A</v>
      </c>
      <c r="GY90" s="45" t="e">
        <v>#N/A</v>
      </c>
      <c r="GZ90" s="45" t="e">
        <v>#N/A</v>
      </c>
      <c r="HA90" s="45" t="e">
        <v>#N/A</v>
      </c>
      <c r="HB90" s="45" t="e">
        <v>#N/A</v>
      </c>
      <c r="HC90" s="115" t="e">
        <v>#N/A</v>
      </c>
      <c r="HD90" s="115" t="e">
        <v>#N/A</v>
      </c>
      <c r="HE90" s="115" t="e">
        <v>#N/A</v>
      </c>
      <c r="HF90" s="45" t="e">
        <v>#N/A</v>
      </c>
      <c r="HG90" s="45" t="e">
        <v>#N/A</v>
      </c>
      <c r="HI90" s="35">
        <f>$GB$122</f>
        <v>0</v>
      </c>
      <c r="HK90" s="28"/>
      <c r="IC90" s="252"/>
      <c r="ID90" s="74">
        <f t="shared" si="123"/>
        <v>25.5</v>
      </c>
      <c r="IE90" s="74" t="s">
        <v>156</v>
      </c>
      <c r="IF90" s="74">
        <f>IF89</f>
        <v>0</v>
      </c>
      <c r="IG90" s="74">
        <f>IF(IC83="-",0,IG89-EX19)</f>
        <v>0</v>
      </c>
      <c r="II90" s="35" t="b">
        <f t="shared" si="124"/>
        <v>0</v>
      </c>
      <c r="IJ90" s="45" t="b">
        <f t="shared" si="73"/>
        <v>0</v>
      </c>
      <c r="IK90" s="35">
        <f t="shared" si="115"/>
        <v>0</v>
      </c>
      <c r="IL90" s="48">
        <f>IL89+($IL$92-$IL$87)/4</f>
        <v>0</v>
      </c>
      <c r="IM90" s="35">
        <f t="shared" si="116"/>
        <v>0</v>
      </c>
      <c r="IN90" s="35">
        <f t="shared" si="117"/>
        <v>0</v>
      </c>
      <c r="IO90" s="36">
        <f t="shared" si="118"/>
        <v>0</v>
      </c>
      <c r="IP90" s="35">
        <f t="shared" si="119"/>
        <v>0</v>
      </c>
      <c r="IQ90" s="35">
        <f t="shared" si="120"/>
        <v>0</v>
      </c>
      <c r="IR90" s="35">
        <f t="shared" si="122"/>
        <v>0</v>
      </c>
      <c r="IS90" s="42" t="str">
        <f>IF(IC83="-","",SUM(IM90:IR90))</f>
        <v/>
      </c>
      <c r="IT90" s="35">
        <f t="shared" si="121"/>
        <v>25.5</v>
      </c>
      <c r="IV90" s="35"/>
      <c r="IW90" s="35"/>
      <c r="IY90" s="35">
        <f>IY89</f>
        <v>-5</v>
      </c>
      <c r="IZ90" s="35">
        <f>IF(IC83="-",0,EX19/20)</f>
        <v>0</v>
      </c>
      <c r="JB90" s="47" t="str">
        <f>IF(IC83="-","",HY20)</f>
        <v/>
      </c>
      <c r="JC90" s="35" t="b">
        <f>AND($F$2=8,$F$10=$ER$43)</f>
        <v>0</v>
      </c>
      <c r="JE90" s="47" t="str">
        <f>JB90</f>
        <v/>
      </c>
      <c r="JF90" s="38"/>
      <c r="JH90" s="38"/>
      <c r="JI90" s="38"/>
      <c r="JK90" s="35" t="b">
        <f>AND($F$2=8,$F$10=$ER$43)</f>
        <v>0</v>
      </c>
      <c r="JL90" s="35"/>
      <c r="JM90" s="39"/>
      <c r="JN90" s="35"/>
      <c r="JO90" s="35"/>
      <c r="JP90" s="39"/>
      <c r="JQ90" s="35"/>
      <c r="JR90" s="35"/>
      <c r="JS90" s="39"/>
      <c r="JT90" s="35"/>
      <c r="JU90" s="35"/>
      <c r="JW90" s="127"/>
      <c r="JX90" s="127"/>
    </row>
    <row r="91" spans="12:284" ht="14.25" customHeight="1" x14ac:dyDescent="0.2"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87"/>
      <c r="DW91" s="87"/>
      <c r="DX91" s="87"/>
      <c r="DY91" s="87"/>
      <c r="DZ91" s="87"/>
      <c r="EA91" s="87"/>
      <c r="EB91" s="87"/>
      <c r="EC91" s="87"/>
      <c r="ED91" s="87"/>
      <c r="FH91" s="28">
        <v>17</v>
      </c>
      <c r="FI91" s="184" t="s">
        <v>97</v>
      </c>
      <c r="FJ91" s="184"/>
      <c r="FK91" s="185" t="s">
        <v>98</v>
      </c>
      <c r="FL91" s="185"/>
      <c r="FM91" s="185"/>
      <c r="FN91" s="185" t="s">
        <v>99</v>
      </c>
      <c r="FO91" s="185"/>
      <c r="FP91" s="185"/>
      <c r="FQ91" s="185" t="s">
        <v>101</v>
      </c>
      <c r="FR91" s="185"/>
      <c r="FS91" s="185"/>
      <c r="FT91" s="98" t="s">
        <v>57</v>
      </c>
      <c r="FU91" s="187" t="s">
        <v>13</v>
      </c>
      <c r="FV91" s="185"/>
      <c r="FW91" s="185"/>
      <c r="FX91" s="187" t="s">
        <v>14</v>
      </c>
      <c r="FY91" s="185"/>
      <c r="FZ91" s="185"/>
      <c r="GA91" s="98" t="s">
        <v>57</v>
      </c>
      <c r="GB91" s="187" t="s">
        <v>60</v>
      </c>
      <c r="GC91" s="185"/>
      <c r="GD91" s="185"/>
      <c r="GG91" s="22">
        <v>24</v>
      </c>
      <c r="GH91" s="45" t="e">
        <v>#N/A</v>
      </c>
      <c r="GI91" s="45" t="e">
        <v>#N/A</v>
      </c>
      <c r="GJ91" s="45" t="e">
        <v>#N/A</v>
      </c>
      <c r="GK91" s="45" t="e">
        <v>#N/A</v>
      </c>
      <c r="GL91" s="45" t="e">
        <v>#N/A</v>
      </c>
      <c r="GM91" s="45" t="e">
        <v>#N/A</v>
      </c>
      <c r="GN91" s="45" t="e">
        <v>#N/A</v>
      </c>
      <c r="GO91" s="45" t="e">
        <v>#N/A</v>
      </c>
      <c r="GP91" s="45" t="e">
        <v>#N/A</v>
      </c>
      <c r="GQ91" s="45" t="e">
        <v>#N/A</v>
      </c>
      <c r="GR91" s="45" t="e">
        <v>#N/A</v>
      </c>
      <c r="GS91" s="45" t="e">
        <v>#N/A</v>
      </c>
      <c r="GT91" s="45" t="e">
        <v>#N/A</v>
      </c>
      <c r="GU91" s="45" t="e">
        <v>#N/A</v>
      </c>
      <c r="GV91" s="45" t="e">
        <v>#N/A</v>
      </c>
      <c r="GW91" s="45" t="e">
        <v>#N/A</v>
      </c>
      <c r="GX91" s="45" t="e">
        <v>#N/A</v>
      </c>
      <c r="GY91" s="45" t="e">
        <v>#N/A</v>
      </c>
      <c r="GZ91" s="45" t="e">
        <v>#N/A</v>
      </c>
      <c r="HA91" s="45" t="e">
        <v>#N/A</v>
      </c>
      <c r="HB91" s="45" t="e">
        <v>#N/A</v>
      </c>
      <c r="HC91" s="45" t="e">
        <v>#N/A</v>
      </c>
      <c r="HD91" s="115" t="e">
        <v>#N/A</v>
      </c>
      <c r="HE91" s="115" t="e">
        <v>#N/A</v>
      </c>
      <c r="HF91" s="115" t="e">
        <v>#N/A</v>
      </c>
      <c r="HG91" s="45" t="e">
        <v>#N/A</v>
      </c>
      <c r="HI91" s="35">
        <f>$GB$127</f>
        <v>0</v>
      </c>
      <c r="HK91" s="28"/>
      <c r="IC91" s="252"/>
      <c r="ID91" s="74">
        <f t="shared" si="123"/>
        <v>25.5</v>
      </c>
      <c r="IE91" s="74" t="s">
        <v>157</v>
      </c>
      <c r="IF91" s="74">
        <f>IF92</f>
        <v>0</v>
      </c>
      <c r="IG91" s="74">
        <f>HW20</f>
        <v>0</v>
      </c>
      <c r="II91" s="35" t="b">
        <f t="shared" si="124"/>
        <v>0</v>
      </c>
      <c r="IJ91" s="45" t="b">
        <f t="shared" si="73"/>
        <v>0</v>
      </c>
      <c r="IK91" s="35">
        <f t="shared" si="115"/>
        <v>0</v>
      </c>
      <c r="IL91" s="48">
        <f>IL90+($IL$92-$IL$87)/4</f>
        <v>0</v>
      </c>
      <c r="IM91" s="35">
        <f t="shared" si="116"/>
        <v>0</v>
      </c>
      <c r="IN91" s="35">
        <f t="shared" si="117"/>
        <v>0</v>
      </c>
      <c r="IO91" s="36">
        <f t="shared" si="118"/>
        <v>0</v>
      </c>
      <c r="IP91" s="35">
        <f t="shared" si="119"/>
        <v>0</v>
      </c>
      <c r="IQ91" s="35">
        <f t="shared" si="120"/>
        <v>0</v>
      </c>
      <c r="IR91" s="45"/>
      <c r="IS91" s="37" t="str">
        <f>IF(IC83="-","",ROUND(HU20,2))</f>
        <v/>
      </c>
      <c r="IT91" s="35">
        <f t="shared" si="121"/>
        <v>25.5</v>
      </c>
      <c r="IV91" s="35"/>
      <c r="IW91" s="35"/>
      <c r="IY91" s="44" t="str">
        <f>IF(IC83="-","",IF(EX19=0,"",EX19))</f>
        <v/>
      </c>
      <c r="IZ91" s="45"/>
      <c r="JB91" s="38">
        <f>ID92</f>
        <v>25.5</v>
      </c>
      <c r="JC91" s="38">
        <v>0</v>
      </c>
      <c r="JE91" s="38">
        <f>JB91</f>
        <v>25.5</v>
      </c>
      <c r="JF91" s="38">
        <f>IF(JE90&gt;0,-MAX(IW3:IW272,IZ3:IZ272)*0.5,-MAX(IW3:IW272,IZ3:IZ272)*1.5)</f>
        <v>-37.5</v>
      </c>
      <c r="JH91" s="38">
        <f>IF(IC83=8,ID91,-5)</f>
        <v>-5</v>
      </c>
      <c r="JI91" s="38">
        <f>IG91</f>
        <v>0</v>
      </c>
      <c r="JK91" s="35">
        <f>IF(JK90=TRUE,IT91,-5)</f>
        <v>-5</v>
      </c>
      <c r="JL91" s="49" t="str">
        <f>IS91</f>
        <v/>
      </c>
      <c r="JM91" s="40"/>
      <c r="JN91" s="49"/>
      <c r="JO91" s="49"/>
      <c r="JP91" s="40"/>
      <c r="JQ91" s="49"/>
      <c r="JR91" s="49"/>
      <c r="JS91" s="40"/>
      <c r="JT91" s="49"/>
      <c r="JU91" s="49"/>
      <c r="JW91" s="120"/>
      <c r="JX91" s="120"/>
    </row>
    <row r="92" spans="12:284" ht="14.25" customHeight="1" x14ac:dyDescent="0.2"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87"/>
      <c r="DW92" s="87"/>
      <c r="DX92" s="87"/>
      <c r="DY92" s="87"/>
      <c r="DZ92" s="87"/>
      <c r="EA92" s="87"/>
      <c r="EB92" s="87"/>
      <c r="EC92" s="87"/>
      <c r="ED92" s="87"/>
      <c r="FK92" s="169">
        <f>GB3</f>
        <v>0</v>
      </c>
      <c r="FL92" s="169"/>
      <c r="FM92" s="169"/>
      <c r="FN92" s="169">
        <f>2*(GB3+GE3)</f>
        <v>0</v>
      </c>
      <c r="FO92" s="169"/>
      <c r="FP92" s="169"/>
      <c r="FQ92" s="169">
        <f>IF($F$2=17,(IF(F10=ER43,GE3,IF(F10=ER44,GE3*FF40,0))),IF(F2&gt;17,GE3,0))</f>
        <v>0</v>
      </c>
      <c r="FR92" s="169"/>
      <c r="FS92" s="169"/>
      <c r="FT92" s="98" t="s">
        <v>41</v>
      </c>
      <c r="FU92" s="170">
        <f>(EJ27*GB3^3)/4</f>
        <v>0</v>
      </c>
      <c r="FV92" s="170"/>
      <c r="FW92" s="170"/>
      <c r="FX92" s="170">
        <f>(EJ28*GE3^3)/4</f>
        <v>0</v>
      </c>
      <c r="FY92" s="170"/>
      <c r="FZ92" s="170"/>
      <c r="GA92" s="101"/>
      <c r="GB92" s="171">
        <f>-SUM(FU92:FZ95)-IF(F2=17,IF($F$10=$ER$44,FQ92,0))</f>
        <v>0</v>
      </c>
      <c r="GC92" s="171"/>
      <c r="GD92" s="171"/>
      <c r="GG92" s="22">
        <v>25</v>
      </c>
      <c r="GH92" s="45" t="e">
        <v>#N/A</v>
      </c>
      <c r="GI92" s="45" t="e">
        <v>#N/A</v>
      </c>
      <c r="GJ92" s="45" t="e">
        <v>#N/A</v>
      </c>
      <c r="GK92" s="45" t="e">
        <v>#N/A</v>
      </c>
      <c r="GL92" s="45" t="e">
        <v>#N/A</v>
      </c>
      <c r="GM92" s="45" t="e">
        <v>#N/A</v>
      </c>
      <c r="GN92" s="45" t="e">
        <v>#N/A</v>
      </c>
      <c r="GO92" s="45" t="e">
        <v>#N/A</v>
      </c>
      <c r="GP92" s="45" t="e">
        <v>#N/A</v>
      </c>
      <c r="GQ92" s="45" t="e">
        <v>#N/A</v>
      </c>
      <c r="GR92" s="45" t="e">
        <v>#N/A</v>
      </c>
      <c r="GS92" s="45" t="e">
        <v>#N/A</v>
      </c>
      <c r="GT92" s="45" t="e">
        <v>#N/A</v>
      </c>
      <c r="GU92" s="45" t="e">
        <v>#N/A</v>
      </c>
      <c r="GV92" s="45" t="e">
        <v>#N/A</v>
      </c>
      <c r="GW92" s="45" t="e">
        <v>#N/A</v>
      </c>
      <c r="GX92" s="45" t="e">
        <v>#N/A</v>
      </c>
      <c r="GY92" s="45" t="e">
        <v>#N/A</v>
      </c>
      <c r="GZ92" s="45" t="e">
        <v>#N/A</v>
      </c>
      <c r="HA92" s="45" t="e">
        <v>#N/A</v>
      </c>
      <c r="HB92" s="45" t="e">
        <v>#N/A</v>
      </c>
      <c r="HC92" s="45" t="e">
        <v>#N/A</v>
      </c>
      <c r="HD92" s="45" t="e">
        <v>#N/A</v>
      </c>
      <c r="HE92" s="115" t="e">
        <v>#N/A</v>
      </c>
      <c r="HF92" s="115" t="e">
        <v>#N/A</v>
      </c>
      <c r="HG92" s="45" t="e">
        <v>#N/A</v>
      </c>
      <c r="HI92" s="35">
        <f>$GB$132</f>
        <v>0</v>
      </c>
      <c r="HK92" s="28"/>
      <c r="IC92" s="252"/>
      <c r="ID92" s="74">
        <f>IF(HS19="R0",ID83,ID83+HT19)</f>
        <v>25.5</v>
      </c>
      <c r="IE92" s="74" t="s">
        <v>158</v>
      </c>
      <c r="IF92" s="74">
        <f>IF(HS19="R0",0,HT19)</f>
        <v>0</v>
      </c>
      <c r="IG92" s="74">
        <v>0</v>
      </c>
      <c r="II92" s="35" t="b">
        <f t="shared" si="124"/>
        <v>0</v>
      </c>
      <c r="IJ92" s="45" t="b">
        <f t="shared" si="73"/>
        <v>0</v>
      </c>
      <c r="IK92" s="35">
        <f t="shared" si="115"/>
        <v>0</v>
      </c>
      <c r="IL92" s="48">
        <f>IK92</f>
        <v>0</v>
      </c>
      <c r="IM92" s="35"/>
      <c r="IN92" s="45"/>
      <c r="IO92" s="45"/>
      <c r="IP92" s="45"/>
      <c r="IQ92" s="45"/>
      <c r="IR92" s="45"/>
      <c r="IS92" s="82"/>
      <c r="IT92" s="35"/>
      <c r="IV92" s="35"/>
      <c r="IW92" s="35"/>
      <c r="IY92" s="45"/>
      <c r="IZ92" s="45"/>
      <c r="JB92" s="38">
        <f>JB91</f>
        <v>25.5</v>
      </c>
      <c r="JC92" s="38">
        <f>IF(IC83="-",0,IF(JC90=TRUE,0,-20))</f>
        <v>0</v>
      </c>
      <c r="JE92" s="38">
        <f>JE91</f>
        <v>25.5</v>
      </c>
      <c r="JF92" s="38">
        <f>IF(IC83="-",JF91,IF(JE90&gt;0,-MAX(IW3:IW272,IZ3:IZ272)*1.5,-MAX(IW3:IW272,IZ3:IZ272)*0.5))</f>
        <v>-37.5</v>
      </c>
      <c r="JH92" s="38"/>
      <c r="JI92" s="38"/>
      <c r="JK92" s="35"/>
      <c r="JL92" s="35"/>
      <c r="JM92" s="39"/>
      <c r="JN92" s="35"/>
      <c r="JO92" s="35"/>
      <c r="JP92" s="39"/>
      <c r="JQ92" s="35"/>
      <c r="JR92" s="35"/>
      <c r="JS92" s="39"/>
      <c r="JT92" s="35"/>
      <c r="JU92" s="35"/>
      <c r="JW92" s="127"/>
      <c r="JX92" s="127"/>
    </row>
    <row r="93" spans="12:284" ht="14.25" customHeight="1" x14ac:dyDescent="0.2"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87"/>
      <c r="DW93" s="87"/>
      <c r="DX93" s="87"/>
      <c r="DY93" s="87"/>
      <c r="DZ93" s="87"/>
      <c r="EA93" s="87"/>
      <c r="EB93" s="87"/>
      <c r="EC93" s="87"/>
      <c r="ED93" s="87"/>
      <c r="FT93" s="98" t="s">
        <v>17</v>
      </c>
      <c r="FU93" s="170">
        <f>IF(GB3=0,0,(EL27*EN27/GB3)*(GB3^2-EN27^2))</f>
        <v>0</v>
      </c>
      <c r="FV93" s="170"/>
      <c r="FW93" s="170"/>
      <c r="FX93" s="170">
        <f>IF(GE3=0,0,(EL28*EP28/GE3)*(GE3^2-EP28^2))</f>
        <v>0</v>
      </c>
      <c r="FY93" s="170"/>
      <c r="FZ93" s="170"/>
      <c r="GA93" s="101"/>
      <c r="GB93" s="170"/>
      <c r="GC93" s="170"/>
      <c r="GD93" s="170"/>
      <c r="GG93" s="22" t="s">
        <v>14</v>
      </c>
      <c r="GH93" s="45" t="e">
        <v>#N/A</v>
      </c>
      <c r="GI93" s="45" t="e">
        <v>#N/A</v>
      </c>
      <c r="GJ93" s="45" t="e">
        <v>#N/A</v>
      </c>
      <c r="GK93" s="45" t="e">
        <v>#N/A</v>
      </c>
      <c r="GL93" s="45" t="e">
        <v>#N/A</v>
      </c>
      <c r="GM93" s="45" t="e">
        <v>#N/A</v>
      </c>
      <c r="GN93" s="45" t="e">
        <v>#N/A</v>
      </c>
      <c r="GO93" s="45" t="e">
        <v>#N/A</v>
      </c>
      <c r="GP93" s="45" t="e">
        <v>#N/A</v>
      </c>
      <c r="GQ93" s="45" t="e">
        <v>#N/A</v>
      </c>
      <c r="GR93" s="45" t="e">
        <v>#N/A</v>
      </c>
      <c r="GS93" s="45" t="e">
        <v>#N/A</v>
      </c>
      <c r="GT93" s="45" t="e">
        <v>#N/A</v>
      </c>
      <c r="GU93" s="45" t="e">
        <v>#N/A</v>
      </c>
      <c r="GV93" s="45" t="e">
        <v>#N/A</v>
      </c>
      <c r="GW93" s="45" t="e">
        <v>#N/A</v>
      </c>
      <c r="GX93" s="45" t="e">
        <v>#N/A</v>
      </c>
      <c r="GY93" s="45" t="e">
        <v>#N/A</v>
      </c>
      <c r="GZ93" s="45" t="e">
        <v>#N/A</v>
      </c>
      <c r="HA93" s="45" t="e">
        <v>#N/A</v>
      </c>
      <c r="HB93" s="45" t="e">
        <v>#N/A</v>
      </c>
      <c r="HC93" s="45" t="e">
        <v>#N/A</v>
      </c>
      <c r="HD93" s="45" t="e">
        <v>#N/A</v>
      </c>
      <c r="HE93" s="45" t="e">
        <v>#N/A</v>
      </c>
      <c r="HF93" s="115" t="e">
        <v>#N/A</v>
      </c>
      <c r="HG93" s="115" t="e">
        <v>#N/A</v>
      </c>
      <c r="HI93" s="35">
        <f>$GB$137</f>
        <v>0</v>
      </c>
      <c r="HK93" s="39"/>
      <c r="IC93" s="250" t="str">
        <f>IF(HS21="R0","-",HS21)</f>
        <v>-</v>
      </c>
      <c r="ID93" s="53">
        <f>IF(HS21="R0",ID272,ID92)</f>
        <v>25.5</v>
      </c>
      <c r="IE93" s="53" t="s">
        <v>149</v>
      </c>
      <c r="IF93" s="53">
        <v>0</v>
      </c>
      <c r="IG93" s="53">
        <v>0</v>
      </c>
      <c r="II93" s="54" t="b">
        <f t="shared" si="124"/>
        <v>0</v>
      </c>
      <c r="IJ93" s="55" t="b">
        <f t="shared" si="73"/>
        <v>0</v>
      </c>
      <c r="IK93" s="54">
        <f t="shared" ref="IK93:IK102" si="125">IF(II93=TRUE,IF(IJ93=TRUE,IG93/$EJ$20)+IF93,IF93)</f>
        <v>0</v>
      </c>
      <c r="IL93" s="56">
        <f>IK93</f>
        <v>0</v>
      </c>
      <c r="IM93" s="54">
        <f t="shared" ref="IM93:IM101" si="126">$HV$21*IL93</f>
        <v>0</v>
      </c>
      <c r="IN93" s="54">
        <f t="shared" ref="IN93:IN101" si="127">-$EJ$20*(IL93^2/2)</f>
        <v>0</v>
      </c>
      <c r="IO93" s="57">
        <f t="shared" ref="IO93:IO101" si="128">-IF(IL93&gt;=$EN$20,$EL$20*(IL93-$EN$20),0)</f>
        <v>0</v>
      </c>
      <c r="IP93" s="54">
        <f t="shared" ref="IP93:IP101" si="129">-IF(IL93&gt;=$ET$20,$ER$20*(IL93-$ET$20),0)</f>
        <v>0</v>
      </c>
      <c r="IQ93" s="54">
        <f t="shared" ref="IQ93:IQ101" si="130">-IF(IL93&gt;=$EZ$20,$EX$20*(IL93-$EZ$20),0)</f>
        <v>0</v>
      </c>
      <c r="IR93" s="55"/>
      <c r="IS93" s="59" t="str">
        <f>IF(IC93="-","",HU21)</f>
        <v/>
      </c>
      <c r="IT93" s="54">
        <f t="shared" ref="IT93:IT101" si="131">$ID$93+IL93</f>
        <v>25.5</v>
      </c>
      <c r="IV93" s="54">
        <f>ID93</f>
        <v>25.5</v>
      </c>
      <c r="IW93" s="54">
        <v>0</v>
      </c>
      <c r="IY93" s="54">
        <f>IF(IC93="-",-5,IF(EL20=0,-5,ID93+EN20))</f>
        <v>-5</v>
      </c>
      <c r="IZ93" s="54">
        <v>0</v>
      </c>
      <c r="JB93" s="54"/>
      <c r="JC93" s="54"/>
      <c r="JE93" s="54"/>
      <c r="JF93" s="54"/>
      <c r="JH93" s="54"/>
      <c r="JI93" s="54"/>
      <c r="JK93" s="54">
        <f>IF(IC93=9,IT93,-5)</f>
        <v>-5</v>
      </c>
      <c r="JL93" s="59" t="str">
        <f>IS93</f>
        <v/>
      </c>
      <c r="JM93" s="40"/>
      <c r="JN93" s="59">
        <f>IF(IC93="-",-5,(ID93+ID102)/2)</f>
        <v>-5</v>
      </c>
      <c r="JO93" s="59">
        <f>-MAX(IW3:IW272,IZ3:IZ272)*0.7</f>
        <v>-52.5</v>
      </c>
      <c r="JP93" s="40"/>
      <c r="JQ93" s="59">
        <f>IF(IC93="-",-5,(IT93+IT97)/2)</f>
        <v>-5</v>
      </c>
      <c r="JR93" s="59">
        <f>JR13</f>
        <v>-760.38306347150262</v>
      </c>
      <c r="JS93" s="40"/>
      <c r="JT93" s="59"/>
      <c r="JU93" s="59"/>
      <c r="JW93" s="122">
        <f>JN93</f>
        <v>-5</v>
      </c>
      <c r="JX93" s="122">
        <f>JF102</f>
        <v>-37.5</v>
      </c>
    </row>
    <row r="94" spans="12:284" ht="14.25" customHeight="1" x14ac:dyDescent="0.2"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87"/>
      <c r="DW94" s="87"/>
      <c r="DX94" s="87"/>
      <c r="DY94" s="87"/>
      <c r="DZ94" s="87"/>
      <c r="EA94" s="87"/>
      <c r="EB94" s="87"/>
      <c r="EC94" s="87"/>
      <c r="ED94" s="87"/>
      <c r="FT94" s="98" t="s">
        <v>19</v>
      </c>
      <c r="FU94" s="170">
        <f>IF(GB3=0,0,(ER27*ET27/GB3)*(GB3^2-ET27^2))</f>
        <v>0</v>
      </c>
      <c r="FV94" s="170"/>
      <c r="FW94" s="170"/>
      <c r="FX94" s="170">
        <f>IF(GE3=0,0,(ER28*EV28/GE3)*(GE3^2-EV28^2))</f>
        <v>0</v>
      </c>
      <c r="FY94" s="170"/>
      <c r="FZ94" s="170"/>
      <c r="GA94" s="101"/>
      <c r="GB94" s="170"/>
      <c r="GC94" s="170"/>
      <c r="GD94" s="170"/>
      <c r="IC94" s="250"/>
      <c r="ID94" s="53">
        <f>IF($IC$93="-",$ID$93,$ID$93+IF94)</f>
        <v>25.5</v>
      </c>
      <c r="IE94" s="53" t="s">
        <v>150</v>
      </c>
      <c r="IF94" s="53">
        <f>IF93</f>
        <v>0</v>
      </c>
      <c r="IG94" s="53">
        <f>IF(IC93="-",0,HV21)</f>
        <v>0</v>
      </c>
      <c r="II94" s="54" t="b">
        <f t="shared" si="124"/>
        <v>0</v>
      </c>
      <c r="IJ94" s="55" t="b">
        <f t="shared" si="73"/>
        <v>0</v>
      </c>
      <c r="IK94" s="54">
        <f t="shared" si="125"/>
        <v>0</v>
      </c>
      <c r="IL94" s="56">
        <f>(IL97-IL93)/4</f>
        <v>0</v>
      </c>
      <c r="IM94" s="54">
        <f t="shared" si="126"/>
        <v>0</v>
      </c>
      <c r="IN94" s="54">
        <f t="shared" si="127"/>
        <v>0</v>
      </c>
      <c r="IO94" s="57">
        <f t="shared" si="128"/>
        <v>0</v>
      </c>
      <c r="IP94" s="54">
        <f t="shared" si="129"/>
        <v>0</v>
      </c>
      <c r="IQ94" s="54">
        <f t="shared" si="130"/>
        <v>0</v>
      </c>
      <c r="IR94" s="54">
        <f t="shared" ref="IR94:IR100" si="132">$HU$21</f>
        <v>0</v>
      </c>
      <c r="IS94" s="58" t="str">
        <f>IF(IC93="-","",SUM(IM94:IR94))</f>
        <v/>
      </c>
      <c r="IT94" s="54">
        <f t="shared" si="131"/>
        <v>25.5</v>
      </c>
      <c r="IV94" s="54">
        <f>IV93</f>
        <v>25.5</v>
      </c>
      <c r="IW94" s="54">
        <f>IF(IC93="-",0,EJ20)/20</f>
        <v>0</v>
      </c>
      <c r="IY94" s="54">
        <f>IY93</f>
        <v>-5</v>
      </c>
      <c r="IZ94" s="54">
        <f>IF(IC93="-",0,EL20/20)</f>
        <v>0</v>
      </c>
      <c r="JB94" s="54"/>
      <c r="JC94" s="54"/>
      <c r="JE94" s="54"/>
      <c r="JF94" s="54"/>
      <c r="JH94" s="54">
        <f>IF(IC93=9,ID94,-5)</f>
        <v>-5</v>
      </c>
      <c r="JI94" s="54">
        <f>IG94</f>
        <v>0</v>
      </c>
      <c r="JK94" s="54"/>
      <c r="JL94" s="54"/>
      <c r="JM94" s="39"/>
      <c r="JN94" s="61">
        <f>HT21</f>
        <v>0</v>
      </c>
      <c r="JO94" s="54"/>
      <c r="JP94" s="39"/>
      <c r="JQ94" s="62" t="b">
        <f>IL97</f>
        <v>0</v>
      </c>
      <c r="JR94" s="54"/>
      <c r="JS94" s="39"/>
      <c r="JT94" s="54"/>
      <c r="JU94" s="54"/>
      <c r="JW94" s="125" t="str">
        <f>IC93</f>
        <v>-</v>
      </c>
      <c r="JX94" s="123"/>
    </row>
    <row r="95" spans="12:284" ht="14.25" customHeight="1" x14ac:dyDescent="0.2"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87"/>
      <c r="DW95" s="87"/>
      <c r="DX95" s="87"/>
      <c r="DY95" s="87"/>
      <c r="DZ95" s="87"/>
      <c r="EA95" s="87"/>
      <c r="EB95" s="87"/>
      <c r="EC95" s="87"/>
      <c r="ED95" s="87"/>
      <c r="FT95" s="98" t="s">
        <v>20</v>
      </c>
      <c r="FU95" s="170">
        <f>IF(GB3=0,0,(EX27*EZ27/GB3)*(GB3^2-EZ27^2))</f>
        <v>0</v>
      </c>
      <c r="FV95" s="170"/>
      <c r="FW95" s="170"/>
      <c r="FX95" s="170">
        <f>IF(GE3=0,0,(EX28*FB28/GE3)*(GE3^2-FB28^2))</f>
        <v>0</v>
      </c>
      <c r="FY95" s="170"/>
      <c r="FZ95" s="170"/>
      <c r="GA95" s="101"/>
      <c r="GB95" s="172"/>
      <c r="GC95" s="172"/>
      <c r="GD95" s="172"/>
      <c r="GH95" s="22" t="s">
        <v>30</v>
      </c>
      <c r="GI95" s="22" t="s">
        <v>31</v>
      </c>
      <c r="GJ95" s="22" t="s">
        <v>32</v>
      </c>
      <c r="GK95" s="22" t="s">
        <v>33</v>
      </c>
      <c r="GL95" s="22" t="s">
        <v>34</v>
      </c>
      <c r="GM95" s="22" t="s">
        <v>35</v>
      </c>
      <c r="GN95" s="22" t="s">
        <v>36</v>
      </c>
      <c r="GO95" s="22" t="s">
        <v>37</v>
      </c>
      <c r="GP95" s="22" t="s">
        <v>38</v>
      </c>
      <c r="GQ95" s="22" t="s">
        <v>39</v>
      </c>
      <c r="GR95" s="22" t="s">
        <v>40</v>
      </c>
      <c r="GS95" s="22" t="s">
        <v>41</v>
      </c>
      <c r="GT95" s="22" t="s">
        <v>23</v>
      </c>
      <c r="GU95" s="22" t="s">
        <v>42</v>
      </c>
      <c r="GV95" s="22" t="s">
        <v>43</v>
      </c>
      <c r="GW95" s="22" t="s">
        <v>44</v>
      </c>
      <c r="GX95" s="22" t="s">
        <v>45</v>
      </c>
      <c r="GY95" s="22" t="s">
        <v>46</v>
      </c>
      <c r="GZ95" s="22" t="s">
        <v>18</v>
      </c>
      <c r="HA95" s="22" t="s">
        <v>47</v>
      </c>
      <c r="HB95" s="22" t="s">
        <v>48</v>
      </c>
      <c r="HC95" s="22" t="s">
        <v>22</v>
      </c>
      <c r="HD95" s="22" t="s">
        <v>49</v>
      </c>
      <c r="HE95" s="22" t="s">
        <v>50</v>
      </c>
      <c r="HF95" s="22" t="s">
        <v>51</v>
      </c>
      <c r="HG95" s="22" t="s">
        <v>52</v>
      </c>
      <c r="IC95" s="250"/>
      <c r="ID95" s="53">
        <f t="shared" ref="ID95:ID101" si="133">IF($IC$93="-",$ID$93,$ID$93+IF95)</f>
        <v>25.5</v>
      </c>
      <c r="IE95" s="53" t="s">
        <v>151</v>
      </c>
      <c r="IF95" s="53">
        <f>IF(EL20=0,IF94,EN20)</f>
        <v>0</v>
      </c>
      <c r="IG95" s="53">
        <f>IF(IC93="-",0,IG94-IF(EL20=0,0,EJ20*IF95))</f>
        <v>0</v>
      </c>
      <c r="II95" s="54" t="b">
        <f t="shared" si="124"/>
        <v>0</v>
      </c>
      <c r="IJ95" s="55" t="b">
        <f t="shared" si="73"/>
        <v>0</v>
      </c>
      <c r="IK95" s="54">
        <f t="shared" si="125"/>
        <v>0</v>
      </c>
      <c r="IL95" s="56">
        <f>IL94*2</f>
        <v>0</v>
      </c>
      <c r="IM95" s="54">
        <f t="shared" si="126"/>
        <v>0</v>
      </c>
      <c r="IN95" s="54">
        <f t="shared" si="127"/>
        <v>0</v>
      </c>
      <c r="IO95" s="57">
        <f t="shared" si="128"/>
        <v>0</v>
      </c>
      <c r="IP95" s="54">
        <f t="shared" si="129"/>
        <v>0</v>
      </c>
      <c r="IQ95" s="54">
        <f t="shared" si="130"/>
        <v>0</v>
      </c>
      <c r="IR95" s="54">
        <f t="shared" si="132"/>
        <v>0</v>
      </c>
      <c r="IS95" s="58" t="str">
        <f>IF(IC93="-","",SUM(IM95:IR95))</f>
        <v/>
      </c>
      <c r="IT95" s="54">
        <f t="shared" si="131"/>
        <v>25.5</v>
      </c>
      <c r="IV95" s="54">
        <f>IF102/2+IV93</f>
        <v>25.5</v>
      </c>
      <c r="IW95" s="54">
        <f>IW94</f>
        <v>0</v>
      </c>
      <c r="IY95" s="65" t="str">
        <f>IF(IC93="-","",IF(EL20=0,"",EL20))</f>
        <v/>
      </c>
      <c r="IZ95" s="55"/>
      <c r="JB95" s="54"/>
      <c r="JC95" s="54"/>
      <c r="JE95" s="54"/>
      <c r="JF95" s="54"/>
      <c r="JH95" s="54"/>
      <c r="JI95" s="54"/>
      <c r="JK95" s="54"/>
      <c r="JL95" s="54"/>
      <c r="JM95" s="39"/>
      <c r="JN95" s="54"/>
      <c r="JO95" s="54"/>
      <c r="JP95" s="39"/>
      <c r="JQ95" s="54"/>
      <c r="JR95" s="54"/>
      <c r="JS95" s="39"/>
      <c r="JT95" s="54"/>
      <c r="JU95" s="54"/>
      <c r="JW95" s="123"/>
      <c r="JX95" s="123"/>
    </row>
    <row r="96" spans="12:284" ht="14.25" customHeight="1" x14ac:dyDescent="0.2"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87"/>
      <c r="DW96" s="87"/>
      <c r="DX96" s="87"/>
      <c r="DY96" s="87"/>
      <c r="DZ96" s="87"/>
      <c r="EA96" s="87"/>
      <c r="EB96" s="87"/>
      <c r="EC96" s="87"/>
      <c r="ED96" s="87"/>
      <c r="FH96" s="28">
        <v>18</v>
      </c>
      <c r="FI96" s="184" t="s">
        <v>100</v>
      </c>
      <c r="FJ96" s="184"/>
      <c r="FK96" s="185" t="s">
        <v>99</v>
      </c>
      <c r="FL96" s="185"/>
      <c r="FM96" s="185"/>
      <c r="FN96" s="185" t="s">
        <v>101</v>
      </c>
      <c r="FO96" s="185"/>
      <c r="FP96" s="185"/>
      <c r="FQ96" s="185" t="s">
        <v>103</v>
      </c>
      <c r="FR96" s="185"/>
      <c r="FS96" s="185"/>
      <c r="FT96" s="98" t="s">
        <v>57</v>
      </c>
      <c r="FU96" s="187" t="s">
        <v>13</v>
      </c>
      <c r="FV96" s="185"/>
      <c r="FW96" s="185"/>
      <c r="FX96" s="187" t="s">
        <v>14</v>
      </c>
      <c r="FY96" s="185"/>
      <c r="FZ96" s="185"/>
      <c r="GA96" s="98" t="s">
        <v>57</v>
      </c>
      <c r="GB96" s="187" t="s">
        <v>60</v>
      </c>
      <c r="GC96" s="185"/>
      <c r="GD96" s="185"/>
      <c r="GG96" s="22" t="s">
        <v>13</v>
      </c>
      <c r="GH96" s="115">
        <f t="array" ref="GH96:HF120">MINVERSE(IF($F$2=2,GH12:GI13,IF($F$2=3,GH12:GJ14,IF($F$2=4,GH12:GK15,IF($F$2=5,GH12:GL16,IF($F$2=6,GH12:GM17,IF($F$2=7,GH12:GN18,IF($F$2=8,GH12:GO19,IF($F$2=9,GH12:GP20,IF($F$2=10,GH12:GQ21,IF($F$2=11,GH12:GR22,IF($F$2=12,GH12:GS23,IF($F$2=13,GH12:GT24,IF($F$2=14,GH12:GU25,IF($F$2=15,GH12:GV26,IF($F$2=16,GH12:GW27,IF($F$2=17,GH12:GX28,IF($F$2=18,GH12:GY29,IF($F$2=19,GH12:GZ30,IF($F$2=20,GH12:HA31,IF($F$2=21,GH12:HB32,IF($F$2=22,GH12:HC33,IF($F$2=23,GH12:HD34,IF($F$2=24,GH12:HE35,IF($F$2=25,GH12:HF36,IF($F$2=1,GH12,0))))))))))))))))))))))))))</f>
        <v>0.14433752775721687</v>
      </c>
      <c r="GI96" s="115">
        <v>-3.8675055514433752E-2</v>
      </c>
      <c r="GJ96" s="45">
        <v>1.0362694300518135E-2</v>
      </c>
      <c r="GK96" s="45">
        <v>-2.7757216876387867E-3</v>
      </c>
      <c r="GL96" s="45">
        <v>7.401924500370098E-4</v>
      </c>
      <c r="GM96" s="45">
        <v>-1.8504811250925245E-4</v>
      </c>
      <c r="GN96" s="45" t="e">
        <v>#N/A</v>
      </c>
      <c r="GO96" s="45" t="e">
        <v>#N/A</v>
      </c>
      <c r="GP96" s="45" t="e">
        <v>#N/A</v>
      </c>
      <c r="GQ96" s="45" t="e">
        <v>#N/A</v>
      </c>
      <c r="GR96" s="45" t="e">
        <v>#N/A</v>
      </c>
      <c r="GS96" s="45" t="e">
        <v>#N/A</v>
      </c>
      <c r="GT96" s="45" t="e">
        <v>#N/A</v>
      </c>
      <c r="GU96" s="45" t="e">
        <v>#N/A</v>
      </c>
      <c r="GV96" s="45" t="e">
        <v>#N/A</v>
      </c>
      <c r="GW96" s="45" t="e">
        <v>#N/A</v>
      </c>
      <c r="GX96" s="45" t="e">
        <v>#N/A</v>
      </c>
      <c r="GY96" s="45" t="e">
        <v>#N/A</v>
      </c>
      <c r="GZ96" s="45" t="e">
        <v>#N/A</v>
      </c>
      <c r="HA96" s="45" t="e">
        <v>#N/A</v>
      </c>
      <c r="HB96" s="45" t="e">
        <v>#N/A</v>
      </c>
      <c r="HC96" s="45" t="e">
        <v>#N/A</v>
      </c>
      <c r="HD96" s="45" t="e">
        <v>#N/A</v>
      </c>
      <c r="HE96" s="45" t="e">
        <v>#N/A</v>
      </c>
      <c r="HF96" s="45" t="e">
        <v>#N/A</v>
      </c>
      <c r="HG96" s="45"/>
      <c r="HI96" s="35">
        <f>$GB$12</f>
        <v>-22912</v>
      </c>
      <c r="HK96" s="39"/>
      <c r="IC96" s="250"/>
      <c r="ID96" s="53">
        <f t="shared" si="133"/>
        <v>25.5</v>
      </c>
      <c r="IE96" s="53" t="s">
        <v>152</v>
      </c>
      <c r="IF96" s="53">
        <f>IF95</f>
        <v>0</v>
      </c>
      <c r="IG96" s="53">
        <f>IF(IC93="-",0,IG95-EL20)</f>
        <v>0</v>
      </c>
      <c r="II96" s="54" t="b">
        <f t="shared" si="124"/>
        <v>0</v>
      </c>
      <c r="IJ96" s="55" t="b">
        <f t="shared" si="73"/>
        <v>0</v>
      </c>
      <c r="IK96" s="54">
        <f t="shared" si="125"/>
        <v>0</v>
      </c>
      <c r="IL96" s="56">
        <f>IL94*3</f>
        <v>0</v>
      </c>
      <c r="IM96" s="54">
        <f t="shared" si="126"/>
        <v>0</v>
      </c>
      <c r="IN96" s="54">
        <f t="shared" si="127"/>
        <v>0</v>
      </c>
      <c r="IO96" s="57">
        <f t="shared" si="128"/>
        <v>0</v>
      </c>
      <c r="IP96" s="54">
        <f t="shared" si="129"/>
        <v>0</v>
      </c>
      <c r="IQ96" s="54">
        <f t="shared" si="130"/>
        <v>0</v>
      </c>
      <c r="IR96" s="54">
        <f t="shared" si="132"/>
        <v>0</v>
      </c>
      <c r="IS96" s="58" t="str">
        <f>IF(IC93="-","",SUM(IM96:IR96))</f>
        <v/>
      </c>
      <c r="IT96" s="54">
        <f t="shared" si="131"/>
        <v>25.5</v>
      </c>
      <c r="IV96" s="54">
        <f>IV97</f>
        <v>25.5</v>
      </c>
      <c r="IW96" s="54">
        <f>IW94</f>
        <v>0</v>
      </c>
      <c r="IY96" s="54">
        <f>IF(IC93="-",-5,IF(ER20=0,-5,ID93+ET20))</f>
        <v>-5</v>
      </c>
      <c r="IZ96" s="54">
        <v>0</v>
      </c>
      <c r="JB96" s="54"/>
      <c r="JC96" s="54"/>
      <c r="JE96" s="54"/>
      <c r="JF96" s="54"/>
      <c r="JH96" s="54"/>
      <c r="JI96" s="54"/>
      <c r="JK96" s="54"/>
      <c r="JL96" s="54"/>
      <c r="JM96" s="39"/>
      <c r="JN96" s="54"/>
      <c r="JO96" s="54"/>
      <c r="JP96" s="39"/>
      <c r="JQ96" s="54"/>
      <c r="JR96" s="54"/>
      <c r="JS96" s="39"/>
      <c r="JT96" s="54"/>
      <c r="JU96" s="54"/>
      <c r="JW96" s="123"/>
      <c r="JX96" s="123"/>
    </row>
    <row r="97" spans="12:284" ht="14.25" customHeight="1" x14ac:dyDescent="0.2"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87"/>
      <c r="DW97" s="87"/>
      <c r="DX97" s="87"/>
      <c r="DY97" s="87"/>
      <c r="DZ97" s="87"/>
      <c r="EA97" s="87"/>
      <c r="EB97" s="87"/>
      <c r="EC97" s="87"/>
      <c r="ED97" s="87"/>
      <c r="FK97" s="169">
        <f>GE3</f>
        <v>0</v>
      </c>
      <c r="FL97" s="169"/>
      <c r="FM97" s="169"/>
      <c r="FN97" s="169">
        <f>2*(GE3+GH3)</f>
        <v>0</v>
      </c>
      <c r="FO97" s="169"/>
      <c r="FP97" s="169"/>
      <c r="FQ97" s="169">
        <f>IF($F$2=18,(IF(F10=ER43,GH3,IF(F10=ER44,GH3*FF40,0))),IF(F2&gt;18,GH3,0))</f>
        <v>0</v>
      </c>
      <c r="FR97" s="169"/>
      <c r="FS97" s="169"/>
      <c r="FT97" s="98" t="s">
        <v>41</v>
      </c>
      <c r="FU97" s="170">
        <f>(EJ28*GE3^3)/4</f>
        <v>0</v>
      </c>
      <c r="FV97" s="170"/>
      <c r="FW97" s="170"/>
      <c r="FX97" s="170">
        <f>(EJ29*GH3^3)/4</f>
        <v>0</v>
      </c>
      <c r="FY97" s="170"/>
      <c r="FZ97" s="170"/>
      <c r="GA97" s="101"/>
      <c r="GB97" s="171">
        <f>-SUM(FU97:FZ100)-IF(F2=18,IF($F$10=$ER$44,FQ97,0))</f>
        <v>0</v>
      </c>
      <c r="GC97" s="171"/>
      <c r="GD97" s="171"/>
      <c r="GG97" s="22">
        <v>2</v>
      </c>
      <c r="GH97" s="45">
        <v>-3.8675055514433752E-2</v>
      </c>
      <c r="GI97" s="45">
        <v>7.7350111028867505E-2</v>
      </c>
      <c r="GJ97" s="45">
        <v>-2.072538860103627E-2</v>
      </c>
      <c r="GK97" s="45">
        <v>5.5514433752775734E-3</v>
      </c>
      <c r="GL97" s="45">
        <v>-1.4803849000740196E-3</v>
      </c>
      <c r="GM97" s="45">
        <v>3.700962250185049E-4</v>
      </c>
      <c r="GN97" s="45" t="e">
        <v>#N/A</v>
      </c>
      <c r="GO97" s="45" t="e">
        <v>#N/A</v>
      </c>
      <c r="GP97" s="45" t="e">
        <v>#N/A</v>
      </c>
      <c r="GQ97" s="45" t="e">
        <v>#N/A</v>
      </c>
      <c r="GR97" s="45" t="e">
        <v>#N/A</v>
      </c>
      <c r="GS97" s="45" t="e">
        <v>#N/A</v>
      </c>
      <c r="GT97" s="45" t="e">
        <v>#N/A</v>
      </c>
      <c r="GU97" s="45" t="e">
        <v>#N/A</v>
      </c>
      <c r="GV97" s="45" t="e">
        <v>#N/A</v>
      </c>
      <c r="GW97" s="45" t="e">
        <v>#N/A</v>
      </c>
      <c r="GX97" s="45" t="e">
        <v>#N/A</v>
      </c>
      <c r="GY97" s="45" t="e">
        <v>#N/A</v>
      </c>
      <c r="GZ97" s="45" t="e">
        <v>#N/A</v>
      </c>
      <c r="HA97" s="45" t="e">
        <v>#N/A</v>
      </c>
      <c r="HB97" s="45" t="e">
        <v>#N/A</v>
      </c>
      <c r="HC97" s="45" t="e">
        <v>#N/A</v>
      </c>
      <c r="HD97" s="45" t="e">
        <v>#N/A</v>
      </c>
      <c r="HE97" s="45" t="e">
        <v>#N/A</v>
      </c>
      <c r="HF97" s="45" t="e">
        <v>#N/A</v>
      </c>
      <c r="HG97" s="45"/>
      <c r="HI97" s="35">
        <f>$GB$17</f>
        <v>-45824</v>
      </c>
      <c r="HK97" s="39"/>
      <c r="IC97" s="250"/>
      <c r="ID97" s="53">
        <f t="shared" si="133"/>
        <v>25.5</v>
      </c>
      <c r="IE97" s="53" t="s">
        <v>153</v>
      </c>
      <c r="IF97" s="53">
        <f>IF(ER20=0,IF96,ET20)</f>
        <v>0</v>
      </c>
      <c r="IG97" s="53">
        <f>IF(IC93="-",0,IG96-IF(ER20=0,0,EJ20*(IF97-IF96)))</f>
        <v>0</v>
      </c>
      <c r="II97" s="54" t="b">
        <f t="shared" si="124"/>
        <v>0</v>
      </c>
      <c r="IJ97" s="55" t="b">
        <f t="shared" si="73"/>
        <v>0</v>
      </c>
      <c r="IK97" s="54">
        <f t="shared" si="125"/>
        <v>0</v>
      </c>
      <c r="IL97" s="68" t="b">
        <f>IF(II93=TRUE,IK93,IF(II94=TRUE,IK94,IF(II95=TRUE,IK95,IF(II96=TRUE,IK96,IF(II97=TRUE,IK97,IF(II98=TRUE,IK98,IF(II99=TRUE,IK99,IF(II100=TRUE,IK100,IF(II101=TRUE,IK101,IF(II102=TRUE,IK102))))))))))</f>
        <v>0</v>
      </c>
      <c r="IM97" s="68">
        <f t="shared" si="126"/>
        <v>0</v>
      </c>
      <c r="IN97" s="68">
        <f t="shared" si="127"/>
        <v>0</v>
      </c>
      <c r="IO97" s="69">
        <f t="shared" si="128"/>
        <v>0</v>
      </c>
      <c r="IP97" s="68">
        <f t="shared" si="129"/>
        <v>0</v>
      </c>
      <c r="IQ97" s="68">
        <f t="shared" si="130"/>
        <v>0</v>
      </c>
      <c r="IR97" s="68">
        <f t="shared" si="132"/>
        <v>0</v>
      </c>
      <c r="IS97" s="70" t="str">
        <f>IF(IC93="-","",ROUND(SUM(IM97:IR97),2))</f>
        <v/>
      </c>
      <c r="IT97" s="68">
        <f t="shared" si="131"/>
        <v>25.5</v>
      </c>
      <c r="IV97" s="54">
        <f>ID102</f>
        <v>25.5</v>
      </c>
      <c r="IW97" s="54">
        <v>0</v>
      </c>
      <c r="IY97" s="54">
        <f>IY96</f>
        <v>-5</v>
      </c>
      <c r="IZ97" s="54">
        <f>IF(IC93="-",0,ER20/20)</f>
        <v>0</v>
      </c>
      <c r="JB97" s="54"/>
      <c r="JC97" s="54"/>
      <c r="JE97" s="54"/>
      <c r="JF97" s="54"/>
      <c r="JH97" s="54"/>
      <c r="JI97" s="54"/>
      <c r="JK97" s="54">
        <f>IF(IC93=9,IT97,-5)</f>
        <v>-5</v>
      </c>
      <c r="JL97" s="59" t="str">
        <f>IS97</f>
        <v/>
      </c>
      <c r="JM97" s="40"/>
      <c r="JN97" s="59"/>
      <c r="JO97" s="59"/>
      <c r="JP97" s="40"/>
      <c r="JQ97" s="59"/>
      <c r="JR97" s="59"/>
      <c r="JS97" s="40"/>
      <c r="JT97" s="59"/>
      <c r="JU97" s="59"/>
      <c r="JW97" s="122"/>
      <c r="JX97" s="122"/>
    </row>
    <row r="98" spans="12:284" ht="14.25" customHeight="1" x14ac:dyDescent="0.2"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87"/>
      <c r="DW98" s="87"/>
      <c r="DX98" s="87"/>
      <c r="DY98" s="87"/>
      <c r="DZ98" s="87"/>
      <c r="EA98" s="87"/>
      <c r="EB98" s="87"/>
      <c r="EC98" s="87"/>
      <c r="ED98" s="87"/>
      <c r="FT98" s="98" t="s">
        <v>17</v>
      </c>
      <c r="FU98" s="170">
        <f>IF(GE3=0,0,(EL28*EN28/GE3)*(GE3^2-EN28^2))</f>
        <v>0</v>
      </c>
      <c r="FV98" s="170"/>
      <c r="FW98" s="170"/>
      <c r="FX98" s="170">
        <f>IF(GH3=0,0,(EL29*EP29/GH3)*(GH3^2-EP29^2))</f>
        <v>0</v>
      </c>
      <c r="FY98" s="170"/>
      <c r="FZ98" s="170"/>
      <c r="GA98" s="101"/>
      <c r="GB98" s="170"/>
      <c r="GC98" s="170"/>
      <c r="GD98" s="170"/>
      <c r="GG98" s="22">
        <v>3</v>
      </c>
      <c r="GH98" s="45">
        <v>1.0362694300518135E-2</v>
      </c>
      <c r="GI98" s="115">
        <v>-2.072538860103627E-2</v>
      </c>
      <c r="GJ98" s="115">
        <v>7.2538860103626951E-2</v>
      </c>
      <c r="GK98" s="115">
        <v>-1.9430051813471506E-2</v>
      </c>
      <c r="GL98" s="45">
        <v>5.1813471502590684E-3</v>
      </c>
      <c r="GM98" s="45">
        <v>-1.2953367875647671E-3</v>
      </c>
      <c r="GN98" s="45" t="e">
        <v>#N/A</v>
      </c>
      <c r="GO98" s="45" t="e">
        <v>#N/A</v>
      </c>
      <c r="GP98" s="45" t="e">
        <v>#N/A</v>
      </c>
      <c r="GQ98" s="45" t="e">
        <v>#N/A</v>
      </c>
      <c r="GR98" s="45" t="e">
        <v>#N/A</v>
      </c>
      <c r="GS98" s="45" t="e">
        <v>#N/A</v>
      </c>
      <c r="GT98" s="45" t="e">
        <v>#N/A</v>
      </c>
      <c r="GU98" s="45" t="e">
        <v>#N/A</v>
      </c>
      <c r="GV98" s="45" t="e">
        <v>#N/A</v>
      </c>
      <c r="GW98" s="45" t="e">
        <v>#N/A</v>
      </c>
      <c r="GX98" s="45" t="e">
        <v>#N/A</v>
      </c>
      <c r="GY98" s="45" t="e">
        <v>#N/A</v>
      </c>
      <c r="GZ98" s="45" t="e">
        <v>#N/A</v>
      </c>
      <c r="HA98" s="45" t="e">
        <v>#N/A</v>
      </c>
      <c r="HB98" s="45" t="e">
        <v>#N/A</v>
      </c>
      <c r="HC98" s="45" t="e">
        <v>#N/A</v>
      </c>
      <c r="HD98" s="45" t="e">
        <v>#N/A</v>
      </c>
      <c r="HE98" s="45" t="e">
        <v>#N/A</v>
      </c>
      <c r="HF98" s="45" t="e">
        <v>#N/A</v>
      </c>
      <c r="HG98" s="45"/>
      <c r="HI98" s="35">
        <f>$GB$22</f>
        <v>-55737.4375</v>
      </c>
      <c r="HK98" s="28"/>
      <c r="IC98" s="250"/>
      <c r="ID98" s="53">
        <f t="shared" si="133"/>
        <v>25.5</v>
      </c>
      <c r="IE98" s="53" t="s">
        <v>154</v>
      </c>
      <c r="IF98" s="53">
        <f>IF97</f>
        <v>0</v>
      </c>
      <c r="IG98" s="53">
        <f>IF(IC93="-",0,IG97-ER20)</f>
        <v>0</v>
      </c>
      <c r="II98" s="54" t="b">
        <f t="shared" si="124"/>
        <v>0</v>
      </c>
      <c r="IJ98" s="55" t="b">
        <f t="shared" si="73"/>
        <v>0</v>
      </c>
      <c r="IK98" s="54">
        <f t="shared" si="125"/>
        <v>0</v>
      </c>
      <c r="IL98" s="56">
        <f>IL97+($IL$102-$IL$97)/4</f>
        <v>0</v>
      </c>
      <c r="IM98" s="54">
        <f t="shared" si="126"/>
        <v>0</v>
      </c>
      <c r="IN98" s="54">
        <f t="shared" si="127"/>
        <v>0</v>
      </c>
      <c r="IO98" s="57">
        <f t="shared" si="128"/>
        <v>0</v>
      </c>
      <c r="IP98" s="54">
        <f t="shared" si="129"/>
        <v>0</v>
      </c>
      <c r="IQ98" s="54">
        <f t="shared" si="130"/>
        <v>0</v>
      </c>
      <c r="IR98" s="54">
        <f t="shared" si="132"/>
        <v>0</v>
      </c>
      <c r="IS98" s="58" t="str">
        <f>IF(IC93="-","",SUM(IM98:IR98))</f>
        <v/>
      </c>
      <c r="IT98" s="54">
        <f t="shared" si="131"/>
        <v>25.5</v>
      </c>
      <c r="IV98" s="54"/>
      <c r="IW98" s="54"/>
      <c r="IY98" s="65" t="str">
        <f>IF(IC93="-","",IF(ER20=0,"",ER20))</f>
        <v/>
      </c>
      <c r="IZ98" s="55"/>
      <c r="JB98" s="54"/>
      <c r="JC98" s="54"/>
      <c r="JE98" s="54"/>
      <c r="JF98" s="54"/>
      <c r="JH98" s="54"/>
      <c r="JI98" s="54"/>
      <c r="JK98" s="54"/>
      <c r="JL98" s="54"/>
      <c r="JM98" s="39"/>
      <c r="JN98" s="54"/>
      <c r="JO98" s="54"/>
      <c r="JP98" s="39"/>
      <c r="JQ98" s="54"/>
      <c r="JR98" s="54"/>
      <c r="JS98" s="39"/>
      <c r="JT98" s="54"/>
      <c r="JU98" s="54"/>
      <c r="JW98" s="123"/>
      <c r="JX98" s="123"/>
    </row>
    <row r="99" spans="12:284" ht="14.25" customHeight="1" x14ac:dyDescent="0.2"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87"/>
      <c r="DW99" s="87"/>
      <c r="DX99" s="87"/>
      <c r="DY99" s="87"/>
      <c r="DZ99" s="87"/>
      <c r="EA99" s="87"/>
      <c r="EB99" s="87"/>
      <c r="EC99" s="87"/>
      <c r="ED99" s="87"/>
      <c r="FT99" s="98" t="s">
        <v>19</v>
      </c>
      <c r="FU99" s="170">
        <f>IF(GE3=0,0,(ER28*ET28/GE3)*(GE3^2-ET28^2))</f>
        <v>0</v>
      </c>
      <c r="FV99" s="170"/>
      <c r="FW99" s="170"/>
      <c r="FX99" s="170">
        <f>IF(GH3=0,0,(ER29*EV29/GH3)*(GH3^2-EV29^2))</f>
        <v>0</v>
      </c>
      <c r="FY99" s="170"/>
      <c r="FZ99" s="170"/>
      <c r="GA99" s="101"/>
      <c r="GB99" s="170"/>
      <c r="GC99" s="170"/>
      <c r="GD99" s="170"/>
      <c r="GG99" s="22">
        <v>4</v>
      </c>
      <c r="GH99" s="45">
        <v>-2.7757216876387858E-3</v>
      </c>
      <c r="GI99" s="45">
        <v>5.5514433752775717E-3</v>
      </c>
      <c r="GJ99" s="115">
        <v>-1.9430051813471502E-2</v>
      </c>
      <c r="GK99" s="115">
        <v>7.2168763878608447E-2</v>
      </c>
      <c r="GL99" s="115">
        <v>-1.9245003700962254E-2</v>
      </c>
      <c r="GM99" s="45">
        <v>4.8112509252405634E-3</v>
      </c>
      <c r="GN99" s="45" t="e">
        <v>#N/A</v>
      </c>
      <c r="GO99" s="45" t="e">
        <v>#N/A</v>
      </c>
      <c r="GP99" s="45" t="e">
        <v>#N/A</v>
      </c>
      <c r="GQ99" s="45" t="e">
        <v>#N/A</v>
      </c>
      <c r="GR99" s="45" t="e">
        <v>#N/A</v>
      </c>
      <c r="GS99" s="45" t="e">
        <v>#N/A</v>
      </c>
      <c r="GT99" s="45" t="e">
        <v>#N/A</v>
      </c>
      <c r="GU99" s="45" t="e">
        <v>#N/A</v>
      </c>
      <c r="GV99" s="45" t="e">
        <v>#N/A</v>
      </c>
      <c r="GW99" s="45" t="e">
        <v>#N/A</v>
      </c>
      <c r="GX99" s="45" t="e">
        <v>#N/A</v>
      </c>
      <c r="GY99" s="45" t="e">
        <v>#N/A</v>
      </c>
      <c r="GZ99" s="45" t="e">
        <v>#N/A</v>
      </c>
      <c r="HA99" s="45" t="e">
        <v>#N/A</v>
      </c>
      <c r="HB99" s="45" t="e">
        <v>#N/A</v>
      </c>
      <c r="HC99" s="45" t="e">
        <v>#N/A</v>
      </c>
      <c r="HD99" s="45" t="e">
        <v>#N/A</v>
      </c>
      <c r="HE99" s="45" t="e">
        <v>#N/A</v>
      </c>
      <c r="HF99" s="45" t="e">
        <v>#N/A</v>
      </c>
      <c r="HG99" s="45"/>
      <c r="HI99" s="35">
        <f>$GB$27</f>
        <v>-49268.0625</v>
      </c>
      <c r="HK99" s="28"/>
      <c r="IC99" s="250"/>
      <c r="ID99" s="53">
        <f t="shared" si="133"/>
        <v>25.5</v>
      </c>
      <c r="IE99" s="53" t="s">
        <v>155</v>
      </c>
      <c r="IF99" s="53">
        <f>IF(EX20=0,IF98,EZ20)</f>
        <v>0</v>
      </c>
      <c r="IG99" s="53">
        <f>IF(IC93="-",0,IG98-IF(EX20=0,0,EJ20*(IF99-IF98)))</f>
        <v>0</v>
      </c>
      <c r="II99" s="54" t="b">
        <f t="shared" si="124"/>
        <v>0</v>
      </c>
      <c r="IJ99" s="55" t="b">
        <f t="shared" si="73"/>
        <v>0</v>
      </c>
      <c r="IK99" s="54">
        <f t="shared" si="125"/>
        <v>0</v>
      </c>
      <c r="IL99" s="56">
        <f>IL98+($IL$102-$IL$97)/4</f>
        <v>0</v>
      </c>
      <c r="IM99" s="54">
        <f t="shared" si="126"/>
        <v>0</v>
      </c>
      <c r="IN99" s="54">
        <f t="shared" si="127"/>
        <v>0</v>
      </c>
      <c r="IO99" s="57">
        <f t="shared" si="128"/>
        <v>0</v>
      </c>
      <c r="IP99" s="54">
        <f t="shared" si="129"/>
        <v>0</v>
      </c>
      <c r="IQ99" s="54">
        <f t="shared" si="130"/>
        <v>0</v>
      </c>
      <c r="IR99" s="54">
        <f t="shared" si="132"/>
        <v>0</v>
      </c>
      <c r="IS99" s="58" t="str">
        <f>IF(IC93="-","",SUM(IM99:IR99))</f>
        <v/>
      </c>
      <c r="IT99" s="54">
        <f t="shared" si="131"/>
        <v>25.5</v>
      </c>
      <c r="IV99" s="72" t="str">
        <f>IF(IC93="-","",EJ20)</f>
        <v/>
      </c>
      <c r="IW99" s="54"/>
      <c r="IY99" s="54">
        <f>IF(IC93="-",-5,IF(EX20=0,-5,ID93+EZ20))</f>
        <v>-5</v>
      </c>
      <c r="IZ99" s="54">
        <v>0</v>
      </c>
      <c r="JB99" s="54"/>
      <c r="JC99" s="54"/>
      <c r="JE99" s="54"/>
      <c r="JF99" s="54"/>
      <c r="JH99" s="54"/>
      <c r="JI99" s="54"/>
      <c r="JK99" s="54"/>
      <c r="JL99" s="54"/>
      <c r="JM99" s="39"/>
      <c r="JN99" s="54"/>
      <c r="JO99" s="54"/>
      <c r="JP99" s="39"/>
      <c r="JQ99" s="54"/>
      <c r="JR99" s="54"/>
      <c r="JS99" s="39"/>
      <c r="JT99" s="54"/>
      <c r="JU99" s="54"/>
      <c r="JW99" s="123"/>
      <c r="JX99" s="123"/>
    </row>
    <row r="100" spans="12:284" ht="14.25" customHeight="1" x14ac:dyDescent="0.2"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87"/>
      <c r="DW100" s="87"/>
      <c r="DX100" s="87"/>
      <c r="DY100" s="87"/>
      <c r="DZ100" s="87"/>
      <c r="EA100" s="87"/>
      <c r="EB100" s="87"/>
      <c r="EC100" s="87"/>
      <c r="ED100" s="87"/>
      <c r="FT100" s="98" t="s">
        <v>20</v>
      </c>
      <c r="FU100" s="170">
        <f>IF(GE3=0,0,(EX28*EZ28/GE3)*(GE3^2-EZ28^2))</f>
        <v>0</v>
      </c>
      <c r="FV100" s="170"/>
      <c r="FW100" s="170"/>
      <c r="FX100" s="170">
        <f>IF(GH3=0,0,(EX29*FB29/GH3)*(GH3^2-FB29^2))</f>
        <v>0</v>
      </c>
      <c r="FY100" s="170"/>
      <c r="FZ100" s="170"/>
      <c r="GA100" s="101"/>
      <c r="GB100" s="172"/>
      <c r="GC100" s="172"/>
      <c r="GD100" s="172"/>
      <c r="GG100" s="22">
        <v>5</v>
      </c>
      <c r="GH100" s="45">
        <v>7.4019245003700948E-4</v>
      </c>
      <c r="GI100" s="45">
        <v>-1.480384900074019E-3</v>
      </c>
      <c r="GJ100" s="45">
        <v>5.1813471502590676E-3</v>
      </c>
      <c r="GK100" s="115">
        <v>-1.924500370096225E-2</v>
      </c>
      <c r="GL100" s="115">
        <v>7.1798667653589943E-2</v>
      </c>
      <c r="GM100" s="115">
        <v>-1.7949666913397486E-2</v>
      </c>
      <c r="GN100" s="45" t="e">
        <v>#N/A</v>
      </c>
      <c r="GO100" s="45" t="e">
        <v>#N/A</v>
      </c>
      <c r="GP100" s="45" t="e">
        <v>#N/A</v>
      </c>
      <c r="GQ100" s="45" t="e">
        <v>#N/A</v>
      </c>
      <c r="GR100" s="45" t="e">
        <v>#N/A</v>
      </c>
      <c r="GS100" s="45" t="e">
        <v>#N/A</v>
      </c>
      <c r="GT100" s="45" t="e">
        <v>#N/A</v>
      </c>
      <c r="GU100" s="45" t="e">
        <v>#N/A</v>
      </c>
      <c r="GV100" s="45" t="e">
        <v>#N/A</v>
      </c>
      <c r="GW100" s="45" t="e">
        <v>#N/A</v>
      </c>
      <c r="GX100" s="45" t="e">
        <v>#N/A</v>
      </c>
      <c r="GY100" s="45" t="e">
        <v>#N/A</v>
      </c>
      <c r="GZ100" s="45" t="e">
        <v>#N/A</v>
      </c>
      <c r="HA100" s="45" t="e">
        <v>#N/A</v>
      </c>
      <c r="HB100" s="45" t="e">
        <v>#N/A</v>
      </c>
      <c r="HC100" s="45" t="e">
        <v>#N/A</v>
      </c>
      <c r="HD100" s="45" t="e">
        <v>#N/A</v>
      </c>
      <c r="HE100" s="45" t="e">
        <v>#N/A</v>
      </c>
      <c r="HF100" s="45" t="e">
        <v>#N/A</v>
      </c>
      <c r="HG100" s="45"/>
      <c r="HI100" s="35">
        <f>$GB$32</f>
        <v>-31104</v>
      </c>
      <c r="HK100" s="28"/>
      <c r="IC100" s="250"/>
      <c r="ID100" s="53">
        <f t="shared" si="133"/>
        <v>25.5</v>
      </c>
      <c r="IE100" s="53" t="s">
        <v>156</v>
      </c>
      <c r="IF100" s="53">
        <f>IF99</f>
        <v>0</v>
      </c>
      <c r="IG100" s="53">
        <f>IF(IC93="-",0,IG99-EX20)</f>
        <v>0</v>
      </c>
      <c r="II100" s="54" t="b">
        <f t="shared" si="124"/>
        <v>0</v>
      </c>
      <c r="IJ100" s="55" t="b">
        <f t="shared" si="73"/>
        <v>0</v>
      </c>
      <c r="IK100" s="54">
        <f t="shared" si="125"/>
        <v>0</v>
      </c>
      <c r="IL100" s="56">
        <f>IL99+($IL$102-$IL$97)/4</f>
        <v>0</v>
      </c>
      <c r="IM100" s="54">
        <f t="shared" si="126"/>
        <v>0</v>
      </c>
      <c r="IN100" s="54">
        <f t="shared" si="127"/>
        <v>0</v>
      </c>
      <c r="IO100" s="57">
        <f t="shared" si="128"/>
        <v>0</v>
      </c>
      <c r="IP100" s="54">
        <f t="shared" si="129"/>
        <v>0</v>
      </c>
      <c r="IQ100" s="54">
        <f t="shared" si="130"/>
        <v>0</v>
      </c>
      <c r="IR100" s="54">
        <f t="shared" si="132"/>
        <v>0</v>
      </c>
      <c r="IS100" s="58" t="str">
        <f>IF(IC93="-","",SUM(IM100:IR100))</f>
        <v/>
      </c>
      <c r="IT100" s="54">
        <f t="shared" si="131"/>
        <v>25.5</v>
      </c>
      <c r="IV100" s="54"/>
      <c r="IW100" s="54"/>
      <c r="IY100" s="54">
        <f>IY99</f>
        <v>-5</v>
      </c>
      <c r="IZ100" s="54">
        <f>IF(IC93="-",0,EX20/20)</f>
        <v>0</v>
      </c>
      <c r="JB100" s="66" t="str">
        <f>IF(IC93="-","",HY22)</f>
        <v/>
      </c>
      <c r="JC100" s="54" t="b">
        <f>AND($F$2=9,$F$10=$ER$43)</f>
        <v>0</v>
      </c>
      <c r="JE100" s="66" t="str">
        <f>JB100</f>
        <v/>
      </c>
      <c r="JF100" s="54"/>
      <c r="JH100" s="54"/>
      <c r="JI100" s="54"/>
      <c r="JK100" s="54" t="b">
        <f>AND($F$2=9,$F$10=$ER$43)</f>
        <v>0</v>
      </c>
      <c r="JL100" s="54"/>
      <c r="JM100" s="39"/>
      <c r="JN100" s="54"/>
      <c r="JO100" s="54"/>
      <c r="JP100" s="39"/>
      <c r="JQ100" s="54"/>
      <c r="JR100" s="54"/>
      <c r="JS100" s="39"/>
      <c r="JT100" s="54"/>
      <c r="JU100" s="54"/>
      <c r="JW100" s="123"/>
      <c r="JX100" s="123"/>
    </row>
    <row r="101" spans="12:284" ht="14.25" customHeight="1" x14ac:dyDescent="0.2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87"/>
      <c r="DW101" s="87"/>
      <c r="DX101" s="87"/>
      <c r="DY101" s="87"/>
      <c r="DZ101" s="87"/>
      <c r="EA101" s="87"/>
      <c r="EB101" s="87"/>
      <c r="EC101" s="87"/>
      <c r="ED101" s="87"/>
      <c r="FH101" s="28">
        <v>19</v>
      </c>
      <c r="FI101" s="184" t="s">
        <v>102</v>
      </c>
      <c r="FJ101" s="184"/>
      <c r="FK101" s="185" t="s">
        <v>101</v>
      </c>
      <c r="FL101" s="185"/>
      <c r="FM101" s="185"/>
      <c r="FN101" s="185" t="s">
        <v>103</v>
      </c>
      <c r="FO101" s="185"/>
      <c r="FP101" s="185"/>
      <c r="FQ101" s="185" t="s">
        <v>105</v>
      </c>
      <c r="FR101" s="185"/>
      <c r="FS101" s="185"/>
      <c r="FT101" s="98" t="s">
        <v>57</v>
      </c>
      <c r="FU101" s="187" t="s">
        <v>13</v>
      </c>
      <c r="FV101" s="185"/>
      <c r="FW101" s="185"/>
      <c r="FX101" s="187" t="s">
        <v>14</v>
      </c>
      <c r="FY101" s="185"/>
      <c r="FZ101" s="185"/>
      <c r="GA101" s="98" t="s">
        <v>57</v>
      </c>
      <c r="GB101" s="187" t="s">
        <v>60</v>
      </c>
      <c r="GC101" s="185"/>
      <c r="GD101" s="185"/>
      <c r="GG101" s="22">
        <v>6</v>
      </c>
      <c r="GH101" s="45">
        <v>-1.8504811250925237E-4</v>
      </c>
      <c r="GI101" s="45">
        <v>3.7009622501850474E-4</v>
      </c>
      <c r="GJ101" s="45">
        <v>-1.2953367875647665E-3</v>
      </c>
      <c r="GK101" s="45">
        <v>4.8112509252405625E-3</v>
      </c>
      <c r="GL101" s="115">
        <v>-1.7949666913397482E-2</v>
      </c>
      <c r="GM101" s="115">
        <v>6.6987416728349375E-2</v>
      </c>
      <c r="GN101" s="115" t="e">
        <v>#N/A</v>
      </c>
      <c r="GO101" s="45" t="e">
        <v>#N/A</v>
      </c>
      <c r="GP101" s="45" t="e">
        <v>#N/A</v>
      </c>
      <c r="GQ101" s="45" t="e">
        <v>#N/A</v>
      </c>
      <c r="GR101" s="45" t="e">
        <v>#N/A</v>
      </c>
      <c r="GS101" s="45" t="e">
        <v>#N/A</v>
      </c>
      <c r="GT101" s="45" t="e">
        <v>#N/A</v>
      </c>
      <c r="GU101" s="45" t="e">
        <v>#N/A</v>
      </c>
      <c r="GV101" s="45" t="e">
        <v>#N/A</v>
      </c>
      <c r="GW101" s="45" t="e">
        <v>#N/A</v>
      </c>
      <c r="GX101" s="45" t="e">
        <v>#N/A</v>
      </c>
      <c r="GY101" s="45" t="e">
        <v>#N/A</v>
      </c>
      <c r="GZ101" s="45" t="e">
        <v>#N/A</v>
      </c>
      <c r="HA101" s="45" t="e">
        <v>#N/A</v>
      </c>
      <c r="HB101" s="45" t="e">
        <v>#N/A</v>
      </c>
      <c r="HC101" s="45" t="e">
        <v>#N/A</v>
      </c>
      <c r="HD101" s="45" t="e">
        <v>#N/A</v>
      </c>
      <c r="HE101" s="45" t="e">
        <v>#N/A</v>
      </c>
      <c r="HF101" s="45" t="e">
        <v>#N/A</v>
      </c>
      <c r="HG101" s="45"/>
      <c r="HI101" s="35">
        <f>$GB$37</f>
        <v>-26730</v>
      </c>
      <c r="HK101" s="28"/>
      <c r="IC101" s="250"/>
      <c r="ID101" s="53">
        <f t="shared" si="133"/>
        <v>25.5</v>
      </c>
      <c r="IE101" s="53" t="s">
        <v>157</v>
      </c>
      <c r="IF101" s="53">
        <f>IF102</f>
        <v>0</v>
      </c>
      <c r="IG101" s="53">
        <f>HW22</f>
        <v>0</v>
      </c>
      <c r="II101" s="54" t="b">
        <f t="shared" si="124"/>
        <v>0</v>
      </c>
      <c r="IJ101" s="55" t="b">
        <f t="shared" si="73"/>
        <v>0</v>
      </c>
      <c r="IK101" s="54">
        <f t="shared" si="125"/>
        <v>0</v>
      </c>
      <c r="IL101" s="56">
        <f>IL100+($IL$102-$IL$97)/4</f>
        <v>0</v>
      </c>
      <c r="IM101" s="54">
        <f t="shared" si="126"/>
        <v>0</v>
      </c>
      <c r="IN101" s="54">
        <f t="shared" si="127"/>
        <v>0</v>
      </c>
      <c r="IO101" s="57">
        <f t="shared" si="128"/>
        <v>0</v>
      </c>
      <c r="IP101" s="54">
        <f t="shared" si="129"/>
        <v>0</v>
      </c>
      <c r="IQ101" s="54">
        <f t="shared" si="130"/>
        <v>0</v>
      </c>
      <c r="IR101" s="55"/>
      <c r="IS101" s="59" t="str">
        <f>IF(IC93="-","",ROUND(HU22,2))</f>
        <v/>
      </c>
      <c r="IT101" s="54">
        <f t="shared" si="131"/>
        <v>25.5</v>
      </c>
      <c r="IV101" s="54"/>
      <c r="IW101" s="54"/>
      <c r="IY101" s="65" t="str">
        <f>IF(IC93="-","",IF(EX20=0,"",EX20))</f>
        <v/>
      </c>
      <c r="IZ101" s="55"/>
      <c r="JB101" s="54">
        <f>ID102</f>
        <v>25.5</v>
      </c>
      <c r="JC101" s="54">
        <v>0</v>
      </c>
      <c r="JE101" s="54">
        <f>JB101</f>
        <v>25.5</v>
      </c>
      <c r="JF101" s="54">
        <f>IF(JE100&gt;0,-MAX(IW3:IW272,IZ3:IZ272)*0.5,-MAX(IW3:IW272,IZ3:IZ272)*1.5)</f>
        <v>-37.5</v>
      </c>
      <c r="JH101" s="54">
        <f>IF(IC93=9,ID101,-5)</f>
        <v>-5</v>
      </c>
      <c r="JI101" s="54">
        <f>IG101</f>
        <v>0</v>
      </c>
      <c r="JK101" s="54">
        <f>IF(JK100=TRUE,IT101,-5)</f>
        <v>-5</v>
      </c>
      <c r="JL101" s="59" t="str">
        <f>IS101</f>
        <v/>
      </c>
      <c r="JM101" s="40"/>
      <c r="JN101" s="59"/>
      <c r="JO101" s="59"/>
      <c r="JP101" s="40"/>
      <c r="JQ101" s="59"/>
      <c r="JR101" s="59"/>
      <c r="JS101" s="40"/>
      <c r="JT101" s="59"/>
      <c r="JU101" s="59"/>
      <c r="JW101" s="122"/>
      <c r="JX101" s="122"/>
    </row>
    <row r="102" spans="12:284" ht="14.25" customHeight="1" x14ac:dyDescent="0.2"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87"/>
      <c r="DW102" s="87"/>
      <c r="DX102" s="87"/>
      <c r="DY102" s="87"/>
      <c r="DZ102" s="87"/>
      <c r="EA102" s="87"/>
      <c r="EB102" s="87"/>
      <c r="EC102" s="87"/>
      <c r="ED102" s="87"/>
      <c r="FK102" s="169">
        <f>GH3</f>
        <v>0</v>
      </c>
      <c r="FL102" s="169"/>
      <c r="FM102" s="169"/>
      <c r="FN102" s="169">
        <f>2*(GH3+GK3)</f>
        <v>0</v>
      </c>
      <c r="FO102" s="169"/>
      <c r="FP102" s="169"/>
      <c r="FQ102" s="169">
        <f>IF($F$2=19,(IF(F10=ER43,GK3,IF(F10=ER44,GK3*FF40,0))),IF(F2&gt;19,GK3,0))</f>
        <v>0</v>
      </c>
      <c r="FR102" s="169"/>
      <c r="FS102" s="169"/>
      <c r="FT102" s="98" t="s">
        <v>41</v>
      </c>
      <c r="FU102" s="170">
        <f>(EJ29*GH3^3)/4</f>
        <v>0</v>
      </c>
      <c r="FV102" s="170"/>
      <c r="FW102" s="170"/>
      <c r="FX102" s="170">
        <f>(EJ30*GK3^3)/4</f>
        <v>0</v>
      </c>
      <c r="FY102" s="170"/>
      <c r="FZ102" s="170"/>
      <c r="GA102" s="101"/>
      <c r="GB102" s="171">
        <f>-SUM(FU102:FZ105)-IF(F2=19,IF($F$10=$ER$44,FQ102,0))</f>
        <v>0</v>
      </c>
      <c r="GC102" s="171"/>
      <c r="GD102" s="171"/>
      <c r="GG102" s="22">
        <v>7</v>
      </c>
      <c r="GH102" s="45" t="e">
        <v>#N/A</v>
      </c>
      <c r="GI102" s="45" t="e">
        <v>#N/A</v>
      </c>
      <c r="GJ102" s="45" t="e">
        <v>#N/A</v>
      </c>
      <c r="GK102" s="45" t="e">
        <v>#N/A</v>
      </c>
      <c r="GL102" s="45" t="e">
        <v>#N/A</v>
      </c>
      <c r="GM102" s="115" t="e">
        <v>#N/A</v>
      </c>
      <c r="GN102" s="115" t="e">
        <v>#N/A</v>
      </c>
      <c r="GO102" s="115" t="e">
        <v>#N/A</v>
      </c>
      <c r="GP102" s="45" t="e">
        <v>#N/A</v>
      </c>
      <c r="GQ102" s="45" t="e">
        <v>#N/A</v>
      </c>
      <c r="GR102" s="45" t="e">
        <v>#N/A</v>
      </c>
      <c r="GS102" s="45" t="e">
        <v>#N/A</v>
      </c>
      <c r="GT102" s="45" t="e">
        <v>#N/A</v>
      </c>
      <c r="GU102" s="45" t="e">
        <v>#N/A</v>
      </c>
      <c r="GV102" s="45" t="e">
        <v>#N/A</v>
      </c>
      <c r="GW102" s="45" t="e">
        <v>#N/A</v>
      </c>
      <c r="GX102" s="45" t="e">
        <v>#N/A</v>
      </c>
      <c r="GY102" s="45" t="e">
        <v>#N/A</v>
      </c>
      <c r="GZ102" s="45" t="e">
        <v>#N/A</v>
      </c>
      <c r="HA102" s="45" t="e">
        <v>#N/A</v>
      </c>
      <c r="HB102" s="45" t="e">
        <v>#N/A</v>
      </c>
      <c r="HC102" s="45" t="e">
        <v>#N/A</v>
      </c>
      <c r="HD102" s="45" t="e">
        <v>#N/A</v>
      </c>
      <c r="HE102" s="45" t="e">
        <v>#N/A</v>
      </c>
      <c r="HF102" s="45" t="e">
        <v>#N/A</v>
      </c>
      <c r="HG102" s="45"/>
      <c r="HI102" s="35">
        <f>$GB$42</f>
        <v>-15552</v>
      </c>
      <c r="HK102" s="28"/>
      <c r="IC102" s="250"/>
      <c r="ID102" s="53">
        <f>IF(HS21="R0",ID93,ID93+HT21)</f>
        <v>25.5</v>
      </c>
      <c r="IE102" s="53" t="s">
        <v>158</v>
      </c>
      <c r="IF102" s="53">
        <f>IF(HS21="R0",0,HT21)</f>
        <v>0</v>
      </c>
      <c r="IG102" s="53">
        <v>0</v>
      </c>
      <c r="II102" s="54" t="b">
        <f t="shared" si="124"/>
        <v>0</v>
      </c>
      <c r="IJ102" s="55" t="b">
        <f t="shared" si="73"/>
        <v>0</v>
      </c>
      <c r="IK102" s="54">
        <f t="shared" si="125"/>
        <v>0</v>
      </c>
      <c r="IL102" s="56">
        <f>IK102</f>
        <v>0</v>
      </c>
      <c r="IM102" s="54"/>
      <c r="IN102" s="55"/>
      <c r="IO102" s="55"/>
      <c r="IP102" s="55"/>
      <c r="IQ102" s="55"/>
      <c r="IR102" s="55"/>
      <c r="IS102" s="83"/>
      <c r="IT102" s="54"/>
      <c r="IV102" s="54"/>
      <c r="IW102" s="54"/>
      <c r="IY102" s="55"/>
      <c r="IZ102" s="55"/>
      <c r="JB102" s="54">
        <f>JB101</f>
        <v>25.5</v>
      </c>
      <c r="JC102" s="54">
        <f>IF(IC93="-",0,IF(JC100=TRUE,0,-20))</f>
        <v>0</v>
      </c>
      <c r="JE102" s="54">
        <f>JE101</f>
        <v>25.5</v>
      </c>
      <c r="JF102" s="54">
        <f>IF(IC93="-",JF101,IF(JE100&gt;0,-MAX(IW3:IW272,IZ3:IZ272)*1.5,-MAX(IW3:IW272,IZ3:IZ272)*0.5))</f>
        <v>-37.5</v>
      </c>
      <c r="JH102" s="54"/>
      <c r="JI102" s="54"/>
      <c r="JK102" s="54"/>
      <c r="JL102" s="54"/>
      <c r="JM102" s="39"/>
      <c r="JN102" s="54"/>
      <c r="JO102" s="54"/>
      <c r="JP102" s="39"/>
      <c r="JQ102" s="54"/>
      <c r="JR102" s="54"/>
      <c r="JS102" s="39"/>
      <c r="JT102" s="54"/>
      <c r="JU102" s="54"/>
      <c r="JW102" s="123"/>
      <c r="JX102" s="123"/>
    </row>
    <row r="103" spans="12:284" ht="14.25" customHeight="1" x14ac:dyDescent="0.2"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87"/>
      <c r="DW103" s="87"/>
      <c r="DX103" s="87"/>
      <c r="DY103" s="87"/>
      <c r="DZ103" s="87"/>
      <c r="EA103" s="87"/>
      <c r="EB103" s="87"/>
      <c r="EC103" s="87"/>
      <c r="ED103" s="87"/>
      <c r="FT103" s="98" t="s">
        <v>17</v>
      </c>
      <c r="FU103" s="170">
        <f>IF(GH3=0,0,(EL29*EN29/GH3)*(GH3^2-EN29^2))</f>
        <v>0</v>
      </c>
      <c r="FV103" s="170"/>
      <c r="FW103" s="170"/>
      <c r="FX103" s="170">
        <f>IF(GK3=0,0,(EL30*EP30/GK3)*(GK3^2-EP30^2))</f>
        <v>0</v>
      </c>
      <c r="FY103" s="170"/>
      <c r="FZ103" s="170"/>
      <c r="GA103" s="101"/>
      <c r="GB103" s="170"/>
      <c r="GC103" s="170"/>
      <c r="GD103" s="170"/>
      <c r="GG103" s="22">
        <v>8</v>
      </c>
      <c r="GH103" s="45" t="e">
        <v>#N/A</v>
      </c>
      <c r="GI103" s="45" t="e">
        <v>#N/A</v>
      </c>
      <c r="GJ103" s="45" t="e">
        <v>#N/A</v>
      </c>
      <c r="GK103" s="45" t="e">
        <v>#N/A</v>
      </c>
      <c r="GL103" s="45" t="e">
        <v>#N/A</v>
      </c>
      <c r="GM103" s="45" t="e">
        <v>#N/A</v>
      </c>
      <c r="GN103" s="115" t="e">
        <v>#N/A</v>
      </c>
      <c r="GO103" s="115" t="e">
        <v>#N/A</v>
      </c>
      <c r="GP103" s="115" t="e">
        <v>#N/A</v>
      </c>
      <c r="GQ103" s="45" t="e">
        <v>#N/A</v>
      </c>
      <c r="GR103" s="45" t="e">
        <v>#N/A</v>
      </c>
      <c r="GS103" s="45" t="e">
        <v>#N/A</v>
      </c>
      <c r="GT103" s="45" t="e">
        <v>#N/A</v>
      </c>
      <c r="GU103" s="45" t="e">
        <v>#N/A</v>
      </c>
      <c r="GV103" s="45" t="e">
        <v>#N/A</v>
      </c>
      <c r="GW103" s="45" t="e">
        <v>#N/A</v>
      </c>
      <c r="GX103" s="45" t="e">
        <v>#N/A</v>
      </c>
      <c r="GY103" s="45" t="e">
        <v>#N/A</v>
      </c>
      <c r="GZ103" s="45" t="e">
        <v>#N/A</v>
      </c>
      <c r="HA103" s="45" t="e">
        <v>#N/A</v>
      </c>
      <c r="HB103" s="45" t="e">
        <v>#N/A</v>
      </c>
      <c r="HC103" s="45" t="e">
        <v>#N/A</v>
      </c>
      <c r="HD103" s="45" t="e">
        <v>#N/A</v>
      </c>
      <c r="HE103" s="45" t="e">
        <v>#N/A</v>
      </c>
      <c r="HF103" s="45" t="e">
        <v>#N/A</v>
      </c>
      <c r="HG103" s="45"/>
      <c r="HI103" s="35">
        <f>$GB$47</f>
        <v>0</v>
      </c>
      <c r="HK103" s="28"/>
      <c r="IC103" s="234" t="str">
        <f>IF(HS23="R0","-",HS23)</f>
        <v>-</v>
      </c>
      <c r="ID103" s="74">
        <f>IF(HS23="R0",ID272,ID102)</f>
        <v>25.5</v>
      </c>
      <c r="IE103" s="74" t="s">
        <v>149</v>
      </c>
      <c r="IF103" s="74">
        <v>0</v>
      </c>
      <c r="IG103" s="74">
        <v>0</v>
      </c>
      <c r="II103" s="35" t="b">
        <f t="shared" si="124"/>
        <v>0</v>
      </c>
      <c r="IJ103" s="45" t="b">
        <f t="shared" si="73"/>
        <v>0</v>
      </c>
      <c r="IK103" s="35">
        <f t="shared" ref="IK103:IK112" si="134">IF(II103=TRUE,IF(IJ103=TRUE,IG103/$EJ$21)+IF103,IF103)</f>
        <v>0</v>
      </c>
      <c r="IL103" s="48">
        <f>IK103</f>
        <v>0</v>
      </c>
      <c r="IM103" s="35">
        <f t="shared" ref="IM103:IM111" si="135">$HV$23*IL103</f>
        <v>0</v>
      </c>
      <c r="IN103" s="35">
        <f t="shared" ref="IN103:IN111" si="136">-$EJ$21*(IL103^2/2)</f>
        <v>0</v>
      </c>
      <c r="IO103" s="36">
        <f t="shared" ref="IO103:IO111" si="137">-IF(IL103&gt;=$EN$21,$EL$21*(IL103-$EN$21),0)</f>
        <v>0</v>
      </c>
      <c r="IP103" s="35">
        <f t="shared" ref="IP103:IP111" si="138">-IF(IL103&gt;=$ET$21,$ER$21*(IL103-$ET$21),0)</f>
        <v>0</v>
      </c>
      <c r="IQ103" s="35">
        <f t="shared" ref="IQ103:IQ111" si="139">-IF(IL103&gt;=$EZ$21,$EX$21*(IL103-$EZ$21),0)</f>
        <v>0</v>
      </c>
      <c r="IR103" s="45"/>
      <c r="IS103" s="37" t="str">
        <f>IF(IC103="-","",HU23)</f>
        <v/>
      </c>
      <c r="IT103" s="35">
        <f t="shared" ref="IT103:IT111" si="140">$ID$103+IL103</f>
        <v>25.5</v>
      </c>
      <c r="IV103" s="35">
        <f>ID103</f>
        <v>25.5</v>
      </c>
      <c r="IW103" s="35">
        <v>0</v>
      </c>
      <c r="IY103" s="35">
        <f>IF(IC103="-",-5,IF(EL21=0,-5,ID103+EN21))</f>
        <v>-5</v>
      </c>
      <c r="IZ103" s="35">
        <v>0</v>
      </c>
      <c r="JB103" s="38"/>
      <c r="JC103" s="38"/>
      <c r="JE103" s="38"/>
      <c r="JF103" s="38"/>
      <c r="JH103" s="38"/>
      <c r="JI103" s="38"/>
      <c r="JK103" s="35">
        <f>IF(IC103=10,IT103,-5)</f>
        <v>-5</v>
      </c>
      <c r="JL103" s="37" t="str">
        <f>IS103</f>
        <v/>
      </c>
      <c r="JM103" s="40"/>
      <c r="JN103" s="37">
        <f>IF(IC103="-",-5,(ID103+ID112)/2)</f>
        <v>-5</v>
      </c>
      <c r="JO103" s="37">
        <f>-MAX(IW3:IW272,IZ3:IZ272)*0.7</f>
        <v>-52.5</v>
      </c>
      <c r="JP103" s="40"/>
      <c r="JQ103" s="37">
        <f>IF(IC103="-",-5,(IT103+IT107)/2)</f>
        <v>-5</v>
      </c>
      <c r="JR103" s="37">
        <f>JR13</f>
        <v>-760.38306347150262</v>
      </c>
      <c r="JS103" s="40"/>
      <c r="JT103" s="37"/>
      <c r="JU103" s="37"/>
      <c r="JW103" s="37">
        <f>JN103</f>
        <v>-5</v>
      </c>
      <c r="JX103" s="37">
        <f>JF112</f>
        <v>-37.5</v>
      </c>
    </row>
    <row r="104" spans="12:284" ht="14.25" customHeight="1" x14ac:dyDescent="0.2"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87"/>
      <c r="DW104" s="87"/>
      <c r="DX104" s="87"/>
      <c r="DY104" s="87"/>
      <c r="DZ104" s="87"/>
      <c r="EA104" s="87"/>
      <c r="EB104" s="87"/>
      <c r="EC104" s="87"/>
      <c r="ED104" s="87"/>
      <c r="FT104" s="98" t="s">
        <v>19</v>
      </c>
      <c r="FU104" s="170">
        <f>IF(GH3=0,0,(ER29*ET29/GH3)*(GH3^2-ET29^2))</f>
        <v>0</v>
      </c>
      <c r="FV104" s="170"/>
      <c r="FW104" s="170"/>
      <c r="FX104" s="170">
        <f>IF(GK3=0,0,(ER30*EV30/GK3)*(GK3^2-EV30^2))</f>
        <v>0</v>
      </c>
      <c r="FY104" s="170"/>
      <c r="FZ104" s="170"/>
      <c r="GA104" s="101"/>
      <c r="GB104" s="170"/>
      <c r="GC104" s="170"/>
      <c r="GD104" s="170"/>
      <c r="GG104" s="22">
        <v>9</v>
      </c>
      <c r="GH104" s="45" t="e">
        <v>#N/A</v>
      </c>
      <c r="GI104" s="45" t="e">
        <v>#N/A</v>
      </c>
      <c r="GJ104" s="45" t="e">
        <v>#N/A</v>
      </c>
      <c r="GK104" s="45" t="e">
        <v>#N/A</v>
      </c>
      <c r="GL104" s="45" t="e">
        <v>#N/A</v>
      </c>
      <c r="GM104" s="45" t="e">
        <v>#N/A</v>
      </c>
      <c r="GN104" s="45" t="e">
        <v>#N/A</v>
      </c>
      <c r="GO104" s="115" t="e">
        <v>#N/A</v>
      </c>
      <c r="GP104" s="115" t="e">
        <v>#N/A</v>
      </c>
      <c r="GQ104" s="115" t="e">
        <v>#N/A</v>
      </c>
      <c r="GR104" s="45" t="e">
        <v>#N/A</v>
      </c>
      <c r="GS104" s="45" t="e">
        <v>#N/A</v>
      </c>
      <c r="GT104" s="45" t="e">
        <v>#N/A</v>
      </c>
      <c r="GU104" s="45" t="e">
        <v>#N/A</v>
      </c>
      <c r="GV104" s="45" t="e">
        <v>#N/A</v>
      </c>
      <c r="GW104" s="45" t="e">
        <v>#N/A</v>
      </c>
      <c r="GX104" s="45" t="e">
        <v>#N/A</v>
      </c>
      <c r="GY104" s="45" t="e">
        <v>#N/A</v>
      </c>
      <c r="GZ104" s="45" t="e">
        <v>#N/A</v>
      </c>
      <c r="HA104" s="45" t="e">
        <v>#N/A</v>
      </c>
      <c r="HB104" s="45" t="e">
        <v>#N/A</v>
      </c>
      <c r="HC104" s="45" t="e">
        <v>#N/A</v>
      </c>
      <c r="HD104" s="45" t="e">
        <v>#N/A</v>
      </c>
      <c r="HE104" s="45" t="e">
        <v>#N/A</v>
      </c>
      <c r="HF104" s="45" t="e">
        <v>#N/A</v>
      </c>
      <c r="HG104" s="45"/>
      <c r="HI104" s="35">
        <f>$GB$52</f>
        <v>0</v>
      </c>
      <c r="HK104" s="28"/>
      <c r="IC104" s="234"/>
      <c r="ID104" s="74">
        <f>IF($IC$103="-",$ID$103,$ID$103+IF104)</f>
        <v>25.5</v>
      </c>
      <c r="IE104" s="74" t="s">
        <v>150</v>
      </c>
      <c r="IF104" s="74">
        <f>IF103</f>
        <v>0</v>
      </c>
      <c r="IG104" s="74">
        <f>IF(IC103="-",0,HV23)</f>
        <v>0</v>
      </c>
      <c r="II104" s="35" t="b">
        <f t="shared" si="124"/>
        <v>0</v>
      </c>
      <c r="IJ104" s="45" t="b">
        <f t="shared" si="73"/>
        <v>0</v>
      </c>
      <c r="IK104" s="35">
        <f t="shared" si="134"/>
        <v>0</v>
      </c>
      <c r="IL104" s="48">
        <f>(IL107-IL103)/4</f>
        <v>0</v>
      </c>
      <c r="IM104" s="35">
        <f t="shared" si="135"/>
        <v>0</v>
      </c>
      <c r="IN104" s="35">
        <f t="shared" si="136"/>
        <v>0</v>
      </c>
      <c r="IO104" s="36">
        <f t="shared" si="137"/>
        <v>0</v>
      </c>
      <c r="IP104" s="35">
        <f t="shared" si="138"/>
        <v>0</v>
      </c>
      <c r="IQ104" s="35">
        <f t="shared" si="139"/>
        <v>0</v>
      </c>
      <c r="IR104" s="35">
        <f t="shared" ref="IR104:IR110" si="141">$HU$23</f>
        <v>0</v>
      </c>
      <c r="IS104" s="42" t="str">
        <f>IF(IC103="-","",SUM(IM104:IR104))</f>
        <v/>
      </c>
      <c r="IT104" s="35">
        <f t="shared" si="140"/>
        <v>25.5</v>
      </c>
      <c r="IV104" s="35">
        <f>IV103</f>
        <v>25.5</v>
      </c>
      <c r="IW104" s="35">
        <f>IF(IC103="-",0,EJ21)/20</f>
        <v>0</v>
      </c>
      <c r="IY104" s="35">
        <f>IY103</f>
        <v>-5</v>
      </c>
      <c r="IZ104" s="35">
        <f>IF(IC103="-",0,EL21/20)</f>
        <v>0</v>
      </c>
      <c r="JB104" s="38"/>
      <c r="JC104" s="38"/>
      <c r="JE104" s="38"/>
      <c r="JF104" s="38"/>
      <c r="JH104" s="38">
        <f>IF(IC103=10,ID104,-5)</f>
        <v>-5</v>
      </c>
      <c r="JI104" s="38">
        <f>IG104</f>
        <v>0</v>
      </c>
      <c r="JK104" s="35"/>
      <c r="JL104" s="35"/>
      <c r="JM104" s="39"/>
      <c r="JN104" s="75">
        <f>HT23</f>
        <v>0</v>
      </c>
      <c r="JO104" s="35"/>
      <c r="JP104" s="39"/>
      <c r="JQ104" s="76" t="b">
        <f>IL107</f>
        <v>0</v>
      </c>
      <c r="JR104" s="35"/>
      <c r="JS104" s="39"/>
      <c r="JT104" s="35"/>
      <c r="JU104" s="35"/>
      <c r="JW104" s="124" t="str">
        <f>IC103</f>
        <v>-</v>
      </c>
      <c r="JX104" s="127"/>
    </row>
    <row r="105" spans="12:284" ht="14.25" customHeight="1" x14ac:dyDescent="0.2"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87"/>
      <c r="DW105" s="87"/>
      <c r="DX105" s="87"/>
      <c r="DY105" s="87"/>
      <c r="DZ105" s="87"/>
      <c r="EA105" s="87"/>
      <c r="EB105" s="87"/>
      <c r="EC105" s="87"/>
      <c r="ED105" s="87"/>
      <c r="FT105" s="98" t="s">
        <v>20</v>
      </c>
      <c r="FU105" s="170">
        <f>IF(GH3=0,0,(EX29*EZ29/GH3)*(GH3^2-EZ29^2))</f>
        <v>0</v>
      </c>
      <c r="FV105" s="170"/>
      <c r="FW105" s="170"/>
      <c r="FX105" s="170">
        <f>IF(GK3=0,0,(EX30*FB30/GK3)*(GK3^2-FB30^2))</f>
        <v>0</v>
      </c>
      <c r="FY105" s="170"/>
      <c r="FZ105" s="170"/>
      <c r="GA105" s="101"/>
      <c r="GB105" s="172"/>
      <c r="GC105" s="172"/>
      <c r="GD105" s="172"/>
      <c r="GG105" s="22">
        <v>10</v>
      </c>
      <c r="GH105" s="45" t="e">
        <v>#N/A</v>
      </c>
      <c r="GI105" s="45" t="e">
        <v>#N/A</v>
      </c>
      <c r="GJ105" s="45" t="e">
        <v>#N/A</v>
      </c>
      <c r="GK105" s="45" t="e">
        <v>#N/A</v>
      </c>
      <c r="GL105" s="45" t="e">
        <v>#N/A</v>
      </c>
      <c r="GM105" s="45" t="e">
        <v>#N/A</v>
      </c>
      <c r="GN105" s="45" t="e">
        <v>#N/A</v>
      </c>
      <c r="GO105" s="45" t="e">
        <v>#N/A</v>
      </c>
      <c r="GP105" s="115" t="e">
        <v>#N/A</v>
      </c>
      <c r="GQ105" s="115" t="e">
        <v>#N/A</v>
      </c>
      <c r="GR105" s="115" t="e">
        <v>#N/A</v>
      </c>
      <c r="GS105" s="45" t="e">
        <v>#N/A</v>
      </c>
      <c r="GT105" s="45" t="e">
        <v>#N/A</v>
      </c>
      <c r="GU105" s="45" t="e">
        <v>#N/A</v>
      </c>
      <c r="GV105" s="45" t="e">
        <v>#N/A</v>
      </c>
      <c r="GW105" s="45" t="e">
        <v>#N/A</v>
      </c>
      <c r="GX105" s="45" t="e">
        <v>#N/A</v>
      </c>
      <c r="GY105" s="45" t="e">
        <v>#N/A</v>
      </c>
      <c r="GZ105" s="45" t="e">
        <v>#N/A</v>
      </c>
      <c r="HA105" s="45" t="e">
        <v>#N/A</v>
      </c>
      <c r="HB105" s="45" t="e">
        <v>#N/A</v>
      </c>
      <c r="HC105" s="45" t="e">
        <v>#N/A</v>
      </c>
      <c r="HD105" s="45" t="e">
        <v>#N/A</v>
      </c>
      <c r="HE105" s="45" t="e">
        <v>#N/A</v>
      </c>
      <c r="HF105" s="45" t="e">
        <v>#N/A</v>
      </c>
      <c r="HG105" s="45"/>
      <c r="HI105" s="35">
        <f>$GB$57</f>
        <v>0</v>
      </c>
      <c r="HK105" s="28"/>
      <c r="IC105" s="234"/>
      <c r="ID105" s="74">
        <f t="shared" ref="ID105:ID110" si="142">IF($IC$103="-",$ID$103,$ID$103+IF105)</f>
        <v>25.5</v>
      </c>
      <c r="IE105" s="74" t="s">
        <v>151</v>
      </c>
      <c r="IF105" s="74">
        <f>IF(EL21=0,IF104,EN21)</f>
        <v>0</v>
      </c>
      <c r="IG105" s="74">
        <f>IF(IC103="-",0,IG104-IF(EL21=0,0,EJ21*IF105))</f>
        <v>0</v>
      </c>
      <c r="II105" s="35" t="b">
        <f t="shared" si="124"/>
        <v>0</v>
      </c>
      <c r="IJ105" s="45" t="b">
        <f t="shared" si="73"/>
        <v>0</v>
      </c>
      <c r="IK105" s="35">
        <f t="shared" si="134"/>
        <v>0</v>
      </c>
      <c r="IL105" s="48">
        <f>IL104*2</f>
        <v>0</v>
      </c>
      <c r="IM105" s="35">
        <f t="shared" si="135"/>
        <v>0</v>
      </c>
      <c r="IN105" s="35">
        <f t="shared" si="136"/>
        <v>0</v>
      </c>
      <c r="IO105" s="36">
        <f t="shared" si="137"/>
        <v>0</v>
      </c>
      <c r="IP105" s="35">
        <f t="shared" si="138"/>
        <v>0</v>
      </c>
      <c r="IQ105" s="35">
        <f t="shared" si="139"/>
        <v>0</v>
      </c>
      <c r="IR105" s="35">
        <f t="shared" si="141"/>
        <v>0</v>
      </c>
      <c r="IS105" s="42" t="str">
        <f>IF(IC103="-","",SUM(IM105:IR105))</f>
        <v/>
      </c>
      <c r="IT105" s="35">
        <f t="shared" si="140"/>
        <v>25.5</v>
      </c>
      <c r="IV105" s="35">
        <f>IF112/2+IV103</f>
        <v>25.5</v>
      </c>
      <c r="IW105" s="35">
        <f>IW104</f>
        <v>0</v>
      </c>
      <c r="IY105" s="44" t="str">
        <f>IF(IC103="-","",IF(EL21=0,"",EL21))</f>
        <v/>
      </c>
      <c r="IZ105" s="45"/>
      <c r="JB105" s="38"/>
      <c r="JC105" s="38"/>
      <c r="JE105" s="38"/>
      <c r="JF105" s="38"/>
      <c r="JH105" s="38"/>
      <c r="JI105" s="38"/>
      <c r="JK105" s="35"/>
      <c r="JL105" s="35"/>
      <c r="JM105" s="39"/>
      <c r="JN105" s="35"/>
      <c r="JO105" s="35"/>
      <c r="JP105" s="39"/>
      <c r="JQ105" s="35"/>
      <c r="JR105" s="35"/>
      <c r="JS105" s="39"/>
      <c r="JT105" s="35"/>
      <c r="JU105" s="35"/>
      <c r="JW105" s="127"/>
      <c r="JX105" s="127"/>
    </row>
    <row r="106" spans="12:284" ht="14.25" customHeight="1" x14ac:dyDescent="0.2"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87"/>
      <c r="DW106" s="87"/>
      <c r="DX106" s="87"/>
      <c r="DY106" s="87"/>
      <c r="DZ106" s="87"/>
      <c r="EA106" s="87"/>
      <c r="EB106" s="87"/>
      <c r="EC106" s="87"/>
      <c r="ED106" s="87"/>
      <c r="FH106" s="28">
        <v>20</v>
      </c>
      <c r="FI106" s="184" t="s">
        <v>104</v>
      </c>
      <c r="FJ106" s="184"/>
      <c r="FK106" s="185" t="s">
        <v>103</v>
      </c>
      <c r="FL106" s="185"/>
      <c r="FM106" s="185"/>
      <c r="FN106" s="185" t="s">
        <v>105</v>
      </c>
      <c r="FO106" s="185"/>
      <c r="FP106" s="185"/>
      <c r="FQ106" s="185" t="s">
        <v>107</v>
      </c>
      <c r="FR106" s="185"/>
      <c r="FS106" s="185"/>
      <c r="FT106" s="98" t="s">
        <v>57</v>
      </c>
      <c r="FU106" s="187" t="s">
        <v>13</v>
      </c>
      <c r="FV106" s="185"/>
      <c r="FW106" s="185"/>
      <c r="FX106" s="187" t="s">
        <v>14</v>
      </c>
      <c r="FY106" s="185"/>
      <c r="FZ106" s="185"/>
      <c r="GA106" s="98" t="s">
        <v>57</v>
      </c>
      <c r="GB106" s="187" t="s">
        <v>60</v>
      </c>
      <c r="GC106" s="185"/>
      <c r="GD106" s="185"/>
      <c r="GG106" s="22">
        <v>11</v>
      </c>
      <c r="GH106" s="45" t="e">
        <v>#N/A</v>
      </c>
      <c r="GI106" s="45" t="e">
        <v>#N/A</v>
      </c>
      <c r="GJ106" s="45" t="e">
        <v>#N/A</v>
      </c>
      <c r="GK106" s="45" t="e">
        <v>#N/A</v>
      </c>
      <c r="GL106" s="45" t="e">
        <v>#N/A</v>
      </c>
      <c r="GM106" s="45" t="e">
        <v>#N/A</v>
      </c>
      <c r="GN106" s="45" t="e">
        <v>#N/A</v>
      </c>
      <c r="GO106" s="45" t="e">
        <v>#N/A</v>
      </c>
      <c r="GP106" s="45" t="e">
        <v>#N/A</v>
      </c>
      <c r="GQ106" s="115" t="e">
        <v>#N/A</v>
      </c>
      <c r="GR106" s="115" t="e">
        <v>#N/A</v>
      </c>
      <c r="GS106" s="115" t="e">
        <v>#N/A</v>
      </c>
      <c r="GT106" s="45" t="e">
        <v>#N/A</v>
      </c>
      <c r="GU106" s="45" t="e">
        <v>#N/A</v>
      </c>
      <c r="GV106" s="45" t="e">
        <v>#N/A</v>
      </c>
      <c r="GW106" s="45" t="e">
        <v>#N/A</v>
      </c>
      <c r="GX106" s="45" t="e">
        <v>#N/A</v>
      </c>
      <c r="GY106" s="45" t="e">
        <v>#N/A</v>
      </c>
      <c r="GZ106" s="45" t="e">
        <v>#N/A</v>
      </c>
      <c r="HA106" s="45" t="e">
        <v>#N/A</v>
      </c>
      <c r="HB106" s="45" t="e">
        <v>#N/A</v>
      </c>
      <c r="HC106" s="45" t="e">
        <v>#N/A</v>
      </c>
      <c r="HD106" s="45" t="e">
        <v>#N/A</v>
      </c>
      <c r="HE106" s="45" t="e">
        <v>#N/A</v>
      </c>
      <c r="HF106" s="45" t="e">
        <v>#N/A</v>
      </c>
      <c r="HG106" s="45"/>
      <c r="HI106" s="35">
        <f>$GB$62</f>
        <v>0</v>
      </c>
      <c r="HK106" s="28"/>
      <c r="IC106" s="234"/>
      <c r="ID106" s="74">
        <f t="shared" si="142"/>
        <v>25.5</v>
      </c>
      <c r="IE106" s="74" t="s">
        <v>152</v>
      </c>
      <c r="IF106" s="74">
        <f>IF105</f>
        <v>0</v>
      </c>
      <c r="IG106" s="74">
        <f>IF(IC103="-",0,IG105-EL21)</f>
        <v>0</v>
      </c>
      <c r="II106" s="35" t="b">
        <f t="shared" si="124"/>
        <v>0</v>
      </c>
      <c r="IJ106" s="45" t="b">
        <f t="shared" si="73"/>
        <v>0</v>
      </c>
      <c r="IK106" s="35">
        <f t="shared" si="134"/>
        <v>0</v>
      </c>
      <c r="IL106" s="48">
        <f>IL104*3</f>
        <v>0</v>
      </c>
      <c r="IM106" s="35">
        <f t="shared" si="135"/>
        <v>0</v>
      </c>
      <c r="IN106" s="35">
        <f t="shared" si="136"/>
        <v>0</v>
      </c>
      <c r="IO106" s="36">
        <f t="shared" si="137"/>
        <v>0</v>
      </c>
      <c r="IP106" s="35">
        <f t="shared" si="138"/>
        <v>0</v>
      </c>
      <c r="IQ106" s="35">
        <f t="shared" si="139"/>
        <v>0</v>
      </c>
      <c r="IR106" s="35">
        <f t="shared" si="141"/>
        <v>0</v>
      </c>
      <c r="IS106" s="42" t="str">
        <f>IF(IC103="-","",SUM(IM106:IR106))</f>
        <v/>
      </c>
      <c r="IT106" s="35">
        <f t="shared" si="140"/>
        <v>25.5</v>
      </c>
      <c r="IV106" s="35">
        <f>IV107</f>
        <v>25.5</v>
      </c>
      <c r="IW106" s="35">
        <f>IW104</f>
        <v>0</v>
      </c>
      <c r="IY106" s="35">
        <f>IF(IC103="-",-5,IF(ER21=0,-5,ID103+ET21))</f>
        <v>-5</v>
      </c>
      <c r="IZ106" s="35">
        <v>0</v>
      </c>
      <c r="JB106" s="38"/>
      <c r="JC106" s="38"/>
      <c r="JE106" s="38"/>
      <c r="JF106" s="38"/>
      <c r="JH106" s="38"/>
      <c r="JI106" s="38"/>
      <c r="JK106" s="35"/>
      <c r="JL106" s="35"/>
      <c r="JM106" s="39"/>
      <c r="JN106" s="35"/>
      <c r="JO106" s="35"/>
      <c r="JP106" s="39"/>
      <c r="JQ106" s="35"/>
      <c r="JR106" s="35"/>
      <c r="JS106" s="39"/>
      <c r="JT106" s="35"/>
      <c r="JU106" s="35"/>
      <c r="JW106" s="127"/>
      <c r="JX106" s="127"/>
    </row>
    <row r="107" spans="12:284" ht="14.25" customHeight="1" x14ac:dyDescent="0.2"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87"/>
      <c r="DW107" s="87"/>
      <c r="DX107" s="87"/>
      <c r="DY107" s="87"/>
      <c r="DZ107" s="87"/>
      <c r="EA107" s="87"/>
      <c r="EB107" s="87"/>
      <c r="EC107" s="87"/>
      <c r="ED107" s="87"/>
      <c r="FK107" s="169">
        <f>GK3</f>
        <v>0</v>
      </c>
      <c r="FL107" s="169"/>
      <c r="FM107" s="169"/>
      <c r="FN107" s="169">
        <f>2*(GK3+GN3)</f>
        <v>0</v>
      </c>
      <c r="FO107" s="169"/>
      <c r="FP107" s="169"/>
      <c r="FQ107" s="169">
        <f>IF($F$2=20,(IF(F10=ER43,GN3,IF(F10=ER44,GN3*FF40,0))),IF(F2&gt;20,GN3,0))</f>
        <v>0</v>
      </c>
      <c r="FR107" s="169"/>
      <c r="FS107" s="169"/>
      <c r="FT107" s="98" t="s">
        <v>41</v>
      </c>
      <c r="FU107" s="170">
        <f>(EJ30*GK3^3)/4</f>
        <v>0</v>
      </c>
      <c r="FV107" s="170"/>
      <c r="FW107" s="170"/>
      <c r="FX107" s="170">
        <f>(EJ31*GN3^3)/4</f>
        <v>0</v>
      </c>
      <c r="FY107" s="170"/>
      <c r="FZ107" s="170"/>
      <c r="GA107" s="101"/>
      <c r="GB107" s="171">
        <f>-SUM(FU107:FZ110)-IF(F2=20,IF($F$10=$ER$44,FQ107,0))</f>
        <v>0</v>
      </c>
      <c r="GC107" s="171"/>
      <c r="GD107" s="171"/>
      <c r="GG107" s="22">
        <v>12</v>
      </c>
      <c r="GH107" s="45" t="e">
        <v>#N/A</v>
      </c>
      <c r="GI107" s="45" t="e">
        <v>#N/A</v>
      </c>
      <c r="GJ107" s="45" t="e">
        <v>#N/A</v>
      </c>
      <c r="GK107" s="45" t="e">
        <v>#N/A</v>
      </c>
      <c r="GL107" s="45" t="e">
        <v>#N/A</v>
      </c>
      <c r="GM107" s="45" t="e">
        <v>#N/A</v>
      </c>
      <c r="GN107" s="45" t="e">
        <v>#N/A</v>
      </c>
      <c r="GO107" s="45" t="e">
        <v>#N/A</v>
      </c>
      <c r="GP107" s="45" t="e">
        <v>#N/A</v>
      </c>
      <c r="GQ107" s="45" t="e">
        <v>#N/A</v>
      </c>
      <c r="GR107" s="115" t="e">
        <v>#N/A</v>
      </c>
      <c r="GS107" s="115" t="e">
        <v>#N/A</v>
      </c>
      <c r="GT107" s="115" t="e">
        <v>#N/A</v>
      </c>
      <c r="GU107" s="45" t="e">
        <v>#N/A</v>
      </c>
      <c r="GV107" s="45" t="e">
        <v>#N/A</v>
      </c>
      <c r="GW107" s="45" t="e">
        <v>#N/A</v>
      </c>
      <c r="GX107" s="45" t="e">
        <v>#N/A</v>
      </c>
      <c r="GY107" s="45" t="e">
        <v>#N/A</v>
      </c>
      <c r="GZ107" s="45" t="e">
        <v>#N/A</v>
      </c>
      <c r="HA107" s="45" t="e">
        <v>#N/A</v>
      </c>
      <c r="HB107" s="45" t="e">
        <v>#N/A</v>
      </c>
      <c r="HC107" s="45" t="e">
        <v>#N/A</v>
      </c>
      <c r="HD107" s="45" t="e">
        <v>#N/A</v>
      </c>
      <c r="HE107" s="45" t="e">
        <v>#N/A</v>
      </c>
      <c r="HF107" s="45" t="e">
        <v>#N/A</v>
      </c>
      <c r="HG107" s="45"/>
      <c r="HI107" s="35">
        <f>$GB$67</f>
        <v>0</v>
      </c>
      <c r="HK107" s="28"/>
      <c r="IC107" s="234"/>
      <c r="ID107" s="74">
        <f t="shared" si="142"/>
        <v>25.5</v>
      </c>
      <c r="IE107" s="74" t="s">
        <v>153</v>
      </c>
      <c r="IF107" s="74">
        <f>IF(ER21=0,IF106,ET21)</f>
        <v>0</v>
      </c>
      <c r="IG107" s="74">
        <f>IF(IC103="-",0,IG106-IF(ER21=0,0,EJ21*(IF107-IF106)))</f>
        <v>0</v>
      </c>
      <c r="II107" s="35" t="b">
        <f t="shared" si="124"/>
        <v>0</v>
      </c>
      <c r="IJ107" s="45" t="b">
        <f t="shared" ref="IJ107:IJ170" si="143">IF(IF107=IF108,FALSE,TRUE)</f>
        <v>0</v>
      </c>
      <c r="IK107" s="35">
        <f t="shared" si="134"/>
        <v>0</v>
      </c>
      <c r="IL107" s="68" t="b">
        <f>IF(II103=TRUE,IK103,IF(II104=TRUE,IK104,IF(II105=TRUE,IK105,IF(II106=TRUE,IK106,IF(II107=TRUE,IK107,IF(II108=TRUE,IK108,IF(II109=TRUE,IK109,IF(II110=TRUE,IK110,IF(II111=TRUE,IK111,IF(II112=TRUE,IK112))))))))))</f>
        <v>0</v>
      </c>
      <c r="IM107" s="68">
        <f t="shared" si="135"/>
        <v>0</v>
      </c>
      <c r="IN107" s="68">
        <f t="shared" si="136"/>
        <v>0</v>
      </c>
      <c r="IO107" s="69">
        <f t="shared" si="137"/>
        <v>0</v>
      </c>
      <c r="IP107" s="68">
        <f t="shared" si="138"/>
        <v>0</v>
      </c>
      <c r="IQ107" s="68">
        <f t="shared" si="139"/>
        <v>0</v>
      </c>
      <c r="IR107" s="68">
        <f t="shared" si="141"/>
        <v>0</v>
      </c>
      <c r="IS107" s="70" t="str">
        <f>IF(IC103="-","",ROUND(SUM(IM107:IR107),2))</f>
        <v/>
      </c>
      <c r="IT107" s="68">
        <f t="shared" si="140"/>
        <v>25.5</v>
      </c>
      <c r="IV107" s="35">
        <f>ID112</f>
        <v>25.5</v>
      </c>
      <c r="IW107" s="35">
        <v>0</v>
      </c>
      <c r="IY107" s="35">
        <f>IY106</f>
        <v>-5</v>
      </c>
      <c r="IZ107" s="35">
        <f>IF(IC103="-",0,ER21/20)</f>
        <v>0</v>
      </c>
      <c r="JB107" s="38"/>
      <c r="JC107" s="38"/>
      <c r="JE107" s="38"/>
      <c r="JF107" s="38"/>
      <c r="JH107" s="38"/>
      <c r="JI107" s="38"/>
      <c r="JK107" s="35">
        <f>IF(IC103=10,IT107,-5)</f>
        <v>-5</v>
      </c>
      <c r="JL107" s="37" t="str">
        <f>IS107</f>
        <v/>
      </c>
      <c r="JM107" s="40"/>
      <c r="JN107" s="37"/>
      <c r="JO107" s="37"/>
      <c r="JP107" s="40"/>
      <c r="JQ107" s="37"/>
      <c r="JR107" s="37"/>
      <c r="JS107" s="40"/>
      <c r="JT107" s="37"/>
      <c r="JU107" s="37"/>
      <c r="JW107" s="37"/>
      <c r="JX107" s="37"/>
    </row>
    <row r="108" spans="12:284" ht="14.25" customHeight="1" x14ac:dyDescent="0.2"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87"/>
      <c r="DW108" s="87"/>
      <c r="DX108" s="87"/>
      <c r="DY108" s="87"/>
      <c r="DZ108" s="87"/>
      <c r="EA108" s="87"/>
      <c r="EB108" s="87"/>
      <c r="EC108" s="87"/>
      <c r="ED108" s="87"/>
      <c r="FT108" s="98" t="s">
        <v>17</v>
      </c>
      <c r="FU108" s="170">
        <f>IF(GK3=0,0,(EL30*EN30/GK3)*(GK3^2-EN30^2))</f>
        <v>0</v>
      </c>
      <c r="FV108" s="170"/>
      <c r="FW108" s="170"/>
      <c r="FX108" s="170">
        <f>IF(GN3=0,0,(EL31*EP31/GN3)*(GN3^2-EP31^2))</f>
        <v>0</v>
      </c>
      <c r="FY108" s="170"/>
      <c r="FZ108" s="170"/>
      <c r="GA108" s="101"/>
      <c r="GB108" s="170"/>
      <c r="GC108" s="170"/>
      <c r="GD108" s="170"/>
      <c r="GG108" s="22">
        <v>13</v>
      </c>
      <c r="GH108" s="45" t="e">
        <v>#N/A</v>
      </c>
      <c r="GI108" s="45" t="e">
        <v>#N/A</v>
      </c>
      <c r="GJ108" s="45" t="e">
        <v>#N/A</v>
      </c>
      <c r="GK108" s="45" t="e">
        <v>#N/A</v>
      </c>
      <c r="GL108" s="45" t="e">
        <v>#N/A</v>
      </c>
      <c r="GM108" s="45" t="e">
        <v>#N/A</v>
      </c>
      <c r="GN108" s="45" t="e">
        <v>#N/A</v>
      </c>
      <c r="GO108" s="45" t="e">
        <v>#N/A</v>
      </c>
      <c r="GP108" s="45" t="e">
        <v>#N/A</v>
      </c>
      <c r="GQ108" s="45" t="e">
        <v>#N/A</v>
      </c>
      <c r="GR108" s="45" t="e">
        <v>#N/A</v>
      </c>
      <c r="GS108" s="115" t="e">
        <v>#N/A</v>
      </c>
      <c r="GT108" s="115" t="e">
        <v>#N/A</v>
      </c>
      <c r="GU108" s="115" t="e">
        <v>#N/A</v>
      </c>
      <c r="GV108" s="45" t="e">
        <v>#N/A</v>
      </c>
      <c r="GW108" s="45" t="e">
        <v>#N/A</v>
      </c>
      <c r="GX108" s="45" t="e">
        <v>#N/A</v>
      </c>
      <c r="GY108" s="45" t="e">
        <v>#N/A</v>
      </c>
      <c r="GZ108" s="45" t="e">
        <v>#N/A</v>
      </c>
      <c r="HA108" s="45" t="e">
        <v>#N/A</v>
      </c>
      <c r="HB108" s="45" t="e">
        <v>#N/A</v>
      </c>
      <c r="HC108" s="45" t="e">
        <v>#N/A</v>
      </c>
      <c r="HD108" s="45" t="e">
        <v>#N/A</v>
      </c>
      <c r="HE108" s="45" t="e">
        <v>#N/A</v>
      </c>
      <c r="HF108" s="45" t="e">
        <v>#N/A</v>
      </c>
      <c r="HG108" s="45"/>
      <c r="HI108" s="35">
        <f>$GB$72</f>
        <v>0</v>
      </c>
      <c r="HK108" s="28"/>
      <c r="IC108" s="234"/>
      <c r="ID108" s="74">
        <f t="shared" si="142"/>
        <v>25.5</v>
      </c>
      <c r="IE108" s="74" t="s">
        <v>154</v>
      </c>
      <c r="IF108" s="74">
        <f>IF107</f>
        <v>0</v>
      </c>
      <c r="IG108" s="74">
        <f>IF(IC103="-",0,IG107-ER21)</f>
        <v>0</v>
      </c>
      <c r="II108" s="35" t="b">
        <f t="shared" si="124"/>
        <v>0</v>
      </c>
      <c r="IJ108" s="45" t="b">
        <f t="shared" si="143"/>
        <v>0</v>
      </c>
      <c r="IK108" s="35">
        <f t="shared" si="134"/>
        <v>0</v>
      </c>
      <c r="IL108" s="48">
        <f>IL107+($IL$112-$IL$107)/4</f>
        <v>0</v>
      </c>
      <c r="IM108" s="35">
        <f t="shared" si="135"/>
        <v>0</v>
      </c>
      <c r="IN108" s="35">
        <f t="shared" si="136"/>
        <v>0</v>
      </c>
      <c r="IO108" s="36">
        <f t="shared" si="137"/>
        <v>0</v>
      </c>
      <c r="IP108" s="35">
        <f t="shared" si="138"/>
        <v>0</v>
      </c>
      <c r="IQ108" s="35">
        <f t="shared" si="139"/>
        <v>0</v>
      </c>
      <c r="IR108" s="35">
        <f t="shared" si="141"/>
        <v>0</v>
      </c>
      <c r="IS108" s="42" t="str">
        <f>IF(IC103="-","",SUM(IM108:IR108))</f>
        <v/>
      </c>
      <c r="IT108" s="35">
        <f t="shared" si="140"/>
        <v>25.5</v>
      </c>
      <c r="IV108" s="35"/>
      <c r="IW108" s="35"/>
      <c r="IY108" s="44" t="str">
        <f>IF(IC103="-","",IF(ER21=0,"",ER21))</f>
        <v/>
      </c>
      <c r="IZ108" s="45"/>
      <c r="JB108" s="38"/>
      <c r="JC108" s="38"/>
      <c r="JE108" s="38"/>
      <c r="JF108" s="38"/>
      <c r="JH108" s="38"/>
      <c r="JI108" s="38"/>
      <c r="JK108" s="35"/>
      <c r="JL108" s="35"/>
      <c r="JM108" s="39"/>
      <c r="JN108" s="35"/>
      <c r="JO108" s="35"/>
      <c r="JP108" s="39"/>
      <c r="JQ108" s="35"/>
      <c r="JR108" s="35"/>
      <c r="JS108" s="39"/>
      <c r="JT108" s="35"/>
      <c r="JU108" s="35"/>
      <c r="JW108" s="127"/>
      <c r="JX108" s="127"/>
    </row>
    <row r="109" spans="12:284" ht="14.25" customHeight="1" x14ac:dyDescent="0.2"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87"/>
      <c r="DW109" s="87"/>
      <c r="DX109" s="87"/>
      <c r="DY109" s="87"/>
      <c r="DZ109" s="87"/>
      <c r="EA109" s="87"/>
      <c r="EB109" s="87"/>
      <c r="EC109" s="87"/>
      <c r="ED109" s="87"/>
      <c r="FT109" s="98" t="s">
        <v>19</v>
      </c>
      <c r="FU109" s="170">
        <f>IF(GK3=0,0,(ER30*ET30/GK3)*(GK3^2-ET30^2))</f>
        <v>0</v>
      </c>
      <c r="FV109" s="170"/>
      <c r="FW109" s="170"/>
      <c r="FX109" s="170">
        <f>IF(GN3=0,0,(ER31*EV31/GN3)*(GN3^2-EV31^2))</f>
        <v>0</v>
      </c>
      <c r="FY109" s="170"/>
      <c r="FZ109" s="170"/>
      <c r="GA109" s="101"/>
      <c r="GB109" s="170"/>
      <c r="GC109" s="170"/>
      <c r="GD109" s="170"/>
      <c r="GG109" s="22">
        <v>14</v>
      </c>
      <c r="GH109" s="45" t="e">
        <v>#N/A</v>
      </c>
      <c r="GI109" s="45" t="e">
        <v>#N/A</v>
      </c>
      <c r="GJ109" s="45" t="e">
        <v>#N/A</v>
      </c>
      <c r="GK109" s="45" t="e">
        <v>#N/A</v>
      </c>
      <c r="GL109" s="45" t="e">
        <v>#N/A</v>
      </c>
      <c r="GM109" s="45" t="e">
        <v>#N/A</v>
      </c>
      <c r="GN109" s="45" t="e">
        <v>#N/A</v>
      </c>
      <c r="GO109" s="45" t="e">
        <v>#N/A</v>
      </c>
      <c r="GP109" s="45" t="e">
        <v>#N/A</v>
      </c>
      <c r="GQ109" s="45" t="e">
        <v>#N/A</v>
      </c>
      <c r="GR109" s="45" t="e">
        <v>#N/A</v>
      </c>
      <c r="GS109" s="45" t="e">
        <v>#N/A</v>
      </c>
      <c r="GT109" s="115" t="e">
        <v>#N/A</v>
      </c>
      <c r="GU109" s="115" t="e">
        <v>#N/A</v>
      </c>
      <c r="GV109" s="115" t="e">
        <v>#N/A</v>
      </c>
      <c r="GW109" s="45" t="e">
        <v>#N/A</v>
      </c>
      <c r="GX109" s="45" t="e">
        <v>#N/A</v>
      </c>
      <c r="GY109" s="45" t="e">
        <v>#N/A</v>
      </c>
      <c r="GZ109" s="45" t="e">
        <v>#N/A</v>
      </c>
      <c r="HA109" s="45" t="e">
        <v>#N/A</v>
      </c>
      <c r="HB109" s="45" t="e">
        <v>#N/A</v>
      </c>
      <c r="HC109" s="45" t="e">
        <v>#N/A</v>
      </c>
      <c r="HD109" s="45" t="e">
        <v>#N/A</v>
      </c>
      <c r="HE109" s="45" t="e">
        <v>#N/A</v>
      </c>
      <c r="HF109" s="45" t="e">
        <v>#N/A</v>
      </c>
      <c r="HG109" s="45"/>
      <c r="HI109" s="35">
        <f>$GB$77</f>
        <v>0</v>
      </c>
      <c r="HK109" s="28"/>
      <c r="IC109" s="234"/>
      <c r="ID109" s="74">
        <f t="shared" si="142"/>
        <v>25.5</v>
      </c>
      <c r="IE109" s="74" t="s">
        <v>155</v>
      </c>
      <c r="IF109" s="74">
        <f>IF(EX21=0,IF108,EZ21)</f>
        <v>0</v>
      </c>
      <c r="IG109" s="74">
        <f>IF(IC103="-",0,IG108-IF(EX21=0,0,EJ21*(IF109-IF108)))</f>
        <v>0</v>
      </c>
      <c r="II109" s="35" t="b">
        <f t="shared" si="124"/>
        <v>0</v>
      </c>
      <c r="IJ109" s="45" t="b">
        <f t="shared" si="143"/>
        <v>0</v>
      </c>
      <c r="IK109" s="35">
        <f t="shared" si="134"/>
        <v>0</v>
      </c>
      <c r="IL109" s="48">
        <f>IL108+($IL$112-$IL$107)/4</f>
        <v>0</v>
      </c>
      <c r="IM109" s="35">
        <f t="shared" si="135"/>
        <v>0</v>
      </c>
      <c r="IN109" s="35">
        <f t="shared" si="136"/>
        <v>0</v>
      </c>
      <c r="IO109" s="36">
        <f t="shared" si="137"/>
        <v>0</v>
      </c>
      <c r="IP109" s="35">
        <f t="shared" si="138"/>
        <v>0</v>
      </c>
      <c r="IQ109" s="35">
        <f t="shared" si="139"/>
        <v>0</v>
      </c>
      <c r="IR109" s="35">
        <f t="shared" si="141"/>
        <v>0</v>
      </c>
      <c r="IS109" s="42" t="str">
        <f>IF(IC103="-","",SUM(IM109:IR109))</f>
        <v/>
      </c>
      <c r="IT109" s="35">
        <f t="shared" si="140"/>
        <v>25.5</v>
      </c>
      <c r="IV109" s="84" t="str">
        <f>IF(IC103="-","",EJ21)</f>
        <v/>
      </c>
      <c r="IW109" s="35"/>
      <c r="IY109" s="35">
        <f>IF(IC103="-",-5,IF(EX21=0,-5,ID103+EZ21))</f>
        <v>-5</v>
      </c>
      <c r="IZ109" s="35">
        <v>0</v>
      </c>
      <c r="JB109" s="38"/>
      <c r="JC109" s="38"/>
      <c r="JE109" s="38"/>
      <c r="JF109" s="38"/>
      <c r="JH109" s="38"/>
      <c r="JI109" s="38"/>
      <c r="JK109" s="35"/>
      <c r="JL109" s="35"/>
      <c r="JM109" s="39"/>
      <c r="JN109" s="35"/>
      <c r="JO109" s="35"/>
      <c r="JP109" s="39"/>
      <c r="JQ109" s="35"/>
      <c r="JR109" s="35"/>
      <c r="JS109" s="39"/>
      <c r="JT109" s="35"/>
      <c r="JU109" s="35"/>
      <c r="JW109" s="127"/>
      <c r="JX109" s="127"/>
    </row>
    <row r="110" spans="12:284" ht="14.25" customHeight="1" x14ac:dyDescent="0.2"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87"/>
      <c r="DW110" s="87"/>
      <c r="DX110" s="87"/>
      <c r="DY110" s="87"/>
      <c r="DZ110" s="87"/>
      <c r="EA110" s="87"/>
      <c r="EB110" s="87"/>
      <c r="EC110" s="87"/>
      <c r="ED110" s="87"/>
      <c r="FT110" s="98" t="s">
        <v>20</v>
      </c>
      <c r="FU110" s="170">
        <f>IF(GK3=0,0,(EX30*EZ30/GK3)*(GK3^2-EZ30^2))</f>
        <v>0</v>
      </c>
      <c r="FV110" s="170"/>
      <c r="FW110" s="170"/>
      <c r="FX110" s="170">
        <f>IF(GN3=0,0,(EX31*FB31/GN3)*(GN3^2-FB31^2))</f>
        <v>0</v>
      </c>
      <c r="FY110" s="170"/>
      <c r="FZ110" s="170"/>
      <c r="GA110" s="101"/>
      <c r="GB110" s="172"/>
      <c r="GC110" s="172"/>
      <c r="GD110" s="172"/>
      <c r="GG110" s="22">
        <v>15</v>
      </c>
      <c r="GH110" s="45" t="e">
        <v>#N/A</v>
      </c>
      <c r="GI110" s="45" t="e">
        <v>#N/A</v>
      </c>
      <c r="GJ110" s="45" t="e">
        <v>#N/A</v>
      </c>
      <c r="GK110" s="45" t="e">
        <v>#N/A</v>
      </c>
      <c r="GL110" s="45" t="e">
        <v>#N/A</v>
      </c>
      <c r="GM110" s="45" t="e">
        <v>#N/A</v>
      </c>
      <c r="GN110" s="45" t="e">
        <v>#N/A</v>
      </c>
      <c r="GO110" s="45" t="e">
        <v>#N/A</v>
      </c>
      <c r="GP110" s="45" t="e">
        <v>#N/A</v>
      </c>
      <c r="GQ110" s="45" t="e">
        <v>#N/A</v>
      </c>
      <c r="GR110" s="45" t="e">
        <v>#N/A</v>
      </c>
      <c r="GS110" s="45" t="e">
        <v>#N/A</v>
      </c>
      <c r="GT110" s="45" t="e">
        <v>#N/A</v>
      </c>
      <c r="GU110" s="115" t="e">
        <v>#N/A</v>
      </c>
      <c r="GV110" s="115" t="e">
        <v>#N/A</v>
      </c>
      <c r="GW110" s="115" t="e">
        <v>#N/A</v>
      </c>
      <c r="GX110" s="45" t="e">
        <v>#N/A</v>
      </c>
      <c r="GY110" s="45" t="e">
        <v>#N/A</v>
      </c>
      <c r="GZ110" s="45" t="e">
        <v>#N/A</v>
      </c>
      <c r="HA110" s="45" t="e">
        <v>#N/A</v>
      </c>
      <c r="HB110" s="45" t="e">
        <v>#N/A</v>
      </c>
      <c r="HC110" s="45" t="e">
        <v>#N/A</v>
      </c>
      <c r="HD110" s="45" t="e">
        <v>#N/A</v>
      </c>
      <c r="HE110" s="45" t="e">
        <v>#N/A</v>
      </c>
      <c r="HF110" s="45" t="e">
        <v>#N/A</v>
      </c>
      <c r="HG110" s="45"/>
      <c r="HI110" s="35">
        <f>$GB$82</f>
        <v>0</v>
      </c>
      <c r="HK110" s="28"/>
      <c r="IC110" s="234"/>
      <c r="ID110" s="74">
        <f t="shared" si="142"/>
        <v>25.5</v>
      </c>
      <c r="IE110" s="74" t="s">
        <v>156</v>
      </c>
      <c r="IF110" s="74">
        <f>IF109</f>
        <v>0</v>
      </c>
      <c r="IG110" s="74">
        <f>IF(IC103="-",0,IG109-EX21)</f>
        <v>0</v>
      </c>
      <c r="II110" s="35" t="b">
        <f t="shared" si="124"/>
        <v>0</v>
      </c>
      <c r="IJ110" s="45" t="b">
        <f t="shared" si="143"/>
        <v>0</v>
      </c>
      <c r="IK110" s="35">
        <f t="shared" si="134"/>
        <v>0</v>
      </c>
      <c r="IL110" s="48">
        <f>IL109+($IL$112-$IL$107)/4</f>
        <v>0</v>
      </c>
      <c r="IM110" s="35">
        <f t="shared" si="135"/>
        <v>0</v>
      </c>
      <c r="IN110" s="35">
        <f t="shared" si="136"/>
        <v>0</v>
      </c>
      <c r="IO110" s="36">
        <f t="shared" si="137"/>
        <v>0</v>
      </c>
      <c r="IP110" s="35">
        <f t="shared" si="138"/>
        <v>0</v>
      </c>
      <c r="IQ110" s="35">
        <f t="shared" si="139"/>
        <v>0</v>
      </c>
      <c r="IR110" s="35">
        <f t="shared" si="141"/>
        <v>0</v>
      </c>
      <c r="IS110" s="42" t="str">
        <f>IF(IC103="-","",SUM(IM110:IR110))</f>
        <v/>
      </c>
      <c r="IT110" s="35">
        <f t="shared" si="140"/>
        <v>25.5</v>
      </c>
      <c r="IV110" s="35"/>
      <c r="IW110" s="35"/>
      <c r="IY110" s="35">
        <f>IY109</f>
        <v>-5</v>
      </c>
      <c r="IZ110" s="35">
        <f>IF(IC103="-",0,EX21/20)</f>
        <v>0</v>
      </c>
      <c r="JB110" s="47" t="str">
        <f>IF(IC103="-","",HY24)</f>
        <v/>
      </c>
      <c r="JC110" s="35" t="b">
        <f>AND($F$2=10,$F$10=$ER$43)</f>
        <v>0</v>
      </c>
      <c r="JE110" s="47" t="str">
        <f>JB110</f>
        <v/>
      </c>
      <c r="JF110" s="38"/>
      <c r="JH110" s="38"/>
      <c r="JI110" s="38"/>
      <c r="JK110" s="35" t="b">
        <f>AND($F$2=10,$F$10=$ER$43)</f>
        <v>0</v>
      </c>
      <c r="JL110" s="35"/>
      <c r="JM110" s="39"/>
      <c r="JN110" s="35"/>
      <c r="JO110" s="35"/>
      <c r="JP110" s="39"/>
      <c r="JQ110" s="35"/>
      <c r="JR110" s="35"/>
      <c r="JS110" s="39"/>
      <c r="JT110" s="35"/>
      <c r="JU110" s="35"/>
      <c r="JW110" s="127"/>
      <c r="JX110" s="127"/>
    </row>
    <row r="111" spans="12:284" ht="14.25" customHeight="1" x14ac:dyDescent="0.2"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87"/>
      <c r="DW111" s="87"/>
      <c r="DX111" s="87"/>
      <c r="DY111" s="87"/>
      <c r="DZ111" s="87"/>
      <c r="EA111" s="87"/>
      <c r="EB111" s="87"/>
      <c r="EC111" s="87"/>
      <c r="ED111" s="87"/>
      <c r="FH111" s="28">
        <v>21</v>
      </c>
      <c r="FI111" s="184" t="s">
        <v>106</v>
      </c>
      <c r="FJ111" s="184"/>
      <c r="FK111" s="185" t="s">
        <v>105</v>
      </c>
      <c r="FL111" s="185"/>
      <c r="FM111" s="185"/>
      <c r="FN111" s="185" t="s">
        <v>107</v>
      </c>
      <c r="FO111" s="185"/>
      <c r="FP111" s="185"/>
      <c r="FQ111" s="185" t="s">
        <v>109</v>
      </c>
      <c r="FR111" s="185"/>
      <c r="FS111" s="185"/>
      <c r="FT111" s="98" t="s">
        <v>57</v>
      </c>
      <c r="FU111" s="187" t="s">
        <v>13</v>
      </c>
      <c r="FV111" s="185"/>
      <c r="FW111" s="185"/>
      <c r="FX111" s="187" t="s">
        <v>14</v>
      </c>
      <c r="FY111" s="185"/>
      <c r="FZ111" s="185"/>
      <c r="GA111" s="98" t="s">
        <v>57</v>
      </c>
      <c r="GB111" s="187" t="s">
        <v>60</v>
      </c>
      <c r="GC111" s="185"/>
      <c r="GD111" s="185"/>
      <c r="GG111" s="22">
        <v>16</v>
      </c>
      <c r="GH111" s="45" t="e">
        <v>#N/A</v>
      </c>
      <c r="GI111" s="45" t="e">
        <v>#N/A</v>
      </c>
      <c r="GJ111" s="45" t="e">
        <v>#N/A</v>
      </c>
      <c r="GK111" s="45" t="e">
        <v>#N/A</v>
      </c>
      <c r="GL111" s="45" t="e">
        <v>#N/A</v>
      </c>
      <c r="GM111" s="45" t="e">
        <v>#N/A</v>
      </c>
      <c r="GN111" s="45" t="e">
        <v>#N/A</v>
      </c>
      <c r="GO111" s="45" t="e">
        <v>#N/A</v>
      </c>
      <c r="GP111" s="45" t="e">
        <v>#N/A</v>
      </c>
      <c r="GQ111" s="45" t="e">
        <v>#N/A</v>
      </c>
      <c r="GR111" s="45" t="e">
        <v>#N/A</v>
      </c>
      <c r="GS111" s="45" t="e">
        <v>#N/A</v>
      </c>
      <c r="GT111" s="45" t="e">
        <v>#N/A</v>
      </c>
      <c r="GU111" s="45" t="e">
        <v>#N/A</v>
      </c>
      <c r="GV111" s="115" t="e">
        <v>#N/A</v>
      </c>
      <c r="GW111" s="115" t="e">
        <v>#N/A</v>
      </c>
      <c r="GX111" s="115" t="e">
        <v>#N/A</v>
      </c>
      <c r="GY111" s="45" t="e">
        <v>#N/A</v>
      </c>
      <c r="GZ111" s="45" t="e">
        <v>#N/A</v>
      </c>
      <c r="HA111" s="45" t="e">
        <v>#N/A</v>
      </c>
      <c r="HB111" s="45" t="e">
        <v>#N/A</v>
      </c>
      <c r="HC111" s="45" t="e">
        <v>#N/A</v>
      </c>
      <c r="HD111" s="45" t="e">
        <v>#N/A</v>
      </c>
      <c r="HE111" s="45" t="e">
        <v>#N/A</v>
      </c>
      <c r="HF111" s="45" t="e">
        <v>#N/A</v>
      </c>
      <c r="HG111" s="45"/>
      <c r="HI111" s="35">
        <f>$GB$87</f>
        <v>0</v>
      </c>
      <c r="HK111" s="28"/>
      <c r="IC111" s="234"/>
      <c r="ID111" s="74">
        <f>IF($IC$103="-",$ID$103,$ID$103+IF111)</f>
        <v>25.5</v>
      </c>
      <c r="IE111" s="74" t="s">
        <v>157</v>
      </c>
      <c r="IF111" s="74">
        <f>IF112</f>
        <v>0</v>
      </c>
      <c r="IG111" s="74">
        <f>HW24</f>
        <v>0</v>
      </c>
      <c r="II111" s="35" t="b">
        <f t="shared" si="124"/>
        <v>0</v>
      </c>
      <c r="IJ111" s="45" t="b">
        <f t="shared" si="143"/>
        <v>0</v>
      </c>
      <c r="IK111" s="35">
        <f t="shared" si="134"/>
        <v>0</v>
      </c>
      <c r="IL111" s="48">
        <f>IL110+($IL$112-$IL$107)/4</f>
        <v>0</v>
      </c>
      <c r="IM111" s="35">
        <f t="shared" si="135"/>
        <v>0</v>
      </c>
      <c r="IN111" s="35">
        <f t="shared" si="136"/>
        <v>0</v>
      </c>
      <c r="IO111" s="36">
        <f t="shared" si="137"/>
        <v>0</v>
      </c>
      <c r="IP111" s="35">
        <f t="shared" si="138"/>
        <v>0</v>
      </c>
      <c r="IQ111" s="35">
        <f t="shared" si="139"/>
        <v>0</v>
      </c>
      <c r="IR111" s="45"/>
      <c r="IS111" s="37" t="str">
        <f>IF(IC103="-","",ROUND(HU24,2))</f>
        <v/>
      </c>
      <c r="IT111" s="35">
        <f t="shared" si="140"/>
        <v>25.5</v>
      </c>
      <c r="IV111" s="35"/>
      <c r="IW111" s="35"/>
      <c r="IY111" s="44" t="str">
        <f>IF(IC103="-","",IF(EX21=0,"",EX21))</f>
        <v/>
      </c>
      <c r="IZ111" s="45"/>
      <c r="JB111" s="38">
        <f>ID112</f>
        <v>25.5</v>
      </c>
      <c r="JC111" s="38">
        <v>0</v>
      </c>
      <c r="JE111" s="38">
        <f>JB111</f>
        <v>25.5</v>
      </c>
      <c r="JF111" s="38">
        <f>IF(JE110&gt;0,-MAX(IW3:IW272,IZ3:IZ272)*0.5,-MAX(IW3:IW272,IZ3:IZ272)*1.5)</f>
        <v>-37.5</v>
      </c>
      <c r="JH111" s="38">
        <f>IF(IC103=10,ID111,-5)</f>
        <v>-5</v>
      </c>
      <c r="JI111" s="38">
        <f>IG111</f>
        <v>0</v>
      </c>
      <c r="JK111" s="35">
        <f>IF(JK110=TRUE,IT111,-5)</f>
        <v>-5</v>
      </c>
      <c r="JL111" s="49" t="str">
        <f>IS111</f>
        <v/>
      </c>
      <c r="JM111" s="40"/>
      <c r="JN111" s="49"/>
      <c r="JO111" s="49"/>
      <c r="JP111" s="40"/>
      <c r="JQ111" s="49"/>
      <c r="JR111" s="49"/>
      <c r="JS111" s="40"/>
      <c r="JT111" s="49"/>
      <c r="JU111" s="49"/>
      <c r="JW111" s="120"/>
      <c r="JX111" s="120"/>
    </row>
    <row r="112" spans="12:284" ht="14.25" customHeight="1" x14ac:dyDescent="0.2"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87"/>
      <c r="DW112" s="87"/>
      <c r="DX112" s="87"/>
      <c r="DY112" s="87"/>
      <c r="DZ112" s="87"/>
      <c r="EA112" s="87"/>
      <c r="EB112" s="87"/>
      <c r="EC112" s="87"/>
      <c r="ED112" s="87"/>
      <c r="FK112" s="169">
        <f>GN3</f>
        <v>0</v>
      </c>
      <c r="FL112" s="169"/>
      <c r="FM112" s="169"/>
      <c r="FN112" s="169">
        <f>2*(GN3+GQ3)</f>
        <v>0</v>
      </c>
      <c r="FO112" s="169"/>
      <c r="FP112" s="169"/>
      <c r="FQ112" s="169">
        <f>IF($F$2=21,(IF(F10=ER43,GQ3,IF(F10=ER44,GQ3*FF40,0))),IF(F2&gt;21,GQ3,0))</f>
        <v>0</v>
      </c>
      <c r="FR112" s="169"/>
      <c r="FS112" s="169"/>
      <c r="FT112" s="98" t="s">
        <v>41</v>
      </c>
      <c r="FU112" s="170">
        <f>(EJ31*GN3^3)/4</f>
        <v>0</v>
      </c>
      <c r="FV112" s="170"/>
      <c r="FW112" s="170"/>
      <c r="FX112" s="170">
        <f>(EJ32*GQ3^3)/4</f>
        <v>0</v>
      </c>
      <c r="FY112" s="170"/>
      <c r="FZ112" s="170"/>
      <c r="GA112" s="101"/>
      <c r="GB112" s="171">
        <f>-SUM(FU112:FZ115)-IF(F2=21,IF($F$10=$ER$44,FQ112,0))</f>
        <v>0</v>
      </c>
      <c r="GC112" s="171"/>
      <c r="GD112" s="171"/>
      <c r="GG112" s="22">
        <v>17</v>
      </c>
      <c r="GH112" s="45" t="e">
        <v>#N/A</v>
      </c>
      <c r="GI112" s="45" t="e">
        <v>#N/A</v>
      </c>
      <c r="GJ112" s="45" t="e">
        <v>#N/A</v>
      </c>
      <c r="GK112" s="45" t="e">
        <v>#N/A</v>
      </c>
      <c r="GL112" s="45" t="e">
        <v>#N/A</v>
      </c>
      <c r="GM112" s="45" t="e">
        <v>#N/A</v>
      </c>
      <c r="GN112" s="45" t="e">
        <v>#N/A</v>
      </c>
      <c r="GO112" s="45" t="e">
        <v>#N/A</v>
      </c>
      <c r="GP112" s="45" t="e">
        <v>#N/A</v>
      </c>
      <c r="GQ112" s="45" t="e">
        <v>#N/A</v>
      </c>
      <c r="GR112" s="45" t="e">
        <v>#N/A</v>
      </c>
      <c r="GS112" s="45" t="e">
        <v>#N/A</v>
      </c>
      <c r="GT112" s="45" t="e">
        <v>#N/A</v>
      </c>
      <c r="GU112" s="45" t="e">
        <v>#N/A</v>
      </c>
      <c r="GV112" s="45" t="e">
        <v>#N/A</v>
      </c>
      <c r="GW112" s="115" t="e">
        <v>#N/A</v>
      </c>
      <c r="GX112" s="115" t="e">
        <v>#N/A</v>
      </c>
      <c r="GY112" s="115" t="e">
        <v>#N/A</v>
      </c>
      <c r="GZ112" s="45" t="e">
        <v>#N/A</v>
      </c>
      <c r="HA112" s="45" t="e">
        <v>#N/A</v>
      </c>
      <c r="HB112" s="45" t="e">
        <v>#N/A</v>
      </c>
      <c r="HC112" s="45" t="e">
        <v>#N/A</v>
      </c>
      <c r="HD112" s="45" t="e">
        <v>#N/A</v>
      </c>
      <c r="HE112" s="45" t="e">
        <v>#N/A</v>
      </c>
      <c r="HF112" s="45" t="e">
        <v>#N/A</v>
      </c>
      <c r="HG112" s="45"/>
      <c r="HI112" s="35">
        <f>$GB$92</f>
        <v>0</v>
      </c>
      <c r="HK112" s="28"/>
      <c r="IC112" s="234"/>
      <c r="ID112" s="74">
        <f>IF(HS23="R0",ID103,ID103+HT23)</f>
        <v>25.5</v>
      </c>
      <c r="IE112" s="74" t="s">
        <v>158</v>
      </c>
      <c r="IF112" s="74">
        <f>IF(HS23="R0",0,HT23)</f>
        <v>0</v>
      </c>
      <c r="IG112" s="74">
        <v>0</v>
      </c>
      <c r="II112" s="35" t="b">
        <f t="shared" si="124"/>
        <v>0</v>
      </c>
      <c r="IJ112" s="45" t="b">
        <f t="shared" si="143"/>
        <v>0</v>
      </c>
      <c r="IK112" s="35">
        <f t="shared" si="134"/>
        <v>0</v>
      </c>
      <c r="IL112" s="48">
        <f>IK112</f>
        <v>0</v>
      </c>
      <c r="IM112" s="35"/>
      <c r="IN112" s="45"/>
      <c r="IO112" s="45"/>
      <c r="IP112" s="45"/>
      <c r="IQ112" s="45"/>
      <c r="IR112" s="45"/>
      <c r="IS112" s="82"/>
      <c r="IT112" s="35"/>
      <c r="IV112" s="35"/>
      <c r="IW112" s="35"/>
      <c r="IY112" s="45"/>
      <c r="IZ112" s="45"/>
      <c r="JB112" s="38">
        <f>JB111</f>
        <v>25.5</v>
      </c>
      <c r="JC112" s="38">
        <f>IF(IC103="-",0,IF(JC110=TRUE,0,-20))</f>
        <v>0</v>
      </c>
      <c r="JE112" s="38">
        <f>JE111</f>
        <v>25.5</v>
      </c>
      <c r="JF112" s="38">
        <f>IF(IC103="-",JF111,IF(JE110&gt;0,-MAX(IW3:IW272,IZ3:IZ272)*1.5,-MAX(IW3:IW272,IZ3:IZ272)*0.5))</f>
        <v>-37.5</v>
      </c>
      <c r="JH112" s="38"/>
      <c r="JI112" s="38"/>
      <c r="JK112" s="35"/>
      <c r="JL112" s="35"/>
      <c r="JM112" s="39"/>
      <c r="JN112" s="35"/>
      <c r="JO112" s="35"/>
      <c r="JP112" s="39"/>
      <c r="JQ112" s="35"/>
      <c r="JR112" s="35"/>
      <c r="JS112" s="39"/>
      <c r="JT112" s="35"/>
      <c r="JU112" s="35"/>
      <c r="JW112" s="127"/>
      <c r="JX112" s="127"/>
    </row>
    <row r="113" spans="12:284" ht="14.25" customHeight="1" x14ac:dyDescent="0.2"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87"/>
      <c r="DW113" s="87"/>
      <c r="DX113" s="87"/>
      <c r="DY113" s="87"/>
      <c r="DZ113" s="87"/>
      <c r="EA113" s="87"/>
      <c r="EB113" s="87"/>
      <c r="EC113" s="87"/>
      <c r="ED113" s="87"/>
      <c r="FT113" s="98" t="s">
        <v>17</v>
      </c>
      <c r="FU113" s="170">
        <f>IF(GN3=0,0,(EL31*EN31/GN3)*(GN3^2-EN31^2))</f>
        <v>0</v>
      </c>
      <c r="FV113" s="170"/>
      <c r="FW113" s="170"/>
      <c r="FX113" s="170">
        <f>IF(GQ3=0,0,(EL32*EP32/GQ3)*(GQ3^2-EP32^2))</f>
        <v>0</v>
      </c>
      <c r="FY113" s="170"/>
      <c r="FZ113" s="170"/>
      <c r="GA113" s="101"/>
      <c r="GB113" s="170"/>
      <c r="GC113" s="170"/>
      <c r="GD113" s="170"/>
      <c r="GG113" s="22">
        <v>18</v>
      </c>
      <c r="GH113" s="45" t="e">
        <v>#N/A</v>
      </c>
      <c r="GI113" s="45" t="e">
        <v>#N/A</v>
      </c>
      <c r="GJ113" s="45" t="e">
        <v>#N/A</v>
      </c>
      <c r="GK113" s="45" t="e">
        <v>#N/A</v>
      </c>
      <c r="GL113" s="45" t="e">
        <v>#N/A</v>
      </c>
      <c r="GM113" s="45" t="e">
        <v>#N/A</v>
      </c>
      <c r="GN113" s="45" t="e">
        <v>#N/A</v>
      </c>
      <c r="GO113" s="45" t="e">
        <v>#N/A</v>
      </c>
      <c r="GP113" s="45" t="e">
        <v>#N/A</v>
      </c>
      <c r="GQ113" s="45" t="e">
        <v>#N/A</v>
      </c>
      <c r="GR113" s="45" t="e">
        <v>#N/A</v>
      </c>
      <c r="GS113" s="45" t="e">
        <v>#N/A</v>
      </c>
      <c r="GT113" s="45" t="e">
        <v>#N/A</v>
      </c>
      <c r="GU113" s="45" t="e">
        <v>#N/A</v>
      </c>
      <c r="GV113" s="45" t="e">
        <v>#N/A</v>
      </c>
      <c r="GW113" s="45" t="e">
        <v>#N/A</v>
      </c>
      <c r="GX113" s="115" t="e">
        <v>#N/A</v>
      </c>
      <c r="GY113" s="115" t="e">
        <v>#N/A</v>
      </c>
      <c r="GZ113" s="115" t="e">
        <v>#N/A</v>
      </c>
      <c r="HA113" s="45" t="e">
        <v>#N/A</v>
      </c>
      <c r="HB113" s="45" t="e">
        <v>#N/A</v>
      </c>
      <c r="HC113" s="45" t="e">
        <v>#N/A</v>
      </c>
      <c r="HD113" s="45" t="e">
        <v>#N/A</v>
      </c>
      <c r="HE113" s="45" t="e">
        <v>#N/A</v>
      </c>
      <c r="HF113" s="45" t="e">
        <v>#N/A</v>
      </c>
      <c r="HG113" s="45"/>
      <c r="HI113" s="35">
        <f>$GB$97</f>
        <v>0</v>
      </c>
      <c r="HK113" s="28"/>
      <c r="IC113" s="250" t="str">
        <f>IF(HS25="R0","-",HS25)</f>
        <v>-</v>
      </c>
      <c r="ID113" s="53">
        <f>IF(HS25="R0",ID272,ID112)</f>
        <v>25.5</v>
      </c>
      <c r="IE113" s="53" t="s">
        <v>149</v>
      </c>
      <c r="IF113" s="53">
        <v>0</v>
      </c>
      <c r="IG113" s="53">
        <v>0</v>
      </c>
      <c r="II113" s="54" t="b">
        <f t="shared" si="124"/>
        <v>0</v>
      </c>
      <c r="IJ113" s="55" t="b">
        <f t="shared" si="143"/>
        <v>0</v>
      </c>
      <c r="IK113" s="54">
        <f t="shared" ref="IK113:IK122" si="144">IF(II113=TRUE,IF(IJ113=TRUE,IG113/$EJ$22)+IF113,IF113)</f>
        <v>0</v>
      </c>
      <c r="IL113" s="56">
        <f>IK113</f>
        <v>0</v>
      </c>
      <c r="IM113" s="54">
        <f t="shared" ref="IM113:IM121" si="145">$HV$25*IL113</f>
        <v>0</v>
      </c>
      <c r="IN113" s="54">
        <f t="shared" ref="IN113:IN121" si="146">-$EJ$22*(IL113^2/2)</f>
        <v>0</v>
      </c>
      <c r="IO113" s="57">
        <f t="shared" ref="IO113:IO121" si="147">-IF(IL113&gt;=$EN$22,$EL$22*(IL113-$EN$22),0)</f>
        <v>0</v>
      </c>
      <c r="IP113" s="54">
        <f t="shared" ref="IP113:IP121" si="148">-IF(IL113&gt;=$ET$22,$ER$22*(IL113-$ET$22),0)</f>
        <v>0</v>
      </c>
      <c r="IQ113" s="54">
        <f t="shared" ref="IQ113:IQ121" si="149">-IF(IL113&gt;=$EZ$22,$EX$22*(IL113-$EZ$22),0)</f>
        <v>0</v>
      </c>
      <c r="IR113" s="55"/>
      <c r="IS113" s="59" t="str">
        <f>IF(IC113="-","",HU25)</f>
        <v/>
      </c>
      <c r="IT113" s="54">
        <f t="shared" ref="IT113:IT121" si="150">$ID$113+IL113</f>
        <v>25.5</v>
      </c>
      <c r="IV113" s="54">
        <f>ID113</f>
        <v>25.5</v>
      </c>
      <c r="IW113" s="54">
        <v>0</v>
      </c>
      <c r="IY113" s="54">
        <f>IF(IC113="-",-5,IF(EL22=0,-5,ID113+EN22))</f>
        <v>-5</v>
      </c>
      <c r="IZ113" s="54">
        <v>0</v>
      </c>
      <c r="JB113" s="54"/>
      <c r="JC113" s="54"/>
      <c r="JE113" s="54"/>
      <c r="JF113" s="54"/>
      <c r="JH113" s="54"/>
      <c r="JI113" s="54"/>
      <c r="JK113" s="54">
        <f>IF(IC113=11,IT113,-5)</f>
        <v>-5</v>
      </c>
      <c r="JL113" s="59" t="str">
        <f>IS113</f>
        <v/>
      </c>
      <c r="JM113" s="40"/>
      <c r="JN113" s="59">
        <f>IF(IC113="-",-5,(ID113+ID122)/2)</f>
        <v>-5</v>
      </c>
      <c r="JO113" s="59">
        <f>-MAX(IW3:IW272,IZ3:IZ272)*0.7</f>
        <v>-52.5</v>
      </c>
      <c r="JP113" s="40"/>
      <c r="JQ113" s="59">
        <f>IF(IC113="-",-5,(IT113+IT117)/2)</f>
        <v>-5</v>
      </c>
      <c r="JR113" s="59">
        <f>JR13</f>
        <v>-760.38306347150262</v>
      </c>
      <c r="JS113" s="40"/>
      <c r="JT113" s="59"/>
      <c r="JU113" s="59"/>
      <c r="JW113" s="122">
        <f>JN113</f>
        <v>-5</v>
      </c>
      <c r="JX113" s="122">
        <f>JF122</f>
        <v>-37.5</v>
      </c>
    </row>
    <row r="114" spans="12:284" ht="14.25" customHeight="1" x14ac:dyDescent="0.2"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87"/>
      <c r="DW114" s="87"/>
      <c r="DX114" s="87"/>
      <c r="DY114" s="87"/>
      <c r="DZ114" s="87"/>
      <c r="EA114" s="87"/>
      <c r="EB114" s="87"/>
      <c r="EC114" s="87"/>
      <c r="ED114" s="87"/>
      <c r="FT114" s="98" t="s">
        <v>19</v>
      </c>
      <c r="FU114" s="170">
        <f>IF(GN3=0,0,(ER31*ET31/GN3)*(GN3^2-ET31^2))</f>
        <v>0</v>
      </c>
      <c r="FV114" s="170"/>
      <c r="FW114" s="170"/>
      <c r="FX114" s="170">
        <f>IF(GQ3=0,0,(ER32*EV32/GQ3)*(GQ3^2-EV32^2))</f>
        <v>0</v>
      </c>
      <c r="FY114" s="170"/>
      <c r="FZ114" s="170"/>
      <c r="GA114" s="101"/>
      <c r="GB114" s="170"/>
      <c r="GC114" s="170"/>
      <c r="GD114" s="170"/>
      <c r="GG114" s="22">
        <v>19</v>
      </c>
      <c r="GH114" s="45" t="e">
        <v>#N/A</v>
      </c>
      <c r="GI114" s="45" t="e">
        <v>#N/A</v>
      </c>
      <c r="GJ114" s="45" t="e">
        <v>#N/A</v>
      </c>
      <c r="GK114" s="45" t="e">
        <v>#N/A</v>
      </c>
      <c r="GL114" s="45" t="e">
        <v>#N/A</v>
      </c>
      <c r="GM114" s="45" t="e">
        <v>#N/A</v>
      </c>
      <c r="GN114" s="45" t="e">
        <v>#N/A</v>
      </c>
      <c r="GO114" s="45" t="e">
        <v>#N/A</v>
      </c>
      <c r="GP114" s="45" t="e">
        <v>#N/A</v>
      </c>
      <c r="GQ114" s="45" t="e">
        <v>#N/A</v>
      </c>
      <c r="GR114" s="45" t="e">
        <v>#N/A</v>
      </c>
      <c r="GS114" s="45" t="e">
        <v>#N/A</v>
      </c>
      <c r="GT114" s="45" t="e">
        <v>#N/A</v>
      </c>
      <c r="GU114" s="45" t="e">
        <v>#N/A</v>
      </c>
      <c r="GV114" s="45" t="e">
        <v>#N/A</v>
      </c>
      <c r="GW114" s="45" t="e">
        <v>#N/A</v>
      </c>
      <c r="GX114" s="45" t="e">
        <v>#N/A</v>
      </c>
      <c r="GY114" s="115" t="e">
        <v>#N/A</v>
      </c>
      <c r="GZ114" s="115" t="e">
        <v>#N/A</v>
      </c>
      <c r="HA114" s="115" t="e">
        <v>#N/A</v>
      </c>
      <c r="HB114" s="45" t="e">
        <v>#N/A</v>
      </c>
      <c r="HC114" s="45" t="e">
        <v>#N/A</v>
      </c>
      <c r="HD114" s="45" t="e">
        <v>#N/A</v>
      </c>
      <c r="HE114" s="45" t="e">
        <v>#N/A</v>
      </c>
      <c r="HF114" s="45" t="e">
        <v>#N/A</v>
      </c>
      <c r="HG114" s="45"/>
      <c r="HI114" s="35">
        <f>$GB$102</f>
        <v>0</v>
      </c>
      <c r="HK114" s="28"/>
      <c r="IC114" s="250"/>
      <c r="ID114" s="53">
        <f>IF($IC$113="-",$ID$113,$ID$113+IF114)</f>
        <v>25.5</v>
      </c>
      <c r="IE114" s="53" t="s">
        <v>150</v>
      </c>
      <c r="IF114" s="53">
        <f>IF113</f>
        <v>0</v>
      </c>
      <c r="IG114" s="53">
        <f>IF(IC113="-",0,HV25)</f>
        <v>0</v>
      </c>
      <c r="II114" s="54" t="b">
        <f t="shared" si="124"/>
        <v>0</v>
      </c>
      <c r="IJ114" s="55" t="b">
        <f t="shared" si="143"/>
        <v>0</v>
      </c>
      <c r="IK114" s="54">
        <f t="shared" si="144"/>
        <v>0</v>
      </c>
      <c r="IL114" s="56">
        <f>(IL117-IL113)/4</f>
        <v>0</v>
      </c>
      <c r="IM114" s="54">
        <f t="shared" si="145"/>
        <v>0</v>
      </c>
      <c r="IN114" s="54">
        <f t="shared" si="146"/>
        <v>0</v>
      </c>
      <c r="IO114" s="57">
        <f t="shared" si="147"/>
        <v>0</v>
      </c>
      <c r="IP114" s="54">
        <f t="shared" si="148"/>
        <v>0</v>
      </c>
      <c r="IQ114" s="54">
        <f t="shared" si="149"/>
        <v>0</v>
      </c>
      <c r="IR114" s="54">
        <f t="shared" ref="IR114:IR120" si="151">$HU$25</f>
        <v>0</v>
      </c>
      <c r="IS114" s="58" t="str">
        <f>IF(IC113="-","",SUM(IM114:IR114))</f>
        <v/>
      </c>
      <c r="IT114" s="54">
        <f t="shared" si="150"/>
        <v>25.5</v>
      </c>
      <c r="IV114" s="54">
        <f>IV113</f>
        <v>25.5</v>
      </c>
      <c r="IW114" s="54">
        <f>IF(IC113="-",0,EJ22)/20</f>
        <v>0</v>
      </c>
      <c r="IY114" s="54">
        <f>IY113</f>
        <v>-5</v>
      </c>
      <c r="IZ114" s="54">
        <f>IF(IC113="-",0,EL22/20)</f>
        <v>0</v>
      </c>
      <c r="JB114" s="54"/>
      <c r="JC114" s="54"/>
      <c r="JE114" s="54"/>
      <c r="JF114" s="54"/>
      <c r="JH114" s="54">
        <f>IF(IC113=11,ID114,-5)</f>
        <v>-5</v>
      </c>
      <c r="JI114" s="54">
        <f>IG114</f>
        <v>0</v>
      </c>
      <c r="JK114" s="54"/>
      <c r="JL114" s="54"/>
      <c r="JM114" s="39"/>
      <c r="JN114" s="61">
        <f>HT25</f>
        <v>0</v>
      </c>
      <c r="JO114" s="54"/>
      <c r="JP114" s="39"/>
      <c r="JQ114" s="62" t="b">
        <f>IL117</f>
        <v>0</v>
      </c>
      <c r="JR114" s="54"/>
      <c r="JS114" s="39"/>
      <c r="JT114" s="54"/>
      <c r="JU114" s="54"/>
      <c r="JW114" s="125" t="str">
        <f>IC113</f>
        <v>-</v>
      </c>
      <c r="JX114" s="123"/>
    </row>
    <row r="115" spans="12:284" ht="14.25" customHeight="1" x14ac:dyDescent="0.2"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87"/>
      <c r="DW115" s="87"/>
      <c r="DX115" s="87"/>
      <c r="DY115" s="87"/>
      <c r="DZ115" s="87"/>
      <c r="EA115" s="87"/>
      <c r="EB115" s="87"/>
      <c r="EC115" s="87"/>
      <c r="ED115" s="87"/>
      <c r="FT115" s="98" t="s">
        <v>20</v>
      </c>
      <c r="FU115" s="170">
        <f>IF(GN3=0,0,(EX31*EZ31/GN3)*(GN3^2-EZ31^2))</f>
        <v>0</v>
      </c>
      <c r="FV115" s="170"/>
      <c r="FW115" s="170"/>
      <c r="FX115" s="170">
        <f>IF(GQ3=0,0,(EX32*FB32/GQ3)*(GQ3^2-FB32^2))</f>
        <v>0</v>
      </c>
      <c r="FY115" s="170"/>
      <c r="FZ115" s="170"/>
      <c r="GA115" s="101"/>
      <c r="GB115" s="172"/>
      <c r="GC115" s="172"/>
      <c r="GD115" s="172"/>
      <c r="GG115" s="22">
        <v>20</v>
      </c>
      <c r="GH115" s="45" t="e">
        <v>#N/A</v>
      </c>
      <c r="GI115" s="45" t="e">
        <v>#N/A</v>
      </c>
      <c r="GJ115" s="45" t="e">
        <v>#N/A</v>
      </c>
      <c r="GK115" s="45" t="e">
        <v>#N/A</v>
      </c>
      <c r="GL115" s="45" t="e">
        <v>#N/A</v>
      </c>
      <c r="GM115" s="45" t="e">
        <v>#N/A</v>
      </c>
      <c r="GN115" s="45" t="e">
        <v>#N/A</v>
      </c>
      <c r="GO115" s="45" t="e">
        <v>#N/A</v>
      </c>
      <c r="GP115" s="45" t="e">
        <v>#N/A</v>
      </c>
      <c r="GQ115" s="45" t="e">
        <v>#N/A</v>
      </c>
      <c r="GR115" s="45" t="e">
        <v>#N/A</v>
      </c>
      <c r="GS115" s="45" t="e">
        <v>#N/A</v>
      </c>
      <c r="GT115" s="45" t="e">
        <v>#N/A</v>
      </c>
      <c r="GU115" s="45" t="e">
        <v>#N/A</v>
      </c>
      <c r="GV115" s="45" t="e">
        <v>#N/A</v>
      </c>
      <c r="GW115" s="45" t="e">
        <v>#N/A</v>
      </c>
      <c r="GX115" s="45" t="e">
        <v>#N/A</v>
      </c>
      <c r="GY115" s="45" t="e">
        <v>#N/A</v>
      </c>
      <c r="GZ115" s="115" t="e">
        <v>#N/A</v>
      </c>
      <c r="HA115" s="115" t="e">
        <v>#N/A</v>
      </c>
      <c r="HB115" s="115" t="e">
        <v>#N/A</v>
      </c>
      <c r="HC115" s="45" t="e">
        <v>#N/A</v>
      </c>
      <c r="HD115" s="45" t="e">
        <v>#N/A</v>
      </c>
      <c r="HE115" s="45" t="e">
        <v>#N/A</v>
      </c>
      <c r="HF115" s="45" t="e">
        <v>#N/A</v>
      </c>
      <c r="HG115" s="45"/>
      <c r="HI115" s="35">
        <f>$GB$107</f>
        <v>0</v>
      </c>
      <c r="HK115" s="28"/>
      <c r="IC115" s="250"/>
      <c r="ID115" s="53">
        <f t="shared" ref="ID115:ID121" si="152">IF($IC$113="-",$ID$113,$ID$113+IF115)</f>
        <v>25.5</v>
      </c>
      <c r="IE115" s="53" t="s">
        <v>151</v>
      </c>
      <c r="IF115" s="53">
        <f>IF(EL22=0,IF114,EN22)</f>
        <v>0</v>
      </c>
      <c r="IG115" s="53">
        <f>IF(IC113="-",0,IG114-IF(EL22=0,0,EJ22*IF115))</f>
        <v>0</v>
      </c>
      <c r="II115" s="54" t="b">
        <f t="shared" si="124"/>
        <v>0</v>
      </c>
      <c r="IJ115" s="55" t="b">
        <f t="shared" si="143"/>
        <v>0</v>
      </c>
      <c r="IK115" s="54">
        <f t="shared" si="144"/>
        <v>0</v>
      </c>
      <c r="IL115" s="56">
        <f>IL114*2</f>
        <v>0</v>
      </c>
      <c r="IM115" s="54">
        <f t="shared" si="145"/>
        <v>0</v>
      </c>
      <c r="IN115" s="54">
        <f t="shared" si="146"/>
        <v>0</v>
      </c>
      <c r="IO115" s="57">
        <f t="shared" si="147"/>
        <v>0</v>
      </c>
      <c r="IP115" s="54">
        <f t="shared" si="148"/>
        <v>0</v>
      </c>
      <c r="IQ115" s="54">
        <f t="shared" si="149"/>
        <v>0</v>
      </c>
      <c r="IR115" s="54">
        <f t="shared" si="151"/>
        <v>0</v>
      </c>
      <c r="IS115" s="58" t="str">
        <f>IF(IC113="-","",SUM(IM115:IR115))</f>
        <v/>
      </c>
      <c r="IT115" s="54">
        <f t="shared" si="150"/>
        <v>25.5</v>
      </c>
      <c r="IV115" s="54">
        <f>IF122/2+IV113</f>
        <v>25.5</v>
      </c>
      <c r="IW115" s="54">
        <f>IW114</f>
        <v>0</v>
      </c>
      <c r="IY115" s="65" t="str">
        <f>IF(IC113="-","",IF(EL22=0,"",EL22))</f>
        <v/>
      </c>
      <c r="IZ115" s="55"/>
      <c r="JB115" s="54"/>
      <c r="JC115" s="54"/>
      <c r="JE115" s="54"/>
      <c r="JF115" s="54"/>
      <c r="JH115" s="54"/>
      <c r="JI115" s="54"/>
      <c r="JK115" s="54"/>
      <c r="JL115" s="54"/>
      <c r="JM115" s="39"/>
      <c r="JN115" s="54"/>
      <c r="JO115" s="54"/>
      <c r="JP115" s="39"/>
      <c r="JQ115" s="54"/>
      <c r="JR115" s="54"/>
      <c r="JS115" s="39"/>
      <c r="JT115" s="54"/>
      <c r="JU115" s="54"/>
      <c r="JW115" s="123"/>
      <c r="JX115" s="123"/>
    </row>
    <row r="116" spans="12:284" ht="14.25" customHeight="1" x14ac:dyDescent="0.2"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87"/>
      <c r="DW116" s="87"/>
      <c r="DX116" s="87"/>
      <c r="DY116" s="87"/>
      <c r="DZ116" s="87"/>
      <c r="EA116" s="87"/>
      <c r="EB116" s="87"/>
      <c r="EC116" s="87"/>
      <c r="ED116" s="87"/>
      <c r="FH116" s="28">
        <v>22</v>
      </c>
      <c r="FI116" s="184" t="s">
        <v>108</v>
      </c>
      <c r="FJ116" s="184"/>
      <c r="FK116" s="185" t="s">
        <v>107</v>
      </c>
      <c r="FL116" s="185"/>
      <c r="FM116" s="185"/>
      <c r="FN116" s="185" t="s">
        <v>109</v>
      </c>
      <c r="FO116" s="185"/>
      <c r="FP116" s="185"/>
      <c r="FQ116" s="185" t="s">
        <v>111</v>
      </c>
      <c r="FR116" s="185"/>
      <c r="FS116" s="185"/>
      <c r="FT116" s="98" t="s">
        <v>57</v>
      </c>
      <c r="FU116" s="187" t="s">
        <v>13</v>
      </c>
      <c r="FV116" s="185"/>
      <c r="FW116" s="185"/>
      <c r="FX116" s="187" t="s">
        <v>14</v>
      </c>
      <c r="FY116" s="185"/>
      <c r="FZ116" s="185"/>
      <c r="GA116" s="98" t="s">
        <v>57</v>
      </c>
      <c r="GB116" s="187" t="s">
        <v>60</v>
      </c>
      <c r="GC116" s="185"/>
      <c r="GD116" s="185"/>
      <c r="GG116" s="22">
        <v>21</v>
      </c>
      <c r="GH116" s="45" t="e">
        <v>#N/A</v>
      </c>
      <c r="GI116" s="45" t="e">
        <v>#N/A</v>
      </c>
      <c r="GJ116" s="45" t="e">
        <v>#N/A</v>
      </c>
      <c r="GK116" s="45" t="e">
        <v>#N/A</v>
      </c>
      <c r="GL116" s="45" t="e">
        <v>#N/A</v>
      </c>
      <c r="GM116" s="45" t="e">
        <v>#N/A</v>
      </c>
      <c r="GN116" s="45" t="e">
        <v>#N/A</v>
      </c>
      <c r="GO116" s="45" t="e">
        <v>#N/A</v>
      </c>
      <c r="GP116" s="45" t="e">
        <v>#N/A</v>
      </c>
      <c r="GQ116" s="45" t="e">
        <v>#N/A</v>
      </c>
      <c r="GR116" s="45" t="e">
        <v>#N/A</v>
      </c>
      <c r="GS116" s="45" t="e">
        <v>#N/A</v>
      </c>
      <c r="GT116" s="45" t="e">
        <v>#N/A</v>
      </c>
      <c r="GU116" s="45" t="e">
        <v>#N/A</v>
      </c>
      <c r="GV116" s="45" t="e">
        <v>#N/A</v>
      </c>
      <c r="GW116" s="45" t="e">
        <v>#N/A</v>
      </c>
      <c r="GX116" s="45" t="e">
        <v>#N/A</v>
      </c>
      <c r="GY116" s="45" t="e">
        <v>#N/A</v>
      </c>
      <c r="GZ116" s="45" t="e">
        <v>#N/A</v>
      </c>
      <c r="HA116" s="115" t="e">
        <v>#N/A</v>
      </c>
      <c r="HB116" s="115" t="e">
        <v>#N/A</v>
      </c>
      <c r="HC116" s="115" t="e">
        <v>#N/A</v>
      </c>
      <c r="HD116" s="45" t="e">
        <v>#N/A</v>
      </c>
      <c r="HE116" s="45" t="e">
        <v>#N/A</v>
      </c>
      <c r="HF116" s="45" t="e">
        <v>#N/A</v>
      </c>
      <c r="HG116" s="45"/>
      <c r="HI116" s="35">
        <f>$GB$112</f>
        <v>0</v>
      </c>
      <c r="HK116" s="28"/>
      <c r="IC116" s="250"/>
      <c r="ID116" s="53">
        <f t="shared" si="152"/>
        <v>25.5</v>
      </c>
      <c r="IE116" s="53" t="s">
        <v>152</v>
      </c>
      <c r="IF116" s="53">
        <f>IF115</f>
        <v>0</v>
      </c>
      <c r="IG116" s="53">
        <f>IF(IC113="-",0,IG115-EL22)</f>
        <v>0</v>
      </c>
      <c r="II116" s="54" t="b">
        <f t="shared" si="124"/>
        <v>0</v>
      </c>
      <c r="IJ116" s="55" t="b">
        <f t="shared" si="143"/>
        <v>0</v>
      </c>
      <c r="IK116" s="54">
        <f t="shared" si="144"/>
        <v>0</v>
      </c>
      <c r="IL116" s="56">
        <f>IL114*3</f>
        <v>0</v>
      </c>
      <c r="IM116" s="54">
        <f t="shared" si="145"/>
        <v>0</v>
      </c>
      <c r="IN116" s="54">
        <f t="shared" si="146"/>
        <v>0</v>
      </c>
      <c r="IO116" s="57">
        <f t="shared" si="147"/>
        <v>0</v>
      </c>
      <c r="IP116" s="54">
        <f t="shared" si="148"/>
        <v>0</v>
      </c>
      <c r="IQ116" s="54">
        <f t="shared" si="149"/>
        <v>0</v>
      </c>
      <c r="IR116" s="54">
        <f t="shared" si="151"/>
        <v>0</v>
      </c>
      <c r="IS116" s="58" t="str">
        <f>IF(IC113="-","",SUM(IM116:IR116))</f>
        <v/>
      </c>
      <c r="IT116" s="54">
        <f t="shared" si="150"/>
        <v>25.5</v>
      </c>
      <c r="IV116" s="54">
        <f>IV117</f>
        <v>25.5</v>
      </c>
      <c r="IW116" s="54">
        <f>IW114</f>
        <v>0</v>
      </c>
      <c r="IY116" s="54">
        <f>IF(IC113="-",-5,IF(ER22=0,-5,ID113+ET22))</f>
        <v>-5</v>
      </c>
      <c r="IZ116" s="54">
        <v>0</v>
      </c>
      <c r="JB116" s="54"/>
      <c r="JC116" s="54"/>
      <c r="JE116" s="54"/>
      <c r="JF116" s="54"/>
      <c r="JH116" s="54"/>
      <c r="JI116" s="54"/>
      <c r="JK116" s="54"/>
      <c r="JL116" s="54"/>
      <c r="JM116" s="39"/>
      <c r="JN116" s="54"/>
      <c r="JO116" s="54"/>
      <c r="JP116" s="39"/>
      <c r="JQ116" s="54"/>
      <c r="JR116" s="54"/>
      <c r="JS116" s="39"/>
      <c r="JT116" s="54"/>
      <c r="JU116" s="54"/>
      <c r="JW116" s="123"/>
      <c r="JX116" s="123"/>
    </row>
    <row r="117" spans="12:284" ht="14.25" customHeight="1" x14ac:dyDescent="0.2"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87"/>
      <c r="DW117" s="87"/>
      <c r="DX117" s="87"/>
      <c r="DY117" s="87"/>
      <c r="DZ117" s="87"/>
      <c r="EA117" s="87"/>
      <c r="EB117" s="87"/>
      <c r="EC117" s="87"/>
      <c r="ED117" s="87"/>
      <c r="FK117" s="169">
        <f>GQ3</f>
        <v>0</v>
      </c>
      <c r="FL117" s="169"/>
      <c r="FM117" s="169"/>
      <c r="FN117" s="169">
        <f>2*(GQ3+GT3)</f>
        <v>0</v>
      </c>
      <c r="FO117" s="169"/>
      <c r="FP117" s="169"/>
      <c r="FQ117" s="169">
        <f>IF($F$2=22,(IF(F10=ER43,GT3,IF(F10=ER44,GT3*FF40,0))),IF(F2&gt;22,GT3,0))</f>
        <v>0</v>
      </c>
      <c r="FR117" s="169"/>
      <c r="FS117" s="169"/>
      <c r="FT117" s="98" t="s">
        <v>41</v>
      </c>
      <c r="FU117" s="170">
        <f>(EJ32*GQ3^3)/4</f>
        <v>0</v>
      </c>
      <c r="FV117" s="170"/>
      <c r="FW117" s="170"/>
      <c r="FX117" s="170">
        <f>(EJ33*GT3^3)/4</f>
        <v>0</v>
      </c>
      <c r="FY117" s="170"/>
      <c r="FZ117" s="170"/>
      <c r="GA117" s="101"/>
      <c r="GB117" s="171">
        <f>-SUM(FU117:FZ120)-IF(F2=22,IF($F$10=$ER$44,FQ117,0))</f>
        <v>0</v>
      </c>
      <c r="GC117" s="171"/>
      <c r="GD117" s="171"/>
      <c r="GG117" s="22">
        <v>22</v>
      </c>
      <c r="GH117" s="45" t="e">
        <v>#N/A</v>
      </c>
      <c r="GI117" s="45" t="e">
        <v>#N/A</v>
      </c>
      <c r="GJ117" s="45" t="e">
        <v>#N/A</v>
      </c>
      <c r="GK117" s="45" t="e">
        <v>#N/A</v>
      </c>
      <c r="GL117" s="45" t="e">
        <v>#N/A</v>
      </c>
      <c r="GM117" s="45" t="e">
        <v>#N/A</v>
      </c>
      <c r="GN117" s="45" t="e">
        <v>#N/A</v>
      </c>
      <c r="GO117" s="45" t="e">
        <v>#N/A</v>
      </c>
      <c r="GP117" s="45" t="e">
        <v>#N/A</v>
      </c>
      <c r="GQ117" s="45" t="e">
        <v>#N/A</v>
      </c>
      <c r="GR117" s="45" t="e">
        <v>#N/A</v>
      </c>
      <c r="GS117" s="45" t="e">
        <v>#N/A</v>
      </c>
      <c r="GT117" s="45" t="e">
        <v>#N/A</v>
      </c>
      <c r="GU117" s="45" t="e">
        <v>#N/A</v>
      </c>
      <c r="GV117" s="45" t="e">
        <v>#N/A</v>
      </c>
      <c r="GW117" s="45" t="e">
        <v>#N/A</v>
      </c>
      <c r="GX117" s="45" t="e">
        <v>#N/A</v>
      </c>
      <c r="GY117" s="45" t="e">
        <v>#N/A</v>
      </c>
      <c r="GZ117" s="45" t="e">
        <v>#N/A</v>
      </c>
      <c r="HA117" s="45" t="e">
        <v>#N/A</v>
      </c>
      <c r="HB117" s="115" t="e">
        <v>#N/A</v>
      </c>
      <c r="HC117" s="115" t="e">
        <v>#N/A</v>
      </c>
      <c r="HD117" s="115" t="e">
        <v>#N/A</v>
      </c>
      <c r="HE117" s="45" t="e">
        <v>#N/A</v>
      </c>
      <c r="HF117" s="45" t="e">
        <v>#N/A</v>
      </c>
      <c r="HG117" s="45"/>
      <c r="HI117" s="35">
        <f>$GB$117</f>
        <v>0</v>
      </c>
      <c r="HK117" s="28"/>
      <c r="IC117" s="250"/>
      <c r="ID117" s="53">
        <f t="shared" si="152"/>
        <v>25.5</v>
      </c>
      <c r="IE117" s="53" t="s">
        <v>153</v>
      </c>
      <c r="IF117" s="53">
        <f>IF(ER22=0,IF116,ET22)</f>
        <v>0</v>
      </c>
      <c r="IG117" s="53">
        <f>IF(IC113="-",0,IG116-IF(ER22=0,0,EJ22*(IF117-IF116)))</f>
        <v>0</v>
      </c>
      <c r="II117" s="54" t="b">
        <f t="shared" si="124"/>
        <v>0</v>
      </c>
      <c r="IJ117" s="55" t="b">
        <f t="shared" si="143"/>
        <v>0</v>
      </c>
      <c r="IK117" s="54">
        <f t="shared" si="144"/>
        <v>0</v>
      </c>
      <c r="IL117" s="68" t="b">
        <f>IF(II113=TRUE,IK113,IF(II114=TRUE,IK114,IF(II115=TRUE,IK115,IF(II116=TRUE,IK116,IF(II117=TRUE,IK117,IF(II118=TRUE,IK118,IF(II119=TRUE,IK119,IF(II120=TRUE,IK120,IF(II121=TRUE,IK121,IF(II122=TRUE,IK122))))))))))</f>
        <v>0</v>
      </c>
      <c r="IM117" s="68">
        <f t="shared" si="145"/>
        <v>0</v>
      </c>
      <c r="IN117" s="68">
        <f t="shared" si="146"/>
        <v>0</v>
      </c>
      <c r="IO117" s="69">
        <f t="shared" si="147"/>
        <v>0</v>
      </c>
      <c r="IP117" s="68">
        <f t="shared" si="148"/>
        <v>0</v>
      </c>
      <c r="IQ117" s="68">
        <f t="shared" si="149"/>
        <v>0</v>
      </c>
      <c r="IR117" s="68">
        <f t="shared" si="151"/>
        <v>0</v>
      </c>
      <c r="IS117" s="70" t="str">
        <f>IF(IC113="-","",ROUND(SUM(IM117:IR117),2))</f>
        <v/>
      </c>
      <c r="IT117" s="68">
        <f t="shared" si="150"/>
        <v>25.5</v>
      </c>
      <c r="IV117" s="54">
        <f>ID122</f>
        <v>25.5</v>
      </c>
      <c r="IW117" s="54">
        <v>0</v>
      </c>
      <c r="IY117" s="54">
        <f>IY116</f>
        <v>-5</v>
      </c>
      <c r="IZ117" s="54">
        <f>IF(IC113="-",0,ER22/20)</f>
        <v>0</v>
      </c>
      <c r="JB117" s="54"/>
      <c r="JC117" s="54"/>
      <c r="JE117" s="54"/>
      <c r="JF117" s="54"/>
      <c r="JH117" s="54"/>
      <c r="JI117" s="54"/>
      <c r="JK117" s="54">
        <f>IF(IC113=11,IT117,-5)</f>
        <v>-5</v>
      </c>
      <c r="JL117" s="59" t="str">
        <f>IS117</f>
        <v/>
      </c>
      <c r="JM117" s="40"/>
      <c r="JN117" s="59"/>
      <c r="JO117" s="59"/>
      <c r="JP117" s="40"/>
      <c r="JQ117" s="59"/>
      <c r="JR117" s="59"/>
      <c r="JS117" s="40"/>
      <c r="JT117" s="59"/>
      <c r="JU117" s="59"/>
      <c r="JW117" s="122"/>
      <c r="JX117" s="122"/>
    </row>
    <row r="118" spans="12:284" ht="14.25" customHeight="1" x14ac:dyDescent="0.2"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87"/>
      <c r="DW118" s="87"/>
      <c r="DX118" s="87"/>
      <c r="DY118" s="87"/>
      <c r="DZ118" s="87"/>
      <c r="EA118" s="87"/>
      <c r="EB118" s="87"/>
      <c r="EC118" s="87"/>
      <c r="ED118" s="87"/>
      <c r="FT118" s="98" t="s">
        <v>17</v>
      </c>
      <c r="FU118" s="170">
        <f>IF(GQ3=0,0,(EL32*EN32/GQ3)*(GQ3^2-EN32^2))</f>
        <v>0</v>
      </c>
      <c r="FV118" s="170"/>
      <c r="FW118" s="170"/>
      <c r="FX118" s="170">
        <f>IF(GT3=0,0,(EL33*EP33/GT3)*(GT3^2-EP33^2))</f>
        <v>0</v>
      </c>
      <c r="FY118" s="170"/>
      <c r="FZ118" s="170"/>
      <c r="GA118" s="101"/>
      <c r="GB118" s="170"/>
      <c r="GC118" s="170"/>
      <c r="GD118" s="170"/>
      <c r="GG118" s="22">
        <v>23</v>
      </c>
      <c r="GH118" s="45" t="e">
        <v>#N/A</v>
      </c>
      <c r="GI118" s="45" t="e">
        <v>#N/A</v>
      </c>
      <c r="GJ118" s="45" t="e">
        <v>#N/A</v>
      </c>
      <c r="GK118" s="45" t="e">
        <v>#N/A</v>
      </c>
      <c r="GL118" s="45" t="e">
        <v>#N/A</v>
      </c>
      <c r="GM118" s="45" t="e">
        <v>#N/A</v>
      </c>
      <c r="GN118" s="45" t="e">
        <v>#N/A</v>
      </c>
      <c r="GO118" s="45" t="e">
        <v>#N/A</v>
      </c>
      <c r="GP118" s="45" t="e">
        <v>#N/A</v>
      </c>
      <c r="GQ118" s="45" t="e">
        <v>#N/A</v>
      </c>
      <c r="GR118" s="45" t="e">
        <v>#N/A</v>
      </c>
      <c r="GS118" s="45" t="e">
        <v>#N/A</v>
      </c>
      <c r="GT118" s="45" t="e">
        <v>#N/A</v>
      </c>
      <c r="GU118" s="45" t="e">
        <v>#N/A</v>
      </c>
      <c r="GV118" s="45" t="e">
        <v>#N/A</v>
      </c>
      <c r="GW118" s="45" t="e">
        <v>#N/A</v>
      </c>
      <c r="GX118" s="45" t="e">
        <v>#N/A</v>
      </c>
      <c r="GY118" s="45" t="e">
        <v>#N/A</v>
      </c>
      <c r="GZ118" s="45" t="e">
        <v>#N/A</v>
      </c>
      <c r="HA118" s="45" t="e">
        <v>#N/A</v>
      </c>
      <c r="HB118" s="45" t="e">
        <v>#N/A</v>
      </c>
      <c r="HC118" s="115" t="e">
        <v>#N/A</v>
      </c>
      <c r="HD118" s="115" t="e">
        <v>#N/A</v>
      </c>
      <c r="HE118" s="115" t="e">
        <v>#N/A</v>
      </c>
      <c r="HF118" s="45" t="e">
        <v>#N/A</v>
      </c>
      <c r="HG118" s="45"/>
      <c r="HI118" s="35">
        <f>$GB$122</f>
        <v>0</v>
      </c>
      <c r="HK118" s="28"/>
      <c r="IC118" s="250"/>
      <c r="ID118" s="53">
        <f t="shared" si="152"/>
        <v>25.5</v>
      </c>
      <c r="IE118" s="53" t="s">
        <v>154</v>
      </c>
      <c r="IF118" s="53">
        <f>IF117</f>
        <v>0</v>
      </c>
      <c r="IG118" s="53">
        <f>IF(IC113="-",0,IG117-ER22)</f>
        <v>0</v>
      </c>
      <c r="II118" s="54" t="b">
        <f t="shared" si="124"/>
        <v>0</v>
      </c>
      <c r="IJ118" s="55" t="b">
        <f t="shared" si="143"/>
        <v>0</v>
      </c>
      <c r="IK118" s="54">
        <f t="shared" si="144"/>
        <v>0</v>
      </c>
      <c r="IL118" s="56">
        <f>IL117+($IL$122-$IL$117)/4</f>
        <v>0</v>
      </c>
      <c r="IM118" s="54">
        <f t="shared" si="145"/>
        <v>0</v>
      </c>
      <c r="IN118" s="54">
        <f t="shared" si="146"/>
        <v>0</v>
      </c>
      <c r="IO118" s="57">
        <f t="shared" si="147"/>
        <v>0</v>
      </c>
      <c r="IP118" s="54">
        <f t="shared" si="148"/>
        <v>0</v>
      </c>
      <c r="IQ118" s="54">
        <f t="shared" si="149"/>
        <v>0</v>
      </c>
      <c r="IR118" s="54">
        <f t="shared" si="151"/>
        <v>0</v>
      </c>
      <c r="IS118" s="58" t="str">
        <f>IF(IC113="-","",SUM(IM118:IR118))</f>
        <v/>
      </c>
      <c r="IT118" s="54">
        <f t="shared" si="150"/>
        <v>25.5</v>
      </c>
      <c r="IV118" s="54"/>
      <c r="IW118" s="54"/>
      <c r="IY118" s="65" t="str">
        <f>IF(IC113="-","",IF(ER22=0,"",ER22))</f>
        <v/>
      </c>
      <c r="IZ118" s="55"/>
      <c r="JB118" s="54"/>
      <c r="JC118" s="54"/>
      <c r="JE118" s="54"/>
      <c r="JF118" s="54"/>
      <c r="JH118" s="54"/>
      <c r="JI118" s="54"/>
      <c r="JK118" s="54"/>
      <c r="JL118" s="54"/>
      <c r="JM118" s="39"/>
      <c r="JN118" s="54"/>
      <c r="JO118" s="54"/>
      <c r="JP118" s="39"/>
      <c r="JQ118" s="54"/>
      <c r="JR118" s="54"/>
      <c r="JS118" s="39"/>
      <c r="JT118" s="54"/>
      <c r="JU118" s="54"/>
      <c r="JW118" s="123"/>
      <c r="JX118" s="123"/>
    </row>
    <row r="119" spans="12:284" ht="14.25" customHeight="1" x14ac:dyDescent="0.2"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87"/>
      <c r="DW119" s="87"/>
      <c r="DX119" s="87"/>
      <c r="DY119" s="87"/>
      <c r="DZ119" s="87"/>
      <c r="EA119" s="87"/>
      <c r="EB119" s="87"/>
      <c r="EC119" s="87"/>
      <c r="ED119" s="87"/>
      <c r="FT119" s="98" t="s">
        <v>19</v>
      </c>
      <c r="FU119" s="170">
        <f>IF(GQ3=0,0,(ER32*ET32/GQ3)*(GQ3^2-ET32^2))</f>
        <v>0</v>
      </c>
      <c r="FV119" s="170"/>
      <c r="FW119" s="170"/>
      <c r="FX119" s="170">
        <f>IF(GT3=0,0,(ER33*EV33/GT3)*(GT3^2-EV33^2))</f>
        <v>0</v>
      </c>
      <c r="FY119" s="170"/>
      <c r="FZ119" s="170"/>
      <c r="GA119" s="101"/>
      <c r="GB119" s="170"/>
      <c r="GC119" s="170"/>
      <c r="GD119" s="170"/>
      <c r="GG119" s="22">
        <v>24</v>
      </c>
      <c r="GH119" s="45" t="e">
        <v>#N/A</v>
      </c>
      <c r="GI119" s="45" t="e">
        <v>#N/A</v>
      </c>
      <c r="GJ119" s="45" t="e">
        <v>#N/A</v>
      </c>
      <c r="GK119" s="45" t="e">
        <v>#N/A</v>
      </c>
      <c r="GL119" s="45" t="e">
        <v>#N/A</v>
      </c>
      <c r="GM119" s="45" t="e">
        <v>#N/A</v>
      </c>
      <c r="GN119" s="45" t="e">
        <v>#N/A</v>
      </c>
      <c r="GO119" s="45" t="e">
        <v>#N/A</v>
      </c>
      <c r="GP119" s="45" t="e">
        <v>#N/A</v>
      </c>
      <c r="GQ119" s="45" t="e">
        <v>#N/A</v>
      </c>
      <c r="GR119" s="45" t="e">
        <v>#N/A</v>
      </c>
      <c r="GS119" s="45" t="e">
        <v>#N/A</v>
      </c>
      <c r="GT119" s="45" t="e">
        <v>#N/A</v>
      </c>
      <c r="GU119" s="45" t="e">
        <v>#N/A</v>
      </c>
      <c r="GV119" s="45" t="e">
        <v>#N/A</v>
      </c>
      <c r="GW119" s="45" t="e">
        <v>#N/A</v>
      </c>
      <c r="GX119" s="45" t="e">
        <v>#N/A</v>
      </c>
      <c r="GY119" s="45" t="e">
        <v>#N/A</v>
      </c>
      <c r="GZ119" s="45" t="e">
        <v>#N/A</v>
      </c>
      <c r="HA119" s="45" t="e">
        <v>#N/A</v>
      </c>
      <c r="HB119" s="45" t="e">
        <v>#N/A</v>
      </c>
      <c r="HC119" s="45" t="e">
        <v>#N/A</v>
      </c>
      <c r="HD119" s="115" t="e">
        <v>#N/A</v>
      </c>
      <c r="HE119" s="115" t="e">
        <v>#N/A</v>
      </c>
      <c r="HF119" s="115" t="e">
        <v>#N/A</v>
      </c>
      <c r="HG119" s="45"/>
      <c r="HI119" s="35">
        <f>$GB$127</f>
        <v>0</v>
      </c>
      <c r="HK119" s="28"/>
      <c r="IC119" s="250"/>
      <c r="ID119" s="53">
        <f t="shared" si="152"/>
        <v>25.5</v>
      </c>
      <c r="IE119" s="53" t="s">
        <v>155</v>
      </c>
      <c r="IF119" s="53">
        <f>IF(EX22=0,IF118,EZ22)</f>
        <v>0</v>
      </c>
      <c r="IG119" s="53">
        <f>IF(IC113="-",0,IG118-IF(EX22=0,0,EJ22*(IF119-IF118)))</f>
        <v>0</v>
      </c>
      <c r="II119" s="54" t="b">
        <f t="shared" si="124"/>
        <v>0</v>
      </c>
      <c r="IJ119" s="55" t="b">
        <f t="shared" si="143"/>
        <v>0</v>
      </c>
      <c r="IK119" s="54">
        <f t="shared" si="144"/>
        <v>0</v>
      </c>
      <c r="IL119" s="56">
        <f>IL118+($IL$122-$IL$117)/4</f>
        <v>0</v>
      </c>
      <c r="IM119" s="54">
        <f t="shared" si="145"/>
        <v>0</v>
      </c>
      <c r="IN119" s="54">
        <f t="shared" si="146"/>
        <v>0</v>
      </c>
      <c r="IO119" s="57">
        <f t="shared" si="147"/>
        <v>0</v>
      </c>
      <c r="IP119" s="54">
        <f t="shared" si="148"/>
        <v>0</v>
      </c>
      <c r="IQ119" s="54">
        <f t="shared" si="149"/>
        <v>0</v>
      </c>
      <c r="IR119" s="54">
        <f t="shared" si="151"/>
        <v>0</v>
      </c>
      <c r="IS119" s="58" t="str">
        <f>IF(IC113="-","",SUM(IM119:IR119))</f>
        <v/>
      </c>
      <c r="IT119" s="54">
        <f t="shared" si="150"/>
        <v>25.5</v>
      </c>
      <c r="IV119" s="72" t="str">
        <f>IF(IC113="-","",EJ22)</f>
        <v/>
      </c>
      <c r="IW119" s="54"/>
      <c r="IY119" s="54">
        <f>IF(IC113="-",-5,IF(EX22=0,-5,ID113+EZ22))</f>
        <v>-5</v>
      </c>
      <c r="IZ119" s="54">
        <v>0</v>
      </c>
      <c r="JB119" s="54"/>
      <c r="JC119" s="54"/>
      <c r="JE119" s="54"/>
      <c r="JF119" s="54"/>
      <c r="JH119" s="54"/>
      <c r="JI119" s="54"/>
      <c r="JK119" s="54"/>
      <c r="JL119" s="54"/>
      <c r="JM119" s="39"/>
      <c r="JN119" s="54"/>
      <c r="JO119" s="54"/>
      <c r="JP119" s="39"/>
      <c r="JQ119" s="54"/>
      <c r="JR119" s="54"/>
      <c r="JS119" s="39"/>
      <c r="JT119" s="54"/>
      <c r="JU119" s="54"/>
      <c r="JW119" s="123"/>
      <c r="JX119" s="123"/>
    </row>
    <row r="120" spans="12:284" ht="14.25" customHeight="1" x14ac:dyDescent="0.2"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87"/>
      <c r="DW120" s="87"/>
      <c r="DX120" s="87"/>
      <c r="DY120" s="87"/>
      <c r="DZ120" s="87"/>
      <c r="EA120" s="87"/>
      <c r="EB120" s="87"/>
      <c r="EC120" s="87"/>
      <c r="ED120" s="87"/>
      <c r="FT120" s="98" t="s">
        <v>20</v>
      </c>
      <c r="FU120" s="170">
        <f>IF(GQ3=0,0,(EX32*EZ32/GQ3)*(GQ3^2-EZ32^2))</f>
        <v>0</v>
      </c>
      <c r="FV120" s="170"/>
      <c r="FW120" s="170"/>
      <c r="FX120" s="170">
        <f>IF(GT3=0,0,(EX33*FB33/GT3)*(GT3^2-FB33^2))</f>
        <v>0</v>
      </c>
      <c r="FY120" s="170"/>
      <c r="FZ120" s="170"/>
      <c r="GA120" s="101"/>
      <c r="GB120" s="172"/>
      <c r="GC120" s="172"/>
      <c r="GD120" s="172"/>
      <c r="GG120" s="22">
        <v>25</v>
      </c>
      <c r="GH120" s="45" t="e">
        <v>#N/A</v>
      </c>
      <c r="GI120" s="45" t="e">
        <v>#N/A</v>
      </c>
      <c r="GJ120" s="45" t="e">
        <v>#N/A</v>
      </c>
      <c r="GK120" s="45" t="e">
        <v>#N/A</v>
      </c>
      <c r="GL120" s="45" t="e">
        <v>#N/A</v>
      </c>
      <c r="GM120" s="45" t="e">
        <v>#N/A</v>
      </c>
      <c r="GN120" s="45" t="e">
        <v>#N/A</v>
      </c>
      <c r="GO120" s="45" t="e">
        <v>#N/A</v>
      </c>
      <c r="GP120" s="45" t="e">
        <v>#N/A</v>
      </c>
      <c r="GQ120" s="45" t="e">
        <v>#N/A</v>
      </c>
      <c r="GR120" s="45" t="e">
        <v>#N/A</v>
      </c>
      <c r="GS120" s="45" t="e">
        <v>#N/A</v>
      </c>
      <c r="GT120" s="45" t="e">
        <v>#N/A</v>
      </c>
      <c r="GU120" s="45" t="e">
        <v>#N/A</v>
      </c>
      <c r="GV120" s="45" t="e">
        <v>#N/A</v>
      </c>
      <c r="GW120" s="45" t="e">
        <v>#N/A</v>
      </c>
      <c r="GX120" s="45" t="e">
        <v>#N/A</v>
      </c>
      <c r="GY120" s="45" t="e">
        <v>#N/A</v>
      </c>
      <c r="GZ120" s="45" t="e">
        <v>#N/A</v>
      </c>
      <c r="HA120" s="45" t="e">
        <v>#N/A</v>
      </c>
      <c r="HB120" s="45" t="e">
        <v>#N/A</v>
      </c>
      <c r="HC120" s="45" t="e">
        <v>#N/A</v>
      </c>
      <c r="HD120" s="45" t="e">
        <v>#N/A</v>
      </c>
      <c r="HE120" s="115" t="e">
        <v>#N/A</v>
      </c>
      <c r="HF120" s="115" t="e">
        <v>#N/A</v>
      </c>
      <c r="HG120" s="45"/>
      <c r="HI120" s="35">
        <f>$GB$132</f>
        <v>0</v>
      </c>
      <c r="HK120" s="28"/>
      <c r="IC120" s="250"/>
      <c r="ID120" s="53">
        <f t="shared" si="152"/>
        <v>25.5</v>
      </c>
      <c r="IE120" s="53" t="s">
        <v>156</v>
      </c>
      <c r="IF120" s="53">
        <f>IF119</f>
        <v>0</v>
      </c>
      <c r="IG120" s="53">
        <f>IF(IC113="-",0,IG119-EX22)</f>
        <v>0</v>
      </c>
      <c r="II120" s="54" t="b">
        <f t="shared" si="124"/>
        <v>0</v>
      </c>
      <c r="IJ120" s="55" t="b">
        <f t="shared" si="143"/>
        <v>0</v>
      </c>
      <c r="IK120" s="54">
        <f t="shared" si="144"/>
        <v>0</v>
      </c>
      <c r="IL120" s="56">
        <f>IL119+($IL$122-$IL$117)/4</f>
        <v>0</v>
      </c>
      <c r="IM120" s="54">
        <f t="shared" si="145"/>
        <v>0</v>
      </c>
      <c r="IN120" s="54">
        <f t="shared" si="146"/>
        <v>0</v>
      </c>
      <c r="IO120" s="57">
        <f t="shared" si="147"/>
        <v>0</v>
      </c>
      <c r="IP120" s="54">
        <f t="shared" si="148"/>
        <v>0</v>
      </c>
      <c r="IQ120" s="54">
        <f t="shared" si="149"/>
        <v>0</v>
      </c>
      <c r="IR120" s="54">
        <f t="shared" si="151"/>
        <v>0</v>
      </c>
      <c r="IS120" s="58" t="str">
        <f>IF(IC113="-","",SUM(IM120:IR120))</f>
        <v/>
      </c>
      <c r="IT120" s="54">
        <f t="shared" si="150"/>
        <v>25.5</v>
      </c>
      <c r="IV120" s="54"/>
      <c r="IW120" s="54"/>
      <c r="IY120" s="54">
        <f>IY119</f>
        <v>-5</v>
      </c>
      <c r="IZ120" s="54">
        <f>IF(IC113="-",0,EX22/20)</f>
        <v>0</v>
      </c>
      <c r="JB120" s="66" t="str">
        <f>IF(IC113="-","",HY26)</f>
        <v/>
      </c>
      <c r="JC120" s="54" t="b">
        <f>AND($F$2=11,$F$10=$ER$43)</f>
        <v>0</v>
      </c>
      <c r="JE120" s="66" t="str">
        <f>JB120</f>
        <v/>
      </c>
      <c r="JF120" s="54"/>
      <c r="JH120" s="54"/>
      <c r="JI120" s="54"/>
      <c r="JK120" s="54" t="b">
        <f>AND($F$2=11,$F$10=$ER$43)</f>
        <v>0</v>
      </c>
      <c r="JL120" s="54"/>
      <c r="JM120" s="39"/>
      <c r="JN120" s="54"/>
      <c r="JO120" s="54"/>
      <c r="JP120" s="39"/>
      <c r="JQ120" s="54"/>
      <c r="JR120" s="54"/>
      <c r="JS120" s="39"/>
      <c r="JT120" s="54"/>
      <c r="JU120" s="54"/>
      <c r="JW120" s="123"/>
      <c r="JX120" s="123"/>
    </row>
    <row r="121" spans="12:284" ht="14.25" customHeight="1" x14ac:dyDescent="0.2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87"/>
      <c r="DW121" s="87"/>
      <c r="DX121" s="87"/>
      <c r="DY121" s="87"/>
      <c r="DZ121" s="87"/>
      <c r="EA121" s="87"/>
      <c r="EB121" s="87"/>
      <c r="EC121" s="87"/>
      <c r="ED121" s="87"/>
      <c r="FH121" s="28">
        <v>23</v>
      </c>
      <c r="FI121" s="184" t="s">
        <v>113</v>
      </c>
      <c r="FJ121" s="184"/>
      <c r="FK121" s="185" t="s">
        <v>109</v>
      </c>
      <c r="FL121" s="185"/>
      <c r="FM121" s="185"/>
      <c r="FN121" s="185" t="s">
        <v>111</v>
      </c>
      <c r="FO121" s="185"/>
      <c r="FP121" s="185"/>
      <c r="FQ121" s="185" t="s">
        <v>112</v>
      </c>
      <c r="FR121" s="185"/>
      <c r="FS121" s="185"/>
      <c r="FT121" s="98" t="s">
        <v>57</v>
      </c>
      <c r="FU121" s="187" t="s">
        <v>13</v>
      </c>
      <c r="FV121" s="185"/>
      <c r="FW121" s="185"/>
      <c r="FX121" s="187" t="s">
        <v>14</v>
      </c>
      <c r="FY121" s="185"/>
      <c r="FZ121" s="185"/>
      <c r="GA121" s="98" t="s">
        <v>57</v>
      </c>
      <c r="GB121" s="187" t="s">
        <v>60</v>
      </c>
      <c r="GC121" s="185"/>
      <c r="GD121" s="185"/>
      <c r="GG121" s="22" t="s">
        <v>14</v>
      </c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115"/>
      <c r="HG121" s="115"/>
      <c r="HI121" s="35">
        <f>$GB$137</f>
        <v>0</v>
      </c>
      <c r="HK121" s="39"/>
      <c r="IC121" s="250"/>
      <c r="ID121" s="53">
        <f t="shared" si="152"/>
        <v>25.5</v>
      </c>
      <c r="IE121" s="53" t="s">
        <v>157</v>
      </c>
      <c r="IF121" s="53">
        <f>IF122</f>
        <v>0</v>
      </c>
      <c r="IG121" s="53">
        <f>HW26</f>
        <v>0</v>
      </c>
      <c r="II121" s="54" t="b">
        <f t="shared" si="124"/>
        <v>0</v>
      </c>
      <c r="IJ121" s="55" t="b">
        <f t="shared" si="143"/>
        <v>0</v>
      </c>
      <c r="IK121" s="54">
        <f t="shared" si="144"/>
        <v>0</v>
      </c>
      <c r="IL121" s="56">
        <f>IL120+($IL$122-$IL$117)/4</f>
        <v>0</v>
      </c>
      <c r="IM121" s="54">
        <f t="shared" si="145"/>
        <v>0</v>
      </c>
      <c r="IN121" s="54">
        <f t="shared" si="146"/>
        <v>0</v>
      </c>
      <c r="IO121" s="57">
        <f t="shared" si="147"/>
        <v>0</v>
      </c>
      <c r="IP121" s="54">
        <f t="shared" si="148"/>
        <v>0</v>
      </c>
      <c r="IQ121" s="54">
        <f t="shared" si="149"/>
        <v>0</v>
      </c>
      <c r="IR121" s="55"/>
      <c r="IS121" s="59" t="str">
        <f>IF(IC113="-","",ROUND(HU26,2))</f>
        <v/>
      </c>
      <c r="IT121" s="54">
        <f t="shared" si="150"/>
        <v>25.5</v>
      </c>
      <c r="IV121" s="54"/>
      <c r="IW121" s="54"/>
      <c r="IY121" s="65" t="str">
        <f>IF(IC113="-","",IF(EX22=0,"",EX22))</f>
        <v/>
      </c>
      <c r="IZ121" s="55"/>
      <c r="JB121" s="54">
        <f>ID122</f>
        <v>25.5</v>
      </c>
      <c r="JC121" s="54">
        <v>0</v>
      </c>
      <c r="JE121" s="54">
        <f>JB121</f>
        <v>25.5</v>
      </c>
      <c r="JF121" s="54">
        <f>IF(JE120&gt;0,-MAX(IW3:IW272,IZ3:IZ272)*0.5,-MAX(IW3:IW272,IZ3:IZ272)*1.5)</f>
        <v>-37.5</v>
      </c>
      <c r="JH121" s="54">
        <f>IF(IC113=11,ID121,-5)</f>
        <v>-5</v>
      </c>
      <c r="JI121" s="54">
        <f>IG121</f>
        <v>0</v>
      </c>
      <c r="JK121" s="54">
        <f>IF(JK120=TRUE,IT121,-5)</f>
        <v>-5</v>
      </c>
      <c r="JL121" s="59" t="str">
        <f>IS121</f>
        <v/>
      </c>
      <c r="JM121" s="40"/>
      <c r="JN121" s="59"/>
      <c r="JO121" s="59"/>
      <c r="JP121" s="40"/>
      <c r="JQ121" s="59"/>
      <c r="JR121" s="59"/>
      <c r="JS121" s="40"/>
      <c r="JT121" s="59"/>
      <c r="JU121" s="59"/>
      <c r="JW121" s="122"/>
      <c r="JX121" s="122"/>
    </row>
    <row r="122" spans="12:284" ht="14.25" customHeight="1" x14ac:dyDescent="0.2"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87"/>
      <c r="DW122" s="87"/>
      <c r="DX122" s="87"/>
      <c r="DY122" s="87"/>
      <c r="DZ122" s="87"/>
      <c r="EA122" s="87"/>
      <c r="EB122" s="87"/>
      <c r="EC122" s="87"/>
      <c r="ED122" s="87"/>
      <c r="FK122" s="169">
        <f>GT3</f>
        <v>0</v>
      </c>
      <c r="FL122" s="169"/>
      <c r="FM122" s="169"/>
      <c r="FN122" s="169">
        <f>2*(GT3+GW3)</f>
        <v>0</v>
      </c>
      <c r="FO122" s="169"/>
      <c r="FP122" s="169"/>
      <c r="FQ122" s="169">
        <f>IF($F$2=23,(IF(F10=ER43,GW3,IF(F10=ER44,GW3*FF40,0))),IF(F2&gt;23,GW3,0))</f>
        <v>0</v>
      </c>
      <c r="FR122" s="169"/>
      <c r="FS122" s="169"/>
      <c r="FT122" s="98" t="s">
        <v>41</v>
      </c>
      <c r="FU122" s="170">
        <f>(EJ33*GT3^3)/4</f>
        <v>0</v>
      </c>
      <c r="FV122" s="170"/>
      <c r="FW122" s="170"/>
      <c r="FX122" s="170">
        <f>(EJ34*GW3^3)/4</f>
        <v>0</v>
      </c>
      <c r="FY122" s="170"/>
      <c r="FZ122" s="170"/>
      <c r="GA122" s="101"/>
      <c r="GB122" s="171">
        <f>-SUM(FU122:FZ125)-IF(F2=23,IF($F$10=$ER$44,FQ122,0))</f>
        <v>0</v>
      </c>
      <c r="GC122" s="171"/>
      <c r="GD122" s="171"/>
      <c r="IC122" s="250"/>
      <c r="ID122" s="53">
        <f>IF(HS25="R0",ID113,ID113+HT25)</f>
        <v>25.5</v>
      </c>
      <c r="IE122" s="53" t="s">
        <v>158</v>
      </c>
      <c r="IF122" s="53">
        <f>IF(HS25="R0",0,HT25)</f>
        <v>0</v>
      </c>
      <c r="IG122" s="53">
        <v>0</v>
      </c>
      <c r="II122" s="54" t="b">
        <f t="shared" si="124"/>
        <v>0</v>
      </c>
      <c r="IJ122" s="55" t="b">
        <f t="shared" si="143"/>
        <v>0</v>
      </c>
      <c r="IK122" s="54">
        <f t="shared" si="144"/>
        <v>0</v>
      </c>
      <c r="IL122" s="56">
        <f>IK122</f>
        <v>0</v>
      </c>
      <c r="IM122" s="54"/>
      <c r="IN122" s="55"/>
      <c r="IO122" s="55"/>
      <c r="IP122" s="55"/>
      <c r="IQ122" s="55"/>
      <c r="IR122" s="55"/>
      <c r="IS122" s="83"/>
      <c r="IT122" s="54"/>
      <c r="IV122" s="54"/>
      <c r="IW122" s="54"/>
      <c r="IY122" s="55"/>
      <c r="IZ122" s="55"/>
      <c r="JB122" s="54">
        <f>JB121</f>
        <v>25.5</v>
      </c>
      <c r="JC122" s="54">
        <f>IF(IC113="-",0,IF(JC120=TRUE,0,-20))</f>
        <v>0</v>
      </c>
      <c r="JE122" s="54">
        <f>JE121</f>
        <v>25.5</v>
      </c>
      <c r="JF122" s="54">
        <f>IF(IC113="-",JF121,IF(JE120&gt;0,-MAX(IW3:IW272,IZ3:IZ272)*1.5,-MAX(IW3:IW272,IZ3:IZ272)*0.5))</f>
        <v>-37.5</v>
      </c>
      <c r="JH122" s="54"/>
      <c r="JI122" s="54"/>
      <c r="JK122" s="54"/>
      <c r="JL122" s="54"/>
      <c r="JM122" s="39"/>
      <c r="JN122" s="54"/>
      <c r="JO122" s="54"/>
      <c r="JP122" s="39"/>
      <c r="JQ122" s="54"/>
      <c r="JR122" s="54"/>
      <c r="JS122" s="39"/>
      <c r="JT122" s="54"/>
      <c r="JU122" s="54"/>
      <c r="JW122" s="123"/>
      <c r="JX122" s="123"/>
    </row>
    <row r="123" spans="12:284" ht="14.25" customHeight="1" x14ac:dyDescent="0.2"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87"/>
      <c r="DW123" s="87"/>
      <c r="DX123" s="87"/>
      <c r="DY123" s="87"/>
      <c r="DZ123" s="87"/>
      <c r="EA123" s="87"/>
      <c r="EB123" s="87"/>
      <c r="EC123" s="87"/>
      <c r="ED123" s="87"/>
      <c r="FT123" s="98" t="s">
        <v>17</v>
      </c>
      <c r="FU123" s="170">
        <f>IF(GT3=0,0,(EL33*EN33/GT3)*(GT3^2-EN33^2))</f>
        <v>0</v>
      </c>
      <c r="FV123" s="170"/>
      <c r="FW123" s="170"/>
      <c r="FX123" s="170">
        <f>IF(GW3=0,0,(EL34*EP34/GW3)*(GW3^2-EP34^2))</f>
        <v>0</v>
      </c>
      <c r="FY123" s="170"/>
      <c r="FZ123" s="170"/>
      <c r="GA123" s="101"/>
      <c r="GB123" s="170"/>
      <c r="GC123" s="170"/>
      <c r="GD123" s="170"/>
      <c r="GH123" s="22" t="s">
        <v>30</v>
      </c>
      <c r="GI123" s="22" t="s">
        <v>31</v>
      </c>
      <c r="GJ123" s="22" t="s">
        <v>32</v>
      </c>
      <c r="GK123" s="22" t="s">
        <v>33</v>
      </c>
      <c r="GL123" s="22" t="s">
        <v>34</v>
      </c>
      <c r="GM123" s="22" t="s">
        <v>35</v>
      </c>
      <c r="GN123" s="22" t="s">
        <v>36</v>
      </c>
      <c r="GO123" s="22" t="s">
        <v>37</v>
      </c>
      <c r="GP123" s="22" t="s">
        <v>38</v>
      </c>
      <c r="GQ123" s="22" t="s">
        <v>39</v>
      </c>
      <c r="GR123" s="22" t="s">
        <v>40</v>
      </c>
      <c r="GS123" s="22" t="s">
        <v>41</v>
      </c>
      <c r="GT123" s="22" t="s">
        <v>23</v>
      </c>
      <c r="GU123" s="22" t="s">
        <v>42</v>
      </c>
      <c r="GV123" s="22" t="s">
        <v>43</v>
      </c>
      <c r="GW123" s="22" t="s">
        <v>44</v>
      </c>
      <c r="GX123" s="22" t="s">
        <v>45</v>
      </c>
      <c r="GY123" s="22" t="s">
        <v>46</v>
      </c>
      <c r="GZ123" s="22" t="s">
        <v>18</v>
      </c>
      <c r="HA123" s="22" t="s">
        <v>47</v>
      </c>
      <c r="HB123" s="22" t="s">
        <v>48</v>
      </c>
      <c r="HC123" s="22" t="s">
        <v>22</v>
      </c>
      <c r="HD123" s="22" t="s">
        <v>49</v>
      </c>
      <c r="HE123" s="22" t="s">
        <v>50</v>
      </c>
      <c r="HF123" s="22" t="s">
        <v>51</v>
      </c>
      <c r="HG123" s="22" t="s">
        <v>52</v>
      </c>
      <c r="IC123" s="234" t="str">
        <f>IF(HS27="R0","-",HS27)</f>
        <v>-</v>
      </c>
      <c r="ID123" s="74">
        <f>IF(HS27="R0",ID272,ID122)</f>
        <v>25.5</v>
      </c>
      <c r="IE123" s="74" t="s">
        <v>149</v>
      </c>
      <c r="IF123" s="74">
        <v>0</v>
      </c>
      <c r="IG123" s="74">
        <v>0</v>
      </c>
      <c r="II123" s="35" t="b">
        <f t="shared" si="124"/>
        <v>0</v>
      </c>
      <c r="IJ123" s="45" t="b">
        <f t="shared" si="143"/>
        <v>0</v>
      </c>
      <c r="IK123" s="35">
        <f t="shared" ref="IK123:IK132" si="153">IF(II123=TRUE,IF(IJ123=TRUE,IG123/$EJ$23)+IF123,IF123)</f>
        <v>0</v>
      </c>
      <c r="IL123" s="48">
        <f>IK123</f>
        <v>0</v>
      </c>
      <c r="IM123" s="35">
        <f t="shared" ref="IM123:IM131" si="154">$HV$27*IL123</f>
        <v>0</v>
      </c>
      <c r="IN123" s="35">
        <f t="shared" ref="IN123:IN131" si="155">-$EJ$23*(IL123^2/2)</f>
        <v>0</v>
      </c>
      <c r="IO123" s="36">
        <f t="shared" ref="IO123:IO131" si="156">-IF(IL123&gt;=$EN$23,$EL$23*(IL123-$EN$23),0)</f>
        <v>0</v>
      </c>
      <c r="IP123" s="35">
        <f t="shared" ref="IP123:IP131" si="157">-IF(IL123&gt;=$ET$23,$ER$23*(IL123-$ET$23),0)</f>
        <v>0</v>
      </c>
      <c r="IQ123" s="35">
        <f t="shared" ref="IQ123:IQ131" si="158">-IF(IL123&gt;=$EZ$23,$EX$23*(IL123-$EZ$23),0)</f>
        <v>0</v>
      </c>
      <c r="IR123" s="45"/>
      <c r="IS123" s="37" t="str">
        <f>IF(IC123="-","",HU27)</f>
        <v/>
      </c>
      <c r="IT123" s="35">
        <f t="shared" ref="IT123:IT131" si="159">$ID$123+IL123</f>
        <v>25.5</v>
      </c>
      <c r="IV123" s="35">
        <f>ID123</f>
        <v>25.5</v>
      </c>
      <c r="IW123" s="35">
        <v>0</v>
      </c>
      <c r="IY123" s="35">
        <f>IF(IC123="-",-5,IF(EL23=0,-5,ID123+EN23))</f>
        <v>-5</v>
      </c>
      <c r="IZ123" s="35">
        <v>0</v>
      </c>
      <c r="JB123" s="38"/>
      <c r="JC123" s="38"/>
      <c r="JE123" s="38"/>
      <c r="JF123" s="38"/>
      <c r="JH123" s="38"/>
      <c r="JI123" s="38"/>
      <c r="JK123" s="35">
        <f>IF(IC123=12,IT123,-5)</f>
        <v>-5</v>
      </c>
      <c r="JL123" s="37" t="str">
        <f>IS123</f>
        <v/>
      </c>
      <c r="JM123" s="40"/>
      <c r="JN123" s="37">
        <f>IF(IC123="-",-5,(ID123+ID132)/2)</f>
        <v>-5</v>
      </c>
      <c r="JO123" s="37">
        <f>-MAX(IW3:IW272,IZ3:IZ272)*0.7</f>
        <v>-52.5</v>
      </c>
      <c r="JP123" s="40"/>
      <c r="JQ123" s="37">
        <f>IF(IC123="-",-5,(IT123+IT127)/2)</f>
        <v>-5</v>
      </c>
      <c r="JR123" s="37">
        <f>JR13</f>
        <v>-760.38306347150262</v>
      </c>
      <c r="JS123" s="40"/>
      <c r="JT123" s="37"/>
      <c r="JU123" s="37"/>
      <c r="JW123" s="37">
        <f>JN123</f>
        <v>-5</v>
      </c>
      <c r="JX123" s="37">
        <f>JF132</f>
        <v>-37.5</v>
      </c>
    </row>
    <row r="124" spans="12:284" ht="14.25" customHeight="1" x14ac:dyDescent="0.2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87"/>
      <c r="DW124" s="87"/>
      <c r="DX124" s="87"/>
      <c r="DY124" s="87"/>
      <c r="DZ124" s="87"/>
      <c r="EA124" s="87"/>
      <c r="EB124" s="87"/>
      <c r="EC124" s="87"/>
      <c r="ED124" s="87"/>
      <c r="FT124" s="98" t="s">
        <v>19</v>
      </c>
      <c r="FU124" s="170">
        <f>IF(GT3=0,0,(ER33*ET33/GT3)*(GT3^2-ET33^2))</f>
        <v>0</v>
      </c>
      <c r="FV124" s="170"/>
      <c r="FW124" s="170"/>
      <c r="FX124" s="170">
        <f>IF(GW3=0,0,(ER34*EV34/GW3)*(GW3^2-EV34^2))</f>
        <v>0</v>
      </c>
      <c r="FY124" s="170"/>
      <c r="FZ124" s="170"/>
      <c r="GA124" s="101"/>
      <c r="GB124" s="170"/>
      <c r="GC124" s="170"/>
      <c r="GD124" s="170"/>
      <c r="GG124" s="22" t="s">
        <v>13</v>
      </c>
      <c r="GH124" s="115"/>
      <c r="GI124" s="11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I124" s="35">
        <f>$GB$12</f>
        <v>-22912</v>
      </c>
      <c r="HK124" s="39"/>
      <c r="IC124" s="234"/>
      <c r="ID124" s="74">
        <f>IF($IC$123="-",$ID$123,$ID$123+IF124)</f>
        <v>25.5</v>
      </c>
      <c r="IE124" s="74" t="s">
        <v>150</v>
      </c>
      <c r="IF124" s="74">
        <f>IF123</f>
        <v>0</v>
      </c>
      <c r="IG124" s="74">
        <f>IF(IC123="-",0,HV27)</f>
        <v>0</v>
      </c>
      <c r="II124" s="35" t="b">
        <f t="shared" si="124"/>
        <v>0</v>
      </c>
      <c r="IJ124" s="45" t="b">
        <f t="shared" si="143"/>
        <v>0</v>
      </c>
      <c r="IK124" s="35">
        <f t="shared" si="153"/>
        <v>0</v>
      </c>
      <c r="IL124" s="48">
        <f>(IL127-IL123)/4</f>
        <v>0</v>
      </c>
      <c r="IM124" s="35">
        <f t="shared" si="154"/>
        <v>0</v>
      </c>
      <c r="IN124" s="35">
        <f t="shared" si="155"/>
        <v>0</v>
      </c>
      <c r="IO124" s="36">
        <f t="shared" si="156"/>
        <v>0</v>
      </c>
      <c r="IP124" s="35">
        <f t="shared" si="157"/>
        <v>0</v>
      </c>
      <c r="IQ124" s="35">
        <f t="shared" si="158"/>
        <v>0</v>
      </c>
      <c r="IR124" s="35">
        <f t="shared" ref="IR124:IR130" si="160">$HU$27</f>
        <v>0</v>
      </c>
      <c r="IS124" s="42" t="str">
        <f>IF(IC123="-","",SUM(IM124:IR124))</f>
        <v/>
      </c>
      <c r="IT124" s="35">
        <f t="shared" si="159"/>
        <v>25.5</v>
      </c>
      <c r="IV124" s="35">
        <f>IV123</f>
        <v>25.5</v>
      </c>
      <c r="IW124" s="35">
        <f>IF(IC123="-",0,EJ23)/20</f>
        <v>0</v>
      </c>
      <c r="IY124" s="35">
        <f>IY123</f>
        <v>-5</v>
      </c>
      <c r="IZ124" s="35">
        <f>IF(IC123="-",0,EL23/20)</f>
        <v>0</v>
      </c>
      <c r="JB124" s="38"/>
      <c r="JC124" s="38"/>
      <c r="JE124" s="38"/>
      <c r="JF124" s="38"/>
      <c r="JH124" s="38">
        <f>IF(IC123=12,ID124,-5)</f>
        <v>-5</v>
      </c>
      <c r="JI124" s="38">
        <f>IG124</f>
        <v>0</v>
      </c>
      <c r="JK124" s="35"/>
      <c r="JL124" s="35"/>
      <c r="JM124" s="39"/>
      <c r="JN124" s="75">
        <f>HT27</f>
        <v>0</v>
      </c>
      <c r="JO124" s="35"/>
      <c r="JP124" s="39"/>
      <c r="JQ124" s="76" t="b">
        <f>IL127</f>
        <v>0</v>
      </c>
      <c r="JR124" s="35"/>
      <c r="JS124" s="39"/>
      <c r="JT124" s="35"/>
      <c r="JU124" s="35"/>
      <c r="JW124" s="124" t="str">
        <f>IC123</f>
        <v>-</v>
      </c>
      <c r="JX124" s="127"/>
    </row>
    <row r="125" spans="12:284" ht="14.25" customHeight="1" x14ac:dyDescent="0.2"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87"/>
      <c r="DW125" s="87"/>
      <c r="DX125" s="87"/>
      <c r="DY125" s="87"/>
      <c r="DZ125" s="87"/>
      <c r="EA125" s="87"/>
      <c r="EB125" s="87"/>
      <c r="EC125" s="87"/>
      <c r="ED125" s="87"/>
      <c r="FT125" s="98" t="s">
        <v>20</v>
      </c>
      <c r="FU125" s="170">
        <f>IF(GT3=0,0,(EX33*EZ33/GT3)*(GT3^2-EZ33^2))</f>
        <v>0</v>
      </c>
      <c r="FV125" s="170"/>
      <c r="FW125" s="170"/>
      <c r="FX125" s="170">
        <f>IF(GW3=0,0,(EX34*FB34/GW3)*(GW3^2-FB34^2))</f>
        <v>0</v>
      </c>
      <c r="FY125" s="170"/>
      <c r="FZ125" s="170"/>
      <c r="GA125" s="101"/>
      <c r="GB125" s="172"/>
      <c r="GC125" s="172"/>
      <c r="GD125" s="172"/>
      <c r="GG125" s="22">
        <v>2</v>
      </c>
      <c r="GH125" s="45"/>
      <c r="GI125" s="45">
        <f t="array" ref="GI125:HG149">MINVERSE(IF($F$2=2,GI13:GJ14,IF($F$2=3,GI13:GK15,IF($F$2=4,GI13:GL16,IF($F$2=5,GI13:GM17,IF($F$2=6,GI13:GN18,IF($F$2=7,GI13:GO19,IF($F$2=8,GI13:GP20,IF($F$2=9,GI13:GQ21,IF($F$2=10,GI13:GR22,IF($F$2=11,GI13:GS23,IF($F$2=12,GI13:GT24,IF($F$2=13,GI13:GU25,IF($F$2=14,GI13:GV26,IF($F$2=15,GI13:GW27,IF($F$2=16,GI13:GX28,IF($F$2=17,GI13:GY29,IF($F$2=18,GI13:GZ30,IF($F$2=19,GI13:HA31,IF($F$2=20,GI13:HB32,IF($F$2=21,GI13:HC33,IF($F$2=22,GI13:HD34,IF($F$2=23,GI13:HE35,IF($F$2=24,GI13:HF36,IF($F$2=25,GI13:HG37,IF($F$2=1,GI13,0))))))))))))))))))))))))))</f>
        <v>6.6985656329923968E-2</v>
      </c>
      <c r="GJ125" s="45">
        <v>-1.7942625319695874E-2</v>
      </c>
      <c r="GK125" s="45">
        <v>4.7848449488595256E-3</v>
      </c>
      <c r="GL125" s="45">
        <v>-1.196754475742227E-3</v>
      </c>
      <c r="GM125" s="45">
        <v>2.1729541093821352E-6</v>
      </c>
      <c r="GN125" s="45">
        <v>1.188062659304698E-3</v>
      </c>
      <c r="GO125" s="45" t="e">
        <v>#N/A</v>
      </c>
      <c r="GP125" s="45" t="e">
        <v>#N/A</v>
      </c>
      <c r="GQ125" s="45" t="e">
        <v>#N/A</v>
      </c>
      <c r="GR125" s="45" t="e">
        <v>#N/A</v>
      </c>
      <c r="GS125" s="45" t="e">
        <v>#N/A</v>
      </c>
      <c r="GT125" s="45" t="e">
        <v>#N/A</v>
      </c>
      <c r="GU125" s="45" t="e">
        <v>#N/A</v>
      </c>
      <c r="GV125" s="45" t="e">
        <v>#N/A</v>
      </c>
      <c r="GW125" s="45" t="e">
        <v>#N/A</v>
      </c>
      <c r="GX125" s="45" t="e">
        <v>#N/A</v>
      </c>
      <c r="GY125" s="45" t="e">
        <v>#N/A</v>
      </c>
      <c r="GZ125" s="45" t="e">
        <v>#N/A</v>
      </c>
      <c r="HA125" s="45" t="e">
        <v>#N/A</v>
      </c>
      <c r="HB125" s="45" t="e">
        <v>#N/A</v>
      </c>
      <c r="HC125" s="45" t="e">
        <v>#N/A</v>
      </c>
      <c r="HD125" s="45" t="e">
        <v>#N/A</v>
      </c>
      <c r="HE125" s="45" t="e">
        <v>#N/A</v>
      </c>
      <c r="HF125" s="45" t="e">
        <v>#N/A</v>
      </c>
      <c r="HG125" s="45" t="e">
        <v>#N/A</v>
      </c>
      <c r="HI125" s="35">
        <f>$GB$17</f>
        <v>-45824</v>
      </c>
      <c r="HK125" s="39"/>
      <c r="IC125" s="234"/>
      <c r="ID125" s="74">
        <f t="shared" ref="ID125:ID131" si="161">IF($IC$123="-",$ID$123,$ID$123+IF125)</f>
        <v>25.5</v>
      </c>
      <c r="IE125" s="74" t="s">
        <v>151</v>
      </c>
      <c r="IF125" s="74">
        <f>IF(EL23=0,IF124,EN23)</f>
        <v>0</v>
      </c>
      <c r="IG125" s="74">
        <f>IF(IC123="-",0,IG124-IF(EL23=0,0,EJ23*IF125))</f>
        <v>0</v>
      </c>
      <c r="II125" s="35" t="b">
        <f t="shared" si="124"/>
        <v>0</v>
      </c>
      <c r="IJ125" s="45" t="b">
        <f t="shared" si="143"/>
        <v>0</v>
      </c>
      <c r="IK125" s="35">
        <f t="shared" si="153"/>
        <v>0</v>
      </c>
      <c r="IL125" s="48">
        <f>IL124*2</f>
        <v>0</v>
      </c>
      <c r="IM125" s="35">
        <f t="shared" si="154"/>
        <v>0</v>
      </c>
      <c r="IN125" s="35">
        <f t="shared" si="155"/>
        <v>0</v>
      </c>
      <c r="IO125" s="36">
        <f t="shared" si="156"/>
        <v>0</v>
      </c>
      <c r="IP125" s="35">
        <f t="shared" si="157"/>
        <v>0</v>
      </c>
      <c r="IQ125" s="35">
        <f t="shared" si="158"/>
        <v>0</v>
      </c>
      <c r="IR125" s="35">
        <f t="shared" si="160"/>
        <v>0</v>
      </c>
      <c r="IS125" s="42" t="str">
        <f>IF(IC123="-","",SUM(IM125:IR125))</f>
        <v/>
      </c>
      <c r="IT125" s="35">
        <f t="shared" si="159"/>
        <v>25.5</v>
      </c>
      <c r="IV125" s="35">
        <f>IF132/2+IV123</f>
        <v>25.5</v>
      </c>
      <c r="IW125" s="35">
        <f>IW124</f>
        <v>0</v>
      </c>
      <c r="IY125" s="44" t="str">
        <f>IF(IC123="-","",IF(EL23=0,"",EL23))</f>
        <v/>
      </c>
      <c r="IZ125" s="45"/>
      <c r="JB125" s="38"/>
      <c r="JC125" s="38"/>
      <c r="JE125" s="38"/>
      <c r="JF125" s="38"/>
      <c r="JH125" s="38"/>
      <c r="JI125" s="38"/>
      <c r="JK125" s="35"/>
      <c r="JL125" s="35"/>
      <c r="JM125" s="39"/>
      <c r="JN125" s="35"/>
      <c r="JO125" s="35"/>
      <c r="JP125" s="39"/>
      <c r="JQ125" s="35"/>
      <c r="JR125" s="35"/>
      <c r="JS125" s="39"/>
      <c r="JT125" s="35"/>
      <c r="JU125" s="35"/>
      <c r="JW125" s="127"/>
      <c r="JX125" s="127"/>
    </row>
    <row r="126" spans="12:284" ht="14.25" customHeight="1" x14ac:dyDescent="0.2"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87"/>
      <c r="DW126" s="87"/>
      <c r="DX126" s="87"/>
      <c r="DY126" s="87"/>
      <c r="DZ126" s="87"/>
      <c r="EA126" s="87"/>
      <c r="EB126" s="87"/>
      <c r="EC126" s="87"/>
      <c r="ED126" s="87"/>
      <c r="FH126" s="28">
        <v>24</v>
      </c>
      <c r="FI126" s="184" t="s">
        <v>110</v>
      </c>
      <c r="FJ126" s="184"/>
      <c r="FK126" s="185" t="s">
        <v>111</v>
      </c>
      <c r="FL126" s="185"/>
      <c r="FM126" s="185"/>
      <c r="FN126" s="185" t="s">
        <v>112</v>
      </c>
      <c r="FO126" s="185"/>
      <c r="FP126" s="185"/>
      <c r="FQ126" s="185" t="s">
        <v>115</v>
      </c>
      <c r="FR126" s="185"/>
      <c r="FS126" s="185"/>
      <c r="FT126" s="98" t="s">
        <v>57</v>
      </c>
      <c r="FU126" s="187" t="s">
        <v>13</v>
      </c>
      <c r="FV126" s="185"/>
      <c r="FW126" s="185"/>
      <c r="FX126" s="187" t="s">
        <v>14</v>
      </c>
      <c r="FY126" s="185"/>
      <c r="FZ126" s="185"/>
      <c r="GA126" s="98" t="s">
        <v>57</v>
      </c>
      <c r="GB126" s="187" t="s">
        <v>60</v>
      </c>
      <c r="GC126" s="185"/>
      <c r="GD126" s="185"/>
      <c r="GG126" s="22">
        <v>3</v>
      </c>
      <c r="GH126" s="45"/>
      <c r="GI126" s="115">
        <v>-1.7942625319695874E-2</v>
      </c>
      <c r="GJ126" s="115">
        <v>7.1770501278783497E-2</v>
      </c>
      <c r="GK126" s="115">
        <v>-1.9139379795438102E-2</v>
      </c>
      <c r="GL126" s="45">
        <v>4.7870179029689082E-3</v>
      </c>
      <c r="GM126" s="45">
        <v>-8.6918164375285407E-6</v>
      </c>
      <c r="GN126" s="45">
        <v>-4.752250637218792E-3</v>
      </c>
      <c r="GO126" s="45" t="e">
        <v>#N/A</v>
      </c>
      <c r="GP126" s="45" t="e">
        <v>#N/A</v>
      </c>
      <c r="GQ126" s="45" t="e">
        <v>#N/A</v>
      </c>
      <c r="GR126" s="45" t="e">
        <v>#N/A</v>
      </c>
      <c r="GS126" s="45" t="e">
        <v>#N/A</v>
      </c>
      <c r="GT126" s="45" t="e">
        <v>#N/A</v>
      </c>
      <c r="GU126" s="45" t="e">
        <v>#N/A</v>
      </c>
      <c r="GV126" s="45" t="e">
        <v>#N/A</v>
      </c>
      <c r="GW126" s="45" t="e">
        <v>#N/A</v>
      </c>
      <c r="GX126" s="45" t="e">
        <v>#N/A</v>
      </c>
      <c r="GY126" s="45" t="e">
        <v>#N/A</v>
      </c>
      <c r="GZ126" s="45" t="e">
        <v>#N/A</v>
      </c>
      <c r="HA126" s="45" t="e">
        <v>#N/A</v>
      </c>
      <c r="HB126" s="45" t="e">
        <v>#N/A</v>
      </c>
      <c r="HC126" s="45" t="e">
        <v>#N/A</v>
      </c>
      <c r="HD126" s="45" t="e">
        <v>#N/A</v>
      </c>
      <c r="HE126" s="45" t="e">
        <v>#N/A</v>
      </c>
      <c r="HF126" s="45" t="e">
        <v>#N/A</v>
      </c>
      <c r="HG126" s="45" t="e">
        <v>#N/A</v>
      </c>
      <c r="HI126" s="35">
        <f>$GB$22</f>
        <v>-55737.4375</v>
      </c>
      <c r="HK126" s="28"/>
      <c r="IC126" s="234"/>
      <c r="ID126" s="74">
        <f t="shared" si="161"/>
        <v>25.5</v>
      </c>
      <c r="IE126" s="74" t="s">
        <v>152</v>
      </c>
      <c r="IF126" s="74">
        <f>IF125</f>
        <v>0</v>
      </c>
      <c r="IG126" s="74">
        <f>IF(IC123="-",0,IG125-EL23)</f>
        <v>0</v>
      </c>
      <c r="II126" s="35" t="b">
        <f t="shared" si="124"/>
        <v>0</v>
      </c>
      <c r="IJ126" s="45" t="b">
        <f t="shared" si="143"/>
        <v>0</v>
      </c>
      <c r="IK126" s="35">
        <f t="shared" si="153"/>
        <v>0</v>
      </c>
      <c r="IL126" s="48">
        <f>IL124*3</f>
        <v>0</v>
      </c>
      <c r="IM126" s="35">
        <f t="shared" si="154"/>
        <v>0</v>
      </c>
      <c r="IN126" s="35">
        <f t="shared" si="155"/>
        <v>0</v>
      </c>
      <c r="IO126" s="36">
        <f t="shared" si="156"/>
        <v>0</v>
      </c>
      <c r="IP126" s="35">
        <f t="shared" si="157"/>
        <v>0</v>
      </c>
      <c r="IQ126" s="35">
        <f t="shared" si="158"/>
        <v>0</v>
      </c>
      <c r="IR126" s="35">
        <f t="shared" si="160"/>
        <v>0</v>
      </c>
      <c r="IS126" s="42" t="str">
        <f>IF(IC123="-","",SUM(IM126:IR126))</f>
        <v/>
      </c>
      <c r="IT126" s="35">
        <f t="shared" si="159"/>
        <v>25.5</v>
      </c>
      <c r="IV126" s="35">
        <f>IV127</f>
        <v>25.5</v>
      </c>
      <c r="IW126" s="35">
        <f>IW124</f>
        <v>0</v>
      </c>
      <c r="IY126" s="35">
        <f>IF(IC123="-",-5,IF(ER23=0,-5,IF(IF127=0,-5,ID123+ET23)))</f>
        <v>-5</v>
      </c>
      <c r="IZ126" s="35">
        <v>0</v>
      </c>
      <c r="JB126" s="38"/>
      <c r="JC126" s="38"/>
      <c r="JE126" s="38"/>
      <c r="JF126" s="38"/>
      <c r="JH126" s="38"/>
      <c r="JI126" s="38"/>
      <c r="JK126" s="35"/>
      <c r="JL126" s="35"/>
      <c r="JM126" s="39"/>
      <c r="JN126" s="35"/>
      <c r="JO126" s="35"/>
      <c r="JP126" s="39"/>
      <c r="JQ126" s="35"/>
      <c r="JR126" s="35"/>
      <c r="JS126" s="39"/>
      <c r="JT126" s="35"/>
      <c r="JU126" s="35"/>
      <c r="JW126" s="127"/>
      <c r="JX126" s="127"/>
    </row>
    <row r="127" spans="12:284" ht="14.25" customHeight="1" x14ac:dyDescent="0.2"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87"/>
      <c r="DW127" s="87"/>
      <c r="DX127" s="87"/>
      <c r="DY127" s="87"/>
      <c r="DZ127" s="87"/>
      <c r="EA127" s="87"/>
      <c r="EB127" s="87"/>
      <c r="EC127" s="87"/>
      <c r="ED127" s="87"/>
      <c r="FK127" s="169">
        <f>GW3</f>
        <v>0</v>
      </c>
      <c r="FL127" s="169"/>
      <c r="FM127" s="169"/>
      <c r="FN127" s="169">
        <f>2*(GW3+GZ3)</f>
        <v>0</v>
      </c>
      <c r="FO127" s="169"/>
      <c r="FP127" s="169"/>
      <c r="FQ127" s="169">
        <f>IF($F$2=24,(IF(F10=ER43,GZ3,IF(F10=ER44,GZ3*FF40,0))),IF(F2&gt;24,GZ3,0))</f>
        <v>0</v>
      </c>
      <c r="FR127" s="169"/>
      <c r="FS127" s="169"/>
      <c r="FT127" s="98" t="s">
        <v>41</v>
      </c>
      <c r="FU127" s="170">
        <f>(EJ34*GW3^3)/4</f>
        <v>0</v>
      </c>
      <c r="FV127" s="170"/>
      <c r="FW127" s="170"/>
      <c r="FX127" s="170">
        <f>(EJ35*GZ3^3)/4</f>
        <v>0</v>
      </c>
      <c r="FY127" s="170"/>
      <c r="FZ127" s="170"/>
      <c r="GA127" s="101"/>
      <c r="GB127" s="171">
        <f>-SUM(FU127:FZ130)-IF(F2=24,IF($F$10=$ER$44,FQ127,0))</f>
        <v>0</v>
      </c>
      <c r="GC127" s="171"/>
      <c r="GD127" s="171"/>
      <c r="GG127" s="22">
        <v>4</v>
      </c>
      <c r="GH127" s="45"/>
      <c r="GI127" s="45">
        <v>4.7848449488595256E-3</v>
      </c>
      <c r="GJ127" s="115">
        <v>-1.9139379795438102E-2</v>
      </c>
      <c r="GK127" s="115">
        <v>7.177267423289288E-2</v>
      </c>
      <c r="GL127" s="115">
        <v>-1.7951317136133405E-2</v>
      </c>
      <c r="GM127" s="45">
        <v>3.2594311640732026E-5</v>
      </c>
      <c r="GN127" s="45">
        <v>1.782093988957047E-2</v>
      </c>
      <c r="GO127" s="45" t="e">
        <v>#N/A</v>
      </c>
      <c r="GP127" s="45" t="e">
        <v>#N/A</v>
      </c>
      <c r="GQ127" s="45" t="e">
        <v>#N/A</v>
      </c>
      <c r="GR127" s="45" t="e">
        <v>#N/A</v>
      </c>
      <c r="GS127" s="45" t="e">
        <v>#N/A</v>
      </c>
      <c r="GT127" s="45" t="e">
        <v>#N/A</v>
      </c>
      <c r="GU127" s="45" t="e">
        <v>#N/A</v>
      </c>
      <c r="GV127" s="45" t="e">
        <v>#N/A</v>
      </c>
      <c r="GW127" s="45" t="e">
        <v>#N/A</v>
      </c>
      <c r="GX127" s="45" t="e">
        <v>#N/A</v>
      </c>
      <c r="GY127" s="45" t="e">
        <v>#N/A</v>
      </c>
      <c r="GZ127" s="45" t="e">
        <v>#N/A</v>
      </c>
      <c r="HA127" s="45" t="e">
        <v>#N/A</v>
      </c>
      <c r="HB127" s="45" t="e">
        <v>#N/A</v>
      </c>
      <c r="HC127" s="45" t="e">
        <v>#N/A</v>
      </c>
      <c r="HD127" s="45" t="e">
        <v>#N/A</v>
      </c>
      <c r="HE127" s="45" t="e">
        <v>#N/A</v>
      </c>
      <c r="HF127" s="45" t="e">
        <v>#N/A</v>
      </c>
      <c r="HG127" s="45" t="e">
        <v>#N/A</v>
      </c>
      <c r="HI127" s="35">
        <f>$GB$27</f>
        <v>-49268.0625</v>
      </c>
      <c r="HK127" s="28"/>
      <c r="IC127" s="234"/>
      <c r="ID127" s="74">
        <f t="shared" si="161"/>
        <v>25.5</v>
      </c>
      <c r="IE127" s="74" t="s">
        <v>153</v>
      </c>
      <c r="IF127" s="74">
        <f>IF(ER23=0,IF126,ET23)</f>
        <v>0</v>
      </c>
      <c r="IG127" s="74">
        <f>IF(IC123="-",0,IG126-IF(ER23=0,0,EJ23*(IF127-IF126)))</f>
        <v>0</v>
      </c>
      <c r="II127" s="35" t="b">
        <f t="shared" si="124"/>
        <v>0</v>
      </c>
      <c r="IJ127" s="45" t="b">
        <f t="shared" si="143"/>
        <v>0</v>
      </c>
      <c r="IK127" s="35">
        <f t="shared" si="153"/>
        <v>0</v>
      </c>
      <c r="IL127" s="68" t="b">
        <f>IF(II123=TRUE,IK123,IF(II124=TRUE,IK124,IF(II125=TRUE,IK125,IF(II126=TRUE,IK126,IF(II127=TRUE,IK127,IF(II128=TRUE,IK128,IF(II129=TRUE,IK129,IF(II130=TRUE,IK130,IF(II131=TRUE,IK131,IF(II132=TRUE,IK132))))))))))</f>
        <v>0</v>
      </c>
      <c r="IM127" s="68">
        <f t="shared" si="154"/>
        <v>0</v>
      </c>
      <c r="IN127" s="68">
        <f t="shared" si="155"/>
        <v>0</v>
      </c>
      <c r="IO127" s="69">
        <f t="shared" si="156"/>
        <v>0</v>
      </c>
      <c r="IP127" s="68">
        <f t="shared" si="157"/>
        <v>0</v>
      </c>
      <c r="IQ127" s="68">
        <f t="shared" si="158"/>
        <v>0</v>
      </c>
      <c r="IR127" s="68">
        <f t="shared" si="160"/>
        <v>0</v>
      </c>
      <c r="IS127" s="70" t="str">
        <f>IF(IC123="-","",ROUND(SUM(IM127:IR127),2))</f>
        <v/>
      </c>
      <c r="IT127" s="68">
        <f t="shared" si="159"/>
        <v>25.5</v>
      </c>
      <c r="IV127" s="35">
        <f>ID132</f>
        <v>25.5</v>
      </c>
      <c r="IW127" s="35">
        <v>0</v>
      </c>
      <c r="IY127" s="35">
        <f>IY126</f>
        <v>-5</v>
      </c>
      <c r="IZ127" s="35">
        <f>IF(IC123="-",0,ER23/20)</f>
        <v>0</v>
      </c>
      <c r="JB127" s="38"/>
      <c r="JC127" s="38"/>
      <c r="JE127" s="38"/>
      <c r="JF127" s="38"/>
      <c r="JH127" s="38"/>
      <c r="JI127" s="38"/>
      <c r="JK127" s="35">
        <f>IF(IC123=12,IT127,-5)</f>
        <v>-5</v>
      </c>
      <c r="JL127" s="37" t="str">
        <f>IS127</f>
        <v/>
      </c>
      <c r="JM127" s="40"/>
      <c r="JN127" s="37"/>
      <c r="JO127" s="37"/>
      <c r="JP127" s="40"/>
      <c r="JQ127" s="37"/>
      <c r="JR127" s="37"/>
      <c r="JS127" s="40"/>
      <c r="JT127" s="37"/>
      <c r="JU127" s="37"/>
      <c r="JW127" s="37"/>
      <c r="JX127" s="37"/>
    </row>
    <row r="128" spans="12:284" ht="14.25" customHeight="1" x14ac:dyDescent="0.2"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87"/>
      <c r="DW128" s="87"/>
      <c r="DX128" s="87"/>
      <c r="DY128" s="87"/>
      <c r="DZ128" s="87"/>
      <c r="EA128" s="87"/>
      <c r="EB128" s="87"/>
      <c r="EC128" s="87"/>
      <c r="ED128" s="87"/>
      <c r="FT128" s="98" t="s">
        <v>17</v>
      </c>
      <c r="FU128" s="170">
        <f>IF(GW3=0,0,(EL34*EN34/GW3)*(GW3^2-EN34^2))</f>
        <v>0</v>
      </c>
      <c r="FV128" s="170"/>
      <c r="FW128" s="170"/>
      <c r="FX128" s="170">
        <f>IF(GZ3=0,0,(EL35*EP35/GZ3)*(GZ3^2-EP35^2))</f>
        <v>0</v>
      </c>
      <c r="FY128" s="170"/>
      <c r="FZ128" s="170"/>
      <c r="GA128" s="101"/>
      <c r="GB128" s="170"/>
      <c r="GC128" s="170"/>
      <c r="GD128" s="170"/>
      <c r="GG128" s="22">
        <v>5</v>
      </c>
      <c r="GH128" s="45"/>
      <c r="GI128" s="45">
        <v>-1.1967544757422266E-3</v>
      </c>
      <c r="GJ128" s="45">
        <v>4.7870179029689064E-3</v>
      </c>
      <c r="GK128" s="115">
        <v>-1.7951317136133401E-2</v>
      </c>
      <c r="GL128" s="115">
        <v>6.7018250641564706E-2</v>
      </c>
      <c r="GM128" s="115">
        <v>-1.2168543012539956E-4</v>
      </c>
      <c r="GN128" s="45">
        <v>-6.653150892106309E-2</v>
      </c>
      <c r="GO128" s="45" t="e">
        <v>#N/A</v>
      </c>
      <c r="GP128" s="45" t="e">
        <v>#N/A</v>
      </c>
      <c r="GQ128" s="45" t="e">
        <v>#N/A</v>
      </c>
      <c r="GR128" s="45" t="e">
        <v>#N/A</v>
      </c>
      <c r="GS128" s="45" t="e">
        <v>#N/A</v>
      </c>
      <c r="GT128" s="45" t="e">
        <v>#N/A</v>
      </c>
      <c r="GU128" s="45" t="e">
        <v>#N/A</v>
      </c>
      <c r="GV128" s="45" t="e">
        <v>#N/A</v>
      </c>
      <c r="GW128" s="45" t="e">
        <v>#N/A</v>
      </c>
      <c r="GX128" s="45" t="e">
        <v>#N/A</v>
      </c>
      <c r="GY128" s="45" t="e">
        <v>#N/A</v>
      </c>
      <c r="GZ128" s="45" t="e">
        <v>#N/A</v>
      </c>
      <c r="HA128" s="45" t="e">
        <v>#N/A</v>
      </c>
      <c r="HB128" s="45" t="e">
        <v>#N/A</v>
      </c>
      <c r="HC128" s="45" t="e">
        <v>#N/A</v>
      </c>
      <c r="HD128" s="45" t="e">
        <v>#N/A</v>
      </c>
      <c r="HE128" s="45" t="e">
        <v>#N/A</v>
      </c>
      <c r="HF128" s="45" t="e">
        <v>#N/A</v>
      </c>
      <c r="HG128" s="45" t="e">
        <v>#N/A</v>
      </c>
      <c r="HI128" s="35">
        <f>$GB$32</f>
        <v>-31104</v>
      </c>
      <c r="HK128" s="28"/>
      <c r="IC128" s="234"/>
      <c r="ID128" s="74">
        <f t="shared" si="161"/>
        <v>25.5</v>
      </c>
      <c r="IE128" s="74" t="s">
        <v>154</v>
      </c>
      <c r="IF128" s="74">
        <f>IF127</f>
        <v>0</v>
      </c>
      <c r="IG128" s="74">
        <f>IF(IC123="-",0,IG127-ER23)</f>
        <v>0</v>
      </c>
      <c r="II128" s="35" t="b">
        <f t="shared" si="124"/>
        <v>0</v>
      </c>
      <c r="IJ128" s="45" t="b">
        <f t="shared" si="143"/>
        <v>0</v>
      </c>
      <c r="IK128" s="35">
        <f t="shared" si="153"/>
        <v>0</v>
      </c>
      <c r="IL128" s="48">
        <f>IL127+($IL$132-$IL$127)/4</f>
        <v>0</v>
      </c>
      <c r="IM128" s="35">
        <f t="shared" si="154"/>
        <v>0</v>
      </c>
      <c r="IN128" s="35">
        <f t="shared" si="155"/>
        <v>0</v>
      </c>
      <c r="IO128" s="36">
        <f t="shared" si="156"/>
        <v>0</v>
      </c>
      <c r="IP128" s="35">
        <f t="shared" si="157"/>
        <v>0</v>
      </c>
      <c r="IQ128" s="35">
        <f t="shared" si="158"/>
        <v>0</v>
      </c>
      <c r="IR128" s="35">
        <f t="shared" si="160"/>
        <v>0</v>
      </c>
      <c r="IS128" s="42" t="str">
        <f>IF(IC123="-","",SUM(IM128:IR128))</f>
        <v/>
      </c>
      <c r="IT128" s="35">
        <f t="shared" si="159"/>
        <v>25.5</v>
      </c>
      <c r="IV128" s="35"/>
      <c r="IW128" s="35"/>
      <c r="IY128" s="44" t="str">
        <f>IF(IC123="-","",IF(ER23=0,"",ER23))</f>
        <v/>
      </c>
      <c r="IZ128" s="45"/>
      <c r="JB128" s="38"/>
      <c r="JC128" s="38"/>
      <c r="JE128" s="38"/>
      <c r="JF128" s="38"/>
      <c r="JH128" s="38"/>
      <c r="JI128" s="38"/>
      <c r="JK128" s="35"/>
      <c r="JL128" s="35"/>
      <c r="JM128" s="39"/>
      <c r="JN128" s="35"/>
      <c r="JO128" s="35"/>
      <c r="JP128" s="39"/>
      <c r="JQ128" s="35"/>
      <c r="JR128" s="35"/>
      <c r="JS128" s="39"/>
      <c r="JT128" s="35"/>
      <c r="JU128" s="35"/>
      <c r="JW128" s="127"/>
      <c r="JX128" s="127"/>
    </row>
    <row r="129" spans="12:284" ht="14.25" customHeight="1" x14ac:dyDescent="0.2"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87"/>
      <c r="DW129" s="87"/>
      <c r="DX129" s="87"/>
      <c r="DY129" s="87"/>
      <c r="DZ129" s="87"/>
      <c r="EA129" s="87"/>
      <c r="EB129" s="87"/>
      <c r="EC129" s="87"/>
      <c r="ED129" s="87"/>
      <c r="FT129" s="98" t="s">
        <v>19</v>
      </c>
      <c r="FU129" s="170">
        <f>IF(GW3=0,0,(ER34*ET34/GW3)*(GW3^2-ET34^2))</f>
        <v>0</v>
      </c>
      <c r="FV129" s="170"/>
      <c r="FW129" s="170"/>
      <c r="FX129" s="170">
        <f>IF(GZ3=0,0,(ER35*EV35/GZ3)*(GZ3^2-EV35^2))</f>
        <v>0</v>
      </c>
      <c r="FY129" s="170"/>
      <c r="FZ129" s="170"/>
      <c r="GA129" s="101"/>
      <c r="GB129" s="170"/>
      <c r="GC129" s="170"/>
      <c r="GD129" s="170"/>
      <c r="GG129" s="22">
        <v>6</v>
      </c>
      <c r="GH129" s="45"/>
      <c r="GI129" s="45">
        <v>2.1729541093821305E-6</v>
      </c>
      <c r="GJ129" s="45">
        <v>-8.691816437528522E-6</v>
      </c>
      <c r="GK129" s="45">
        <v>3.2594311640731091E-5</v>
      </c>
      <c r="GL129" s="115">
        <v>-1.216854301254035E-4</v>
      </c>
      <c r="GM129" s="115">
        <v>4.5414740886086618E-4</v>
      </c>
      <c r="GN129" s="115">
        <v>0.24830509579468191</v>
      </c>
      <c r="GO129" s="45" t="e">
        <v>#N/A</v>
      </c>
      <c r="GP129" s="45" t="e">
        <v>#N/A</v>
      </c>
      <c r="GQ129" s="45" t="e">
        <v>#N/A</v>
      </c>
      <c r="GR129" s="45" t="e">
        <v>#N/A</v>
      </c>
      <c r="GS129" s="45" t="e">
        <v>#N/A</v>
      </c>
      <c r="GT129" s="45" t="e">
        <v>#N/A</v>
      </c>
      <c r="GU129" s="45" t="e">
        <v>#N/A</v>
      </c>
      <c r="GV129" s="45" t="e">
        <v>#N/A</v>
      </c>
      <c r="GW129" s="45" t="e">
        <v>#N/A</v>
      </c>
      <c r="GX129" s="45" t="e">
        <v>#N/A</v>
      </c>
      <c r="GY129" s="45" t="e">
        <v>#N/A</v>
      </c>
      <c r="GZ129" s="45" t="e">
        <v>#N/A</v>
      </c>
      <c r="HA129" s="45" t="e">
        <v>#N/A</v>
      </c>
      <c r="HB129" s="45" t="e">
        <v>#N/A</v>
      </c>
      <c r="HC129" s="45" t="e">
        <v>#N/A</v>
      </c>
      <c r="HD129" s="45" t="e">
        <v>#N/A</v>
      </c>
      <c r="HE129" s="45" t="e">
        <v>#N/A</v>
      </c>
      <c r="HF129" s="45" t="e">
        <v>#N/A</v>
      </c>
      <c r="HG129" s="45" t="e">
        <v>#N/A</v>
      </c>
      <c r="HI129" s="35">
        <f>$GB$37</f>
        <v>-26730</v>
      </c>
      <c r="HK129" s="28"/>
      <c r="IC129" s="234"/>
      <c r="ID129" s="74">
        <f t="shared" si="161"/>
        <v>25.5</v>
      </c>
      <c r="IE129" s="74" t="s">
        <v>155</v>
      </c>
      <c r="IF129" s="74">
        <f>IF(EX23=0,IF128,EZ23)</f>
        <v>0</v>
      </c>
      <c r="IG129" s="74">
        <f>IF(IC123="-",0,IG128-IF(EX23=0,0,EJ23*(IF129-IF128)))</f>
        <v>0</v>
      </c>
      <c r="II129" s="35" t="b">
        <f t="shared" si="124"/>
        <v>0</v>
      </c>
      <c r="IJ129" s="45" t="b">
        <f t="shared" si="143"/>
        <v>0</v>
      </c>
      <c r="IK129" s="35">
        <f t="shared" si="153"/>
        <v>0</v>
      </c>
      <c r="IL129" s="48">
        <f>IL128+($IL$132-$IL$127)/4</f>
        <v>0</v>
      </c>
      <c r="IM129" s="35">
        <f t="shared" si="154"/>
        <v>0</v>
      </c>
      <c r="IN129" s="35">
        <f t="shared" si="155"/>
        <v>0</v>
      </c>
      <c r="IO129" s="36">
        <f t="shared" si="156"/>
        <v>0</v>
      </c>
      <c r="IP129" s="35">
        <f t="shared" si="157"/>
        <v>0</v>
      </c>
      <c r="IQ129" s="35">
        <f t="shared" si="158"/>
        <v>0</v>
      </c>
      <c r="IR129" s="35">
        <f t="shared" si="160"/>
        <v>0</v>
      </c>
      <c r="IS129" s="42" t="str">
        <f>IF(IC123="-","",SUM(IM129:IR129))</f>
        <v/>
      </c>
      <c r="IT129" s="35">
        <f t="shared" si="159"/>
        <v>25.5</v>
      </c>
      <c r="IV129" s="84" t="str">
        <f>IF(IC123="-","",EJ23)</f>
        <v/>
      </c>
      <c r="IW129" s="35"/>
      <c r="IY129" s="35">
        <f>IF(IC123="-",-5,IF(EX23=0,-5,ID123+EZ23))</f>
        <v>-5</v>
      </c>
      <c r="IZ129" s="35">
        <v>0</v>
      </c>
      <c r="JB129" s="38"/>
      <c r="JC129" s="38"/>
      <c r="JE129" s="38"/>
      <c r="JF129" s="38"/>
      <c r="JH129" s="38"/>
      <c r="JI129" s="38"/>
      <c r="JK129" s="35"/>
      <c r="JL129" s="35"/>
      <c r="JM129" s="39"/>
      <c r="JN129" s="35"/>
      <c r="JO129" s="35"/>
      <c r="JP129" s="39"/>
      <c r="JQ129" s="35"/>
      <c r="JR129" s="35"/>
      <c r="JS129" s="39"/>
      <c r="JT129" s="35"/>
      <c r="JU129" s="35"/>
      <c r="JW129" s="127"/>
      <c r="JX129" s="127"/>
    </row>
    <row r="130" spans="12:284" ht="14.25" customHeight="1" x14ac:dyDescent="0.2"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87"/>
      <c r="DW130" s="87"/>
      <c r="DX130" s="87"/>
      <c r="DY130" s="87"/>
      <c r="DZ130" s="87"/>
      <c r="EA130" s="87"/>
      <c r="EB130" s="87"/>
      <c r="EC130" s="87"/>
      <c r="ED130" s="87"/>
      <c r="FT130" s="98" t="s">
        <v>20</v>
      </c>
      <c r="FU130" s="170">
        <f>IF(GW3=0,0,(EX34*EZ34/GW3)*(GW3^2-EZ34^2))</f>
        <v>0</v>
      </c>
      <c r="FV130" s="170"/>
      <c r="FW130" s="170"/>
      <c r="FX130" s="170">
        <f>IF(GZ3=0,0,(EX35*FB35/GZ3)*(GZ3^2-FB35^2))</f>
        <v>0</v>
      </c>
      <c r="FY130" s="170"/>
      <c r="FZ130" s="170"/>
      <c r="GA130" s="101"/>
      <c r="GB130" s="172"/>
      <c r="GC130" s="172"/>
      <c r="GD130" s="172"/>
      <c r="GG130" s="22">
        <v>7</v>
      </c>
      <c r="GH130" s="45"/>
      <c r="GI130" s="45">
        <v>-1.086477054691082E-6</v>
      </c>
      <c r="GJ130" s="45">
        <v>4.3459082187643279E-6</v>
      </c>
      <c r="GK130" s="45">
        <v>-1.6297155820366233E-5</v>
      </c>
      <c r="GL130" s="45">
        <v>6.0842715062700591E-5</v>
      </c>
      <c r="GM130" s="115">
        <v>-2.2707370443043616E-4</v>
      </c>
      <c r="GN130" s="115">
        <v>8.4745210265904398E-4</v>
      </c>
      <c r="GO130" s="115" t="e">
        <v>#N/A</v>
      </c>
      <c r="GP130" s="45" t="e">
        <v>#N/A</v>
      </c>
      <c r="GQ130" s="45" t="e">
        <v>#N/A</v>
      </c>
      <c r="GR130" s="45" t="e">
        <v>#N/A</v>
      </c>
      <c r="GS130" s="45" t="e">
        <v>#N/A</v>
      </c>
      <c r="GT130" s="45" t="e">
        <v>#N/A</v>
      </c>
      <c r="GU130" s="45" t="e">
        <v>#N/A</v>
      </c>
      <c r="GV130" s="45" t="e">
        <v>#N/A</v>
      </c>
      <c r="GW130" s="45" t="e">
        <v>#N/A</v>
      </c>
      <c r="GX130" s="45" t="e">
        <v>#N/A</v>
      </c>
      <c r="GY130" s="45" t="e">
        <v>#N/A</v>
      </c>
      <c r="GZ130" s="45" t="e">
        <v>#N/A</v>
      </c>
      <c r="HA130" s="45" t="e">
        <v>#N/A</v>
      </c>
      <c r="HB130" s="45" t="e">
        <v>#N/A</v>
      </c>
      <c r="HC130" s="45" t="e">
        <v>#N/A</v>
      </c>
      <c r="HD130" s="45" t="e">
        <v>#N/A</v>
      </c>
      <c r="HE130" s="45" t="e">
        <v>#N/A</v>
      </c>
      <c r="HF130" s="45" t="e">
        <v>#N/A</v>
      </c>
      <c r="HG130" s="45" t="e">
        <v>#N/A</v>
      </c>
      <c r="HI130" s="35">
        <f>$GB$42</f>
        <v>-15552</v>
      </c>
      <c r="HK130" s="28"/>
      <c r="IC130" s="234"/>
      <c r="ID130" s="74">
        <f t="shared" si="161"/>
        <v>25.5</v>
      </c>
      <c r="IE130" s="74" t="s">
        <v>156</v>
      </c>
      <c r="IF130" s="74">
        <f>IF129</f>
        <v>0</v>
      </c>
      <c r="IG130" s="74">
        <f>IF(IC123="-",0,IG129-EX23)</f>
        <v>0</v>
      </c>
      <c r="II130" s="35" t="b">
        <f t="shared" si="124"/>
        <v>0</v>
      </c>
      <c r="IJ130" s="45" t="b">
        <f t="shared" si="143"/>
        <v>0</v>
      </c>
      <c r="IK130" s="35">
        <f t="shared" si="153"/>
        <v>0</v>
      </c>
      <c r="IL130" s="48">
        <f>IL129+($IL$132-$IL$127)/4</f>
        <v>0</v>
      </c>
      <c r="IM130" s="35">
        <f t="shared" si="154"/>
        <v>0</v>
      </c>
      <c r="IN130" s="35">
        <f t="shared" si="155"/>
        <v>0</v>
      </c>
      <c r="IO130" s="36">
        <f t="shared" si="156"/>
        <v>0</v>
      </c>
      <c r="IP130" s="35">
        <f t="shared" si="157"/>
        <v>0</v>
      </c>
      <c r="IQ130" s="35">
        <f t="shared" si="158"/>
        <v>0</v>
      </c>
      <c r="IR130" s="35">
        <f t="shared" si="160"/>
        <v>0</v>
      </c>
      <c r="IS130" s="42" t="str">
        <f>IF(IC123="-","",SUM(IM130:IR130))</f>
        <v/>
      </c>
      <c r="IT130" s="35">
        <f t="shared" si="159"/>
        <v>25.5</v>
      </c>
      <c r="IV130" s="35"/>
      <c r="IW130" s="35"/>
      <c r="IY130" s="35">
        <f>IY129</f>
        <v>-5</v>
      </c>
      <c r="IZ130" s="35">
        <f>IF(IC123="-",0,EX23/20)</f>
        <v>0</v>
      </c>
      <c r="JB130" s="47" t="str">
        <f>IF(IC123="-","",HY28)</f>
        <v/>
      </c>
      <c r="JC130" s="35" t="b">
        <f>AND($F$2=12,$F$10=$ER$43)</f>
        <v>0</v>
      </c>
      <c r="JE130" s="47" t="str">
        <f>JB130</f>
        <v/>
      </c>
      <c r="JF130" s="38"/>
      <c r="JH130" s="38"/>
      <c r="JI130" s="38"/>
      <c r="JK130" s="35" t="b">
        <f>AND($F$2=12,$F$10=$ER$43)</f>
        <v>0</v>
      </c>
      <c r="JL130" s="35"/>
      <c r="JM130" s="39"/>
      <c r="JN130" s="35"/>
      <c r="JO130" s="35"/>
      <c r="JP130" s="39"/>
      <c r="JQ130" s="35"/>
      <c r="JR130" s="35"/>
      <c r="JS130" s="39"/>
      <c r="JT130" s="35"/>
      <c r="JU130" s="35"/>
      <c r="JW130" s="127"/>
      <c r="JX130" s="127"/>
    </row>
    <row r="131" spans="12:284" ht="14.25" customHeight="1" x14ac:dyDescent="0.2"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87"/>
      <c r="DW131" s="87"/>
      <c r="DX131" s="87"/>
      <c r="DY131" s="87"/>
      <c r="DZ131" s="87"/>
      <c r="EA131" s="87"/>
      <c r="EB131" s="87"/>
      <c r="EC131" s="87"/>
      <c r="ED131" s="87"/>
      <c r="FH131" s="28">
        <v>25</v>
      </c>
      <c r="FI131" s="186" t="s">
        <v>114</v>
      </c>
      <c r="FJ131" s="186"/>
      <c r="FK131" s="185" t="s">
        <v>112</v>
      </c>
      <c r="FL131" s="185"/>
      <c r="FM131" s="185"/>
      <c r="FN131" s="185" t="s">
        <v>115</v>
      </c>
      <c r="FO131" s="185"/>
      <c r="FP131" s="185"/>
      <c r="FQ131" s="185" t="s">
        <v>117</v>
      </c>
      <c r="FR131" s="185"/>
      <c r="FS131" s="185"/>
      <c r="FT131" s="98" t="s">
        <v>57</v>
      </c>
      <c r="FU131" s="187" t="s">
        <v>13</v>
      </c>
      <c r="FV131" s="185"/>
      <c r="FW131" s="185"/>
      <c r="FX131" s="187" t="s">
        <v>14</v>
      </c>
      <c r="FY131" s="185"/>
      <c r="FZ131" s="185"/>
      <c r="GA131" s="98" t="s">
        <v>57</v>
      </c>
      <c r="GB131" s="187" t="s">
        <v>60</v>
      </c>
      <c r="GC131" s="185"/>
      <c r="GD131" s="185"/>
      <c r="GG131" s="22">
        <v>8</v>
      </c>
      <c r="GH131" s="45"/>
      <c r="GI131" s="45" t="e">
        <v>#N/A</v>
      </c>
      <c r="GJ131" s="45" t="e">
        <v>#N/A</v>
      </c>
      <c r="GK131" s="45" t="e">
        <v>#N/A</v>
      </c>
      <c r="GL131" s="45" t="e">
        <v>#N/A</v>
      </c>
      <c r="GM131" s="45" t="e">
        <v>#N/A</v>
      </c>
      <c r="GN131" s="115" t="e">
        <v>#N/A</v>
      </c>
      <c r="GO131" s="115" t="e">
        <v>#N/A</v>
      </c>
      <c r="GP131" s="115" t="e">
        <v>#N/A</v>
      </c>
      <c r="GQ131" s="45" t="e">
        <v>#N/A</v>
      </c>
      <c r="GR131" s="45" t="e">
        <v>#N/A</v>
      </c>
      <c r="GS131" s="45" t="e">
        <v>#N/A</v>
      </c>
      <c r="GT131" s="45" t="e">
        <v>#N/A</v>
      </c>
      <c r="GU131" s="45" t="e">
        <v>#N/A</v>
      </c>
      <c r="GV131" s="45" t="e">
        <v>#N/A</v>
      </c>
      <c r="GW131" s="45" t="e">
        <v>#N/A</v>
      </c>
      <c r="GX131" s="45" t="e">
        <v>#N/A</v>
      </c>
      <c r="GY131" s="45" t="e">
        <v>#N/A</v>
      </c>
      <c r="GZ131" s="45" t="e">
        <v>#N/A</v>
      </c>
      <c r="HA131" s="45" t="e">
        <v>#N/A</v>
      </c>
      <c r="HB131" s="45" t="e">
        <v>#N/A</v>
      </c>
      <c r="HC131" s="45" t="e">
        <v>#N/A</v>
      </c>
      <c r="HD131" s="45" t="e">
        <v>#N/A</v>
      </c>
      <c r="HE131" s="45" t="e">
        <v>#N/A</v>
      </c>
      <c r="HF131" s="45" t="e">
        <v>#N/A</v>
      </c>
      <c r="HG131" s="45" t="e">
        <v>#N/A</v>
      </c>
      <c r="HI131" s="35">
        <f>$GB$47</f>
        <v>0</v>
      </c>
      <c r="HK131" s="28"/>
      <c r="IC131" s="234"/>
      <c r="ID131" s="74">
        <f t="shared" si="161"/>
        <v>25.5</v>
      </c>
      <c r="IE131" s="74" t="s">
        <v>157</v>
      </c>
      <c r="IF131" s="74">
        <f>IF132</f>
        <v>0</v>
      </c>
      <c r="IG131" s="74">
        <f>HW28</f>
        <v>0</v>
      </c>
      <c r="II131" s="35" t="b">
        <f t="shared" si="124"/>
        <v>0</v>
      </c>
      <c r="IJ131" s="45" t="b">
        <f t="shared" si="143"/>
        <v>0</v>
      </c>
      <c r="IK131" s="35">
        <f t="shared" si="153"/>
        <v>0</v>
      </c>
      <c r="IL131" s="48">
        <f>IL130+($IL$132-$IL$127)/4</f>
        <v>0</v>
      </c>
      <c r="IM131" s="35">
        <f t="shared" si="154"/>
        <v>0</v>
      </c>
      <c r="IN131" s="35">
        <f t="shared" si="155"/>
        <v>0</v>
      </c>
      <c r="IO131" s="36">
        <f t="shared" si="156"/>
        <v>0</v>
      </c>
      <c r="IP131" s="35">
        <f t="shared" si="157"/>
        <v>0</v>
      </c>
      <c r="IQ131" s="35">
        <f t="shared" si="158"/>
        <v>0</v>
      </c>
      <c r="IR131" s="45"/>
      <c r="IS131" s="37" t="str">
        <f>IF(IC123="-","",ROUND(HU28,2))</f>
        <v/>
      </c>
      <c r="IT131" s="35">
        <f t="shared" si="159"/>
        <v>25.5</v>
      </c>
      <c r="IV131" s="35"/>
      <c r="IW131" s="35"/>
      <c r="IY131" s="44" t="str">
        <f>IF(IC123="-","",IF(EX23=0,"",EX23))</f>
        <v/>
      </c>
      <c r="IZ131" s="45"/>
      <c r="JB131" s="38">
        <f>ID132</f>
        <v>25.5</v>
      </c>
      <c r="JC131" s="38">
        <v>0</v>
      </c>
      <c r="JE131" s="38">
        <f>JB131</f>
        <v>25.5</v>
      </c>
      <c r="JF131" s="38">
        <f>IF(JE130&gt;0,-MAX(IW3:IW272,IZ3:IZ272)*0.5,-MAX(IW3:IW272,IZ3:IZ272)*1.5)</f>
        <v>-37.5</v>
      </c>
      <c r="JH131" s="38">
        <f>IF(IC123=12,ID131,-5)</f>
        <v>-5</v>
      </c>
      <c r="JI131" s="38">
        <f>IG131</f>
        <v>0</v>
      </c>
      <c r="JK131" s="35">
        <f>IF(JK130=TRUE,IT131,-5)</f>
        <v>-5</v>
      </c>
      <c r="JL131" s="49" t="str">
        <f>IS131</f>
        <v/>
      </c>
      <c r="JM131" s="40"/>
      <c r="JN131" s="49"/>
      <c r="JO131" s="49"/>
      <c r="JP131" s="40"/>
      <c r="JQ131" s="49"/>
      <c r="JR131" s="49"/>
      <c r="JS131" s="40"/>
      <c r="JT131" s="49"/>
      <c r="JU131" s="49"/>
      <c r="JW131" s="120"/>
      <c r="JX131" s="120"/>
    </row>
    <row r="132" spans="12:284" ht="14.25" customHeight="1" x14ac:dyDescent="0.2"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87"/>
      <c r="DW132" s="87"/>
      <c r="DX132" s="87"/>
      <c r="DY132" s="87"/>
      <c r="DZ132" s="87"/>
      <c r="EA132" s="87"/>
      <c r="EB132" s="87"/>
      <c r="EC132" s="87"/>
      <c r="ED132" s="87"/>
      <c r="FK132" s="169">
        <f>GZ3</f>
        <v>0</v>
      </c>
      <c r="FL132" s="169"/>
      <c r="FM132" s="169"/>
      <c r="FN132" s="169">
        <f>2*(GZ3+HC3)</f>
        <v>0</v>
      </c>
      <c r="FO132" s="169"/>
      <c r="FP132" s="169"/>
      <c r="FQ132" s="169">
        <f>IF($F$2=25,(IF(F10=ER43,HC3,IF(F10=ER44,HC3*FF40,0))),IF(F2&gt;25,HC3,0))</f>
        <v>0</v>
      </c>
      <c r="FR132" s="169"/>
      <c r="FS132" s="169"/>
      <c r="FT132" s="98" t="s">
        <v>41</v>
      </c>
      <c r="FU132" s="170">
        <f>(EJ35*GZ3^3)/4</f>
        <v>0</v>
      </c>
      <c r="FV132" s="170"/>
      <c r="FW132" s="170"/>
      <c r="FX132" s="170">
        <f>(EJ36*HC3^3)/4</f>
        <v>0</v>
      </c>
      <c r="FY132" s="170"/>
      <c r="FZ132" s="170"/>
      <c r="GA132" s="101"/>
      <c r="GB132" s="171">
        <f>-SUM(FU132:FZ135)-IF(F2=25,IF($F$10=$ER$44,FQ132,0))</f>
        <v>0</v>
      </c>
      <c r="GC132" s="171"/>
      <c r="GD132" s="171"/>
      <c r="GG132" s="22">
        <v>9</v>
      </c>
      <c r="GH132" s="45"/>
      <c r="GI132" s="45" t="e">
        <v>#N/A</v>
      </c>
      <c r="GJ132" s="45" t="e">
        <v>#N/A</v>
      </c>
      <c r="GK132" s="45" t="e">
        <v>#N/A</v>
      </c>
      <c r="GL132" s="45" t="e">
        <v>#N/A</v>
      </c>
      <c r="GM132" s="45" t="e">
        <v>#N/A</v>
      </c>
      <c r="GN132" s="45" t="e">
        <v>#N/A</v>
      </c>
      <c r="GO132" s="115" t="e">
        <v>#N/A</v>
      </c>
      <c r="GP132" s="115" t="e">
        <v>#N/A</v>
      </c>
      <c r="GQ132" s="115" t="e">
        <v>#N/A</v>
      </c>
      <c r="GR132" s="45" t="e">
        <v>#N/A</v>
      </c>
      <c r="GS132" s="45" t="e">
        <v>#N/A</v>
      </c>
      <c r="GT132" s="45" t="e">
        <v>#N/A</v>
      </c>
      <c r="GU132" s="45" t="e">
        <v>#N/A</v>
      </c>
      <c r="GV132" s="45" t="e">
        <v>#N/A</v>
      </c>
      <c r="GW132" s="45" t="e">
        <v>#N/A</v>
      </c>
      <c r="GX132" s="45" t="e">
        <v>#N/A</v>
      </c>
      <c r="GY132" s="45" t="e">
        <v>#N/A</v>
      </c>
      <c r="GZ132" s="45" t="e">
        <v>#N/A</v>
      </c>
      <c r="HA132" s="45" t="e">
        <v>#N/A</v>
      </c>
      <c r="HB132" s="45" t="e">
        <v>#N/A</v>
      </c>
      <c r="HC132" s="45" t="e">
        <v>#N/A</v>
      </c>
      <c r="HD132" s="45" t="e">
        <v>#N/A</v>
      </c>
      <c r="HE132" s="45" t="e">
        <v>#N/A</v>
      </c>
      <c r="HF132" s="45" t="e">
        <v>#N/A</v>
      </c>
      <c r="HG132" s="45" t="e">
        <v>#N/A</v>
      </c>
      <c r="HI132" s="35">
        <f>$GB$52</f>
        <v>0</v>
      </c>
      <c r="HK132" s="28"/>
      <c r="IC132" s="234"/>
      <c r="ID132" s="74">
        <f>IF(HS27="R0",ID123,ID123+HT27)</f>
        <v>25.5</v>
      </c>
      <c r="IE132" s="74" t="s">
        <v>158</v>
      </c>
      <c r="IF132" s="74">
        <f>IF(HS27="R0",0,HT27)</f>
        <v>0</v>
      </c>
      <c r="IG132" s="74">
        <v>0</v>
      </c>
      <c r="II132" s="35" t="b">
        <f t="shared" si="124"/>
        <v>0</v>
      </c>
      <c r="IJ132" s="45" t="b">
        <f t="shared" si="143"/>
        <v>0</v>
      </c>
      <c r="IK132" s="35">
        <f t="shared" si="153"/>
        <v>0</v>
      </c>
      <c r="IL132" s="48">
        <f>IK132</f>
        <v>0</v>
      </c>
      <c r="IM132" s="35"/>
      <c r="IN132" s="45"/>
      <c r="IO132" s="36"/>
      <c r="IP132" s="35"/>
      <c r="IQ132" s="35"/>
      <c r="IR132" s="45"/>
      <c r="IS132" s="82"/>
      <c r="IT132" s="35"/>
      <c r="IV132" s="35"/>
      <c r="IW132" s="35"/>
      <c r="IY132" s="45"/>
      <c r="IZ132" s="45"/>
      <c r="JB132" s="38">
        <f>JB131</f>
        <v>25.5</v>
      </c>
      <c r="JC132" s="38">
        <f>IF(IC123="-",0,IF(JC130=TRUE,0,-20))</f>
        <v>0</v>
      </c>
      <c r="JE132" s="38">
        <f>JE131</f>
        <v>25.5</v>
      </c>
      <c r="JF132" s="38">
        <f>IF(IC123="-",JF131,IF(JE130&gt;0,-MAX(IW3:IW272,IZ3:IZ272)*1.5,-MAX(IW3:IW272,IZ3:IZ272)*0.5))</f>
        <v>-37.5</v>
      </c>
      <c r="JH132" s="38"/>
      <c r="JI132" s="38"/>
      <c r="JK132" s="35"/>
      <c r="JL132" s="35"/>
      <c r="JM132" s="39"/>
      <c r="JN132" s="35"/>
      <c r="JO132" s="35"/>
      <c r="JP132" s="39"/>
      <c r="JQ132" s="35"/>
      <c r="JR132" s="35"/>
      <c r="JS132" s="39"/>
      <c r="JT132" s="35"/>
      <c r="JU132" s="35"/>
      <c r="JW132" s="127"/>
      <c r="JX132" s="127"/>
    </row>
    <row r="133" spans="12:284" ht="14.25" customHeight="1" x14ac:dyDescent="0.2"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87"/>
      <c r="DW133" s="87"/>
      <c r="DX133" s="87"/>
      <c r="DY133" s="87"/>
      <c r="DZ133" s="87"/>
      <c r="EA133" s="87"/>
      <c r="EB133" s="87"/>
      <c r="EC133" s="87"/>
      <c r="ED133" s="87"/>
      <c r="FT133" s="98" t="s">
        <v>17</v>
      </c>
      <c r="FU133" s="170">
        <f>IF(GZ3=0,0,(EL35*EN35/GZ3)*(GZ3^2-EN35^2))</f>
        <v>0</v>
      </c>
      <c r="FV133" s="170"/>
      <c r="FW133" s="170"/>
      <c r="FX133" s="170">
        <f>IF(HC3=0,0,(EL36*EP36/HC3)*(HC3^2-EP36^2))</f>
        <v>0</v>
      </c>
      <c r="FY133" s="170"/>
      <c r="FZ133" s="170"/>
      <c r="GA133" s="101"/>
      <c r="GB133" s="170"/>
      <c r="GC133" s="170"/>
      <c r="GD133" s="170"/>
      <c r="GG133" s="22">
        <v>10</v>
      </c>
      <c r="GH133" s="45"/>
      <c r="GI133" s="45" t="e">
        <v>#N/A</v>
      </c>
      <c r="GJ133" s="45" t="e">
        <v>#N/A</v>
      </c>
      <c r="GK133" s="45" t="e">
        <v>#N/A</v>
      </c>
      <c r="GL133" s="45" t="e">
        <v>#N/A</v>
      </c>
      <c r="GM133" s="45" t="e">
        <v>#N/A</v>
      </c>
      <c r="GN133" s="45" t="e">
        <v>#N/A</v>
      </c>
      <c r="GO133" s="45" t="e">
        <v>#N/A</v>
      </c>
      <c r="GP133" s="115" t="e">
        <v>#N/A</v>
      </c>
      <c r="GQ133" s="115" t="e">
        <v>#N/A</v>
      </c>
      <c r="GR133" s="115" t="e">
        <v>#N/A</v>
      </c>
      <c r="GS133" s="45" t="e">
        <v>#N/A</v>
      </c>
      <c r="GT133" s="45" t="e">
        <v>#N/A</v>
      </c>
      <c r="GU133" s="45" t="e">
        <v>#N/A</v>
      </c>
      <c r="GV133" s="45" t="e">
        <v>#N/A</v>
      </c>
      <c r="GW133" s="45" t="e">
        <v>#N/A</v>
      </c>
      <c r="GX133" s="45" t="e">
        <v>#N/A</v>
      </c>
      <c r="GY133" s="45" t="e">
        <v>#N/A</v>
      </c>
      <c r="GZ133" s="45" t="e">
        <v>#N/A</v>
      </c>
      <c r="HA133" s="45" t="e">
        <v>#N/A</v>
      </c>
      <c r="HB133" s="45" t="e">
        <v>#N/A</v>
      </c>
      <c r="HC133" s="45" t="e">
        <v>#N/A</v>
      </c>
      <c r="HD133" s="45" t="e">
        <v>#N/A</v>
      </c>
      <c r="HE133" s="45" t="e">
        <v>#N/A</v>
      </c>
      <c r="HF133" s="45" t="e">
        <v>#N/A</v>
      </c>
      <c r="HG133" s="45" t="e">
        <v>#N/A</v>
      </c>
      <c r="HI133" s="35">
        <f>$GB$57</f>
        <v>0</v>
      </c>
      <c r="HK133" s="28"/>
      <c r="IC133" s="250" t="str">
        <f>IF(HS29="R0","-",HS29)</f>
        <v>-</v>
      </c>
      <c r="ID133" s="53">
        <f>IF(HS29="R0",ID272,ID132)</f>
        <v>25.5</v>
      </c>
      <c r="IE133" s="53" t="s">
        <v>149</v>
      </c>
      <c r="IF133" s="53">
        <v>0</v>
      </c>
      <c r="IG133" s="53">
        <v>0</v>
      </c>
      <c r="II133" s="54" t="b">
        <f t="shared" si="124"/>
        <v>0</v>
      </c>
      <c r="IJ133" s="55" t="b">
        <f t="shared" si="143"/>
        <v>0</v>
      </c>
      <c r="IK133" s="54">
        <f t="shared" ref="IK133:IK142" si="162">IF(II133=TRUE,IF(IJ133=TRUE,IG133/$EJ$24)+IF133,IF133)</f>
        <v>0</v>
      </c>
      <c r="IL133" s="56">
        <f>IK133</f>
        <v>0</v>
      </c>
      <c r="IM133" s="54">
        <f t="shared" ref="IM133:IM141" si="163">$HV$29*IL133</f>
        <v>0</v>
      </c>
      <c r="IN133" s="54">
        <f t="shared" ref="IN133:IN141" si="164">-$EJ$24*(IL133^2/2)</f>
        <v>0</v>
      </c>
      <c r="IO133" s="57">
        <f t="shared" ref="IO133:IO141" si="165">-IF(IL133&gt;=$EN$24,$EL$24*(IL133-$EN$24),0)</f>
        <v>0</v>
      </c>
      <c r="IP133" s="54">
        <f t="shared" ref="IP133:IP141" si="166">-IF(IL133&gt;=$ET$24,$ER$24*(IL133-$ET$24),0)</f>
        <v>0</v>
      </c>
      <c r="IQ133" s="54">
        <f t="shared" ref="IQ133:IQ141" si="167">-IF(IL133&gt;=$EZ$24,$EX$24*(IL133-$EZ$24),0)</f>
        <v>0</v>
      </c>
      <c r="IR133" s="55"/>
      <c r="IS133" s="59" t="str">
        <f>IF(IC133="-","",HU29)</f>
        <v/>
      </c>
      <c r="IT133" s="54">
        <f t="shared" ref="IT133:IT141" si="168">$ID$133+IL133</f>
        <v>25.5</v>
      </c>
      <c r="IV133" s="54">
        <f>ID133</f>
        <v>25.5</v>
      </c>
      <c r="IW133" s="54">
        <v>0</v>
      </c>
      <c r="IY133" s="54">
        <f>IF(IC133="-",-5,IF(EL24=0,-5,ID133+EN24))</f>
        <v>-5</v>
      </c>
      <c r="IZ133" s="54">
        <v>0</v>
      </c>
      <c r="JB133" s="54"/>
      <c r="JC133" s="54"/>
      <c r="JE133" s="54"/>
      <c r="JF133" s="54"/>
      <c r="JH133" s="54"/>
      <c r="JI133" s="54"/>
      <c r="JK133" s="54">
        <f>IF(IC133=13,IT133,-5)</f>
        <v>-5</v>
      </c>
      <c r="JL133" s="59" t="str">
        <f>IS133</f>
        <v/>
      </c>
      <c r="JM133" s="40"/>
      <c r="JN133" s="59">
        <f>IF(IC133="-",-5,(ID133+ID142)/2)</f>
        <v>-5</v>
      </c>
      <c r="JO133" s="59">
        <f>-MAX(IW3:IW272,IZ3:IZ272)*0.7</f>
        <v>-52.5</v>
      </c>
      <c r="JP133" s="40"/>
      <c r="JQ133" s="59">
        <f>IF(IC133="-",-5,(IT133+IT137)/2)</f>
        <v>-5</v>
      </c>
      <c r="JR133" s="59">
        <f>JR13</f>
        <v>-760.38306347150262</v>
      </c>
      <c r="JS133" s="40"/>
      <c r="JT133" s="59"/>
      <c r="JU133" s="59"/>
      <c r="JW133" s="122">
        <f>JN133</f>
        <v>-5</v>
      </c>
      <c r="JX133" s="122">
        <f>JF142</f>
        <v>-37.5</v>
      </c>
    </row>
    <row r="134" spans="12:284" ht="14.25" customHeight="1" x14ac:dyDescent="0.2"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87"/>
      <c r="DW134" s="87"/>
      <c r="DX134" s="87"/>
      <c r="DY134" s="87"/>
      <c r="DZ134" s="87"/>
      <c r="EA134" s="87"/>
      <c r="EB134" s="87"/>
      <c r="EC134" s="87"/>
      <c r="ED134" s="87"/>
      <c r="FT134" s="98" t="s">
        <v>19</v>
      </c>
      <c r="FU134" s="170">
        <f>IF(GZ3=0,0,(ER35*ET35/GZ3)*(GZ3^2-ET35^2))</f>
        <v>0</v>
      </c>
      <c r="FV134" s="170"/>
      <c r="FW134" s="170"/>
      <c r="FX134" s="170">
        <f>IF(HC3=0,0,(ER36*EV36/HC3)*(HC3^2-EV36^2))</f>
        <v>0</v>
      </c>
      <c r="FY134" s="170"/>
      <c r="FZ134" s="170"/>
      <c r="GA134" s="101"/>
      <c r="GB134" s="170"/>
      <c r="GC134" s="170"/>
      <c r="GD134" s="170"/>
      <c r="GG134" s="22">
        <v>11</v>
      </c>
      <c r="GH134" s="45"/>
      <c r="GI134" s="45" t="e">
        <v>#N/A</v>
      </c>
      <c r="GJ134" s="45" t="e">
        <v>#N/A</v>
      </c>
      <c r="GK134" s="45" t="e">
        <v>#N/A</v>
      </c>
      <c r="GL134" s="45" t="e">
        <v>#N/A</v>
      </c>
      <c r="GM134" s="45" t="e">
        <v>#N/A</v>
      </c>
      <c r="GN134" s="45" t="e">
        <v>#N/A</v>
      </c>
      <c r="GO134" s="45" t="e">
        <v>#N/A</v>
      </c>
      <c r="GP134" s="45" t="e">
        <v>#N/A</v>
      </c>
      <c r="GQ134" s="115" t="e">
        <v>#N/A</v>
      </c>
      <c r="GR134" s="115" t="e">
        <v>#N/A</v>
      </c>
      <c r="GS134" s="115" t="e">
        <v>#N/A</v>
      </c>
      <c r="GT134" s="45" t="e">
        <v>#N/A</v>
      </c>
      <c r="GU134" s="45" t="e">
        <v>#N/A</v>
      </c>
      <c r="GV134" s="45" t="e">
        <v>#N/A</v>
      </c>
      <c r="GW134" s="45" t="e">
        <v>#N/A</v>
      </c>
      <c r="GX134" s="45" t="e">
        <v>#N/A</v>
      </c>
      <c r="GY134" s="45" t="e">
        <v>#N/A</v>
      </c>
      <c r="GZ134" s="45" t="e">
        <v>#N/A</v>
      </c>
      <c r="HA134" s="45" t="e">
        <v>#N/A</v>
      </c>
      <c r="HB134" s="45" t="e">
        <v>#N/A</v>
      </c>
      <c r="HC134" s="45" t="e">
        <v>#N/A</v>
      </c>
      <c r="HD134" s="45" t="e">
        <v>#N/A</v>
      </c>
      <c r="HE134" s="45" t="e">
        <v>#N/A</v>
      </c>
      <c r="HF134" s="45" t="e">
        <v>#N/A</v>
      </c>
      <c r="HG134" s="45" t="e">
        <v>#N/A</v>
      </c>
      <c r="HI134" s="35">
        <f>$GB$62</f>
        <v>0</v>
      </c>
      <c r="HK134" s="28"/>
      <c r="IC134" s="250"/>
      <c r="ID134" s="53">
        <f>IF($IC$133="-",$ID$133,$ID$133+IF134)</f>
        <v>25.5</v>
      </c>
      <c r="IE134" s="53" t="s">
        <v>150</v>
      </c>
      <c r="IF134" s="53">
        <f>IF133</f>
        <v>0</v>
      </c>
      <c r="IG134" s="53">
        <f>IF(IC133="-",0,HV29)</f>
        <v>0</v>
      </c>
      <c r="II134" s="54" t="b">
        <f t="shared" si="124"/>
        <v>0</v>
      </c>
      <c r="IJ134" s="55" t="b">
        <f t="shared" si="143"/>
        <v>0</v>
      </c>
      <c r="IK134" s="54">
        <f t="shared" si="162"/>
        <v>0</v>
      </c>
      <c r="IL134" s="56">
        <f>(IL137-IL133)/4</f>
        <v>0</v>
      </c>
      <c r="IM134" s="54">
        <f t="shared" si="163"/>
        <v>0</v>
      </c>
      <c r="IN134" s="54">
        <f t="shared" si="164"/>
        <v>0</v>
      </c>
      <c r="IO134" s="57">
        <f t="shared" si="165"/>
        <v>0</v>
      </c>
      <c r="IP134" s="54">
        <f t="shared" si="166"/>
        <v>0</v>
      </c>
      <c r="IQ134" s="54">
        <f t="shared" si="167"/>
        <v>0</v>
      </c>
      <c r="IR134" s="54">
        <f t="shared" ref="IR134:IR140" si="169">$HU$29</f>
        <v>0</v>
      </c>
      <c r="IS134" s="58" t="str">
        <f>IF(IC133="-","",SUM(IM134:IR134))</f>
        <v/>
      </c>
      <c r="IT134" s="54">
        <f t="shared" si="168"/>
        <v>25.5</v>
      </c>
      <c r="IV134" s="54">
        <f>IV133</f>
        <v>25.5</v>
      </c>
      <c r="IW134" s="54">
        <f>IF(IC133="-",0,EJ24)/20</f>
        <v>0</v>
      </c>
      <c r="IY134" s="54">
        <f>IY133</f>
        <v>-5</v>
      </c>
      <c r="IZ134" s="54">
        <f>IF(IC133="-",0,EL24/20)</f>
        <v>0</v>
      </c>
      <c r="JB134" s="54"/>
      <c r="JC134" s="54"/>
      <c r="JE134" s="54"/>
      <c r="JF134" s="54"/>
      <c r="JH134" s="54">
        <f>IF(IC133=13,ID134,-5)</f>
        <v>-5</v>
      </c>
      <c r="JI134" s="54">
        <f>IG134</f>
        <v>0</v>
      </c>
      <c r="JK134" s="54"/>
      <c r="JL134" s="54"/>
      <c r="JM134" s="39"/>
      <c r="JN134" s="61">
        <f>HT29</f>
        <v>0</v>
      </c>
      <c r="JO134" s="54"/>
      <c r="JP134" s="39"/>
      <c r="JQ134" s="62" t="b">
        <f>IL137</f>
        <v>0</v>
      </c>
      <c r="JR134" s="54"/>
      <c r="JS134" s="39"/>
      <c r="JT134" s="54"/>
      <c r="JU134" s="54"/>
      <c r="JW134" s="125" t="str">
        <f>IC133</f>
        <v>-</v>
      </c>
      <c r="JX134" s="123"/>
    </row>
    <row r="135" spans="12:284" ht="14.25" customHeight="1" x14ac:dyDescent="0.2"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87"/>
      <c r="DW135" s="87"/>
      <c r="DX135" s="87"/>
      <c r="DY135" s="87"/>
      <c r="DZ135" s="87"/>
      <c r="EA135" s="87"/>
      <c r="EB135" s="87"/>
      <c r="EC135" s="87"/>
      <c r="ED135" s="87"/>
      <c r="FT135" s="98" t="s">
        <v>20</v>
      </c>
      <c r="FU135" s="170">
        <f>IF(GZ3=0,0,(EX35*EZ35/GZ3)*(GZ3^2-EZ35^2))</f>
        <v>0</v>
      </c>
      <c r="FV135" s="170"/>
      <c r="FW135" s="170"/>
      <c r="FX135" s="170">
        <f>IF(HC3=0,0,(EX36*FB36/HC3)*(HC3^2-FB36^2))</f>
        <v>0</v>
      </c>
      <c r="FY135" s="170"/>
      <c r="FZ135" s="170"/>
      <c r="GA135" s="101"/>
      <c r="GB135" s="172"/>
      <c r="GC135" s="172"/>
      <c r="GD135" s="172"/>
      <c r="GG135" s="22">
        <v>12</v>
      </c>
      <c r="GH135" s="45"/>
      <c r="GI135" s="45" t="e">
        <v>#N/A</v>
      </c>
      <c r="GJ135" s="45" t="e">
        <v>#N/A</v>
      </c>
      <c r="GK135" s="45" t="e">
        <v>#N/A</v>
      </c>
      <c r="GL135" s="45" t="e">
        <v>#N/A</v>
      </c>
      <c r="GM135" s="45" t="e">
        <v>#N/A</v>
      </c>
      <c r="GN135" s="45" t="e">
        <v>#N/A</v>
      </c>
      <c r="GO135" s="45" t="e">
        <v>#N/A</v>
      </c>
      <c r="GP135" s="45" t="e">
        <v>#N/A</v>
      </c>
      <c r="GQ135" s="45" t="e">
        <v>#N/A</v>
      </c>
      <c r="GR135" s="115" t="e">
        <v>#N/A</v>
      </c>
      <c r="GS135" s="115" t="e">
        <v>#N/A</v>
      </c>
      <c r="GT135" s="115" t="e">
        <v>#N/A</v>
      </c>
      <c r="GU135" s="45" t="e">
        <v>#N/A</v>
      </c>
      <c r="GV135" s="45" t="e">
        <v>#N/A</v>
      </c>
      <c r="GW135" s="45" t="e">
        <v>#N/A</v>
      </c>
      <c r="GX135" s="45" t="e">
        <v>#N/A</v>
      </c>
      <c r="GY135" s="45" t="e">
        <v>#N/A</v>
      </c>
      <c r="GZ135" s="45" t="e">
        <v>#N/A</v>
      </c>
      <c r="HA135" s="45" t="e">
        <v>#N/A</v>
      </c>
      <c r="HB135" s="45" t="e">
        <v>#N/A</v>
      </c>
      <c r="HC135" s="45" t="e">
        <v>#N/A</v>
      </c>
      <c r="HD135" s="45" t="e">
        <v>#N/A</v>
      </c>
      <c r="HE135" s="45" t="e">
        <v>#N/A</v>
      </c>
      <c r="HF135" s="45" t="e">
        <v>#N/A</v>
      </c>
      <c r="HG135" s="45" t="e">
        <v>#N/A</v>
      </c>
      <c r="HI135" s="35">
        <f>$GB$67</f>
        <v>0</v>
      </c>
      <c r="HK135" s="28"/>
      <c r="IC135" s="250"/>
      <c r="ID135" s="53">
        <f t="shared" ref="ID135:ID141" si="170">IF($IC$133="-",$ID$133,$ID$133+IF135)</f>
        <v>25.5</v>
      </c>
      <c r="IE135" s="53" t="s">
        <v>151</v>
      </c>
      <c r="IF135" s="53">
        <f>IF(EL24=0,IF134,EN24)</f>
        <v>0</v>
      </c>
      <c r="IG135" s="53">
        <f>IF(IC133="-",0,IG134-IF(EL24=0,0,EJ24*IF135))</f>
        <v>0</v>
      </c>
      <c r="II135" s="54" t="b">
        <f t="shared" si="124"/>
        <v>0</v>
      </c>
      <c r="IJ135" s="55" t="b">
        <f t="shared" si="143"/>
        <v>0</v>
      </c>
      <c r="IK135" s="54">
        <f t="shared" si="162"/>
        <v>0</v>
      </c>
      <c r="IL135" s="56">
        <f>IL134*2</f>
        <v>0</v>
      </c>
      <c r="IM135" s="54">
        <f t="shared" si="163"/>
        <v>0</v>
      </c>
      <c r="IN135" s="54">
        <f t="shared" si="164"/>
        <v>0</v>
      </c>
      <c r="IO135" s="57">
        <f t="shared" si="165"/>
        <v>0</v>
      </c>
      <c r="IP135" s="54">
        <f t="shared" si="166"/>
        <v>0</v>
      </c>
      <c r="IQ135" s="54">
        <f t="shared" si="167"/>
        <v>0</v>
      </c>
      <c r="IR135" s="54">
        <f t="shared" si="169"/>
        <v>0</v>
      </c>
      <c r="IS135" s="58" t="str">
        <f>IF(IC133="-","",SUM(IM135:IR135))</f>
        <v/>
      </c>
      <c r="IT135" s="54">
        <f t="shared" si="168"/>
        <v>25.5</v>
      </c>
      <c r="IV135" s="54">
        <f>IF142/2+IV133</f>
        <v>25.5</v>
      </c>
      <c r="IW135" s="54">
        <f>IW134</f>
        <v>0</v>
      </c>
      <c r="IY135" s="65" t="str">
        <f>IF(IC133="-","",IF(EL24=0,"",EL24))</f>
        <v/>
      </c>
      <c r="IZ135" s="55"/>
      <c r="JB135" s="54"/>
      <c r="JC135" s="54"/>
      <c r="JE135" s="54"/>
      <c r="JF135" s="54"/>
      <c r="JH135" s="54"/>
      <c r="JI135" s="54"/>
      <c r="JK135" s="54"/>
      <c r="JL135" s="54"/>
      <c r="JM135" s="39"/>
      <c r="JN135" s="54"/>
      <c r="JO135" s="54"/>
      <c r="JP135" s="39"/>
      <c r="JQ135" s="54"/>
      <c r="JR135" s="54"/>
      <c r="JS135" s="39"/>
      <c r="JT135" s="54"/>
      <c r="JU135" s="54"/>
      <c r="JW135" s="123"/>
      <c r="JX135" s="123"/>
    </row>
    <row r="136" spans="12:284" ht="14.25" customHeight="1" x14ac:dyDescent="0.2"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87"/>
      <c r="DW136" s="87"/>
      <c r="DX136" s="87"/>
      <c r="DY136" s="87"/>
      <c r="DZ136" s="87"/>
      <c r="EA136" s="87"/>
      <c r="EB136" s="87"/>
      <c r="EC136" s="87"/>
      <c r="ED136" s="87"/>
      <c r="FH136" s="100" t="s">
        <v>118</v>
      </c>
      <c r="FI136" s="186" t="s">
        <v>116</v>
      </c>
      <c r="FJ136" s="186"/>
      <c r="FK136" s="185" t="s">
        <v>115</v>
      </c>
      <c r="FL136" s="185"/>
      <c r="FM136" s="185"/>
      <c r="FN136" s="185" t="s">
        <v>117</v>
      </c>
      <c r="FO136" s="185"/>
      <c r="FP136" s="185"/>
      <c r="FQ136" s="185" t="s">
        <v>122</v>
      </c>
      <c r="FR136" s="185"/>
      <c r="FS136" s="185"/>
      <c r="FT136" s="98" t="s">
        <v>57</v>
      </c>
      <c r="FU136" s="187" t="s">
        <v>13</v>
      </c>
      <c r="FV136" s="185"/>
      <c r="FW136" s="185"/>
      <c r="FX136" s="187" t="s">
        <v>14</v>
      </c>
      <c r="FY136" s="185"/>
      <c r="FZ136" s="185"/>
      <c r="GA136" s="98" t="s">
        <v>57</v>
      </c>
      <c r="GB136" s="187" t="s">
        <v>60</v>
      </c>
      <c r="GC136" s="185"/>
      <c r="GD136" s="185"/>
      <c r="GG136" s="22">
        <v>13</v>
      </c>
      <c r="GH136" s="45"/>
      <c r="GI136" s="45" t="e">
        <v>#N/A</v>
      </c>
      <c r="GJ136" s="45" t="e">
        <v>#N/A</v>
      </c>
      <c r="GK136" s="45" t="e">
        <v>#N/A</v>
      </c>
      <c r="GL136" s="45" t="e">
        <v>#N/A</v>
      </c>
      <c r="GM136" s="45" t="e">
        <v>#N/A</v>
      </c>
      <c r="GN136" s="45" t="e">
        <v>#N/A</v>
      </c>
      <c r="GO136" s="45" t="e">
        <v>#N/A</v>
      </c>
      <c r="GP136" s="45" t="e">
        <v>#N/A</v>
      </c>
      <c r="GQ136" s="45" t="e">
        <v>#N/A</v>
      </c>
      <c r="GR136" s="45" t="e">
        <v>#N/A</v>
      </c>
      <c r="GS136" s="115" t="e">
        <v>#N/A</v>
      </c>
      <c r="GT136" s="115" t="e">
        <v>#N/A</v>
      </c>
      <c r="GU136" s="115" t="e">
        <v>#N/A</v>
      </c>
      <c r="GV136" s="45" t="e">
        <v>#N/A</v>
      </c>
      <c r="GW136" s="45" t="e">
        <v>#N/A</v>
      </c>
      <c r="GX136" s="45" t="e">
        <v>#N/A</v>
      </c>
      <c r="GY136" s="45" t="e">
        <v>#N/A</v>
      </c>
      <c r="GZ136" s="45" t="e">
        <v>#N/A</v>
      </c>
      <c r="HA136" s="45" t="e">
        <v>#N/A</v>
      </c>
      <c r="HB136" s="45" t="e">
        <v>#N/A</v>
      </c>
      <c r="HC136" s="45" t="e">
        <v>#N/A</v>
      </c>
      <c r="HD136" s="45" t="e">
        <v>#N/A</v>
      </c>
      <c r="HE136" s="45" t="e">
        <v>#N/A</v>
      </c>
      <c r="HF136" s="45" t="e">
        <v>#N/A</v>
      </c>
      <c r="HG136" s="45" t="e">
        <v>#N/A</v>
      </c>
      <c r="HI136" s="35">
        <f>$GB$72</f>
        <v>0</v>
      </c>
      <c r="HK136" s="28"/>
      <c r="IC136" s="250"/>
      <c r="ID136" s="53">
        <f t="shared" si="170"/>
        <v>25.5</v>
      </c>
      <c r="IE136" s="53" t="s">
        <v>152</v>
      </c>
      <c r="IF136" s="53">
        <f>IF135</f>
        <v>0</v>
      </c>
      <c r="IG136" s="53">
        <f>IF(IC133="-",0,IG135-EL24)</f>
        <v>0</v>
      </c>
      <c r="II136" s="54" t="b">
        <f t="shared" si="124"/>
        <v>0</v>
      </c>
      <c r="IJ136" s="55" t="b">
        <f t="shared" si="143"/>
        <v>0</v>
      </c>
      <c r="IK136" s="54">
        <f t="shared" si="162"/>
        <v>0</v>
      </c>
      <c r="IL136" s="56">
        <f>IL134*3</f>
        <v>0</v>
      </c>
      <c r="IM136" s="54">
        <f t="shared" si="163"/>
        <v>0</v>
      </c>
      <c r="IN136" s="54">
        <f t="shared" si="164"/>
        <v>0</v>
      </c>
      <c r="IO136" s="57">
        <f t="shared" si="165"/>
        <v>0</v>
      </c>
      <c r="IP136" s="54">
        <f t="shared" si="166"/>
        <v>0</v>
      </c>
      <c r="IQ136" s="54">
        <f t="shared" si="167"/>
        <v>0</v>
      </c>
      <c r="IR136" s="54">
        <f t="shared" si="169"/>
        <v>0</v>
      </c>
      <c r="IS136" s="58" t="str">
        <f>IF(IC133="-","",SUM(IM136:IR136))</f>
        <v/>
      </c>
      <c r="IT136" s="54">
        <f t="shared" si="168"/>
        <v>25.5</v>
      </c>
      <c r="IV136" s="54">
        <f>IV137</f>
        <v>25.5</v>
      </c>
      <c r="IW136" s="54">
        <f>IW134</f>
        <v>0</v>
      </c>
      <c r="IY136" s="54">
        <f>IF(IC133="-",-5,IF(ER24=0,-5,ID133+ET24))</f>
        <v>-5</v>
      </c>
      <c r="IZ136" s="54">
        <v>0</v>
      </c>
      <c r="JB136" s="54"/>
      <c r="JC136" s="54"/>
      <c r="JE136" s="54"/>
      <c r="JF136" s="54"/>
      <c r="JH136" s="54"/>
      <c r="JI136" s="54"/>
      <c r="JK136" s="54"/>
      <c r="JL136" s="54"/>
      <c r="JM136" s="39"/>
      <c r="JN136" s="54"/>
      <c r="JO136" s="54"/>
      <c r="JP136" s="39"/>
      <c r="JQ136" s="54"/>
      <c r="JR136" s="54"/>
      <c r="JS136" s="39"/>
      <c r="JT136" s="54"/>
      <c r="JU136" s="54"/>
      <c r="JW136" s="123"/>
      <c r="JX136" s="123"/>
    </row>
    <row r="137" spans="12:284" ht="14.25" customHeight="1" x14ac:dyDescent="0.2"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87"/>
      <c r="DW137" s="87"/>
      <c r="DX137" s="87"/>
      <c r="DY137" s="87"/>
      <c r="DZ137" s="87"/>
      <c r="EA137" s="87"/>
      <c r="EB137" s="87"/>
      <c r="EC137" s="87"/>
      <c r="ED137" s="87"/>
      <c r="FK137" s="169">
        <f>IF(F10=ER43,HC3,0)</f>
        <v>0</v>
      </c>
      <c r="FL137" s="169"/>
      <c r="FM137" s="169"/>
      <c r="FN137" s="169">
        <f>IF(F10=ER43,2*HC3,0)</f>
        <v>0</v>
      </c>
      <c r="FO137" s="169"/>
      <c r="FP137" s="169"/>
      <c r="FQ137" s="169">
        <v>0</v>
      </c>
      <c r="FR137" s="169"/>
      <c r="FS137" s="169"/>
      <c r="FT137" s="98" t="s">
        <v>41</v>
      </c>
      <c r="FU137" s="170">
        <f>(EJ36*HC3^3)/4</f>
        <v>0</v>
      </c>
      <c r="FV137" s="170"/>
      <c r="FW137" s="170"/>
      <c r="FX137" s="170">
        <v>0</v>
      </c>
      <c r="FY137" s="170"/>
      <c r="FZ137" s="170"/>
      <c r="GA137" s="101"/>
      <c r="GB137" s="171">
        <f>-SUM(FU137:FZ140)</f>
        <v>0</v>
      </c>
      <c r="GC137" s="171"/>
      <c r="GD137" s="171"/>
      <c r="GG137" s="22">
        <v>14</v>
      </c>
      <c r="GH137" s="45"/>
      <c r="GI137" s="45" t="e">
        <v>#N/A</v>
      </c>
      <c r="GJ137" s="45" t="e">
        <v>#N/A</v>
      </c>
      <c r="GK137" s="45" t="e">
        <v>#N/A</v>
      </c>
      <c r="GL137" s="45" t="e">
        <v>#N/A</v>
      </c>
      <c r="GM137" s="45" t="e">
        <v>#N/A</v>
      </c>
      <c r="GN137" s="45" t="e">
        <v>#N/A</v>
      </c>
      <c r="GO137" s="45" t="e">
        <v>#N/A</v>
      </c>
      <c r="GP137" s="45" t="e">
        <v>#N/A</v>
      </c>
      <c r="GQ137" s="45" t="e">
        <v>#N/A</v>
      </c>
      <c r="GR137" s="45" t="e">
        <v>#N/A</v>
      </c>
      <c r="GS137" s="45" t="e">
        <v>#N/A</v>
      </c>
      <c r="GT137" s="115" t="e">
        <v>#N/A</v>
      </c>
      <c r="GU137" s="115" t="e">
        <v>#N/A</v>
      </c>
      <c r="GV137" s="115" t="e">
        <v>#N/A</v>
      </c>
      <c r="GW137" s="45" t="e">
        <v>#N/A</v>
      </c>
      <c r="GX137" s="45" t="e">
        <v>#N/A</v>
      </c>
      <c r="GY137" s="45" t="e">
        <v>#N/A</v>
      </c>
      <c r="GZ137" s="45" t="e">
        <v>#N/A</v>
      </c>
      <c r="HA137" s="45" t="e">
        <v>#N/A</v>
      </c>
      <c r="HB137" s="45" t="e">
        <v>#N/A</v>
      </c>
      <c r="HC137" s="45" t="e">
        <v>#N/A</v>
      </c>
      <c r="HD137" s="45" t="e">
        <v>#N/A</v>
      </c>
      <c r="HE137" s="45" t="e">
        <v>#N/A</v>
      </c>
      <c r="HF137" s="45" t="e">
        <v>#N/A</v>
      </c>
      <c r="HG137" s="45" t="e">
        <v>#N/A</v>
      </c>
      <c r="HI137" s="35">
        <f>$GB$77</f>
        <v>0</v>
      </c>
      <c r="HK137" s="28"/>
      <c r="IC137" s="250"/>
      <c r="ID137" s="53">
        <f t="shared" si="170"/>
        <v>25.5</v>
      </c>
      <c r="IE137" s="53" t="s">
        <v>153</v>
      </c>
      <c r="IF137" s="53">
        <f>IF(ER24=0,IF136,ET24)</f>
        <v>0</v>
      </c>
      <c r="IG137" s="53">
        <f>IF(IC133="-",0,IG136-IF(ER24=0,0,EJ24*(IF137-IF136)))</f>
        <v>0</v>
      </c>
      <c r="II137" s="54" t="b">
        <f t="shared" si="124"/>
        <v>0</v>
      </c>
      <c r="IJ137" s="55" t="b">
        <f t="shared" si="143"/>
        <v>0</v>
      </c>
      <c r="IK137" s="54">
        <f t="shared" si="162"/>
        <v>0</v>
      </c>
      <c r="IL137" s="68" t="b">
        <f>IF(II133=TRUE,IK133,IF(II134=TRUE,IK134,IF(II135=TRUE,IK135,IF(II136=TRUE,IK136,IF(II137=TRUE,IK137,IF(II138=TRUE,IK138,IF(II139=TRUE,IK139,IF(II140=TRUE,IK140,IF(II141=TRUE,IK141,IF(II142=TRUE,IK142))))))))))</f>
        <v>0</v>
      </c>
      <c r="IM137" s="68">
        <f t="shared" si="163"/>
        <v>0</v>
      </c>
      <c r="IN137" s="68">
        <f t="shared" si="164"/>
        <v>0</v>
      </c>
      <c r="IO137" s="69">
        <f t="shared" si="165"/>
        <v>0</v>
      </c>
      <c r="IP137" s="68">
        <f t="shared" si="166"/>
        <v>0</v>
      </c>
      <c r="IQ137" s="68">
        <f t="shared" si="167"/>
        <v>0</v>
      </c>
      <c r="IR137" s="68">
        <f t="shared" si="169"/>
        <v>0</v>
      </c>
      <c r="IS137" s="70" t="str">
        <f>IF(IC133="-","",ROUND(SUM(IM137:IR137),2))</f>
        <v/>
      </c>
      <c r="IT137" s="68">
        <f t="shared" si="168"/>
        <v>25.5</v>
      </c>
      <c r="IV137" s="54">
        <f>ID142</f>
        <v>25.5</v>
      </c>
      <c r="IW137" s="54">
        <v>0</v>
      </c>
      <c r="IY137" s="54">
        <f>IY136</f>
        <v>-5</v>
      </c>
      <c r="IZ137" s="54">
        <f>IF(IC133="-",0,ER24/20)</f>
        <v>0</v>
      </c>
      <c r="JB137" s="54"/>
      <c r="JC137" s="54"/>
      <c r="JE137" s="54"/>
      <c r="JF137" s="54"/>
      <c r="JH137" s="54"/>
      <c r="JI137" s="54"/>
      <c r="JK137" s="54">
        <f>IF(IC133=13,IT137,-5)</f>
        <v>-5</v>
      </c>
      <c r="JL137" s="59" t="str">
        <f>IS137</f>
        <v/>
      </c>
      <c r="JM137" s="40"/>
      <c r="JN137" s="59"/>
      <c r="JO137" s="59"/>
      <c r="JP137" s="40"/>
      <c r="JQ137" s="59"/>
      <c r="JR137" s="59"/>
      <c r="JS137" s="40"/>
      <c r="JT137" s="59"/>
      <c r="JU137" s="59"/>
      <c r="JW137" s="122"/>
      <c r="JX137" s="122"/>
    </row>
    <row r="138" spans="12:284" ht="14.25" customHeight="1" x14ac:dyDescent="0.2"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87"/>
      <c r="DW138" s="87"/>
      <c r="DX138" s="87"/>
      <c r="DY138" s="87"/>
      <c r="DZ138" s="87"/>
      <c r="EA138" s="87"/>
      <c r="EB138" s="87"/>
      <c r="EC138" s="87"/>
      <c r="ED138" s="87"/>
      <c r="FT138" s="98" t="s">
        <v>17</v>
      </c>
      <c r="FU138" s="170">
        <f>IF(HC3=0,0,(EL36*EN36/HC3)*(HC3^2-EN36^2))</f>
        <v>0</v>
      </c>
      <c r="FV138" s="170"/>
      <c r="FW138" s="170"/>
      <c r="FX138" s="170">
        <v>0</v>
      </c>
      <c r="FY138" s="170"/>
      <c r="FZ138" s="170"/>
      <c r="GA138" s="101"/>
      <c r="GB138" s="170"/>
      <c r="GC138" s="170"/>
      <c r="GD138" s="170"/>
      <c r="GG138" s="22">
        <v>15</v>
      </c>
      <c r="GH138" s="45"/>
      <c r="GI138" s="45" t="e">
        <v>#N/A</v>
      </c>
      <c r="GJ138" s="45" t="e">
        <v>#N/A</v>
      </c>
      <c r="GK138" s="45" t="e">
        <v>#N/A</v>
      </c>
      <c r="GL138" s="45" t="e">
        <v>#N/A</v>
      </c>
      <c r="GM138" s="45" t="e">
        <v>#N/A</v>
      </c>
      <c r="GN138" s="45" t="e">
        <v>#N/A</v>
      </c>
      <c r="GO138" s="45" t="e">
        <v>#N/A</v>
      </c>
      <c r="GP138" s="45" t="e">
        <v>#N/A</v>
      </c>
      <c r="GQ138" s="45" t="e">
        <v>#N/A</v>
      </c>
      <c r="GR138" s="45" t="e">
        <v>#N/A</v>
      </c>
      <c r="GS138" s="45" t="e">
        <v>#N/A</v>
      </c>
      <c r="GT138" s="45" t="e">
        <v>#N/A</v>
      </c>
      <c r="GU138" s="115" t="e">
        <v>#N/A</v>
      </c>
      <c r="GV138" s="115" t="e">
        <v>#N/A</v>
      </c>
      <c r="GW138" s="115" t="e">
        <v>#N/A</v>
      </c>
      <c r="GX138" s="45" t="e">
        <v>#N/A</v>
      </c>
      <c r="GY138" s="45" t="e">
        <v>#N/A</v>
      </c>
      <c r="GZ138" s="45" t="e">
        <v>#N/A</v>
      </c>
      <c r="HA138" s="45" t="e">
        <v>#N/A</v>
      </c>
      <c r="HB138" s="45" t="e">
        <v>#N/A</v>
      </c>
      <c r="HC138" s="45" t="e">
        <v>#N/A</v>
      </c>
      <c r="HD138" s="45" t="e">
        <v>#N/A</v>
      </c>
      <c r="HE138" s="45" t="e">
        <v>#N/A</v>
      </c>
      <c r="HF138" s="45" t="e">
        <v>#N/A</v>
      </c>
      <c r="HG138" s="45" t="e">
        <v>#N/A</v>
      </c>
      <c r="HI138" s="35">
        <f>$GB$82</f>
        <v>0</v>
      </c>
      <c r="HK138" s="28"/>
      <c r="IC138" s="250"/>
      <c r="ID138" s="53">
        <f t="shared" si="170"/>
        <v>25.5</v>
      </c>
      <c r="IE138" s="53" t="s">
        <v>154</v>
      </c>
      <c r="IF138" s="53">
        <f>IF137</f>
        <v>0</v>
      </c>
      <c r="IG138" s="53">
        <f>IF(IC133="-",0,IG137-ER24)</f>
        <v>0</v>
      </c>
      <c r="II138" s="54" t="b">
        <f t="shared" si="124"/>
        <v>0</v>
      </c>
      <c r="IJ138" s="55" t="b">
        <f t="shared" si="143"/>
        <v>0</v>
      </c>
      <c r="IK138" s="54">
        <f t="shared" si="162"/>
        <v>0</v>
      </c>
      <c r="IL138" s="56">
        <f>IL137+($IL$142-$IL$137)/4</f>
        <v>0</v>
      </c>
      <c r="IM138" s="54">
        <f t="shared" si="163"/>
        <v>0</v>
      </c>
      <c r="IN138" s="54">
        <f t="shared" si="164"/>
        <v>0</v>
      </c>
      <c r="IO138" s="57">
        <f t="shared" si="165"/>
        <v>0</v>
      </c>
      <c r="IP138" s="54">
        <f t="shared" si="166"/>
        <v>0</v>
      </c>
      <c r="IQ138" s="54">
        <f t="shared" si="167"/>
        <v>0</v>
      </c>
      <c r="IR138" s="54">
        <f t="shared" si="169"/>
        <v>0</v>
      </c>
      <c r="IS138" s="58" t="str">
        <f>IF(IC133="-","",SUM(IM138:IR138))</f>
        <v/>
      </c>
      <c r="IT138" s="54">
        <f t="shared" si="168"/>
        <v>25.5</v>
      </c>
      <c r="IV138" s="54"/>
      <c r="IW138" s="54"/>
      <c r="IY138" s="65" t="str">
        <f>IF(IC133="-","",IF(ER24=0,"",ER24))</f>
        <v/>
      </c>
      <c r="IZ138" s="55"/>
      <c r="JB138" s="54"/>
      <c r="JC138" s="54"/>
      <c r="JE138" s="54"/>
      <c r="JF138" s="54"/>
      <c r="JH138" s="54"/>
      <c r="JI138" s="54"/>
      <c r="JK138" s="54"/>
      <c r="JL138" s="54"/>
      <c r="JM138" s="39"/>
      <c r="JN138" s="54"/>
      <c r="JO138" s="54"/>
      <c r="JP138" s="39"/>
      <c r="JQ138" s="54"/>
      <c r="JR138" s="54"/>
      <c r="JS138" s="39"/>
      <c r="JT138" s="54"/>
      <c r="JU138" s="54"/>
      <c r="JW138" s="123"/>
      <c r="JX138" s="123"/>
    </row>
    <row r="139" spans="12:284" ht="14.25" customHeight="1" x14ac:dyDescent="0.2"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87"/>
      <c r="DW139" s="87"/>
      <c r="DX139" s="87"/>
      <c r="DY139" s="87"/>
      <c r="DZ139" s="87"/>
      <c r="EA139" s="87"/>
      <c r="EB139" s="87"/>
      <c r="EC139" s="87"/>
      <c r="ED139" s="87"/>
      <c r="FT139" s="98" t="s">
        <v>19</v>
      </c>
      <c r="FU139" s="170">
        <f>IF(HC3=0,0,(ER36*ET36/HC3)*(HC3^2-ET36^2))</f>
        <v>0</v>
      </c>
      <c r="FV139" s="170"/>
      <c r="FW139" s="170"/>
      <c r="FX139" s="170">
        <v>0</v>
      </c>
      <c r="FY139" s="170"/>
      <c r="FZ139" s="170"/>
      <c r="GA139" s="101"/>
      <c r="GB139" s="170"/>
      <c r="GC139" s="170"/>
      <c r="GD139" s="170"/>
      <c r="GG139" s="22">
        <v>16</v>
      </c>
      <c r="GH139" s="45"/>
      <c r="GI139" s="45" t="e">
        <v>#N/A</v>
      </c>
      <c r="GJ139" s="45" t="e">
        <v>#N/A</v>
      </c>
      <c r="GK139" s="45" t="e">
        <v>#N/A</v>
      </c>
      <c r="GL139" s="45" t="e">
        <v>#N/A</v>
      </c>
      <c r="GM139" s="45" t="e">
        <v>#N/A</v>
      </c>
      <c r="GN139" s="45" t="e">
        <v>#N/A</v>
      </c>
      <c r="GO139" s="45" t="e">
        <v>#N/A</v>
      </c>
      <c r="GP139" s="45" t="e">
        <v>#N/A</v>
      </c>
      <c r="GQ139" s="45" t="e">
        <v>#N/A</v>
      </c>
      <c r="GR139" s="45" t="e">
        <v>#N/A</v>
      </c>
      <c r="GS139" s="45" t="e">
        <v>#N/A</v>
      </c>
      <c r="GT139" s="45" t="e">
        <v>#N/A</v>
      </c>
      <c r="GU139" s="45" t="e">
        <v>#N/A</v>
      </c>
      <c r="GV139" s="115" t="e">
        <v>#N/A</v>
      </c>
      <c r="GW139" s="115" t="e">
        <v>#N/A</v>
      </c>
      <c r="GX139" s="115" t="e">
        <v>#N/A</v>
      </c>
      <c r="GY139" s="45" t="e">
        <v>#N/A</v>
      </c>
      <c r="GZ139" s="45" t="e">
        <v>#N/A</v>
      </c>
      <c r="HA139" s="45" t="e">
        <v>#N/A</v>
      </c>
      <c r="HB139" s="45" t="e">
        <v>#N/A</v>
      </c>
      <c r="HC139" s="45" t="e">
        <v>#N/A</v>
      </c>
      <c r="HD139" s="45" t="e">
        <v>#N/A</v>
      </c>
      <c r="HE139" s="45" t="e">
        <v>#N/A</v>
      </c>
      <c r="HF139" s="45" t="e">
        <v>#N/A</v>
      </c>
      <c r="HG139" s="45" t="e">
        <v>#N/A</v>
      </c>
      <c r="HI139" s="35">
        <f>$GB$87</f>
        <v>0</v>
      </c>
      <c r="HK139" s="28"/>
      <c r="IC139" s="250"/>
      <c r="ID139" s="53">
        <f t="shared" si="170"/>
        <v>25.5</v>
      </c>
      <c r="IE139" s="53" t="s">
        <v>155</v>
      </c>
      <c r="IF139" s="53">
        <f>IF(EX24=0,IF138,EZ24)</f>
        <v>0</v>
      </c>
      <c r="IG139" s="53">
        <f>IF(IC133="-",0,IG138-IF(EX24=0,0,EJ24*(IF139-IF138)))</f>
        <v>0</v>
      </c>
      <c r="II139" s="54" t="b">
        <f t="shared" si="124"/>
        <v>0</v>
      </c>
      <c r="IJ139" s="55" t="b">
        <f t="shared" si="143"/>
        <v>0</v>
      </c>
      <c r="IK139" s="54">
        <f t="shared" si="162"/>
        <v>0</v>
      </c>
      <c r="IL139" s="56">
        <f>IL138+($IL$142-$IL$137)/4</f>
        <v>0</v>
      </c>
      <c r="IM139" s="54">
        <f t="shared" si="163"/>
        <v>0</v>
      </c>
      <c r="IN139" s="54">
        <f t="shared" si="164"/>
        <v>0</v>
      </c>
      <c r="IO139" s="57">
        <f t="shared" si="165"/>
        <v>0</v>
      </c>
      <c r="IP139" s="54">
        <f t="shared" si="166"/>
        <v>0</v>
      </c>
      <c r="IQ139" s="54">
        <f t="shared" si="167"/>
        <v>0</v>
      </c>
      <c r="IR139" s="54">
        <f t="shared" si="169"/>
        <v>0</v>
      </c>
      <c r="IS139" s="58" t="str">
        <f>IF(IC133="-","",SUM(IM139:IR139))</f>
        <v/>
      </c>
      <c r="IT139" s="54">
        <f t="shared" si="168"/>
        <v>25.5</v>
      </c>
      <c r="IV139" s="72" t="str">
        <f>IF(IC133="-","",EJ24)</f>
        <v/>
      </c>
      <c r="IW139" s="54"/>
      <c r="IY139" s="54">
        <f>IF(IC133="-",-5,IF(EX24=0,-5,ID133+EZ24))</f>
        <v>-5</v>
      </c>
      <c r="IZ139" s="54">
        <v>0</v>
      </c>
      <c r="JB139" s="54"/>
      <c r="JC139" s="54"/>
      <c r="JE139" s="54"/>
      <c r="JF139" s="54"/>
      <c r="JH139" s="54"/>
      <c r="JI139" s="54"/>
      <c r="JK139" s="54"/>
      <c r="JL139" s="54"/>
      <c r="JM139" s="39"/>
      <c r="JN139" s="54"/>
      <c r="JO139" s="54"/>
      <c r="JP139" s="39"/>
      <c r="JQ139" s="54"/>
      <c r="JR139" s="54"/>
      <c r="JS139" s="39"/>
      <c r="JT139" s="54"/>
      <c r="JU139" s="54"/>
      <c r="JW139" s="123"/>
      <c r="JX139" s="123"/>
    </row>
    <row r="140" spans="12:284" ht="14.25" customHeight="1" x14ac:dyDescent="0.2"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87"/>
      <c r="DW140" s="87"/>
      <c r="DX140" s="87"/>
      <c r="DY140" s="87"/>
      <c r="DZ140" s="87"/>
      <c r="EA140" s="87"/>
      <c r="EB140" s="87"/>
      <c r="EC140" s="87"/>
      <c r="ED140" s="87"/>
      <c r="FT140" s="98" t="s">
        <v>20</v>
      </c>
      <c r="FU140" s="170">
        <f>IF(HC3=0,0,(EX36*EZ36/HC3)*(HC3^2-EZ36^2))</f>
        <v>0</v>
      </c>
      <c r="FV140" s="170"/>
      <c r="FW140" s="170"/>
      <c r="FX140" s="170">
        <v>0</v>
      </c>
      <c r="FY140" s="170"/>
      <c r="FZ140" s="170"/>
      <c r="GA140" s="101"/>
      <c r="GB140" s="170"/>
      <c r="GC140" s="170"/>
      <c r="GD140" s="170"/>
      <c r="GG140" s="22">
        <v>17</v>
      </c>
      <c r="GH140" s="45"/>
      <c r="GI140" s="45" t="e">
        <v>#N/A</v>
      </c>
      <c r="GJ140" s="45" t="e">
        <v>#N/A</v>
      </c>
      <c r="GK140" s="45" t="e">
        <v>#N/A</v>
      </c>
      <c r="GL140" s="45" t="e">
        <v>#N/A</v>
      </c>
      <c r="GM140" s="45" t="e">
        <v>#N/A</v>
      </c>
      <c r="GN140" s="45" t="e">
        <v>#N/A</v>
      </c>
      <c r="GO140" s="45" t="e">
        <v>#N/A</v>
      </c>
      <c r="GP140" s="45" t="e">
        <v>#N/A</v>
      </c>
      <c r="GQ140" s="45" t="e">
        <v>#N/A</v>
      </c>
      <c r="GR140" s="45" t="e">
        <v>#N/A</v>
      </c>
      <c r="GS140" s="45" t="e">
        <v>#N/A</v>
      </c>
      <c r="GT140" s="45" t="e">
        <v>#N/A</v>
      </c>
      <c r="GU140" s="45" t="e">
        <v>#N/A</v>
      </c>
      <c r="GV140" s="45" t="e">
        <v>#N/A</v>
      </c>
      <c r="GW140" s="115" t="e">
        <v>#N/A</v>
      </c>
      <c r="GX140" s="115" t="e">
        <v>#N/A</v>
      </c>
      <c r="GY140" s="115" t="e">
        <v>#N/A</v>
      </c>
      <c r="GZ140" s="45" t="e">
        <v>#N/A</v>
      </c>
      <c r="HA140" s="45" t="e">
        <v>#N/A</v>
      </c>
      <c r="HB140" s="45" t="e">
        <v>#N/A</v>
      </c>
      <c r="HC140" s="45" t="e">
        <v>#N/A</v>
      </c>
      <c r="HD140" s="45" t="e">
        <v>#N/A</v>
      </c>
      <c r="HE140" s="45" t="e">
        <v>#N/A</v>
      </c>
      <c r="HF140" s="45" t="e">
        <v>#N/A</v>
      </c>
      <c r="HG140" s="45" t="e">
        <v>#N/A</v>
      </c>
      <c r="HI140" s="35">
        <f>$GB$92</f>
        <v>0</v>
      </c>
      <c r="HK140" s="28"/>
      <c r="IC140" s="250"/>
      <c r="ID140" s="53">
        <f t="shared" si="170"/>
        <v>25.5</v>
      </c>
      <c r="IE140" s="53" t="s">
        <v>156</v>
      </c>
      <c r="IF140" s="53">
        <f>IF139</f>
        <v>0</v>
      </c>
      <c r="IG140" s="53">
        <f>IF(IC133="-",0,IG139-EX24)</f>
        <v>0</v>
      </c>
      <c r="II140" s="54" t="b">
        <f t="shared" si="124"/>
        <v>0</v>
      </c>
      <c r="IJ140" s="55" t="b">
        <f t="shared" si="143"/>
        <v>0</v>
      </c>
      <c r="IK140" s="54">
        <f t="shared" si="162"/>
        <v>0</v>
      </c>
      <c r="IL140" s="56">
        <f>IL139+($IL$142-$IL$137)/4</f>
        <v>0</v>
      </c>
      <c r="IM140" s="54">
        <f t="shared" si="163"/>
        <v>0</v>
      </c>
      <c r="IN140" s="54">
        <f t="shared" si="164"/>
        <v>0</v>
      </c>
      <c r="IO140" s="57">
        <f t="shared" si="165"/>
        <v>0</v>
      </c>
      <c r="IP140" s="54">
        <f t="shared" si="166"/>
        <v>0</v>
      </c>
      <c r="IQ140" s="54">
        <f t="shared" si="167"/>
        <v>0</v>
      </c>
      <c r="IR140" s="54">
        <f t="shared" si="169"/>
        <v>0</v>
      </c>
      <c r="IS140" s="58" t="str">
        <f>IF(IC133="-","",SUM(IM140:IR140))</f>
        <v/>
      </c>
      <c r="IT140" s="54">
        <f t="shared" si="168"/>
        <v>25.5</v>
      </c>
      <c r="IV140" s="54"/>
      <c r="IW140" s="54"/>
      <c r="IY140" s="54">
        <f>IY139</f>
        <v>-5</v>
      </c>
      <c r="IZ140" s="54">
        <f>IF(IC133="-",0,EX24/20)</f>
        <v>0</v>
      </c>
      <c r="JB140" s="66" t="str">
        <f>IF(IC133="-","",HY30)</f>
        <v/>
      </c>
      <c r="JC140" s="54" t="b">
        <f>AND($F$2=13,$F$10=$ER$43)</f>
        <v>0</v>
      </c>
      <c r="JE140" s="66" t="str">
        <f>JB140</f>
        <v/>
      </c>
      <c r="JF140" s="54"/>
      <c r="JH140" s="54"/>
      <c r="JI140" s="54"/>
      <c r="JK140" s="54" t="b">
        <f>AND($F$2=13,$F$10=$ER$43)</f>
        <v>0</v>
      </c>
      <c r="JL140" s="54"/>
      <c r="JM140" s="39"/>
      <c r="JN140" s="54"/>
      <c r="JO140" s="54"/>
      <c r="JP140" s="39"/>
      <c r="JQ140" s="54"/>
      <c r="JR140" s="54"/>
      <c r="JS140" s="39"/>
      <c r="JT140" s="54"/>
      <c r="JU140" s="54"/>
      <c r="JW140" s="123"/>
      <c r="JX140" s="123"/>
    </row>
    <row r="141" spans="12:284" ht="14.25" customHeight="1" x14ac:dyDescent="0.2"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87"/>
      <c r="DW141" s="87"/>
      <c r="DX141" s="87"/>
      <c r="DY141" s="87"/>
      <c r="DZ141" s="87"/>
      <c r="EA141" s="87"/>
      <c r="EB141" s="87"/>
      <c r="EC141" s="87"/>
      <c r="ED141" s="87"/>
      <c r="GB141" s="87"/>
      <c r="GC141" s="87"/>
      <c r="GD141" s="87"/>
      <c r="GG141" s="22">
        <v>18</v>
      </c>
      <c r="GH141" s="45"/>
      <c r="GI141" s="45" t="e">
        <v>#N/A</v>
      </c>
      <c r="GJ141" s="45" t="e">
        <v>#N/A</v>
      </c>
      <c r="GK141" s="45" t="e">
        <v>#N/A</v>
      </c>
      <c r="GL141" s="45" t="e">
        <v>#N/A</v>
      </c>
      <c r="GM141" s="45" t="e">
        <v>#N/A</v>
      </c>
      <c r="GN141" s="45" t="e">
        <v>#N/A</v>
      </c>
      <c r="GO141" s="45" t="e">
        <v>#N/A</v>
      </c>
      <c r="GP141" s="45" t="e">
        <v>#N/A</v>
      </c>
      <c r="GQ141" s="45" t="e">
        <v>#N/A</v>
      </c>
      <c r="GR141" s="45" t="e">
        <v>#N/A</v>
      </c>
      <c r="GS141" s="45" t="e">
        <v>#N/A</v>
      </c>
      <c r="GT141" s="45" t="e">
        <v>#N/A</v>
      </c>
      <c r="GU141" s="45" t="e">
        <v>#N/A</v>
      </c>
      <c r="GV141" s="45" t="e">
        <v>#N/A</v>
      </c>
      <c r="GW141" s="45" t="e">
        <v>#N/A</v>
      </c>
      <c r="GX141" s="115" t="e">
        <v>#N/A</v>
      </c>
      <c r="GY141" s="115" t="e">
        <v>#N/A</v>
      </c>
      <c r="GZ141" s="115" t="e">
        <v>#N/A</v>
      </c>
      <c r="HA141" s="45" t="e">
        <v>#N/A</v>
      </c>
      <c r="HB141" s="45" t="e">
        <v>#N/A</v>
      </c>
      <c r="HC141" s="45" t="e">
        <v>#N/A</v>
      </c>
      <c r="HD141" s="45" t="e">
        <v>#N/A</v>
      </c>
      <c r="HE141" s="45" t="e">
        <v>#N/A</v>
      </c>
      <c r="HF141" s="45" t="e">
        <v>#N/A</v>
      </c>
      <c r="HG141" s="45" t="e">
        <v>#N/A</v>
      </c>
      <c r="HI141" s="35">
        <f>$GB$97</f>
        <v>0</v>
      </c>
      <c r="HK141" s="28"/>
      <c r="IC141" s="250"/>
      <c r="ID141" s="53">
        <f t="shared" si="170"/>
        <v>25.5</v>
      </c>
      <c r="IE141" s="53" t="s">
        <v>157</v>
      </c>
      <c r="IF141" s="53">
        <f>IF142</f>
        <v>0</v>
      </c>
      <c r="IG141" s="53">
        <f>HW30</f>
        <v>0</v>
      </c>
      <c r="II141" s="54" t="b">
        <f t="shared" si="124"/>
        <v>0</v>
      </c>
      <c r="IJ141" s="55" t="b">
        <f t="shared" si="143"/>
        <v>0</v>
      </c>
      <c r="IK141" s="54">
        <f t="shared" si="162"/>
        <v>0</v>
      </c>
      <c r="IL141" s="56">
        <f>IL140+($IL$142-$IL$137)/4</f>
        <v>0</v>
      </c>
      <c r="IM141" s="54">
        <f t="shared" si="163"/>
        <v>0</v>
      </c>
      <c r="IN141" s="54">
        <f t="shared" si="164"/>
        <v>0</v>
      </c>
      <c r="IO141" s="57">
        <f t="shared" si="165"/>
        <v>0</v>
      </c>
      <c r="IP141" s="54">
        <f t="shared" si="166"/>
        <v>0</v>
      </c>
      <c r="IQ141" s="54">
        <f t="shared" si="167"/>
        <v>0</v>
      </c>
      <c r="IR141" s="55"/>
      <c r="IS141" s="59" t="str">
        <f>IF(IC133="-","",ROUND(HU30,2))</f>
        <v/>
      </c>
      <c r="IT141" s="54">
        <f t="shared" si="168"/>
        <v>25.5</v>
      </c>
      <c r="IV141" s="54"/>
      <c r="IW141" s="54"/>
      <c r="IY141" s="65" t="str">
        <f>IF(IC133="-","",IF(EX24=0,"",EX24))</f>
        <v/>
      </c>
      <c r="IZ141" s="55"/>
      <c r="JB141" s="54">
        <f>ID142</f>
        <v>25.5</v>
      </c>
      <c r="JC141" s="54">
        <v>0</v>
      </c>
      <c r="JE141" s="54">
        <f>JB141</f>
        <v>25.5</v>
      </c>
      <c r="JF141" s="54">
        <f>IF(JE140&gt;0,-MAX(IW3:IW272,IZ3:IZ272)*0.5,-MAX(IW3:IW272,IZ3:IZ272)*1.5)</f>
        <v>-37.5</v>
      </c>
      <c r="JH141" s="54">
        <f>IF(IC133=13,ID141,-5)</f>
        <v>-5</v>
      </c>
      <c r="JI141" s="54">
        <f>IG141</f>
        <v>0</v>
      </c>
      <c r="JK141" s="54">
        <f>IF(JK140=TRUE,IT141,-5)</f>
        <v>-5</v>
      </c>
      <c r="JL141" s="59" t="str">
        <f>IS141</f>
        <v/>
      </c>
      <c r="JM141" s="40"/>
      <c r="JN141" s="59"/>
      <c r="JO141" s="59"/>
      <c r="JP141" s="40"/>
      <c r="JQ141" s="59"/>
      <c r="JR141" s="59"/>
      <c r="JS141" s="40"/>
      <c r="JT141" s="59"/>
      <c r="JU141" s="59"/>
      <c r="JW141" s="122"/>
      <c r="JX141" s="122"/>
    </row>
    <row r="142" spans="12:284" ht="14.25" customHeight="1" x14ac:dyDescent="0.2"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87"/>
      <c r="DW142" s="87"/>
      <c r="DX142" s="87"/>
      <c r="DY142" s="87"/>
      <c r="DZ142" s="87"/>
      <c r="EA142" s="87"/>
      <c r="EB142" s="87"/>
      <c r="EC142" s="87"/>
      <c r="ED142" s="87"/>
      <c r="GB142" s="87"/>
      <c r="GC142" s="87"/>
      <c r="GD142" s="87"/>
      <c r="GG142" s="22">
        <v>19</v>
      </c>
      <c r="GH142" s="45"/>
      <c r="GI142" s="45" t="e">
        <v>#N/A</v>
      </c>
      <c r="GJ142" s="45" t="e">
        <v>#N/A</v>
      </c>
      <c r="GK142" s="45" t="e">
        <v>#N/A</v>
      </c>
      <c r="GL142" s="45" t="e">
        <v>#N/A</v>
      </c>
      <c r="GM142" s="45" t="e">
        <v>#N/A</v>
      </c>
      <c r="GN142" s="45" t="e">
        <v>#N/A</v>
      </c>
      <c r="GO142" s="45" t="e">
        <v>#N/A</v>
      </c>
      <c r="GP142" s="45" t="e">
        <v>#N/A</v>
      </c>
      <c r="GQ142" s="45" t="e">
        <v>#N/A</v>
      </c>
      <c r="GR142" s="45" t="e">
        <v>#N/A</v>
      </c>
      <c r="GS142" s="45" t="e">
        <v>#N/A</v>
      </c>
      <c r="GT142" s="45" t="e">
        <v>#N/A</v>
      </c>
      <c r="GU142" s="45" t="e">
        <v>#N/A</v>
      </c>
      <c r="GV142" s="45" t="e">
        <v>#N/A</v>
      </c>
      <c r="GW142" s="45" t="e">
        <v>#N/A</v>
      </c>
      <c r="GX142" s="45" t="e">
        <v>#N/A</v>
      </c>
      <c r="GY142" s="115" t="e">
        <v>#N/A</v>
      </c>
      <c r="GZ142" s="115" t="e">
        <v>#N/A</v>
      </c>
      <c r="HA142" s="115" t="e">
        <v>#N/A</v>
      </c>
      <c r="HB142" s="45" t="e">
        <v>#N/A</v>
      </c>
      <c r="HC142" s="45" t="e">
        <v>#N/A</v>
      </c>
      <c r="HD142" s="45" t="e">
        <v>#N/A</v>
      </c>
      <c r="HE142" s="45" t="e">
        <v>#N/A</v>
      </c>
      <c r="HF142" s="45" t="e">
        <v>#N/A</v>
      </c>
      <c r="HG142" s="45" t="e">
        <v>#N/A</v>
      </c>
      <c r="HI142" s="35">
        <f>$GB$102</f>
        <v>0</v>
      </c>
      <c r="HK142" s="28"/>
      <c r="IC142" s="250"/>
      <c r="ID142" s="53">
        <f>IF(HS29="R0",ID133,ID133+HT29)</f>
        <v>25.5</v>
      </c>
      <c r="IE142" s="53" t="s">
        <v>158</v>
      </c>
      <c r="IF142" s="53">
        <f>IF(HS29="R0",0,HT29)</f>
        <v>0</v>
      </c>
      <c r="IG142" s="53">
        <v>0</v>
      </c>
      <c r="II142" s="54" t="b">
        <f t="shared" si="124"/>
        <v>0</v>
      </c>
      <c r="IJ142" s="55" t="b">
        <f t="shared" si="143"/>
        <v>0</v>
      </c>
      <c r="IK142" s="54">
        <f t="shared" si="162"/>
        <v>0</v>
      </c>
      <c r="IL142" s="56">
        <f>IK142</f>
        <v>0</v>
      </c>
      <c r="IM142" s="54"/>
      <c r="IN142" s="54"/>
      <c r="IO142" s="57"/>
      <c r="IP142" s="54"/>
      <c r="IQ142" s="54"/>
      <c r="IR142" s="55"/>
      <c r="IS142" s="83"/>
      <c r="IT142" s="54"/>
      <c r="IV142" s="54"/>
      <c r="IW142" s="54"/>
      <c r="IY142" s="55"/>
      <c r="IZ142" s="55"/>
      <c r="JB142" s="54">
        <f>JB141</f>
        <v>25.5</v>
      </c>
      <c r="JC142" s="54">
        <f>IF(IC133="-",0,IF(JC140=TRUE,0,-20))</f>
        <v>0</v>
      </c>
      <c r="JE142" s="54">
        <f>JE141</f>
        <v>25.5</v>
      </c>
      <c r="JF142" s="54">
        <f>IF(IC133="-",JF141,IF(JE140&gt;0,-MAX(IW3:IW272,IZ3:IZ272)*1.5,-MAX(IW3:IW272,IZ3:IZ272)*0.5))</f>
        <v>-37.5</v>
      </c>
      <c r="JH142" s="54"/>
      <c r="JI142" s="54"/>
      <c r="JK142" s="54"/>
      <c r="JL142" s="54"/>
      <c r="JM142" s="39"/>
      <c r="JN142" s="54"/>
      <c r="JO142" s="54"/>
      <c r="JP142" s="39"/>
      <c r="JQ142" s="54"/>
      <c r="JR142" s="54"/>
      <c r="JS142" s="39"/>
      <c r="JT142" s="54"/>
      <c r="JU142" s="54"/>
      <c r="JW142" s="123"/>
      <c r="JX142" s="123"/>
    </row>
    <row r="143" spans="12:284" ht="14.25" customHeight="1" x14ac:dyDescent="0.2"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87"/>
      <c r="DW143" s="87"/>
      <c r="DX143" s="87"/>
      <c r="DY143" s="87"/>
      <c r="DZ143" s="87"/>
      <c r="EA143" s="87"/>
      <c r="EB143" s="87"/>
      <c r="EC143" s="87"/>
      <c r="ED143" s="87"/>
      <c r="GG143" s="22">
        <v>20</v>
      </c>
      <c r="GH143" s="45"/>
      <c r="GI143" s="45" t="e">
        <v>#N/A</v>
      </c>
      <c r="GJ143" s="45" t="e">
        <v>#N/A</v>
      </c>
      <c r="GK143" s="45" t="e">
        <v>#N/A</v>
      </c>
      <c r="GL143" s="45" t="e">
        <v>#N/A</v>
      </c>
      <c r="GM143" s="45" t="e">
        <v>#N/A</v>
      </c>
      <c r="GN143" s="45" t="e">
        <v>#N/A</v>
      </c>
      <c r="GO143" s="45" t="e">
        <v>#N/A</v>
      </c>
      <c r="GP143" s="45" t="e">
        <v>#N/A</v>
      </c>
      <c r="GQ143" s="45" t="e">
        <v>#N/A</v>
      </c>
      <c r="GR143" s="45" t="e">
        <v>#N/A</v>
      </c>
      <c r="GS143" s="45" t="e">
        <v>#N/A</v>
      </c>
      <c r="GT143" s="45" t="e">
        <v>#N/A</v>
      </c>
      <c r="GU143" s="45" t="e">
        <v>#N/A</v>
      </c>
      <c r="GV143" s="45" t="e">
        <v>#N/A</v>
      </c>
      <c r="GW143" s="45" t="e">
        <v>#N/A</v>
      </c>
      <c r="GX143" s="45" t="e">
        <v>#N/A</v>
      </c>
      <c r="GY143" s="45" t="e">
        <v>#N/A</v>
      </c>
      <c r="GZ143" s="115" t="e">
        <v>#N/A</v>
      </c>
      <c r="HA143" s="115" t="e">
        <v>#N/A</v>
      </c>
      <c r="HB143" s="115" t="e">
        <v>#N/A</v>
      </c>
      <c r="HC143" s="45" t="e">
        <v>#N/A</v>
      </c>
      <c r="HD143" s="45" t="e">
        <v>#N/A</v>
      </c>
      <c r="HE143" s="45" t="e">
        <v>#N/A</v>
      </c>
      <c r="HF143" s="45" t="e">
        <v>#N/A</v>
      </c>
      <c r="HG143" s="45" t="e">
        <v>#N/A</v>
      </c>
      <c r="HI143" s="35">
        <f>$GB$107</f>
        <v>0</v>
      </c>
      <c r="HK143" s="28"/>
      <c r="IC143" s="234" t="str">
        <f>IF(HS31="R0","-",HS31)</f>
        <v>-</v>
      </c>
      <c r="ID143" s="74">
        <f>IF(HS31="R0",ID272,ID142)</f>
        <v>25.5</v>
      </c>
      <c r="IE143" s="74" t="s">
        <v>149</v>
      </c>
      <c r="IF143" s="74">
        <v>0</v>
      </c>
      <c r="IG143" s="74">
        <v>0</v>
      </c>
      <c r="II143" s="35" t="b">
        <f t="shared" si="124"/>
        <v>0</v>
      </c>
      <c r="IJ143" s="45" t="b">
        <f t="shared" si="143"/>
        <v>0</v>
      </c>
      <c r="IK143" s="35">
        <f t="shared" ref="IK143:IK152" si="171">IF(II143=TRUE,IF(IJ143=TRUE,IG143/$EJ$25)+IF143,IF143)</f>
        <v>0</v>
      </c>
      <c r="IL143" s="48">
        <f>IK143</f>
        <v>0</v>
      </c>
      <c r="IM143" s="35">
        <f t="shared" ref="IM143:IM151" si="172">$HV$31*IL143</f>
        <v>0</v>
      </c>
      <c r="IN143" s="35">
        <f t="shared" ref="IN143:IN151" si="173">-$EJ$25*(IL143^2/2)</f>
        <v>0</v>
      </c>
      <c r="IO143" s="36">
        <f t="shared" ref="IO143:IO151" si="174">-IF(IL143&gt;=$EN$25,$EL$25*(IL143-$EN$25),0)</f>
        <v>0</v>
      </c>
      <c r="IP143" s="35">
        <f t="shared" ref="IP143:IP151" si="175">-IF(IL143&gt;=$ET$25,$ER$25*(IL143-$ET$25),0)</f>
        <v>0</v>
      </c>
      <c r="IQ143" s="35">
        <f t="shared" ref="IQ143:IQ151" si="176">-IF(IL143&gt;=$EZ$25,$EX$25*(IL143-$EZ$25),0)</f>
        <v>0</v>
      </c>
      <c r="IR143" s="45"/>
      <c r="IS143" s="37" t="str">
        <f>IF(IC143="-","",HU31)</f>
        <v/>
      </c>
      <c r="IT143" s="35">
        <f t="shared" ref="IT143:IT151" si="177">$ID$143+IL143</f>
        <v>25.5</v>
      </c>
      <c r="IV143" s="35">
        <f>ID143</f>
        <v>25.5</v>
      </c>
      <c r="IW143" s="35">
        <v>0</v>
      </c>
      <c r="IY143" s="35">
        <f>IF(IC143="-",-5,IF(EL25=0,-5,ID143+EN25))</f>
        <v>-5</v>
      </c>
      <c r="IZ143" s="35">
        <v>0</v>
      </c>
      <c r="JB143" s="38"/>
      <c r="JC143" s="38"/>
      <c r="JE143" s="38"/>
      <c r="JF143" s="38"/>
      <c r="JH143" s="38"/>
      <c r="JI143" s="38"/>
      <c r="JK143" s="35">
        <f>IF(IC143=14,IT143,-5)</f>
        <v>-5</v>
      </c>
      <c r="JL143" s="37" t="str">
        <f>IS143</f>
        <v/>
      </c>
      <c r="JM143" s="40"/>
      <c r="JN143" s="37">
        <f>IF(IC143="-",-5,(ID143+ID152)/2)</f>
        <v>-5</v>
      </c>
      <c r="JO143" s="37">
        <f>-MAX(IW3:IW272,IZ3:IZ272)*0.7</f>
        <v>-52.5</v>
      </c>
      <c r="JP143" s="40"/>
      <c r="JQ143" s="37">
        <f>IF(IC143="-",-5,(IT143+IT147)/2)</f>
        <v>-5</v>
      </c>
      <c r="JR143" s="37">
        <f>JR13</f>
        <v>-760.38306347150262</v>
      </c>
      <c r="JS143" s="40"/>
      <c r="JT143" s="37"/>
      <c r="JU143" s="37"/>
      <c r="JW143" s="37">
        <f>JN143</f>
        <v>-5</v>
      </c>
      <c r="JX143" s="37">
        <f>JF152</f>
        <v>-37.5</v>
      </c>
    </row>
    <row r="144" spans="12:284" ht="14.25" customHeight="1" x14ac:dyDescent="0.2"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87"/>
      <c r="DW144" s="87"/>
      <c r="DX144" s="87"/>
      <c r="DY144" s="87"/>
      <c r="DZ144" s="87"/>
      <c r="EA144" s="87"/>
      <c r="EB144" s="87"/>
      <c r="EC144" s="87"/>
      <c r="ED144" s="87"/>
      <c r="GG144" s="22">
        <v>21</v>
      </c>
      <c r="GH144" s="45"/>
      <c r="GI144" s="45" t="e">
        <v>#N/A</v>
      </c>
      <c r="GJ144" s="45" t="e">
        <v>#N/A</v>
      </c>
      <c r="GK144" s="45" t="e">
        <v>#N/A</v>
      </c>
      <c r="GL144" s="45" t="e">
        <v>#N/A</v>
      </c>
      <c r="GM144" s="45" t="e">
        <v>#N/A</v>
      </c>
      <c r="GN144" s="45" t="e">
        <v>#N/A</v>
      </c>
      <c r="GO144" s="45" t="e">
        <v>#N/A</v>
      </c>
      <c r="GP144" s="45" t="e">
        <v>#N/A</v>
      </c>
      <c r="GQ144" s="45" t="e">
        <v>#N/A</v>
      </c>
      <c r="GR144" s="45" t="e">
        <v>#N/A</v>
      </c>
      <c r="GS144" s="45" t="e">
        <v>#N/A</v>
      </c>
      <c r="GT144" s="45" t="e">
        <v>#N/A</v>
      </c>
      <c r="GU144" s="45" t="e">
        <v>#N/A</v>
      </c>
      <c r="GV144" s="45" t="e">
        <v>#N/A</v>
      </c>
      <c r="GW144" s="45" t="e">
        <v>#N/A</v>
      </c>
      <c r="GX144" s="45" t="e">
        <v>#N/A</v>
      </c>
      <c r="GY144" s="45" t="e">
        <v>#N/A</v>
      </c>
      <c r="GZ144" s="45" t="e">
        <v>#N/A</v>
      </c>
      <c r="HA144" s="115" t="e">
        <v>#N/A</v>
      </c>
      <c r="HB144" s="115" t="e">
        <v>#N/A</v>
      </c>
      <c r="HC144" s="115" t="e">
        <v>#N/A</v>
      </c>
      <c r="HD144" s="45" t="e">
        <v>#N/A</v>
      </c>
      <c r="HE144" s="45" t="e">
        <v>#N/A</v>
      </c>
      <c r="HF144" s="45" t="e">
        <v>#N/A</v>
      </c>
      <c r="HG144" s="45" t="e">
        <v>#N/A</v>
      </c>
      <c r="HI144" s="35">
        <f>$GB$112</f>
        <v>0</v>
      </c>
      <c r="HK144" s="28"/>
      <c r="IC144" s="234"/>
      <c r="ID144" s="74">
        <f>IF($IC$143="-",$ID$143,$ID$143+IF144)</f>
        <v>25.5</v>
      </c>
      <c r="IE144" s="74" t="s">
        <v>150</v>
      </c>
      <c r="IF144" s="74">
        <f>IF143</f>
        <v>0</v>
      </c>
      <c r="IG144" s="74">
        <f>IF(IC143="-",0,HV31)</f>
        <v>0</v>
      </c>
      <c r="II144" s="35" t="b">
        <f t="shared" si="124"/>
        <v>0</v>
      </c>
      <c r="IJ144" s="45" t="b">
        <f t="shared" si="143"/>
        <v>0</v>
      </c>
      <c r="IK144" s="35">
        <f t="shared" si="171"/>
        <v>0</v>
      </c>
      <c r="IL144" s="48">
        <f>(IL147-IL143)/4</f>
        <v>0</v>
      </c>
      <c r="IM144" s="35">
        <f t="shared" si="172"/>
        <v>0</v>
      </c>
      <c r="IN144" s="35">
        <f t="shared" si="173"/>
        <v>0</v>
      </c>
      <c r="IO144" s="36">
        <f t="shared" si="174"/>
        <v>0</v>
      </c>
      <c r="IP144" s="35">
        <f t="shared" si="175"/>
        <v>0</v>
      </c>
      <c r="IQ144" s="35">
        <f t="shared" si="176"/>
        <v>0</v>
      </c>
      <c r="IR144" s="35">
        <f t="shared" ref="IR144:IR150" si="178">$HU$31</f>
        <v>0</v>
      </c>
      <c r="IS144" s="42" t="str">
        <f>IF(IC143="-","",SUM(IM144:IR144))</f>
        <v/>
      </c>
      <c r="IT144" s="35">
        <f t="shared" si="177"/>
        <v>25.5</v>
      </c>
      <c r="IV144" s="35">
        <f>IV143</f>
        <v>25.5</v>
      </c>
      <c r="IW144" s="35">
        <f>IF(IC143="-",0,EJ25)/20</f>
        <v>0</v>
      </c>
      <c r="IY144" s="35">
        <f>IY143</f>
        <v>-5</v>
      </c>
      <c r="IZ144" s="35">
        <f>IF(IC143="-",0,EL25/20)</f>
        <v>0</v>
      </c>
      <c r="JB144" s="38"/>
      <c r="JC144" s="38"/>
      <c r="JE144" s="38"/>
      <c r="JF144" s="38"/>
      <c r="JH144" s="38">
        <f>IF(IC143=14,ID144,-5)</f>
        <v>-5</v>
      </c>
      <c r="JI144" s="38">
        <f>IG144</f>
        <v>0</v>
      </c>
      <c r="JK144" s="35"/>
      <c r="JL144" s="35"/>
      <c r="JM144" s="39"/>
      <c r="JN144" s="75">
        <f>HT31</f>
        <v>0</v>
      </c>
      <c r="JO144" s="35"/>
      <c r="JP144" s="39"/>
      <c r="JQ144" s="76" t="b">
        <f>IL147</f>
        <v>0</v>
      </c>
      <c r="JR144" s="35"/>
      <c r="JS144" s="39"/>
      <c r="JT144" s="35"/>
      <c r="JU144" s="35"/>
      <c r="JW144" s="124" t="str">
        <f>IC143</f>
        <v>-</v>
      </c>
      <c r="JX144" s="127"/>
    </row>
    <row r="145" spans="12:284" ht="14.25" customHeight="1" x14ac:dyDescent="0.2"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87"/>
      <c r="DW145" s="87"/>
      <c r="DX145" s="87"/>
      <c r="DY145" s="87"/>
      <c r="DZ145" s="87"/>
      <c r="EA145" s="87"/>
      <c r="EB145" s="87"/>
      <c r="EC145" s="87"/>
      <c r="ED145" s="87"/>
      <c r="GG145" s="22">
        <v>22</v>
      </c>
      <c r="GH145" s="45"/>
      <c r="GI145" s="45" t="e">
        <v>#N/A</v>
      </c>
      <c r="GJ145" s="45" t="e">
        <v>#N/A</v>
      </c>
      <c r="GK145" s="45" t="e">
        <v>#N/A</v>
      </c>
      <c r="GL145" s="45" t="e">
        <v>#N/A</v>
      </c>
      <c r="GM145" s="45" t="e">
        <v>#N/A</v>
      </c>
      <c r="GN145" s="45" t="e">
        <v>#N/A</v>
      </c>
      <c r="GO145" s="45" t="e">
        <v>#N/A</v>
      </c>
      <c r="GP145" s="45" t="e">
        <v>#N/A</v>
      </c>
      <c r="GQ145" s="45" t="e">
        <v>#N/A</v>
      </c>
      <c r="GR145" s="45" t="e">
        <v>#N/A</v>
      </c>
      <c r="GS145" s="45" t="e">
        <v>#N/A</v>
      </c>
      <c r="GT145" s="45" t="e">
        <v>#N/A</v>
      </c>
      <c r="GU145" s="45" t="e">
        <v>#N/A</v>
      </c>
      <c r="GV145" s="45" t="e">
        <v>#N/A</v>
      </c>
      <c r="GW145" s="45" t="e">
        <v>#N/A</v>
      </c>
      <c r="GX145" s="45" t="e">
        <v>#N/A</v>
      </c>
      <c r="GY145" s="45" t="e">
        <v>#N/A</v>
      </c>
      <c r="GZ145" s="45" t="e">
        <v>#N/A</v>
      </c>
      <c r="HA145" s="45" t="e">
        <v>#N/A</v>
      </c>
      <c r="HB145" s="115" t="e">
        <v>#N/A</v>
      </c>
      <c r="HC145" s="115" t="e">
        <v>#N/A</v>
      </c>
      <c r="HD145" s="115" t="e">
        <v>#N/A</v>
      </c>
      <c r="HE145" s="45" t="e">
        <v>#N/A</v>
      </c>
      <c r="HF145" s="45" t="e">
        <v>#N/A</v>
      </c>
      <c r="HG145" s="45" t="e">
        <v>#N/A</v>
      </c>
      <c r="HI145" s="35">
        <f>$GB$117</f>
        <v>0</v>
      </c>
      <c r="HK145" s="28"/>
      <c r="IC145" s="234"/>
      <c r="ID145" s="74">
        <f t="shared" ref="ID145:ID151" si="179">IF($IC$143="-",$ID$143,$ID$143+IF145)</f>
        <v>25.5</v>
      </c>
      <c r="IE145" s="74" t="s">
        <v>151</v>
      </c>
      <c r="IF145" s="74">
        <f>IF(EL25=0,IF144,EN25)</f>
        <v>0</v>
      </c>
      <c r="IG145" s="74">
        <f>IF(IC143="-",0,IG144-IF(EL25=0,0,EJ25*IF145))</f>
        <v>0</v>
      </c>
      <c r="II145" s="35" t="b">
        <f t="shared" si="124"/>
        <v>0</v>
      </c>
      <c r="IJ145" s="45" t="b">
        <f t="shared" si="143"/>
        <v>0</v>
      </c>
      <c r="IK145" s="35">
        <f t="shared" si="171"/>
        <v>0</v>
      </c>
      <c r="IL145" s="48">
        <f>IL144*2</f>
        <v>0</v>
      </c>
      <c r="IM145" s="35">
        <f t="shared" si="172"/>
        <v>0</v>
      </c>
      <c r="IN145" s="35">
        <f t="shared" si="173"/>
        <v>0</v>
      </c>
      <c r="IO145" s="36">
        <f t="shared" si="174"/>
        <v>0</v>
      </c>
      <c r="IP145" s="35">
        <f t="shared" si="175"/>
        <v>0</v>
      </c>
      <c r="IQ145" s="35">
        <f t="shared" si="176"/>
        <v>0</v>
      </c>
      <c r="IR145" s="35">
        <f t="shared" si="178"/>
        <v>0</v>
      </c>
      <c r="IS145" s="42" t="str">
        <f>IF(IC143="-","",SUM(IM145:IR145))</f>
        <v/>
      </c>
      <c r="IT145" s="35">
        <f t="shared" si="177"/>
        <v>25.5</v>
      </c>
      <c r="IV145" s="35">
        <f>IF152/2+IV143</f>
        <v>25.5</v>
      </c>
      <c r="IW145" s="35">
        <f>IW144</f>
        <v>0</v>
      </c>
      <c r="IY145" s="44" t="str">
        <f>IF(IC143="-","",IF(EL25=0,"",EL25))</f>
        <v/>
      </c>
      <c r="IZ145" s="45"/>
      <c r="JB145" s="38"/>
      <c r="JC145" s="38"/>
      <c r="JE145" s="38"/>
      <c r="JF145" s="38"/>
      <c r="JH145" s="38"/>
      <c r="JI145" s="38"/>
      <c r="JK145" s="35"/>
      <c r="JL145" s="35"/>
      <c r="JM145" s="39"/>
      <c r="JN145" s="35"/>
      <c r="JO145" s="35"/>
      <c r="JP145" s="39"/>
      <c r="JQ145" s="35"/>
      <c r="JR145" s="35"/>
      <c r="JS145" s="39"/>
      <c r="JT145" s="35"/>
      <c r="JU145" s="35"/>
      <c r="JW145" s="127"/>
      <c r="JX145" s="127"/>
    </row>
    <row r="146" spans="12:284" ht="14.25" customHeight="1" x14ac:dyDescent="0.2"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87"/>
      <c r="DW146" s="87"/>
      <c r="DX146" s="87"/>
      <c r="DY146" s="87"/>
      <c r="DZ146" s="87"/>
      <c r="EA146" s="87"/>
      <c r="EB146" s="87"/>
      <c r="EC146" s="87"/>
      <c r="ED146" s="87"/>
      <c r="GG146" s="22">
        <v>23</v>
      </c>
      <c r="GH146" s="45"/>
      <c r="GI146" s="45" t="e">
        <v>#N/A</v>
      </c>
      <c r="GJ146" s="45" t="e">
        <v>#N/A</v>
      </c>
      <c r="GK146" s="45" t="e">
        <v>#N/A</v>
      </c>
      <c r="GL146" s="45" t="e">
        <v>#N/A</v>
      </c>
      <c r="GM146" s="45" t="e">
        <v>#N/A</v>
      </c>
      <c r="GN146" s="45" t="e">
        <v>#N/A</v>
      </c>
      <c r="GO146" s="45" t="e">
        <v>#N/A</v>
      </c>
      <c r="GP146" s="45" t="e">
        <v>#N/A</v>
      </c>
      <c r="GQ146" s="45" t="e">
        <v>#N/A</v>
      </c>
      <c r="GR146" s="45" t="e">
        <v>#N/A</v>
      </c>
      <c r="GS146" s="45" t="e">
        <v>#N/A</v>
      </c>
      <c r="GT146" s="45" t="e">
        <v>#N/A</v>
      </c>
      <c r="GU146" s="45" t="e">
        <v>#N/A</v>
      </c>
      <c r="GV146" s="45" t="e">
        <v>#N/A</v>
      </c>
      <c r="GW146" s="45" t="e">
        <v>#N/A</v>
      </c>
      <c r="GX146" s="45" t="e">
        <v>#N/A</v>
      </c>
      <c r="GY146" s="45" t="e">
        <v>#N/A</v>
      </c>
      <c r="GZ146" s="45" t="e">
        <v>#N/A</v>
      </c>
      <c r="HA146" s="45" t="e">
        <v>#N/A</v>
      </c>
      <c r="HB146" s="45" t="e">
        <v>#N/A</v>
      </c>
      <c r="HC146" s="115" t="e">
        <v>#N/A</v>
      </c>
      <c r="HD146" s="115" t="e">
        <v>#N/A</v>
      </c>
      <c r="HE146" s="115" t="e">
        <v>#N/A</v>
      </c>
      <c r="HF146" s="45" t="e">
        <v>#N/A</v>
      </c>
      <c r="HG146" s="45" t="e">
        <v>#N/A</v>
      </c>
      <c r="HI146" s="35">
        <f>$GB$122</f>
        <v>0</v>
      </c>
      <c r="HK146" s="28"/>
      <c r="IC146" s="234"/>
      <c r="ID146" s="74">
        <f t="shared" si="179"/>
        <v>25.5</v>
      </c>
      <c r="IE146" s="74" t="s">
        <v>152</v>
      </c>
      <c r="IF146" s="74">
        <f>IF145</f>
        <v>0</v>
      </c>
      <c r="IG146" s="74">
        <f>IF(IC143="-",0,IG145-EL25)</f>
        <v>0</v>
      </c>
      <c r="II146" s="35" t="b">
        <f t="shared" si="124"/>
        <v>0</v>
      </c>
      <c r="IJ146" s="45" t="b">
        <f t="shared" si="143"/>
        <v>0</v>
      </c>
      <c r="IK146" s="35">
        <f t="shared" si="171"/>
        <v>0</v>
      </c>
      <c r="IL146" s="48">
        <f>IL144*3</f>
        <v>0</v>
      </c>
      <c r="IM146" s="35">
        <f t="shared" si="172"/>
        <v>0</v>
      </c>
      <c r="IN146" s="35">
        <f t="shared" si="173"/>
        <v>0</v>
      </c>
      <c r="IO146" s="36">
        <f t="shared" si="174"/>
        <v>0</v>
      </c>
      <c r="IP146" s="35">
        <f t="shared" si="175"/>
        <v>0</v>
      </c>
      <c r="IQ146" s="35">
        <f t="shared" si="176"/>
        <v>0</v>
      </c>
      <c r="IR146" s="35">
        <f t="shared" si="178"/>
        <v>0</v>
      </c>
      <c r="IS146" s="42" t="str">
        <f>IF(IC143="-","",SUM(IM146:IR146))</f>
        <v/>
      </c>
      <c r="IT146" s="35">
        <f t="shared" si="177"/>
        <v>25.5</v>
      </c>
      <c r="IV146" s="35">
        <f>IV147</f>
        <v>25.5</v>
      </c>
      <c r="IW146" s="35">
        <f>IW144</f>
        <v>0</v>
      </c>
      <c r="IY146" s="35">
        <f>IF(IC143="-",-5,IF(ER25=0,-5,ID143+ET25))</f>
        <v>-5</v>
      </c>
      <c r="IZ146" s="35">
        <v>0</v>
      </c>
      <c r="JB146" s="38"/>
      <c r="JC146" s="38"/>
      <c r="JE146" s="38"/>
      <c r="JF146" s="38"/>
      <c r="JH146" s="38"/>
      <c r="JI146" s="38"/>
      <c r="JK146" s="35"/>
      <c r="JL146" s="35"/>
      <c r="JM146" s="39"/>
      <c r="JN146" s="35"/>
      <c r="JO146" s="35"/>
      <c r="JP146" s="39"/>
      <c r="JQ146" s="35"/>
      <c r="JR146" s="35"/>
      <c r="JS146" s="39"/>
      <c r="JT146" s="35"/>
      <c r="JU146" s="35"/>
      <c r="JW146" s="127"/>
      <c r="JX146" s="127"/>
    </row>
    <row r="147" spans="12:284" ht="14.25" customHeight="1" x14ac:dyDescent="0.2"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87"/>
      <c r="DW147" s="87"/>
      <c r="DX147" s="87"/>
      <c r="DY147" s="87"/>
      <c r="DZ147" s="87"/>
      <c r="EA147" s="87"/>
      <c r="EB147" s="87"/>
      <c r="EC147" s="87"/>
      <c r="ED147" s="87"/>
      <c r="GG147" s="22">
        <v>24</v>
      </c>
      <c r="GH147" s="45"/>
      <c r="GI147" s="45" t="e">
        <v>#N/A</v>
      </c>
      <c r="GJ147" s="45" t="e">
        <v>#N/A</v>
      </c>
      <c r="GK147" s="45" t="e">
        <v>#N/A</v>
      </c>
      <c r="GL147" s="45" t="e">
        <v>#N/A</v>
      </c>
      <c r="GM147" s="45" t="e">
        <v>#N/A</v>
      </c>
      <c r="GN147" s="45" t="e">
        <v>#N/A</v>
      </c>
      <c r="GO147" s="45" t="e">
        <v>#N/A</v>
      </c>
      <c r="GP147" s="45" t="e">
        <v>#N/A</v>
      </c>
      <c r="GQ147" s="45" t="e">
        <v>#N/A</v>
      </c>
      <c r="GR147" s="45" t="e">
        <v>#N/A</v>
      </c>
      <c r="GS147" s="45" t="e">
        <v>#N/A</v>
      </c>
      <c r="GT147" s="45" t="e">
        <v>#N/A</v>
      </c>
      <c r="GU147" s="45" t="e">
        <v>#N/A</v>
      </c>
      <c r="GV147" s="45" t="e">
        <v>#N/A</v>
      </c>
      <c r="GW147" s="45" t="e">
        <v>#N/A</v>
      </c>
      <c r="GX147" s="45" t="e">
        <v>#N/A</v>
      </c>
      <c r="GY147" s="45" t="e">
        <v>#N/A</v>
      </c>
      <c r="GZ147" s="45" t="e">
        <v>#N/A</v>
      </c>
      <c r="HA147" s="45" t="e">
        <v>#N/A</v>
      </c>
      <c r="HB147" s="45" t="e">
        <v>#N/A</v>
      </c>
      <c r="HC147" s="45" t="e">
        <v>#N/A</v>
      </c>
      <c r="HD147" s="115" t="e">
        <v>#N/A</v>
      </c>
      <c r="HE147" s="115" t="e">
        <v>#N/A</v>
      </c>
      <c r="HF147" s="115" t="e">
        <v>#N/A</v>
      </c>
      <c r="HG147" s="45" t="e">
        <v>#N/A</v>
      </c>
      <c r="HI147" s="35">
        <f>$GB$127</f>
        <v>0</v>
      </c>
      <c r="HK147" s="28"/>
      <c r="IC147" s="234"/>
      <c r="ID147" s="74">
        <f t="shared" si="179"/>
        <v>25.5</v>
      </c>
      <c r="IE147" s="74" t="s">
        <v>153</v>
      </c>
      <c r="IF147" s="74">
        <f>IF(ER25=0,IF146,ET25)</f>
        <v>0</v>
      </c>
      <c r="IG147" s="74">
        <f>IF(IC143="-",0,IG146-IF(ER25=0,0,EJ25*(IF147-IF146)))</f>
        <v>0</v>
      </c>
      <c r="II147" s="35" t="b">
        <f t="shared" si="124"/>
        <v>0</v>
      </c>
      <c r="IJ147" s="45" t="b">
        <f t="shared" si="143"/>
        <v>0</v>
      </c>
      <c r="IK147" s="35">
        <f t="shared" si="171"/>
        <v>0</v>
      </c>
      <c r="IL147" s="68" t="b">
        <f>IF(II143=TRUE,IK143,IF(II144=TRUE,IK144,IF(II145=TRUE,IK145,IF(II146=TRUE,IK146,IF(II147=TRUE,IK147,IF(II148=TRUE,IK148,IF(II149=TRUE,IK149,IF(II150=TRUE,IK150,IF(II151=TRUE,IK151,IF(II152=TRUE,IK152))))))))))</f>
        <v>0</v>
      </c>
      <c r="IM147" s="68">
        <f t="shared" si="172"/>
        <v>0</v>
      </c>
      <c r="IN147" s="68">
        <f t="shared" si="173"/>
        <v>0</v>
      </c>
      <c r="IO147" s="69">
        <f t="shared" si="174"/>
        <v>0</v>
      </c>
      <c r="IP147" s="68">
        <f t="shared" si="175"/>
        <v>0</v>
      </c>
      <c r="IQ147" s="68">
        <f t="shared" si="176"/>
        <v>0</v>
      </c>
      <c r="IR147" s="68">
        <f t="shared" si="178"/>
        <v>0</v>
      </c>
      <c r="IS147" s="70" t="str">
        <f>IF(IC143="-","",ROUND(SUM(IM147:IR147),2))</f>
        <v/>
      </c>
      <c r="IT147" s="68">
        <f t="shared" si="177"/>
        <v>25.5</v>
      </c>
      <c r="IV147" s="35">
        <f>ID152</f>
        <v>25.5</v>
      </c>
      <c r="IW147" s="35">
        <v>0</v>
      </c>
      <c r="IY147" s="35">
        <f>IY146</f>
        <v>-5</v>
      </c>
      <c r="IZ147" s="35">
        <f>IF(IC143="-",0,ER25/20)</f>
        <v>0</v>
      </c>
      <c r="JB147" s="38"/>
      <c r="JC147" s="38"/>
      <c r="JE147" s="38"/>
      <c r="JF147" s="38"/>
      <c r="JH147" s="38"/>
      <c r="JI147" s="38"/>
      <c r="JK147" s="35">
        <f>IF(IC143=14,IT147,-5)</f>
        <v>-5</v>
      </c>
      <c r="JL147" s="37" t="str">
        <f>IS147</f>
        <v/>
      </c>
      <c r="JM147" s="40"/>
      <c r="JN147" s="37"/>
      <c r="JO147" s="37"/>
      <c r="JP147" s="40"/>
      <c r="JQ147" s="37"/>
      <c r="JR147" s="37"/>
      <c r="JS147" s="40"/>
      <c r="JT147" s="37"/>
      <c r="JU147" s="37"/>
      <c r="JW147" s="37"/>
      <c r="JX147" s="37"/>
    </row>
    <row r="148" spans="12:284" ht="14.25" customHeight="1" x14ac:dyDescent="0.2"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87"/>
      <c r="DW148" s="87"/>
      <c r="DX148" s="87"/>
      <c r="DY148" s="87"/>
      <c r="DZ148" s="87"/>
      <c r="EA148" s="87"/>
      <c r="EB148" s="87"/>
      <c r="EC148" s="87"/>
      <c r="ED148" s="87"/>
      <c r="GG148" s="22">
        <v>25</v>
      </c>
      <c r="GH148" s="45"/>
      <c r="GI148" s="45" t="e">
        <v>#N/A</v>
      </c>
      <c r="GJ148" s="45" t="e">
        <v>#N/A</v>
      </c>
      <c r="GK148" s="45" t="e">
        <v>#N/A</v>
      </c>
      <c r="GL148" s="45" t="e">
        <v>#N/A</v>
      </c>
      <c r="GM148" s="45" t="e">
        <v>#N/A</v>
      </c>
      <c r="GN148" s="45" t="e">
        <v>#N/A</v>
      </c>
      <c r="GO148" s="45" t="e">
        <v>#N/A</v>
      </c>
      <c r="GP148" s="45" t="e">
        <v>#N/A</v>
      </c>
      <c r="GQ148" s="45" t="e">
        <v>#N/A</v>
      </c>
      <c r="GR148" s="45" t="e">
        <v>#N/A</v>
      </c>
      <c r="GS148" s="45" t="e">
        <v>#N/A</v>
      </c>
      <c r="GT148" s="45" t="e">
        <v>#N/A</v>
      </c>
      <c r="GU148" s="45" t="e">
        <v>#N/A</v>
      </c>
      <c r="GV148" s="45" t="e">
        <v>#N/A</v>
      </c>
      <c r="GW148" s="45" t="e">
        <v>#N/A</v>
      </c>
      <c r="GX148" s="45" t="e">
        <v>#N/A</v>
      </c>
      <c r="GY148" s="45" t="e">
        <v>#N/A</v>
      </c>
      <c r="GZ148" s="45" t="e">
        <v>#N/A</v>
      </c>
      <c r="HA148" s="45" t="e">
        <v>#N/A</v>
      </c>
      <c r="HB148" s="45" t="e">
        <v>#N/A</v>
      </c>
      <c r="HC148" s="45" t="e">
        <v>#N/A</v>
      </c>
      <c r="HD148" s="45" t="e">
        <v>#N/A</v>
      </c>
      <c r="HE148" s="115" t="e">
        <v>#N/A</v>
      </c>
      <c r="HF148" s="115" t="e">
        <v>#N/A</v>
      </c>
      <c r="HG148" s="45" t="e">
        <v>#N/A</v>
      </c>
      <c r="HI148" s="35">
        <f>$GB$132</f>
        <v>0</v>
      </c>
      <c r="HK148" s="28"/>
      <c r="IC148" s="234"/>
      <c r="ID148" s="74">
        <f t="shared" si="179"/>
        <v>25.5</v>
      </c>
      <c r="IE148" s="74" t="s">
        <v>154</v>
      </c>
      <c r="IF148" s="74">
        <f>IF147</f>
        <v>0</v>
      </c>
      <c r="IG148" s="74">
        <f>IF(IC143="-",0,IG147-ER25)</f>
        <v>0</v>
      </c>
      <c r="II148" s="35" t="b">
        <f t="shared" si="124"/>
        <v>0</v>
      </c>
      <c r="IJ148" s="45" t="b">
        <f t="shared" si="143"/>
        <v>0</v>
      </c>
      <c r="IK148" s="35">
        <f t="shared" si="171"/>
        <v>0</v>
      </c>
      <c r="IL148" s="48">
        <f>IL147+($IL$152-$IL$147)/4</f>
        <v>0</v>
      </c>
      <c r="IM148" s="35">
        <f t="shared" si="172"/>
        <v>0</v>
      </c>
      <c r="IN148" s="35">
        <f t="shared" si="173"/>
        <v>0</v>
      </c>
      <c r="IO148" s="36">
        <f t="shared" si="174"/>
        <v>0</v>
      </c>
      <c r="IP148" s="35">
        <f t="shared" si="175"/>
        <v>0</v>
      </c>
      <c r="IQ148" s="35">
        <f t="shared" si="176"/>
        <v>0</v>
      </c>
      <c r="IR148" s="35">
        <f t="shared" si="178"/>
        <v>0</v>
      </c>
      <c r="IS148" s="42" t="str">
        <f>IF(IC143="-","",SUM(IM148:IR148))</f>
        <v/>
      </c>
      <c r="IT148" s="35">
        <f t="shared" si="177"/>
        <v>25.5</v>
      </c>
      <c r="IV148" s="35"/>
      <c r="IW148" s="35"/>
      <c r="IY148" s="44" t="str">
        <f>IF(IC143="-","",IF(ER25=0,"",ER25))</f>
        <v/>
      </c>
      <c r="IZ148" s="45"/>
      <c r="JB148" s="38"/>
      <c r="JC148" s="38"/>
      <c r="JE148" s="38"/>
      <c r="JF148" s="38"/>
      <c r="JH148" s="38"/>
      <c r="JI148" s="38"/>
      <c r="JK148" s="35"/>
      <c r="JL148" s="35"/>
      <c r="JM148" s="39"/>
      <c r="JN148" s="35"/>
      <c r="JO148" s="35"/>
      <c r="JP148" s="39"/>
      <c r="JQ148" s="35"/>
      <c r="JR148" s="35"/>
      <c r="JS148" s="39"/>
      <c r="JT148" s="35"/>
      <c r="JU148" s="35"/>
      <c r="JW148" s="127"/>
      <c r="JX148" s="127"/>
    </row>
    <row r="149" spans="12:284" ht="14.25" customHeight="1" x14ac:dyDescent="0.2"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87"/>
      <c r="DW149" s="87"/>
      <c r="DX149" s="87"/>
      <c r="DY149" s="87"/>
      <c r="DZ149" s="87"/>
      <c r="EA149" s="87"/>
      <c r="EB149" s="87"/>
      <c r="EC149" s="87"/>
      <c r="ED149" s="87"/>
      <c r="GG149" s="22" t="s">
        <v>14</v>
      </c>
      <c r="GH149" s="45"/>
      <c r="GI149" s="45" t="e">
        <v>#N/A</v>
      </c>
      <c r="GJ149" s="45" t="e">
        <v>#N/A</v>
      </c>
      <c r="GK149" s="45" t="e">
        <v>#N/A</v>
      </c>
      <c r="GL149" s="45" t="e">
        <v>#N/A</v>
      </c>
      <c r="GM149" s="45" t="e">
        <v>#N/A</v>
      </c>
      <c r="GN149" s="45" t="e">
        <v>#N/A</v>
      </c>
      <c r="GO149" s="45" t="e">
        <v>#N/A</v>
      </c>
      <c r="GP149" s="45" t="e">
        <v>#N/A</v>
      </c>
      <c r="GQ149" s="45" t="e">
        <v>#N/A</v>
      </c>
      <c r="GR149" s="45" t="e">
        <v>#N/A</v>
      </c>
      <c r="GS149" s="45" t="e">
        <v>#N/A</v>
      </c>
      <c r="GT149" s="45" t="e">
        <v>#N/A</v>
      </c>
      <c r="GU149" s="45" t="e">
        <v>#N/A</v>
      </c>
      <c r="GV149" s="45" t="e">
        <v>#N/A</v>
      </c>
      <c r="GW149" s="45" t="e">
        <v>#N/A</v>
      </c>
      <c r="GX149" s="45" t="e">
        <v>#N/A</v>
      </c>
      <c r="GY149" s="45" t="e">
        <v>#N/A</v>
      </c>
      <c r="GZ149" s="45" t="e">
        <v>#N/A</v>
      </c>
      <c r="HA149" s="45" t="e">
        <v>#N/A</v>
      </c>
      <c r="HB149" s="45" t="e">
        <v>#N/A</v>
      </c>
      <c r="HC149" s="45" t="e">
        <v>#N/A</v>
      </c>
      <c r="HD149" s="45" t="e">
        <v>#N/A</v>
      </c>
      <c r="HE149" s="45" t="e">
        <v>#N/A</v>
      </c>
      <c r="HF149" s="115" t="e">
        <v>#N/A</v>
      </c>
      <c r="HG149" s="115" t="e">
        <v>#N/A</v>
      </c>
      <c r="HI149" s="35">
        <f>$GB$137</f>
        <v>0</v>
      </c>
      <c r="HK149" s="39"/>
      <c r="IC149" s="234"/>
      <c r="ID149" s="74">
        <f t="shared" si="179"/>
        <v>25.5</v>
      </c>
      <c r="IE149" s="74" t="s">
        <v>155</v>
      </c>
      <c r="IF149" s="74">
        <f>IF(EX25=0,IF148,EZ25)</f>
        <v>0</v>
      </c>
      <c r="IG149" s="74">
        <f>IF(IC143="-",0,IG148-IF(EX25=0,0,EJ25*(IF149-IF148)))</f>
        <v>0</v>
      </c>
      <c r="II149" s="35" t="b">
        <f t="shared" si="124"/>
        <v>0</v>
      </c>
      <c r="IJ149" s="45" t="b">
        <f t="shared" si="143"/>
        <v>0</v>
      </c>
      <c r="IK149" s="35">
        <f t="shared" si="171"/>
        <v>0</v>
      </c>
      <c r="IL149" s="48">
        <f>IL148+($IL$152-$IL$147)/4</f>
        <v>0</v>
      </c>
      <c r="IM149" s="35">
        <f t="shared" si="172"/>
        <v>0</v>
      </c>
      <c r="IN149" s="35">
        <f t="shared" si="173"/>
        <v>0</v>
      </c>
      <c r="IO149" s="36">
        <f t="shared" si="174"/>
        <v>0</v>
      </c>
      <c r="IP149" s="35">
        <f t="shared" si="175"/>
        <v>0</v>
      </c>
      <c r="IQ149" s="35">
        <f t="shared" si="176"/>
        <v>0</v>
      </c>
      <c r="IR149" s="35">
        <f t="shared" si="178"/>
        <v>0</v>
      </c>
      <c r="IS149" s="42" t="str">
        <f>IF(IC143="-","",SUM(IM149:IR149))</f>
        <v/>
      </c>
      <c r="IT149" s="35">
        <f t="shared" si="177"/>
        <v>25.5</v>
      </c>
      <c r="IV149" s="84" t="str">
        <f>IF(IC143="-","",EJ25)</f>
        <v/>
      </c>
      <c r="IW149" s="35"/>
      <c r="IY149" s="35">
        <f>IF(IC143="-",-5,IF(EX25=0,-5,ID143+EZ25))</f>
        <v>-5</v>
      </c>
      <c r="IZ149" s="35">
        <v>0</v>
      </c>
      <c r="JB149" s="38"/>
      <c r="JC149" s="38"/>
      <c r="JE149" s="38"/>
      <c r="JF149" s="38"/>
      <c r="JH149" s="38"/>
      <c r="JI149" s="38"/>
      <c r="JK149" s="35"/>
      <c r="JL149" s="35"/>
      <c r="JM149" s="39"/>
      <c r="JN149" s="35"/>
      <c r="JO149" s="35"/>
      <c r="JP149" s="39"/>
      <c r="JQ149" s="35"/>
      <c r="JR149" s="35"/>
      <c r="JS149" s="39"/>
      <c r="JT149" s="35"/>
      <c r="JU149" s="35"/>
      <c r="JW149" s="127"/>
      <c r="JX149" s="127"/>
    </row>
    <row r="150" spans="12:284" ht="14.25" customHeight="1" x14ac:dyDescent="0.2"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87"/>
      <c r="DW150" s="87"/>
      <c r="DX150" s="87"/>
      <c r="DY150" s="87"/>
      <c r="DZ150" s="87"/>
      <c r="EA150" s="87"/>
      <c r="EB150" s="87"/>
      <c r="EC150" s="87"/>
      <c r="ED150" s="87"/>
      <c r="IC150" s="234"/>
      <c r="ID150" s="74">
        <f t="shared" si="179"/>
        <v>25.5</v>
      </c>
      <c r="IE150" s="74" t="s">
        <v>156</v>
      </c>
      <c r="IF150" s="74">
        <f>IF149</f>
        <v>0</v>
      </c>
      <c r="IG150" s="74">
        <f>IF(IC143="-",0,IG149-EX25)</f>
        <v>0</v>
      </c>
      <c r="II150" s="35" t="b">
        <f t="shared" si="124"/>
        <v>0</v>
      </c>
      <c r="IJ150" s="45" t="b">
        <f t="shared" si="143"/>
        <v>0</v>
      </c>
      <c r="IK150" s="35">
        <f t="shared" si="171"/>
        <v>0</v>
      </c>
      <c r="IL150" s="48">
        <f>IL149+($IL$152-$IL$147)/4</f>
        <v>0</v>
      </c>
      <c r="IM150" s="35">
        <f t="shared" si="172"/>
        <v>0</v>
      </c>
      <c r="IN150" s="35">
        <f t="shared" si="173"/>
        <v>0</v>
      </c>
      <c r="IO150" s="36">
        <f t="shared" si="174"/>
        <v>0</v>
      </c>
      <c r="IP150" s="35">
        <f t="shared" si="175"/>
        <v>0</v>
      </c>
      <c r="IQ150" s="35">
        <f t="shared" si="176"/>
        <v>0</v>
      </c>
      <c r="IR150" s="35">
        <f t="shared" si="178"/>
        <v>0</v>
      </c>
      <c r="IS150" s="42" t="str">
        <f>IF(IC143="-","",SUM(IM150:IR150))</f>
        <v/>
      </c>
      <c r="IT150" s="35">
        <f t="shared" si="177"/>
        <v>25.5</v>
      </c>
      <c r="IV150" s="35"/>
      <c r="IW150" s="35"/>
      <c r="IY150" s="35">
        <f>IY149</f>
        <v>-5</v>
      </c>
      <c r="IZ150" s="35">
        <f>IF(IC143="-",0,EX25/20)</f>
        <v>0</v>
      </c>
      <c r="JB150" s="47" t="str">
        <f>IF(IC143="-","",HY32)</f>
        <v/>
      </c>
      <c r="JC150" s="35" t="b">
        <f>AND($F$2=14,$F$10=$ER$43)</f>
        <v>0</v>
      </c>
      <c r="JE150" s="47" t="str">
        <f>JB150</f>
        <v/>
      </c>
      <c r="JF150" s="38"/>
      <c r="JH150" s="38"/>
      <c r="JI150" s="38"/>
      <c r="JK150" s="35" t="b">
        <f>AND($F$2=14,$F$10=$ER$43)</f>
        <v>0</v>
      </c>
      <c r="JL150" s="35"/>
      <c r="JM150" s="39"/>
      <c r="JN150" s="35"/>
      <c r="JO150" s="35"/>
      <c r="JP150" s="39"/>
      <c r="JQ150" s="35"/>
      <c r="JR150" s="35"/>
      <c r="JS150" s="39"/>
      <c r="JT150" s="35"/>
      <c r="JU150" s="35"/>
      <c r="JW150" s="127"/>
      <c r="JX150" s="127"/>
    </row>
    <row r="151" spans="12:284" ht="14.25" customHeight="1" x14ac:dyDescent="0.2">
      <c r="GH151" s="119"/>
      <c r="IC151" s="234"/>
      <c r="ID151" s="74">
        <f t="shared" si="179"/>
        <v>25.5</v>
      </c>
      <c r="IE151" s="74" t="s">
        <v>157</v>
      </c>
      <c r="IF151" s="74">
        <f>IF152</f>
        <v>0</v>
      </c>
      <c r="IG151" s="74">
        <f>HW32</f>
        <v>0</v>
      </c>
      <c r="II151" s="35" t="b">
        <f t="shared" ref="II151:II214" si="180">AND(IG151&gt;=0,IG152&lt;0)</f>
        <v>0</v>
      </c>
      <c r="IJ151" s="45" t="b">
        <f t="shared" si="143"/>
        <v>0</v>
      </c>
      <c r="IK151" s="35">
        <f t="shared" si="171"/>
        <v>0</v>
      </c>
      <c r="IL151" s="48">
        <f>IL150+($IL$152-$IL$147)/4</f>
        <v>0</v>
      </c>
      <c r="IM151" s="35">
        <f t="shared" si="172"/>
        <v>0</v>
      </c>
      <c r="IN151" s="35">
        <f t="shared" si="173"/>
        <v>0</v>
      </c>
      <c r="IO151" s="36">
        <f t="shared" si="174"/>
        <v>0</v>
      </c>
      <c r="IP151" s="35">
        <f t="shared" si="175"/>
        <v>0</v>
      </c>
      <c r="IQ151" s="35">
        <f t="shared" si="176"/>
        <v>0</v>
      </c>
      <c r="IR151" s="45"/>
      <c r="IS151" s="37" t="str">
        <f>IF(IC143="-","",ROUND(HU32,2))</f>
        <v/>
      </c>
      <c r="IT151" s="35">
        <f t="shared" si="177"/>
        <v>25.5</v>
      </c>
      <c r="IV151" s="35"/>
      <c r="IW151" s="35"/>
      <c r="IY151" s="44" t="str">
        <f>IF(IC143="-","",IF(EX25=0,"",EX25))</f>
        <v/>
      </c>
      <c r="IZ151" s="45"/>
      <c r="JB151" s="38">
        <f>ID152</f>
        <v>25.5</v>
      </c>
      <c r="JC151" s="38">
        <v>0</v>
      </c>
      <c r="JE151" s="38">
        <f>JB151</f>
        <v>25.5</v>
      </c>
      <c r="JF151" s="38">
        <f>IF(JE150&gt;0,-MAX(IW3:IW272,IZ3:IZ272)*0.5,-MAX(IW3:IW272,IZ3:IZ272)*1.5)</f>
        <v>-37.5</v>
      </c>
      <c r="JH151" s="38">
        <f>IF(IC143=14,ID151,-5)</f>
        <v>-5</v>
      </c>
      <c r="JI151" s="38">
        <f>IG151</f>
        <v>0</v>
      </c>
      <c r="JK151" s="35">
        <f>IF(JK150=TRUE,IT151,-5)</f>
        <v>-5</v>
      </c>
      <c r="JL151" s="49" t="str">
        <f>IS151</f>
        <v/>
      </c>
      <c r="JM151" s="40"/>
      <c r="JN151" s="49"/>
      <c r="JO151" s="49"/>
      <c r="JP151" s="40"/>
      <c r="JQ151" s="49"/>
      <c r="JR151" s="49"/>
      <c r="JS151" s="40"/>
      <c r="JT151" s="49"/>
      <c r="JU151" s="49"/>
      <c r="JW151" s="120"/>
      <c r="JX151" s="120"/>
    </row>
    <row r="152" spans="12:284" ht="14.25" customHeight="1" x14ac:dyDescent="0.2">
      <c r="IC152" s="234"/>
      <c r="ID152" s="74">
        <f>IF(HS31="R0",ID143,ID143+HT31)</f>
        <v>25.5</v>
      </c>
      <c r="IE152" s="74" t="s">
        <v>158</v>
      </c>
      <c r="IF152" s="74">
        <f>IF(HS31="R0",0,HT31)</f>
        <v>0</v>
      </c>
      <c r="IG152" s="74">
        <v>0</v>
      </c>
      <c r="II152" s="35" t="b">
        <f t="shared" si="180"/>
        <v>0</v>
      </c>
      <c r="IJ152" s="45" t="b">
        <f t="shared" si="143"/>
        <v>0</v>
      </c>
      <c r="IK152" s="35">
        <f t="shared" si="171"/>
        <v>0</v>
      </c>
      <c r="IL152" s="48">
        <f>IK152</f>
        <v>0</v>
      </c>
      <c r="IM152" s="35"/>
      <c r="IN152" s="35"/>
      <c r="IO152" s="36"/>
      <c r="IP152" s="35"/>
      <c r="IQ152" s="35"/>
      <c r="IR152" s="45"/>
      <c r="IS152" s="82"/>
      <c r="IT152" s="35"/>
      <c r="IV152" s="35"/>
      <c r="IW152" s="35"/>
      <c r="IY152" s="45"/>
      <c r="IZ152" s="45"/>
      <c r="JB152" s="38">
        <f>JB151</f>
        <v>25.5</v>
      </c>
      <c r="JC152" s="38">
        <f>IF(IC143="-",0,IF(JC150=TRUE,0,-20))</f>
        <v>0</v>
      </c>
      <c r="JE152" s="38">
        <f>JE151</f>
        <v>25.5</v>
      </c>
      <c r="JF152" s="38">
        <f>IF(IC143="-",JF151,IF(JE150&gt;0,-MAX(IW3:IW272,IZ3:IZ272)*1.5,-MAX(IW3:IW272,IZ3:IZ272)*0.5))</f>
        <v>-37.5</v>
      </c>
      <c r="JH152" s="38"/>
      <c r="JI152" s="38"/>
      <c r="JK152" s="35"/>
      <c r="JL152" s="35"/>
      <c r="JM152" s="39"/>
      <c r="JN152" s="35"/>
      <c r="JO152" s="35"/>
      <c r="JP152" s="39"/>
      <c r="JQ152" s="35"/>
      <c r="JR152" s="35"/>
      <c r="JS152" s="39"/>
      <c r="JT152" s="35"/>
      <c r="JU152" s="35"/>
      <c r="JW152" s="127"/>
      <c r="JX152" s="127"/>
    </row>
    <row r="153" spans="12:284" ht="14.25" customHeight="1" x14ac:dyDescent="0.2">
      <c r="IC153" s="250" t="str">
        <f>IF(HS33="R0","-",HS33)</f>
        <v>-</v>
      </c>
      <c r="ID153" s="53">
        <f>IF(HS33="R0",ID272,ID152)</f>
        <v>25.5</v>
      </c>
      <c r="IE153" s="53" t="s">
        <v>149</v>
      </c>
      <c r="IF153" s="53">
        <v>0</v>
      </c>
      <c r="IG153" s="53">
        <v>0</v>
      </c>
      <c r="II153" s="54" t="b">
        <f t="shared" si="180"/>
        <v>0</v>
      </c>
      <c r="IJ153" s="55" t="b">
        <f t="shared" si="143"/>
        <v>0</v>
      </c>
      <c r="IK153" s="54">
        <f t="shared" ref="IK153:IK162" si="181">IF(II153=TRUE,IF(IJ153=TRUE,IG153/$EJ$26)+IF153,IF153)</f>
        <v>0</v>
      </c>
      <c r="IL153" s="56">
        <f>IK153</f>
        <v>0</v>
      </c>
      <c r="IM153" s="54">
        <f t="shared" ref="IM153:IM161" si="182">$HV$33*IL153</f>
        <v>0</v>
      </c>
      <c r="IN153" s="54">
        <f t="shared" ref="IN153:IN161" si="183">-$EJ$26*(IL153^2/2)</f>
        <v>0</v>
      </c>
      <c r="IO153" s="57">
        <f t="shared" ref="IO153:IO161" si="184">-IF(IL153&gt;=$EN$26,$EL$26*(IL153-$EN$26),0)</f>
        <v>0</v>
      </c>
      <c r="IP153" s="54">
        <f t="shared" ref="IP153:IP161" si="185">-IF(IL153&gt;=$ET$26,$ER$26*(IL153-$ET$26),0)</f>
        <v>0</v>
      </c>
      <c r="IQ153" s="54">
        <f t="shared" ref="IQ153:IQ161" si="186">-IF(IL153&gt;=$EZ$26,$EX$26*(IL153-$EZ$26),0)</f>
        <v>0</v>
      </c>
      <c r="IR153" s="55"/>
      <c r="IS153" s="59" t="str">
        <f>IF(IC153="-","",HU33)</f>
        <v/>
      </c>
      <c r="IT153" s="54">
        <f t="shared" ref="IT153:IT161" si="187">$ID$153+IL153</f>
        <v>25.5</v>
      </c>
      <c r="IV153" s="54">
        <f>ID153</f>
        <v>25.5</v>
      </c>
      <c r="IW153" s="54">
        <v>0</v>
      </c>
      <c r="IY153" s="54">
        <f>IF(IC153="-",-5,IF(EL26=0,-5,ID153+EN26))</f>
        <v>-5</v>
      </c>
      <c r="IZ153" s="54">
        <v>0</v>
      </c>
      <c r="JB153" s="54"/>
      <c r="JC153" s="54"/>
      <c r="JE153" s="54"/>
      <c r="JF153" s="54"/>
      <c r="JH153" s="54"/>
      <c r="JI153" s="54"/>
      <c r="JK153" s="54">
        <f>IF(IC153=15,IT153,-5)</f>
        <v>-5</v>
      </c>
      <c r="JL153" s="59" t="str">
        <f>IS153</f>
        <v/>
      </c>
      <c r="JM153" s="40"/>
      <c r="JN153" s="59">
        <f>IF(IC153="-",-5,(ID153+ID162)/2)</f>
        <v>-5</v>
      </c>
      <c r="JO153" s="59">
        <f>-MAX(IW3:IW272,IZ3:IZ272)*0.7</f>
        <v>-52.5</v>
      </c>
      <c r="JP153" s="40"/>
      <c r="JQ153" s="59">
        <f>IF(IC153="-",-5,(IT153+IT157)/2)</f>
        <v>-5</v>
      </c>
      <c r="JR153" s="59">
        <f>JR13</f>
        <v>-760.38306347150262</v>
      </c>
      <c r="JS153" s="40"/>
      <c r="JT153" s="59"/>
      <c r="JU153" s="59"/>
      <c r="JW153" s="122">
        <f>JN153</f>
        <v>-5</v>
      </c>
      <c r="JX153" s="122">
        <f>JF162</f>
        <v>-37.5</v>
      </c>
    </row>
    <row r="154" spans="12:284" ht="14.25" customHeight="1" x14ac:dyDescent="0.2">
      <c r="IC154" s="250"/>
      <c r="ID154" s="53">
        <f>IF($IC$153="-",$ID$153,$ID$153+IF154)</f>
        <v>25.5</v>
      </c>
      <c r="IE154" s="53" t="s">
        <v>150</v>
      </c>
      <c r="IF154" s="53">
        <f>IF153</f>
        <v>0</v>
      </c>
      <c r="IG154" s="53">
        <f>IF(IC153="-",0,HV33)</f>
        <v>0</v>
      </c>
      <c r="II154" s="54" t="b">
        <f t="shared" si="180"/>
        <v>0</v>
      </c>
      <c r="IJ154" s="55" t="b">
        <f t="shared" si="143"/>
        <v>0</v>
      </c>
      <c r="IK154" s="54">
        <f t="shared" si="181"/>
        <v>0</v>
      </c>
      <c r="IL154" s="56">
        <f>(IL157-IL153)/4</f>
        <v>0</v>
      </c>
      <c r="IM154" s="54">
        <f t="shared" si="182"/>
        <v>0</v>
      </c>
      <c r="IN154" s="54">
        <f t="shared" si="183"/>
        <v>0</v>
      </c>
      <c r="IO154" s="57">
        <f t="shared" si="184"/>
        <v>0</v>
      </c>
      <c r="IP154" s="54">
        <f t="shared" si="185"/>
        <v>0</v>
      </c>
      <c r="IQ154" s="54">
        <f t="shared" si="186"/>
        <v>0</v>
      </c>
      <c r="IR154" s="54">
        <f t="shared" ref="IR154:IR160" si="188">$HU$33</f>
        <v>0</v>
      </c>
      <c r="IS154" s="58" t="str">
        <f>IF(IC153="-","",SUM(IM154:IR154))</f>
        <v/>
      </c>
      <c r="IT154" s="54">
        <f t="shared" si="187"/>
        <v>25.5</v>
      </c>
      <c r="IV154" s="54">
        <f>IV153</f>
        <v>25.5</v>
      </c>
      <c r="IW154" s="54">
        <f>IF(IC153="-",0,EJ26)/20</f>
        <v>0</v>
      </c>
      <c r="IY154" s="54">
        <f>IY153</f>
        <v>-5</v>
      </c>
      <c r="IZ154" s="54">
        <f>IF(IC153="-",0,EL26/20)</f>
        <v>0</v>
      </c>
      <c r="JB154" s="54"/>
      <c r="JC154" s="54"/>
      <c r="JE154" s="54"/>
      <c r="JF154" s="54"/>
      <c r="JH154" s="54">
        <f>IF(IC153=15,ID154,-5)</f>
        <v>-5</v>
      </c>
      <c r="JI154" s="54">
        <f>IG154</f>
        <v>0</v>
      </c>
      <c r="JK154" s="54"/>
      <c r="JL154" s="54"/>
      <c r="JM154" s="39"/>
      <c r="JN154" s="61">
        <f>HT33</f>
        <v>0</v>
      </c>
      <c r="JO154" s="54"/>
      <c r="JP154" s="39"/>
      <c r="JQ154" s="62" t="b">
        <f>IL157</f>
        <v>0</v>
      </c>
      <c r="JR154" s="54"/>
      <c r="JS154" s="39"/>
      <c r="JT154" s="54"/>
      <c r="JU154" s="54"/>
      <c r="JW154" s="125" t="str">
        <f>IC153</f>
        <v>-</v>
      </c>
      <c r="JX154" s="123"/>
    </row>
    <row r="155" spans="12:284" ht="14.25" customHeight="1" x14ac:dyDescent="0.2">
      <c r="IC155" s="250"/>
      <c r="ID155" s="53">
        <f t="shared" ref="ID155:ID161" si="189">IF($IC$153="-",$ID$153,$ID$153+IF155)</f>
        <v>25.5</v>
      </c>
      <c r="IE155" s="53" t="s">
        <v>151</v>
      </c>
      <c r="IF155" s="53">
        <f>IF(EL26=0,IF154,EN26)</f>
        <v>0</v>
      </c>
      <c r="IG155" s="53">
        <f>IF(IC153="-",0,IG154-IF(EL26=0,0,EJ26*IF155))</f>
        <v>0</v>
      </c>
      <c r="II155" s="54" t="b">
        <f t="shared" si="180"/>
        <v>0</v>
      </c>
      <c r="IJ155" s="55" t="b">
        <f t="shared" si="143"/>
        <v>0</v>
      </c>
      <c r="IK155" s="54">
        <f t="shared" si="181"/>
        <v>0</v>
      </c>
      <c r="IL155" s="56">
        <f>IL154*2</f>
        <v>0</v>
      </c>
      <c r="IM155" s="54">
        <f t="shared" si="182"/>
        <v>0</v>
      </c>
      <c r="IN155" s="54">
        <f t="shared" si="183"/>
        <v>0</v>
      </c>
      <c r="IO155" s="57">
        <f t="shared" si="184"/>
        <v>0</v>
      </c>
      <c r="IP155" s="54">
        <f t="shared" si="185"/>
        <v>0</v>
      </c>
      <c r="IQ155" s="54">
        <f t="shared" si="186"/>
        <v>0</v>
      </c>
      <c r="IR155" s="54">
        <f t="shared" si="188"/>
        <v>0</v>
      </c>
      <c r="IS155" s="58" t="str">
        <f>IF(IC153="-","",SUM(IM155:IR155))</f>
        <v/>
      </c>
      <c r="IT155" s="54">
        <f t="shared" si="187"/>
        <v>25.5</v>
      </c>
      <c r="IV155" s="54">
        <f>IF162/2+IV153</f>
        <v>25.5</v>
      </c>
      <c r="IW155" s="54">
        <f>IW154</f>
        <v>0</v>
      </c>
      <c r="IY155" s="65" t="str">
        <f>IF(IC153="-","",IF(EL26=0,"",EL26))</f>
        <v/>
      </c>
      <c r="IZ155" s="55"/>
      <c r="JB155" s="54"/>
      <c r="JC155" s="54"/>
      <c r="JE155" s="54"/>
      <c r="JF155" s="54"/>
      <c r="JH155" s="54"/>
      <c r="JI155" s="54"/>
      <c r="JK155" s="54"/>
      <c r="JL155" s="54"/>
      <c r="JM155" s="39"/>
      <c r="JN155" s="54"/>
      <c r="JO155" s="54"/>
      <c r="JP155" s="39"/>
      <c r="JQ155" s="54"/>
      <c r="JR155" s="54"/>
      <c r="JS155" s="39"/>
      <c r="JT155" s="54"/>
      <c r="JU155" s="54"/>
      <c r="JW155" s="123"/>
      <c r="JX155" s="123"/>
    </row>
    <row r="156" spans="12:284" ht="14.25" customHeight="1" x14ac:dyDescent="0.2">
      <c r="IC156" s="250"/>
      <c r="ID156" s="53">
        <f t="shared" si="189"/>
        <v>25.5</v>
      </c>
      <c r="IE156" s="53" t="s">
        <v>152</v>
      </c>
      <c r="IF156" s="53">
        <f>IF155</f>
        <v>0</v>
      </c>
      <c r="IG156" s="53">
        <f>IF(IC153="-",0,IG155-EL26)</f>
        <v>0</v>
      </c>
      <c r="II156" s="54" t="b">
        <f t="shared" si="180"/>
        <v>0</v>
      </c>
      <c r="IJ156" s="55" t="b">
        <f t="shared" si="143"/>
        <v>0</v>
      </c>
      <c r="IK156" s="54">
        <f t="shared" si="181"/>
        <v>0</v>
      </c>
      <c r="IL156" s="56">
        <f>IL154*3</f>
        <v>0</v>
      </c>
      <c r="IM156" s="54">
        <f t="shared" si="182"/>
        <v>0</v>
      </c>
      <c r="IN156" s="54">
        <f t="shared" si="183"/>
        <v>0</v>
      </c>
      <c r="IO156" s="57">
        <f t="shared" si="184"/>
        <v>0</v>
      </c>
      <c r="IP156" s="54">
        <f t="shared" si="185"/>
        <v>0</v>
      </c>
      <c r="IQ156" s="54">
        <f t="shared" si="186"/>
        <v>0</v>
      </c>
      <c r="IR156" s="54">
        <f t="shared" si="188"/>
        <v>0</v>
      </c>
      <c r="IS156" s="58" t="str">
        <f>IF(IC153="-","",SUM(IM156:IR156))</f>
        <v/>
      </c>
      <c r="IT156" s="54">
        <f t="shared" si="187"/>
        <v>25.5</v>
      </c>
      <c r="IV156" s="54">
        <f>IV157</f>
        <v>25.5</v>
      </c>
      <c r="IW156" s="54">
        <f>IW154</f>
        <v>0</v>
      </c>
      <c r="IY156" s="54">
        <f>IF(IC153="-",-5,IF(ER26=0,-5,ID153+ET26))</f>
        <v>-5</v>
      </c>
      <c r="IZ156" s="54">
        <v>0</v>
      </c>
      <c r="JB156" s="54"/>
      <c r="JC156" s="54"/>
      <c r="JE156" s="54"/>
      <c r="JF156" s="54"/>
      <c r="JH156" s="54"/>
      <c r="JI156" s="54"/>
      <c r="JK156" s="54"/>
      <c r="JL156" s="54"/>
      <c r="JM156" s="39"/>
      <c r="JN156" s="54"/>
      <c r="JO156" s="54"/>
      <c r="JP156" s="39"/>
      <c r="JQ156" s="54"/>
      <c r="JR156" s="54"/>
      <c r="JS156" s="39"/>
      <c r="JT156" s="54"/>
      <c r="JU156" s="54"/>
      <c r="JW156" s="123"/>
      <c r="JX156" s="123"/>
    </row>
    <row r="157" spans="12:284" ht="14.25" customHeight="1" x14ac:dyDescent="0.2">
      <c r="IC157" s="250"/>
      <c r="ID157" s="53">
        <f t="shared" si="189"/>
        <v>25.5</v>
      </c>
      <c r="IE157" s="53" t="s">
        <v>153</v>
      </c>
      <c r="IF157" s="53">
        <f>IF(ER26=0,IF156,ET26)</f>
        <v>0</v>
      </c>
      <c r="IG157" s="53">
        <f>IF(IC153="-",0,IG156-IF(ER26=0,0,EJ26*(IF157-IF156)))</f>
        <v>0</v>
      </c>
      <c r="II157" s="54" t="b">
        <f t="shared" si="180"/>
        <v>0</v>
      </c>
      <c r="IJ157" s="55" t="b">
        <f t="shared" si="143"/>
        <v>0</v>
      </c>
      <c r="IK157" s="54">
        <f t="shared" si="181"/>
        <v>0</v>
      </c>
      <c r="IL157" s="68" t="b">
        <f>IF(II153=TRUE,IK153,IF(II154=TRUE,IK154,IF(II155=TRUE,IK155,IF(II156=TRUE,IK156,IF(II157=TRUE,IK157,IF(II158=TRUE,IK158,IF(II159=TRUE,IK159,IF(II160=TRUE,IK160,IF(II161=TRUE,IK161,IF(II162=TRUE,IK162))))))))))</f>
        <v>0</v>
      </c>
      <c r="IM157" s="68">
        <f t="shared" si="182"/>
        <v>0</v>
      </c>
      <c r="IN157" s="68">
        <f t="shared" si="183"/>
        <v>0</v>
      </c>
      <c r="IO157" s="69">
        <f t="shared" si="184"/>
        <v>0</v>
      </c>
      <c r="IP157" s="68">
        <f t="shared" si="185"/>
        <v>0</v>
      </c>
      <c r="IQ157" s="68">
        <f t="shared" si="186"/>
        <v>0</v>
      </c>
      <c r="IR157" s="68">
        <f t="shared" si="188"/>
        <v>0</v>
      </c>
      <c r="IS157" s="70" t="str">
        <f>IF(IC153="-","",ROUND(SUM(IM157:IR157),2))</f>
        <v/>
      </c>
      <c r="IT157" s="68">
        <f t="shared" si="187"/>
        <v>25.5</v>
      </c>
      <c r="IV157" s="54">
        <f>ID162</f>
        <v>25.5</v>
      </c>
      <c r="IW157" s="54">
        <v>0</v>
      </c>
      <c r="IY157" s="54">
        <f>IY156</f>
        <v>-5</v>
      </c>
      <c r="IZ157" s="54">
        <f>IF(IC153="-",0,ER26/20)</f>
        <v>0</v>
      </c>
      <c r="JB157" s="54"/>
      <c r="JC157" s="54"/>
      <c r="JE157" s="54"/>
      <c r="JF157" s="54"/>
      <c r="JH157" s="54"/>
      <c r="JI157" s="54"/>
      <c r="JK157" s="54">
        <f>IF(IC153=15,IT157,-5)</f>
        <v>-5</v>
      </c>
      <c r="JL157" s="59" t="str">
        <f>IS157</f>
        <v/>
      </c>
      <c r="JM157" s="40"/>
      <c r="JN157" s="59"/>
      <c r="JO157" s="59"/>
      <c r="JP157" s="40"/>
      <c r="JQ157" s="59"/>
      <c r="JR157" s="59"/>
      <c r="JS157" s="40"/>
      <c r="JT157" s="59"/>
      <c r="JU157" s="59"/>
      <c r="JW157" s="122"/>
      <c r="JX157" s="122"/>
    </row>
    <row r="158" spans="12:284" ht="14.25" customHeight="1" x14ac:dyDescent="0.2">
      <c r="IC158" s="250"/>
      <c r="ID158" s="53">
        <f t="shared" si="189"/>
        <v>25.5</v>
      </c>
      <c r="IE158" s="53" t="s">
        <v>154</v>
      </c>
      <c r="IF158" s="53">
        <f>IF157</f>
        <v>0</v>
      </c>
      <c r="IG158" s="53">
        <f>IF(IC153="-",0,IG157-ER26)</f>
        <v>0</v>
      </c>
      <c r="II158" s="54" t="b">
        <f t="shared" si="180"/>
        <v>0</v>
      </c>
      <c r="IJ158" s="55" t="b">
        <f t="shared" si="143"/>
        <v>0</v>
      </c>
      <c r="IK158" s="54">
        <f t="shared" si="181"/>
        <v>0</v>
      </c>
      <c r="IL158" s="56">
        <f>IL157+($IL$162-$IL$157)/4</f>
        <v>0</v>
      </c>
      <c r="IM158" s="54">
        <f t="shared" si="182"/>
        <v>0</v>
      </c>
      <c r="IN158" s="54">
        <f t="shared" si="183"/>
        <v>0</v>
      </c>
      <c r="IO158" s="57">
        <f t="shared" si="184"/>
        <v>0</v>
      </c>
      <c r="IP158" s="54">
        <f t="shared" si="185"/>
        <v>0</v>
      </c>
      <c r="IQ158" s="54">
        <f t="shared" si="186"/>
        <v>0</v>
      </c>
      <c r="IR158" s="54">
        <f t="shared" si="188"/>
        <v>0</v>
      </c>
      <c r="IS158" s="58" t="str">
        <f>IF(IC153="-","",SUM(IM158:IR158))</f>
        <v/>
      </c>
      <c r="IT158" s="54">
        <f t="shared" si="187"/>
        <v>25.5</v>
      </c>
      <c r="IV158" s="54"/>
      <c r="IW158" s="54"/>
      <c r="IY158" s="65" t="str">
        <f>IF(IC153="-","",IF(ER26=0,"",ER26))</f>
        <v/>
      </c>
      <c r="IZ158" s="55"/>
      <c r="JB158" s="54"/>
      <c r="JC158" s="54"/>
      <c r="JE158" s="54"/>
      <c r="JF158" s="54"/>
      <c r="JH158" s="54"/>
      <c r="JI158" s="54"/>
      <c r="JK158" s="54"/>
      <c r="JL158" s="54"/>
      <c r="JM158" s="39"/>
      <c r="JN158" s="54"/>
      <c r="JO158" s="54"/>
      <c r="JP158" s="39"/>
      <c r="JQ158" s="54"/>
      <c r="JR158" s="54"/>
      <c r="JS158" s="39"/>
      <c r="JT158" s="54"/>
      <c r="JU158" s="54"/>
      <c r="JW158" s="123"/>
      <c r="JX158" s="123"/>
    </row>
    <row r="159" spans="12:284" ht="14.25" customHeight="1" x14ac:dyDescent="0.2">
      <c r="IC159" s="250"/>
      <c r="ID159" s="53">
        <f t="shared" si="189"/>
        <v>25.5</v>
      </c>
      <c r="IE159" s="53" t="s">
        <v>155</v>
      </c>
      <c r="IF159" s="53">
        <f>IF(EX26=0,IF158,EZ26)</f>
        <v>0</v>
      </c>
      <c r="IG159" s="53">
        <f>IF(IC153="-",0,IG158-IF(EX26=0,0,EJ26*(IF159-IF158)))</f>
        <v>0</v>
      </c>
      <c r="II159" s="54" t="b">
        <f t="shared" si="180"/>
        <v>0</v>
      </c>
      <c r="IJ159" s="55" t="b">
        <f t="shared" si="143"/>
        <v>0</v>
      </c>
      <c r="IK159" s="54">
        <f t="shared" si="181"/>
        <v>0</v>
      </c>
      <c r="IL159" s="56">
        <f>IL158+($IL$162-$IL$157)/4</f>
        <v>0</v>
      </c>
      <c r="IM159" s="54">
        <f t="shared" si="182"/>
        <v>0</v>
      </c>
      <c r="IN159" s="54">
        <f t="shared" si="183"/>
        <v>0</v>
      </c>
      <c r="IO159" s="57">
        <f t="shared" si="184"/>
        <v>0</v>
      </c>
      <c r="IP159" s="54">
        <f t="shared" si="185"/>
        <v>0</v>
      </c>
      <c r="IQ159" s="54">
        <f t="shared" si="186"/>
        <v>0</v>
      </c>
      <c r="IR159" s="54">
        <f t="shared" si="188"/>
        <v>0</v>
      </c>
      <c r="IS159" s="58" t="str">
        <f>IF(IC153="-","",SUM(IM159:IR159))</f>
        <v/>
      </c>
      <c r="IT159" s="54">
        <f t="shared" si="187"/>
        <v>25.5</v>
      </c>
      <c r="IV159" s="72" t="str">
        <f>IF(IC153="-","",EJ26)</f>
        <v/>
      </c>
      <c r="IW159" s="54"/>
      <c r="IY159" s="54">
        <f>IF(IC153="-",-5,IF(EX26=0,-5,ID153+EZ26))</f>
        <v>-5</v>
      </c>
      <c r="IZ159" s="54">
        <v>0</v>
      </c>
      <c r="JB159" s="54"/>
      <c r="JC159" s="54"/>
      <c r="JE159" s="54"/>
      <c r="JF159" s="54"/>
      <c r="JH159" s="54"/>
      <c r="JI159" s="54"/>
      <c r="JK159" s="54"/>
      <c r="JL159" s="54"/>
      <c r="JM159" s="39"/>
      <c r="JN159" s="54"/>
      <c r="JO159" s="54"/>
      <c r="JP159" s="39"/>
      <c r="JQ159" s="54"/>
      <c r="JR159" s="54"/>
      <c r="JS159" s="39"/>
      <c r="JT159" s="54"/>
      <c r="JU159" s="54"/>
      <c r="JW159" s="123"/>
      <c r="JX159" s="123"/>
    </row>
    <row r="160" spans="12:284" ht="14.25" customHeight="1" x14ac:dyDescent="0.2">
      <c r="IC160" s="250"/>
      <c r="ID160" s="53">
        <f t="shared" si="189"/>
        <v>25.5</v>
      </c>
      <c r="IE160" s="53" t="s">
        <v>156</v>
      </c>
      <c r="IF160" s="53">
        <f>IF159</f>
        <v>0</v>
      </c>
      <c r="IG160" s="53">
        <f>IF(IC153="-",0,IG159-EX26)</f>
        <v>0</v>
      </c>
      <c r="II160" s="54" t="b">
        <f t="shared" si="180"/>
        <v>0</v>
      </c>
      <c r="IJ160" s="55" t="b">
        <f t="shared" si="143"/>
        <v>0</v>
      </c>
      <c r="IK160" s="54">
        <f t="shared" si="181"/>
        <v>0</v>
      </c>
      <c r="IL160" s="56">
        <f>IL159+($IL$162-$IL$157)/4</f>
        <v>0</v>
      </c>
      <c r="IM160" s="54">
        <f t="shared" si="182"/>
        <v>0</v>
      </c>
      <c r="IN160" s="54">
        <f t="shared" si="183"/>
        <v>0</v>
      </c>
      <c r="IO160" s="57">
        <f t="shared" si="184"/>
        <v>0</v>
      </c>
      <c r="IP160" s="54">
        <f t="shared" si="185"/>
        <v>0</v>
      </c>
      <c r="IQ160" s="54">
        <f t="shared" si="186"/>
        <v>0</v>
      </c>
      <c r="IR160" s="54">
        <f t="shared" si="188"/>
        <v>0</v>
      </c>
      <c r="IS160" s="58" t="str">
        <f>IF(IC153="-","",SUM(IM160:IR160))</f>
        <v/>
      </c>
      <c r="IT160" s="54">
        <f t="shared" si="187"/>
        <v>25.5</v>
      </c>
      <c r="IV160" s="54"/>
      <c r="IW160" s="54"/>
      <c r="IY160" s="54">
        <f>IY159</f>
        <v>-5</v>
      </c>
      <c r="IZ160" s="54">
        <f>IF(IC153="-",0,EX26/20)</f>
        <v>0</v>
      </c>
      <c r="JB160" s="66" t="str">
        <f>IF(IC153="-","",HY34)</f>
        <v/>
      </c>
      <c r="JC160" s="54" t="b">
        <f>AND($F$2=15,$F$10=$ER$43)</f>
        <v>0</v>
      </c>
      <c r="JE160" s="66" t="str">
        <f>JB160</f>
        <v/>
      </c>
      <c r="JF160" s="54"/>
      <c r="JH160" s="54"/>
      <c r="JI160" s="54"/>
      <c r="JK160" s="54" t="b">
        <f>AND($F$2=15,$F$10=$ER$43)</f>
        <v>0</v>
      </c>
      <c r="JL160" s="54"/>
      <c r="JM160" s="39"/>
      <c r="JN160" s="54"/>
      <c r="JO160" s="54"/>
      <c r="JP160" s="39"/>
      <c r="JQ160" s="54"/>
      <c r="JR160" s="54"/>
      <c r="JS160" s="39"/>
      <c r="JT160" s="54"/>
      <c r="JU160" s="54"/>
      <c r="JW160" s="123"/>
      <c r="JX160" s="123"/>
    </row>
    <row r="161" spans="237:286" ht="14.25" customHeight="1" x14ac:dyDescent="0.2">
      <c r="IC161" s="250"/>
      <c r="ID161" s="53">
        <f t="shared" si="189"/>
        <v>25.5</v>
      </c>
      <c r="IE161" s="53" t="s">
        <v>157</v>
      </c>
      <c r="IF161" s="53">
        <f>IF162</f>
        <v>0</v>
      </c>
      <c r="IG161" s="53">
        <f>HW34</f>
        <v>0</v>
      </c>
      <c r="II161" s="54" t="b">
        <f t="shared" si="180"/>
        <v>0</v>
      </c>
      <c r="IJ161" s="55" t="b">
        <f t="shared" si="143"/>
        <v>0</v>
      </c>
      <c r="IK161" s="54">
        <f t="shared" si="181"/>
        <v>0</v>
      </c>
      <c r="IL161" s="56">
        <f>IL160+($IL$162-$IL$157)/4</f>
        <v>0</v>
      </c>
      <c r="IM161" s="54">
        <f t="shared" si="182"/>
        <v>0</v>
      </c>
      <c r="IN161" s="54">
        <f t="shared" si="183"/>
        <v>0</v>
      </c>
      <c r="IO161" s="57">
        <f t="shared" si="184"/>
        <v>0</v>
      </c>
      <c r="IP161" s="54">
        <f t="shared" si="185"/>
        <v>0</v>
      </c>
      <c r="IQ161" s="54">
        <f t="shared" si="186"/>
        <v>0</v>
      </c>
      <c r="IR161" s="55"/>
      <c r="IS161" s="59" t="str">
        <f>IF(IC153="-","",ROUND(HU34,2))</f>
        <v/>
      </c>
      <c r="IT161" s="54">
        <f t="shared" si="187"/>
        <v>25.5</v>
      </c>
      <c r="IV161" s="54"/>
      <c r="IW161" s="54"/>
      <c r="IY161" s="65" t="str">
        <f>IF(IC153="-","",IF(EX26=0,"",EX26))</f>
        <v/>
      </c>
      <c r="IZ161" s="55"/>
      <c r="JB161" s="54">
        <f>ID162</f>
        <v>25.5</v>
      </c>
      <c r="JC161" s="54">
        <v>0</v>
      </c>
      <c r="JE161" s="54">
        <f>JB161</f>
        <v>25.5</v>
      </c>
      <c r="JF161" s="54">
        <f>IF(JE160&gt;0,-MAX(IW3:IW272,IZ3:IZ272)*0.5,-MAX(IW3:IW272,IZ3:IZ272)*1.5)</f>
        <v>-37.5</v>
      </c>
      <c r="JH161" s="54">
        <f>IF(IC153=15,ID161,-5)</f>
        <v>-5</v>
      </c>
      <c r="JI161" s="54">
        <f>IG161</f>
        <v>0</v>
      </c>
      <c r="JK161" s="54">
        <f>IF(JK160=TRUE,IT161,-5)</f>
        <v>-5</v>
      </c>
      <c r="JL161" s="59" t="str">
        <f>IS161</f>
        <v/>
      </c>
      <c r="JM161" s="40"/>
      <c r="JN161" s="59"/>
      <c r="JO161" s="59"/>
      <c r="JP161" s="40"/>
      <c r="JQ161" s="59"/>
      <c r="JR161" s="59"/>
      <c r="JS161" s="40"/>
      <c r="JT161" s="59"/>
      <c r="JU161" s="59"/>
      <c r="JW161" s="122"/>
      <c r="JX161" s="122"/>
    </row>
    <row r="162" spans="237:286" ht="14.25" customHeight="1" x14ac:dyDescent="0.2">
      <c r="IC162" s="250"/>
      <c r="ID162" s="53">
        <f>IF(HS33="R0",ID153,ID153+HT33)</f>
        <v>25.5</v>
      </c>
      <c r="IE162" s="53" t="s">
        <v>158</v>
      </c>
      <c r="IF162" s="59">
        <f>IF(HS33="R0",0,HT33)</f>
        <v>0</v>
      </c>
      <c r="IG162" s="53">
        <v>0</v>
      </c>
      <c r="II162" s="54" t="b">
        <f t="shared" si="180"/>
        <v>0</v>
      </c>
      <c r="IJ162" s="55" t="b">
        <f t="shared" si="143"/>
        <v>0</v>
      </c>
      <c r="IK162" s="54">
        <f t="shared" si="181"/>
        <v>0</v>
      </c>
      <c r="IL162" s="56">
        <f>IK162</f>
        <v>0</v>
      </c>
      <c r="IM162" s="54"/>
      <c r="IN162" s="54"/>
      <c r="IO162" s="57"/>
      <c r="IP162" s="54"/>
      <c r="IQ162" s="54"/>
      <c r="IR162" s="55"/>
      <c r="IS162" s="83"/>
      <c r="IT162" s="54"/>
      <c r="IV162" s="54"/>
      <c r="IW162" s="54"/>
      <c r="IY162" s="55"/>
      <c r="IZ162" s="55"/>
      <c r="JB162" s="54">
        <f>JB161</f>
        <v>25.5</v>
      </c>
      <c r="JC162" s="54">
        <f>IF(IC153="-",0,IF(JC160=TRUE,0,-20))</f>
        <v>0</v>
      </c>
      <c r="JE162" s="54">
        <f>JE161</f>
        <v>25.5</v>
      </c>
      <c r="JF162" s="54">
        <f>IF(IC153="-",JF161,IF(JE160&gt;0,-MAX(IW3:IW272,IZ3:IZ272)*1.5,-MAX(IW3:IW272,IZ3:IZ272)*0.5))</f>
        <v>-37.5</v>
      </c>
      <c r="JH162" s="54"/>
      <c r="JI162" s="54"/>
      <c r="JK162" s="54"/>
      <c r="JL162" s="54"/>
      <c r="JM162" s="39"/>
      <c r="JN162" s="54"/>
      <c r="JO162" s="54"/>
      <c r="JP162" s="39"/>
      <c r="JQ162" s="54"/>
      <c r="JR162" s="54"/>
      <c r="JS162" s="39"/>
      <c r="JT162" s="54"/>
      <c r="JU162" s="54"/>
      <c r="JW162" s="123"/>
      <c r="JX162" s="123"/>
    </row>
    <row r="163" spans="237:286" ht="14.25" customHeight="1" x14ac:dyDescent="0.2">
      <c r="IC163" s="234" t="str">
        <f>IF(HS35="R0","-",HS35)</f>
        <v>-</v>
      </c>
      <c r="ID163" s="74">
        <f>IF(HS35="R0",ID272,ID162)</f>
        <v>25.5</v>
      </c>
      <c r="IE163" s="74" t="s">
        <v>149</v>
      </c>
      <c r="IF163" s="74">
        <v>0</v>
      </c>
      <c r="IG163" s="74">
        <v>0</v>
      </c>
      <c r="II163" s="35" t="b">
        <f t="shared" si="180"/>
        <v>0</v>
      </c>
      <c r="IJ163" s="45" t="b">
        <f t="shared" si="143"/>
        <v>0</v>
      </c>
      <c r="IK163" s="35">
        <f t="shared" ref="IK163:IK172" si="190">IF(II163=TRUE,IF(IJ163=TRUE,IG163/$EJ$27)+IF163,IF163)</f>
        <v>0</v>
      </c>
      <c r="IL163" s="48">
        <f>IK163</f>
        <v>0</v>
      </c>
      <c r="IM163" s="35">
        <f t="shared" ref="IM163:IM171" si="191">$HV$35*IL163</f>
        <v>0</v>
      </c>
      <c r="IN163" s="35">
        <f t="shared" ref="IN163:IN171" si="192">-$EJ$27*(IL163^2/2)</f>
        <v>0</v>
      </c>
      <c r="IO163" s="36">
        <f t="shared" ref="IO163:IO171" si="193">-IF(IL163&gt;=$EN$27,$EL$27*(IL163-$EN$27),0)</f>
        <v>0</v>
      </c>
      <c r="IP163" s="35">
        <f t="shared" ref="IP163:IP171" si="194">-IF(IL163&gt;=$ET$27,$ER$27*(IL163-$ET$27),0)</f>
        <v>0</v>
      </c>
      <c r="IQ163" s="35">
        <f t="shared" ref="IQ163:IQ171" si="195">-IF(IL163&gt;=$EZ$27,$EX$27*(IL163-$EZ$27),0)</f>
        <v>0</v>
      </c>
      <c r="IR163" s="45"/>
      <c r="IS163" s="37" t="str">
        <f>IF(IC163="-","",HU35)</f>
        <v/>
      </c>
      <c r="IT163" s="35">
        <f t="shared" ref="IT163:IT171" si="196">$ID$163+IL163</f>
        <v>25.5</v>
      </c>
      <c r="IV163" s="35">
        <f>ID163</f>
        <v>25.5</v>
      </c>
      <c r="IW163" s="35">
        <v>0</v>
      </c>
      <c r="IY163" s="35">
        <f>IF(IC163="-",-5,IF(EL27=0,-5,ID163+EN27))</f>
        <v>-5</v>
      </c>
      <c r="IZ163" s="35">
        <v>0</v>
      </c>
      <c r="JB163" s="38"/>
      <c r="JC163" s="38"/>
      <c r="JE163" s="38"/>
      <c r="JF163" s="38"/>
      <c r="JH163" s="38"/>
      <c r="JI163" s="38"/>
      <c r="JK163" s="35">
        <f>IF(IC163=16,IT163,-5)</f>
        <v>-5</v>
      </c>
      <c r="JL163" s="37" t="str">
        <f>IS163</f>
        <v/>
      </c>
      <c r="JM163" s="40"/>
      <c r="JN163" s="37">
        <f>IF(IC163="-",-5,(ID163+ID172)/2)</f>
        <v>-5</v>
      </c>
      <c r="JO163" s="37">
        <f>-MAX(IW3:IW272,IZ3:IZ272)*0.7</f>
        <v>-52.5</v>
      </c>
      <c r="JP163" s="40"/>
      <c r="JQ163" s="37">
        <f>IF(IC163="-",-5,(IT163+IT167)/2)</f>
        <v>-5</v>
      </c>
      <c r="JR163" s="37">
        <f>JR13</f>
        <v>-760.38306347150262</v>
      </c>
      <c r="JS163" s="40"/>
      <c r="JT163" s="37"/>
      <c r="JU163" s="37"/>
      <c r="JW163" s="37">
        <f>JN163</f>
        <v>-5</v>
      </c>
      <c r="JX163" s="37">
        <f>JF172</f>
        <v>-37.5</v>
      </c>
    </row>
    <row r="164" spans="237:286" ht="14.25" customHeight="1" x14ac:dyDescent="0.2">
      <c r="IC164" s="234"/>
      <c r="ID164" s="74">
        <f>IF($IC$163="-",$ID$163,$ID$163+IF164)</f>
        <v>25.5</v>
      </c>
      <c r="IE164" s="74" t="s">
        <v>150</v>
      </c>
      <c r="IF164" s="74">
        <f>IF163</f>
        <v>0</v>
      </c>
      <c r="IG164" s="74">
        <f>IF(IC163="-",0,HV35)</f>
        <v>0</v>
      </c>
      <c r="II164" s="35" t="b">
        <f t="shared" si="180"/>
        <v>0</v>
      </c>
      <c r="IJ164" s="45" t="b">
        <f t="shared" si="143"/>
        <v>0</v>
      </c>
      <c r="IK164" s="35">
        <f t="shared" si="190"/>
        <v>0</v>
      </c>
      <c r="IL164" s="48">
        <f>(IL167-IL163)/4</f>
        <v>0</v>
      </c>
      <c r="IM164" s="35">
        <f t="shared" si="191"/>
        <v>0</v>
      </c>
      <c r="IN164" s="35">
        <f t="shared" si="192"/>
        <v>0</v>
      </c>
      <c r="IO164" s="36">
        <f t="shared" si="193"/>
        <v>0</v>
      </c>
      <c r="IP164" s="35">
        <f t="shared" si="194"/>
        <v>0</v>
      </c>
      <c r="IQ164" s="35">
        <f t="shared" si="195"/>
        <v>0</v>
      </c>
      <c r="IR164" s="35">
        <f t="shared" ref="IR164:IR170" si="197">$HU$35</f>
        <v>0</v>
      </c>
      <c r="IS164" s="42" t="str">
        <f>IF(IC163="-","",SUM(IM164:IR164))</f>
        <v/>
      </c>
      <c r="IT164" s="35">
        <f t="shared" si="196"/>
        <v>25.5</v>
      </c>
      <c r="IV164" s="35">
        <f>IV163</f>
        <v>25.5</v>
      </c>
      <c r="IW164" s="35">
        <f>IF(IC163="-",0,EJ27)/20</f>
        <v>0</v>
      </c>
      <c r="IY164" s="35">
        <f>IY163</f>
        <v>-5</v>
      </c>
      <c r="IZ164" s="35">
        <f>IF(IC163="-",0,EL27/20)</f>
        <v>0</v>
      </c>
      <c r="JB164" s="38"/>
      <c r="JC164" s="38"/>
      <c r="JE164" s="38"/>
      <c r="JF164" s="38"/>
      <c r="JH164" s="38">
        <f>IF(IC163=16,ID164,-5)</f>
        <v>-5</v>
      </c>
      <c r="JI164" s="38">
        <f>IG164</f>
        <v>0</v>
      </c>
      <c r="JK164" s="35"/>
      <c r="JL164" s="35"/>
      <c r="JM164" s="39"/>
      <c r="JN164" s="75">
        <f>HT35</f>
        <v>0</v>
      </c>
      <c r="JO164" s="35"/>
      <c r="JP164" s="39"/>
      <c r="JQ164" s="76" t="b">
        <f>IL167</f>
        <v>0</v>
      </c>
      <c r="JR164" s="35"/>
      <c r="JS164" s="39"/>
      <c r="JT164" s="35"/>
      <c r="JU164" s="35"/>
      <c r="JW164" s="124" t="str">
        <f>IC163</f>
        <v>-</v>
      </c>
      <c r="JX164" s="127"/>
    </row>
    <row r="165" spans="237:286" ht="14.25" customHeight="1" x14ac:dyDescent="0.2">
      <c r="IC165" s="234"/>
      <c r="ID165" s="74">
        <f t="shared" ref="ID165:ID171" si="198">IF($IC$163="-",$ID$163,$ID$163+IF165)</f>
        <v>25.5</v>
      </c>
      <c r="IE165" s="74" t="s">
        <v>151</v>
      </c>
      <c r="IF165" s="74">
        <f>IF(EL27=0,IF164,EN27)</f>
        <v>0</v>
      </c>
      <c r="IG165" s="74">
        <f>IF(IC163="-",0,IG164-IF(EL27=0,0,EJ27*IF165))</f>
        <v>0</v>
      </c>
      <c r="II165" s="35" t="b">
        <f t="shared" si="180"/>
        <v>0</v>
      </c>
      <c r="IJ165" s="45" t="b">
        <f t="shared" si="143"/>
        <v>0</v>
      </c>
      <c r="IK165" s="35">
        <f t="shared" si="190"/>
        <v>0</v>
      </c>
      <c r="IL165" s="48">
        <f>IL164*2</f>
        <v>0</v>
      </c>
      <c r="IM165" s="35">
        <f t="shared" si="191"/>
        <v>0</v>
      </c>
      <c r="IN165" s="35">
        <f t="shared" si="192"/>
        <v>0</v>
      </c>
      <c r="IO165" s="36">
        <f t="shared" si="193"/>
        <v>0</v>
      </c>
      <c r="IP165" s="35">
        <f t="shared" si="194"/>
        <v>0</v>
      </c>
      <c r="IQ165" s="35">
        <f t="shared" si="195"/>
        <v>0</v>
      </c>
      <c r="IR165" s="35">
        <f t="shared" si="197"/>
        <v>0</v>
      </c>
      <c r="IS165" s="42" t="str">
        <f>IF(IC163="-","",SUM(IM165:IR165))</f>
        <v/>
      </c>
      <c r="IT165" s="35">
        <f t="shared" si="196"/>
        <v>25.5</v>
      </c>
      <c r="IV165" s="35">
        <f>IF172/2+IV163</f>
        <v>25.5</v>
      </c>
      <c r="IW165" s="35">
        <f>IW164</f>
        <v>0</v>
      </c>
      <c r="IY165" s="44" t="str">
        <f>IF(IC163="-","",IF(EL27=0,"",EL27))</f>
        <v/>
      </c>
      <c r="IZ165" s="45"/>
      <c r="JB165" s="38"/>
      <c r="JC165" s="38"/>
      <c r="JE165" s="38"/>
      <c r="JF165" s="38"/>
      <c r="JH165" s="38"/>
      <c r="JI165" s="38"/>
      <c r="JK165" s="35"/>
      <c r="JL165" s="35"/>
      <c r="JM165" s="39"/>
      <c r="JN165" s="35"/>
      <c r="JO165" s="35"/>
      <c r="JP165" s="39"/>
      <c r="JQ165" s="35"/>
      <c r="JR165" s="35"/>
      <c r="JS165" s="39"/>
      <c r="JT165" s="35"/>
      <c r="JU165" s="35"/>
      <c r="JW165" s="127"/>
      <c r="JX165" s="127"/>
      <c r="JZ165" s="98"/>
    </row>
    <row r="166" spans="237:286" ht="14.25" customHeight="1" x14ac:dyDescent="0.2">
      <c r="IC166" s="234"/>
      <c r="ID166" s="74">
        <f t="shared" si="198"/>
        <v>25.5</v>
      </c>
      <c r="IE166" s="74" t="s">
        <v>152</v>
      </c>
      <c r="IF166" s="74">
        <f>IF165</f>
        <v>0</v>
      </c>
      <c r="IG166" s="74">
        <f>IF(IC163="-",0,IG165-EL27)</f>
        <v>0</v>
      </c>
      <c r="II166" s="35" t="b">
        <f t="shared" si="180"/>
        <v>0</v>
      </c>
      <c r="IJ166" s="45" t="b">
        <f t="shared" si="143"/>
        <v>0</v>
      </c>
      <c r="IK166" s="35">
        <f t="shared" si="190"/>
        <v>0</v>
      </c>
      <c r="IL166" s="48">
        <f>IL164*3</f>
        <v>0</v>
      </c>
      <c r="IM166" s="35">
        <f t="shared" si="191"/>
        <v>0</v>
      </c>
      <c r="IN166" s="35">
        <f t="shared" si="192"/>
        <v>0</v>
      </c>
      <c r="IO166" s="36">
        <f t="shared" si="193"/>
        <v>0</v>
      </c>
      <c r="IP166" s="35">
        <f t="shared" si="194"/>
        <v>0</v>
      </c>
      <c r="IQ166" s="35">
        <f t="shared" si="195"/>
        <v>0</v>
      </c>
      <c r="IR166" s="35">
        <f t="shared" si="197"/>
        <v>0</v>
      </c>
      <c r="IS166" s="42" t="str">
        <f>IF(IC163="-","",SUM(IM166:IR166))</f>
        <v/>
      </c>
      <c r="IT166" s="35">
        <f t="shared" si="196"/>
        <v>25.5</v>
      </c>
      <c r="IV166" s="35">
        <f>IV167</f>
        <v>25.5</v>
      </c>
      <c r="IW166" s="35">
        <f>IW164</f>
        <v>0</v>
      </c>
      <c r="IY166" s="35">
        <f>IF(IC163="-",-5,IF(ER27=0,-5,ID163+ET27))</f>
        <v>-5</v>
      </c>
      <c r="IZ166" s="35">
        <v>0</v>
      </c>
      <c r="JB166" s="38"/>
      <c r="JC166" s="38"/>
      <c r="JE166" s="38"/>
      <c r="JF166" s="38"/>
      <c r="JH166" s="38"/>
      <c r="JI166" s="38"/>
      <c r="JK166" s="35"/>
      <c r="JL166" s="35"/>
      <c r="JM166" s="39"/>
      <c r="JN166" s="35"/>
      <c r="JO166" s="35"/>
      <c r="JP166" s="39"/>
      <c r="JQ166" s="35"/>
      <c r="JR166" s="35"/>
      <c r="JS166" s="39"/>
      <c r="JT166" s="35"/>
      <c r="JU166" s="35"/>
      <c r="JW166" s="127"/>
      <c r="JX166" s="127"/>
    </row>
    <row r="167" spans="237:286" ht="14.25" customHeight="1" x14ac:dyDescent="0.2">
      <c r="IC167" s="234"/>
      <c r="ID167" s="74">
        <f t="shared" si="198"/>
        <v>25.5</v>
      </c>
      <c r="IE167" s="74" t="s">
        <v>153</v>
      </c>
      <c r="IF167" s="74">
        <f>IF(ER27=0,IF166,ET27)</f>
        <v>0</v>
      </c>
      <c r="IG167" s="74">
        <f>IF(IC163="-",0,IG166-IF(ER27=0,0,EJ27*(IF167-IF166)))</f>
        <v>0</v>
      </c>
      <c r="II167" s="35" t="b">
        <f t="shared" si="180"/>
        <v>0</v>
      </c>
      <c r="IJ167" s="45" t="b">
        <f t="shared" si="143"/>
        <v>0</v>
      </c>
      <c r="IK167" s="35">
        <f t="shared" si="190"/>
        <v>0</v>
      </c>
      <c r="IL167" s="68" t="b">
        <f>IF(II163=TRUE,IK163,IF(II164=TRUE,IK164,IF(II165=TRUE,IK165,IF(II166=TRUE,IK166,IF(II167=TRUE,IK167,IF(II168=TRUE,IK168,IF(II169=TRUE,IK169,IF(II170=TRUE,IK170,IF(II171=TRUE,IK171,IF(II172=TRUE,IK172))))))))))</f>
        <v>0</v>
      </c>
      <c r="IM167" s="68">
        <f t="shared" si="191"/>
        <v>0</v>
      </c>
      <c r="IN167" s="68">
        <f t="shared" si="192"/>
        <v>0</v>
      </c>
      <c r="IO167" s="69">
        <f t="shared" si="193"/>
        <v>0</v>
      </c>
      <c r="IP167" s="68">
        <f t="shared" si="194"/>
        <v>0</v>
      </c>
      <c r="IQ167" s="68">
        <f t="shared" si="195"/>
        <v>0</v>
      </c>
      <c r="IR167" s="68">
        <f t="shared" si="197"/>
        <v>0</v>
      </c>
      <c r="IS167" s="70" t="str">
        <f>IF(IC163="-","",ROUND(SUM(IM167:IR167),2))</f>
        <v/>
      </c>
      <c r="IT167" s="68">
        <f t="shared" si="196"/>
        <v>25.5</v>
      </c>
      <c r="IV167" s="35">
        <f>ID172</f>
        <v>25.5</v>
      </c>
      <c r="IW167" s="35">
        <v>0</v>
      </c>
      <c r="IY167" s="35">
        <f>IY166</f>
        <v>-5</v>
      </c>
      <c r="IZ167" s="35">
        <f>IF(IC163="-",0,ER27/20)</f>
        <v>0</v>
      </c>
      <c r="JB167" s="38"/>
      <c r="JC167" s="38"/>
      <c r="JE167" s="38"/>
      <c r="JF167" s="38"/>
      <c r="JH167" s="38"/>
      <c r="JI167" s="38"/>
      <c r="JK167" s="35">
        <f>IF(IC163=16,IT167,-5)</f>
        <v>-5</v>
      </c>
      <c r="JL167" s="37" t="str">
        <f>IS167</f>
        <v/>
      </c>
      <c r="JM167" s="40"/>
      <c r="JN167" s="37"/>
      <c r="JO167" s="37"/>
      <c r="JP167" s="40"/>
      <c r="JQ167" s="37"/>
      <c r="JR167" s="37"/>
      <c r="JS167" s="40"/>
      <c r="JT167" s="37"/>
      <c r="JU167" s="37"/>
      <c r="JW167" s="37"/>
      <c r="JX167" s="37"/>
    </row>
    <row r="168" spans="237:286" ht="14.25" customHeight="1" x14ac:dyDescent="0.2">
      <c r="IC168" s="234"/>
      <c r="ID168" s="74">
        <f t="shared" si="198"/>
        <v>25.5</v>
      </c>
      <c r="IE168" s="74" t="s">
        <v>154</v>
      </c>
      <c r="IF168" s="74">
        <f>IF167</f>
        <v>0</v>
      </c>
      <c r="IG168" s="74">
        <f>IF(IC163="-",0,IG167-ER27)</f>
        <v>0</v>
      </c>
      <c r="II168" s="35" t="b">
        <f t="shared" si="180"/>
        <v>0</v>
      </c>
      <c r="IJ168" s="45" t="b">
        <f t="shared" si="143"/>
        <v>0</v>
      </c>
      <c r="IK168" s="35">
        <f t="shared" si="190"/>
        <v>0</v>
      </c>
      <c r="IL168" s="48">
        <f>IL167+($IL$172-$IL$167)/4</f>
        <v>0</v>
      </c>
      <c r="IM168" s="35">
        <f t="shared" si="191"/>
        <v>0</v>
      </c>
      <c r="IN168" s="35">
        <f t="shared" si="192"/>
        <v>0</v>
      </c>
      <c r="IO168" s="36">
        <f t="shared" si="193"/>
        <v>0</v>
      </c>
      <c r="IP168" s="35">
        <f t="shared" si="194"/>
        <v>0</v>
      </c>
      <c r="IQ168" s="35">
        <f t="shared" si="195"/>
        <v>0</v>
      </c>
      <c r="IR168" s="35">
        <f t="shared" si="197"/>
        <v>0</v>
      </c>
      <c r="IS168" s="42" t="str">
        <f>IF(IC163="-","",SUM(IM168:IR168))</f>
        <v/>
      </c>
      <c r="IT168" s="35">
        <f t="shared" si="196"/>
        <v>25.5</v>
      </c>
      <c r="IV168" s="35"/>
      <c r="IW168" s="35"/>
      <c r="IY168" s="44" t="str">
        <f>IF(IC163="-","",IF(ER27=0,"",ER27))</f>
        <v/>
      </c>
      <c r="IZ168" s="45"/>
      <c r="JB168" s="38"/>
      <c r="JC168" s="38"/>
      <c r="JE168" s="38"/>
      <c r="JF168" s="38"/>
      <c r="JH168" s="38"/>
      <c r="JI168" s="38"/>
      <c r="JK168" s="35"/>
      <c r="JL168" s="35"/>
      <c r="JM168" s="39"/>
      <c r="JN168" s="35"/>
      <c r="JO168" s="35"/>
      <c r="JP168" s="39"/>
      <c r="JQ168" s="35"/>
      <c r="JR168" s="35"/>
      <c r="JS168" s="39"/>
      <c r="JT168" s="35"/>
      <c r="JU168" s="35"/>
      <c r="JW168" s="127"/>
      <c r="JX168" s="127"/>
    </row>
    <row r="169" spans="237:286" ht="14.25" customHeight="1" x14ac:dyDescent="0.2">
      <c r="IC169" s="234"/>
      <c r="ID169" s="74">
        <f t="shared" si="198"/>
        <v>25.5</v>
      </c>
      <c r="IE169" s="74" t="s">
        <v>155</v>
      </c>
      <c r="IF169" s="74">
        <f>IF(EX27=0,IF168,EZ27)</f>
        <v>0</v>
      </c>
      <c r="IG169" s="74">
        <f>IF(IC163="-",0,IG168-IF(EX27=0,0,EJ27*(IF169-IF168)))</f>
        <v>0</v>
      </c>
      <c r="II169" s="35" t="b">
        <f t="shared" si="180"/>
        <v>0</v>
      </c>
      <c r="IJ169" s="45" t="b">
        <f t="shared" si="143"/>
        <v>0</v>
      </c>
      <c r="IK169" s="35">
        <f t="shared" si="190"/>
        <v>0</v>
      </c>
      <c r="IL169" s="48">
        <f>IL168+($IL$172-$IL$167)/4</f>
        <v>0</v>
      </c>
      <c r="IM169" s="35">
        <f t="shared" si="191"/>
        <v>0</v>
      </c>
      <c r="IN169" s="35">
        <f t="shared" si="192"/>
        <v>0</v>
      </c>
      <c r="IO169" s="36">
        <f t="shared" si="193"/>
        <v>0</v>
      </c>
      <c r="IP169" s="35">
        <f t="shared" si="194"/>
        <v>0</v>
      </c>
      <c r="IQ169" s="35">
        <f t="shared" si="195"/>
        <v>0</v>
      </c>
      <c r="IR169" s="35">
        <f t="shared" si="197"/>
        <v>0</v>
      </c>
      <c r="IS169" s="42" t="str">
        <f>IF(IC163="-","",SUM(IM169:IR169))</f>
        <v/>
      </c>
      <c r="IT169" s="35">
        <f t="shared" si="196"/>
        <v>25.5</v>
      </c>
      <c r="IV169" s="84" t="str">
        <f>IF(IC163="-","",EJ27)</f>
        <v/>
      </c>
      <c r="IW169" s="35"/>
      <c r="IY169" s="35">
        <f>IF(IC163="-",-5,IF(EX27=0,-5,ID163+EZ27))</f>
        <v>-5</v>
      </c>
      <c r="IZ169" s="35">
        <v>0</v>
      </c>
      <c r="JB169" s="38"/>
      <c r="JC169" s="38"/>
      <c r="JE169" s="38"/>
      <c r="JF169" s="38"/>
      <c r="JH169" s="38"/>
      <c r="JI169" s="38"/>
      <c r="JK169" s="35"/>
      <c r="JL169" s="35"/>
      <c r="JM169" s="39"/>
      <c r="JN169" s="35"/>
      <c r="JO169" s="35"/>
      <c r="JP169" s="39"/>
      <c r="JQ169" s="35"/>
      <c r="JR169" s="35"/>
      <c r="JS169" s="39"/>
      <c r="JT169" s="35"/>
      <c r="JU169" s="35"/>
      <c r="JW169" s="127"/>
      <c r="JX169" s="127"/>
    </row>
    <row r="170" spans="237:286" ht="14.25" customHeight="1" x14ac:dyDescent="0.2">
      <c r="IC170" s="234"/>
      <c r="ID170" s="74">
        <f t="shared" si="198"/>
        <v>25.5</v>
      </c>
      <c r="IE170" s="74" t="s">
        <v>156</v>
      </c>
      <c r="IF170" s="74">
        <f>IF169</f>
        <v>0</v>
      </c>
      <c r="IG170" s="74">
        <f>IF(IC163="-",0,IG169-EX27)</f>
        <v>0</v>
      </c>
      <c r="II170" s="35" t="b">
        <f t="shared" si="180"/>
        <v>0</v>
      </c>
      <c r="IJ170" s="45" t="b">
        <f t="shared" si="143"/>
        <v>0</v>
      </c>
      <c r="IK170" s="35">
        <f t="shared" si="190"/>
        <v>0</v>
      </c>
      <c r="IL170" s="48">
        <f>IL169+($IL$172-$IL$167)/4</f>
        <v>0</v>
      </c>
      <c r="IM170" s="35">
        <f t="shared" si="191"/>
        <v>0</v>
      </c>
      <c r="IN170" s="35">
        <f t="shared" si="192"/>
        <v>0</v>
      </c>
      <c r="IO170" s="36">
        <f t="shared" si="193"/>
        <v>0</v>
      </c>
      <c r="IP170" s="35">
        <f t="shared" si="194"/>
        <v>0</v>
      </c>
      <c r="IQ170" s="35">
        <f t="shared" si="195"/>
        <v>0</v>
      </c>
      <c r="IR170" s="35">
        <f t="shared" si="197"/>
        <v>0</v>
      </c>
      <c r="IS170" s="42" t="str">
        <f>IF(IC163="-","",SUM(IM170:IR170))</f>
        <v/>
      </c>
      <c r="IT170" s="35">
        <f t="shared" si="196"/>
        <v>25.5</v>
      </c>
      <c r="IV170" s="35"/>
      <c r="IW170" s="35"/>
      <c r="IY170" s="35">
        <f>IY169</f>
        <v>-5</v>
      </c>
      <c r="IZ170" s="35">
        <f>IF(IC163="-",0,EX27/20)</f>
        <v>0</v>
      </c>
      <c r="JB170" s="47" t="str">
        <f>IF(IC163="-","",HY36)</f>
        <v/>
      </c>
      <c r="JC170" s="35" t="b">
        <f>AND($F$2=16,$F$10=$ER$43)</f>
        <v>0</v>
      </c>
      <c r="JE170" s="47" t="str">
        <f>JB170</f>
        <v/>
      </c>
      <c r="JF170" s="38"/>
      <c r="JH170" s="38"/>
      <c r="JI170" s="38"/>
      <c r="JK170" s="35" t="b">
        <f>AND($F$2=16,$F$10=$ER$43)</f>
        <v>0</v>
      </c>
      <c r="JL170" s="35"/>
      <c r="JM170" s="39"/>
      <c r="JN170" s="35"/>
      <c r="JO170" s="35"/>
      <c r="JP170" s="39"/>
      <c r="JQ170" s="35"/>
      <c r="JR170" s="35"/>
      <c r="JS170" s="39"/>
      <c r="JT170" s="35"/>
      <c r="JU170" s="35"/>
      <c r="JW170" s="127"/>
      <c r="JX170" s="127"/>
    </row>
    <row r="171" spans="237:286" ht="14.25" customHeight="1" x14ac:dyDescent="0.2">
      <c r="IC171" s="234"/>
      <c r="ID171" s="74">
        <f t="shared" si="198"/>
        <v>25.5</v>
      </c>
      <c r="IE171" s="74" t="s">
        <v>157</v>
      </c>
      <c r="IF171" s="74">
        <f>IF172</f>
        <v>0</v>
      </c>
      <c r="IG171" s="74">
        <f>HW36</f>
        <v>0</v>
      </c>
      <c r="II171" s="35" t="b">
        <f t="shared" si="180"/>
        <v>0</v>
      </c>
      <c r="IJ171" s="45" t="b">
        <f t="shared" ref="IJ171:IJ234" si="199">IF(IF171=IF172,FALSE,TRUE)</f>
        <v>0</v>
      </c>
      <c r="IK171" s="35">
        <f t="shared" si="190"/>
        <v>0</v>
      </c>
      <c r="IL171" s="48">
        <f>IL170+($IL$172-$IL$167)/4</f>
        <v>0</v>
      </c>
      <c r="IM171" s="35">
        <f t="shared" si="191"/>
        <v>0</v>
      </c>
      <c r="IN171" s="35">
        <f t="shared" si="192"/>
        <v>0</v>
      </c>
      <c r="IO171" s="36">
        <f t="shared" si="193"/>
        <v>0</v>
      </c>
      <c r="IP171" s="35">
        <f t="shared" si="194"/>
        <v>0</v>
      </c>
      <c r="IQ171" s="35">
        <f t="shared" si="195"/>
        <v>0</v>
      </c>
      <c r="IR171" s="45"/>
      <c r="IS171" s="37" t="str">
        <f>IF(IC163="-","",ROUND(HU36,2))</f>
        <v/>
      </c>
      <c r="IT171" s="35">
        <f t="shared" si="196"/>
        <v>25.5</v>
      </c>
      <c r="IV171" s="35"/>
      <c r="IW171" s="35"/>
      <c r="IY171" s="44" t="str">
        <f>IF(IC163="-","",IF(EX27=0,"",EX27))</f>
        <v/>
      </c>
      <c r="IZ171" s="45"/>
      <c r="JB171" s="38">
        <f>ID172</f>
        <v>25.5</v>
      </c>
      <c r="JC171" s="38">
        <v>0</v>
      </c>
      <c r="JE171" s="38">
        <f>JB171</f>
        <v>25.5</v>
      </c>
      <c r="JF171" s="38">
        <f>IF(JE170&gt;0,-MAX(IW3:IW272,IZ3:IZ272)*0.5,-MAX(IW3:IW272,IZ3:IZ272)*1.5)</f>
        <v>-37.5</v>
      </c>
      <c r="JH171" s="38">
        <f>IF(IC163=16,ID171,-5)</f>
        <v>-5</v>
      </c>
      <c r="JI171" s="38">
        <f>IG171</f>
        <v>0</v>
      </c>
      <c r="JK171" s="35">
        <f>IF(JK170=TRUE,IT171,-5)</f>
        <v>-5</v>
      </c>
      <c r="JL171" s="49" t="str">
        <f>IS171</f>
        <v/>
      </c>
      <c r="JM171" s="40"/>
      <c r="JN171" s="49"/>
      <c r="JO171" s="49"/>
      <c r="JP171" s="40"/>
      <c r="JQ171" s="49"/>
      <c r="JR171" s="49"/>
      <c r="JS171" s="40"/>
      <c r="JT171" s="49"/>
      <c r="JU171" s="49"/>
      <c r="JW171" s="120"/>
      <c r="JX171" s="120"/>
    </row>
    <row r="172" spans="237:286" ht="14.25" customHeight="1" x14ac:dyDescent="0.2">
      <c r="IC172" s="234"/>
      <c r="ID172" s="74">
        <f>IF(HS35="R0",ID163,ID163+HT35)</f>
        <v>25.5</v>
      </c>
      <c r="IE172" s="74" t="s">
        <v>158</v>
      </c>
      <c r="IF172" s="37">
        <f>IF(HS35="R0",0,HT35)</f>
        <v>0</v>
      </c>
      <c r="IG172" s="74">
        <v>0</v>
      </c>
      <c r="II172" s="35" t="b">
        <f t="shared" si="180"/>
        <v>0</v>
      </c>
      <c r="IJ172" s="45" t="b">
        <f t="shared" si="199"/>
        <v>0</v>
      </c>
      <c r="IK172" s="35">
        <f t="shared" si="190"/>
        <v>0</v>
      </c>
      <c r="IL172" s="48">
        <f>IK172</f>
        <v>0</v>
      </c>
      <c r="IM172" s="35"/>
      <c r="IN172" s="35"/>
      <c r="IO172" s="36"/>
      <c r="IP172" s="35"/>
      <c r="IQ172" s="35"/>
      <c r="IR172" s="45"/>
      <c r="IS172" s="82"/>
      <c r="IT172" s="35"/>
      <c r="IV172" s="35"/>
      <c r="IW172" s="35"/>
      <c r="IY172" s="45"/>
      <c r="IZ172" s="45"/>
      <c r="JB172" s="38">
        <f>JB171</f>
        <v>25.5</v>
      </c>
      <c r="JC172" s="38">
        <f>IF(IC163="-",0,IF(JC170=TRUE,0,-20))</f>
        <v>0</v>
      </c>
      <c r="JE172" s="38">
        <f>JE171</f>
        <v>25.5</v>
      </c>
      <c r="JF172" s="38">
        <f>IF(IC163="-",JF171,IF(JE170&gt;0,-MAX(IW3:IW272,IZ3:IZ272)*1.5,-MAX(IW3:IW272,IZ3:IZ272)*0.5))</f>
        <v>-37.5</v>
      </c>
      <c r="JH172" s="38"/>
      <c r="JI172" s="38"/>
      <c r="JK172" s="35"/>
      <c r="JL172" s="35"/>
      <c r="JM172" s="39"/>
      <c r="JN172" s="35"/>
      <c r="JO172" s="35"/>
      <c r="JP172" s="39"/>
      <c r="JQ172" s="35"/>
      <c r="JR172" s="35"/>
      <c r="JS172" s="39"/>
      <c r="JT172" s="35"/>
      <c r="JU172" s="35"/>
      <c r="JW172" s="127"/>
      <c r="JX172" s="127"/>
    </row>
    <row r="173" spans="237:286" ht="14.25" customHeight="1" x14ac:dyDescent="0.2">
      <c r="IC173" s="250" t="str">
        <f>IF(HS37="R0","-",HS37)</f>
        <v>-</v>
      </c>
      <c r="ID173" s="53">
        <f>IF(HS37="R0",ID272,ID172)</f>
        <v>25.5</v>
      </c>
      <c r="IE173" s="53" t="s">
        <v>149</v>
      </c>
      <c r="IF173" s="53">
        <v>0</v>
      </c>
      <c r="IG173" s="53">
        <v>0</v>
      </c>
      <c r="II173" s="54" t="b">
        <f t="shared" si="180"/>
        <v>0</v>
      </c>
      <c r="IJ173" s="55" t="b">
        <f t="shared" si="199"/>
        <v>0</v>
      </c>
      <c r="IK173" s="54">
        <f t="shared" ref="IK173:IK182" si="200">IF(II173=TRUE,IF(IJ173=TRUE,IG173/$EJ$28)+IF173,IF173)</f>
        <v>0</v>
      </c>
      <c r="IL173" s="56">
        <f>IK173</f>
        <v>0</v>
      </c>
      <c r="IM173" s="54">
        <f t="shared" ref="IM173:IM181" si="201">$HV$37*IL173</f>
        <v>0</v>
      </c>
      <c r="IN173" s="54">
        <f t="shared" ref="IN173:IN181" si="202">-$EJ$28*(IL173^2/2)</f>
        <v>0</v>
      </c>
      <c r="IO173" s="57">
        <f t="shared" ref="IO173:IO181" si="203">-IF(IL173&gt;=$EN$28,$EL$28*(IL173-$EN$28),0)</f>
        <v>0</v>
      </c>
      <c r="IP173" s="54">
        <f t="shared" ref="IP173:IP181" si="204">-IF(IL173&gt;=$ET$28,$ER$28*(IL173-$ET$28),0)</f>
        <v>0</v>
      </c>
      <c r="IQ173" s="54">
        <f t="shared" ref="IQ173:IQ181" si="205">-IF(IL173&gt;=$EZ$28,$EX$28*(IL173-$EZ$28),0)</f>
        <v>0</v>
      </c>
      <c r="IR173" s="55"/>
      <c r="IS173" s="59" t="str">
        <f>IF(IC173="-","",HU37)</f>
        <v/>
      </c>
      <c r="IT173" s="54">
        <f t="shared" ref="IT173:IT181" si="206">$ID$173+IL173</f>
        <v>25.5</v>
      </c>
      <c r="IV173" s="54">
        <f>ID173</f>
        <v>25.5</v>
      </c>
      <c r="IW173" s="54">
        <v>0</v>
      </c>
      <c r="IY173" s="54">
        <f>IF(IC173="-",-5,IF(EL28=0,-5,ID173+EN28))</f>
        <v>-5</v>
      </c>
      <c r="IZ173" s="54">
        <v>0</v>
      </c>
      <c r="JB173" s="54"/>
      <c r="JC173" s="54"/>
      <c r="JE173" s="54"/>
      <c r="JF173" s="54"/>
      <c r="JH173" s="54"/>
      <c r="JI173" s="54"/>
      <c r="JK173" s="54">
        <f>IF(IC173=17,IT173,-5)</f>
        <v>-5</v>
      </c>
      <c r="JL173" s="59" t="str">
        <f>IS173</f>
        <v/>
      </c>
      <c r="JM173" s="40"/>
      <c r="JN173" s="59">
        <f>IF(IC173="-",-5,(ID173+ID182)/2)</f>
        <v>-5</v>
      </c>
      <c r="JO173" s="59">
        <f>-MAX(IW3:IW272,IZ3:IZ272)*0.7</f>
        <v>-52.5</v>
      </c>
      <c r="JP173" s="40"/>
      <c r="JQ173" s="59">
        <f>IF(IC173="-",-5,(IT173+IT177)/2)</f>
        <v>-5</v>
      </c>
      <c r="JR173" s="59">
        <f>JR13</f>
        <v>-760.38306347150262</v>
      </c>
      <c r="JS173" s="40"/>
      <c r="JT173" s="59"/>
      <c r="JU173" s="59"/>
      <c r="JW173" s="122">
        <f>JN173</f>
        <v>-5</v>
      </c>
      <c r="JX173" s="122">
        <f>JF182</f>
        <v>-37.5</v>
      </c>
    </row>
    <row r="174" spans="237:286" ht="14.25" customHeight="1" x14ac:dyDescent="0.2">
      <c r="IC174" s="250"/>
      <c r="ID174" s="53">
        <f>IF($IC$173="-",$ID$173,$ID$173+IF174)</f>
        <v>25.5</v>
      </c>
      <c r="IE174" s="53" t="s">
        <v>150</v>
      </c>
      <c r="IF174" s="53">
        <f>IF173</f>
        <v>0</v>
      </c>
      <c r="IG174" s="53">
        <f>IF(IC173="-",0,HV37)</f>
        <v>0</v>
      </c>
      <c r="II174" s="54" t="b">
        <f t="shared" si="180"/>
        <v>0</v>
      </c>
      <c r="IJ174" s="55" t="b">
        <f t="shared" si="199"/>
        <v>0</v>
      </c>
      <c r="IK174" s="54">
        <f t="shared" si="200"/>
        <v>0</v>
      </c>
      <c r="IL174" s="56">
        <f>(IL177-IL173)/4</f>
        <v>0</v>
      </c>
      <c r="IM174" s="54">
        <f t="shared" si="201"/>
        <v>0</v>
      </c>
      <c r="IN174" s="54">
        <f t="shared" si="202"/>
        <v>0</v>
      </c>
      <c r="IO174" s="57">
        <f t="shared" si="203"/>
        <v>0</v>
      </c>
      <c r="IP174" s="54">
        <f t="shared" si="204"/>
        <v>0</v>
      </c>
      <c r="IQ174" s="54">
        <f t="shared" si="205"/>
        <v>0</v>
      </c>
      <c r="IR174" s="54">
        <f t="shared" ref="IR174:IR180" si="207">$HU$37</f>
        <v>0</v>
      </c>
      <c r="IS174" s="58" t="str">
        <f>IF(IC173="-","",SUM(IM174:IR174))</f>
        <v/>
      </c>
      <c r="IT174" s="54">
        <f t="shared" si="206"/>
        <v>25.5</v>
      </c>
      <c r="IV174" s="54">
        <f>IV173</f>
        <v>25.5</v>
      </c>
      <c r="IW174" s="54">
        <f>IF(IC173="-",0,EJ28)/20</f>
        <v>0</v>
      </c>
      <c r="IY174" s="54">
        <f>IY173</f>
        <v>-5</v>
      </c>
      <c r="IZ174" s="54">
        <f>IF(IC173="-",0,EL28/20)</f>
        <v>0</v>
      </c>
      <c r="JB174" s="54"/>
      <c r="JC174" s="54"/>
      <c r="JE174" s="54"/>
      <c r="JF174" s="54"/>
      <c r="JH174" s="54">
        <f>IF(IC173=17,ID174,-5)</f>
        <v>-5</v>
      </c>
      <c r="JI174" s="54">
        <f>IG174</f>
        <v>0</v>
      </c>
      <c r="JK174" s="54"/>
      <c r="JL174" s="54"/>
      <c r="JM174" s="39"/>
      <c r="JN174" s="61">
        <f>HT37</f>
        <v>0</v>
      </c>
      <c r="JO174" s="54"/>
      <c r="JP174" s="39"/>
      <c r="JQ174" s="62" t="b">
        <f>IL177</f>
        <v>0</v>
      </c>
      <c r="JR174" s="54"/>
      <c r="JS174" s="39"/>
      <c r="JT174" s="54"/>
      <c r="JU174" s="54"/>
      <c r="JW174" s="125" t="str">
        <f>IC173</f>
        <v>-</v>
      </c>
      <c r="JX174" s="123"/>
    </row>
    <row r="175" spans="237:286" ht="14.25" customHeight="1" x14ac:dyDescent="0.2">
      <c r="IC175" s="250"/>
      <c r="ID175" s="53">
        <f t="shared" ref="ID175:ID181" si="208">IF($IC$173="-",$ID$173,$ID$173+IF175)</f>
        <v>25.5</v>
      </c>
      <c r="IE175" s="53" t="s">
        <v>151</v>
      </c>
      <c r="IF175" s="53">
        <f>IF(EL28=0,IF174,EN28)</f>
        <v>0</v>
      </c>
      <c r="IG175" s="53">
        <f>IF(IC173="-",0,IG174-IF(EL28=0,0,EJ28*IF175))</f>
        <v>0</v>
      </c>
      <c r="II175" s="54" t="b">
        <f t="shared" si="180"/>
        <v>0</v>
      </c>
      <c r="IJ175" s="55" t="b">
        <f t="shared" si="199"/>
        <v>0</v>
      </c>
      <c r="IK175" s="54">
        <f t="shared" si="200"/>
        <v>0</v>
      </c>
      <c r="IL175" s="56">
        <f>IL174*2</f>
        <v>0</v>
      </c>
      <c r="IM175" s="54">
        <f t="shared" si="201"/>
        <v>0</v>
      </c>
      <c r="IN175" s="54">
        <f t="shared" si="202"/>
        <v>0</v>
      </c>
      <c r="IO175" s="57">
        <f t="shared" si="203"/>
        <v>0</v>
      </c>
      <c r="IP175" s="54">
        <f t="shared" si="204"/>
        <v>0</v>
      </c>
      <c r="IQ175" s="54">
        <f t="shared" si="205"/>
        <v>0</v>
      </c>
      <c r="IR175" s="54">
        <f t="shared" si="207"/>
        <v>0</v>
      </c>
      <c r="IS175" s="58" t="str">
        <f>IF(IC173="-","",SUM(IM175:IR175))</f>
        <v/>
      </c>
      <c r="IT175" s="54">
        <f t="shared" si="206"/>
        <v>25.5</v>
      </c>
      <c r="IV175" s="54">
        <f>IF182/2+IV173</f>
        <v>25.5</v>
      </c>
      <c r="IW175" s="54">
        <f>IW174</f>
        <v>0</v>
      </c>
      <c r="IY175" s="65" t="str">
        <f>IF(IC173="-","",IF(EL28=0,"",EL28))</f>
        <v/>
      </c>
      <c r="IZ175" s="55"/>
      <c r="JB175" s="54"/>
      <c r="JC175" s="54"/>
      <c r="JE175" s="54"/>
      <c r="JF175" s="54"/>
      <c r="JH175" s="54"/>
      <c r="JI175" s="54"/>
      <c r="JK175" s="54"/>
      <c r="JL175" s="54"/>
      <c r="JM175" s="39"/>
      <c r="JN175" s="54"/>
      <c r="JO175" s="54"/>
      <c r="JP175" s="39"/>
      <c r="JQ175" s="54"/>
      <c r="JR175" s="54"/>
      <c r="JS175" s="39"/>
      <c r="JT175" s="54"/>
      <c r="JU175" s="54"/>
      <c r="JW175" s="123"/>
      <c r="JX175" s="123"/>
    </row>
    <row r="176" spans="237:286" ht="14.25" customHeight="1" x14ac:dyDescent="0.2">
      <c r="IC176" s="250"/>
      <c r="ID176" s="53">
        <f t="shared" si="208"/>
        <v>25.5</v>
      </c>
      <c r="IE176" s="53" t="s">
        <v>152</v>
      </c>
      <c r="IF176" s="53">
        <f>IF175</f>
        <v>0</v>
      </c>
      <c r="IG176" s="53">
        <f>IF(IC173="-",0,IG175-EL28)</f>
        <v>0</v>
      </c>
      <c r="II176" s="54" t="b">
        <f t="shared" si="180"/>
        <v>0</v>
      </c>
      <c r="IJ176" s="55" t="b">
        <f t="shared" si="199"/>
        <v>0</v>
      </c>
      <c r="IK176" s="54">
        <f t="shared" si="200"/>
        <v>0</v>
      </c>
      <c r="IL176" s="56">
        <f>IL174*3</f>
        <v>0</v>
      </c>
      <c r="IM176" s="54">
        <f t="shared" si="201"/>
        <v>0</v>
      </c>
      <c r="IN176" s="54">
        <f t="shared" si="202"/>
        <v>0</v>
      </c>
      <c r="IO176" s="57">
        <f t="shared" si="203"/>
        <v>0</v>
      </c>
      <c r="IP176" s="54">
        <f t="shared" si="204"/>
        <v>0</v>
      </c>
      <c r="IQ176" s="54">
        <f t="shared" si="205"/>
        <v>0</v>
      </c>
      <c r="IR176" s="54">
        <f t="shared" si="207"/>
        <v>0</v>
      </c>
      <c r="IS176" s="58" t="str">
        <f>IF(IC173="-","",SUM(IM176:IR176))</f>
        <v/>
      </c>
      <c r="IT176" s="54">
        <f t="shared" si="206"/>
        <v>25.5</v>
      </c>
      <c r="IV176" s="54">
        <f>IV177</f>
        <v>25.5</v>
      </c>
      <c r="IW176" s="54">
        <f>IW174</f>
        <v>0</v>
      </c>
      <c r="IY176" s="54">
        <f>IF(IC173="-",-5,IF(ER28=0,-5,ID173+ET28))</f>
        <v>-5</v>
      </c>
      <c r="IZ176" s="54">
        <v>0</v>
      </c>
      <c r="JB176" s="54"/>
      <c r="JC176" s="54"/>
      <c r="JE176" s="54"/>
      <c r="JF176" s="54"/>
      <c r="JH176" s="54"/>
      <c r="JI176" s="54"/>
      <c r="JK176" s="54"/>
      <c r="JL176" s="54"/>
      <c r="JM176" s="39"/>
      <c r="JN176" s="54"/>
      <c r="JO176" s="54"/>
      <c r="JP176" s="39"/>
      <c r="JQ176" s="54"/>
      <c r="JR176" s="54"/>
      <c r="JS176" s="39"/>
      <c r="JT176" s="54"/>
      <c r="JU176" s="54"/>
      <c r="JW176" s="123"/>
      <c r="JX176" s="123"/>
    </row>
    <row r="177" spans="237:284" ht="14.25" customHeight="1" x14ac:dyDescent="0.2">
      <c r="IC177" s="250"/>
      <c r="ID177" s="53">
        <f t="shared" si="208"/>
        <v>25.5</v>
      </c>
      <c r="IE177" s="53" t="s">
        <v>153</v>
      </c>
      <c r="IF177" s="53">
        <f>IF(ER28=0,IF176,ET28)</f>
        <v>0</v>
      </c>
      <c r="IG177" s="53">
        <f>IF(IC173="-",0,IG176-IF(ER28=0,0,EJ28*(IF177-IF176)))</f>
        <v>0</v>
      </c>
      <c r="II177" s="54" t="b">
        <f t="shared" si="180"/>
        <v>0</v>
      </c>
      <c r="IJ177" s="55" t="b">
        <f t="shared" si="199"/>
        <v>0</v>
      </c>
      <c r="IK177" s="54">
        <f t="shared" si="200"/>
        <v>0</v>
      </c>
      <c r="IL177" s="68" t="b">
        <f>IF(II173=TRUE,IK173,IF(II174=TRUE,IK174,IF(II175=TRUE,IK175,IF(II176=TRUE,IK176,IF(II177=TRUE,IK177,IF(II178=TRUE,IK178,IF(II179=TRUE,IK179,IF(II180=TRUE,IK180,IF(II181=TRUE,IK181,IF(II182=TRUE,IK182))))))))))</f>
        <v>0</v>
      </c>
      <c r="IM177" s="68">
        <f t="shared" si="201"/>
        <v>0</v>
      </c>
      <c r="IN177" s="68">
        <f t="shared" si="202"/>
        <v>0</v>
      </c>
      <c r="IO177" s="69">
        <f t="shared" si="203"/>
        <v>0</v>
      </c>
      <c r="IP177" s="68">
        <f t="shared" si="204"/>
        <v>0</v>
      </c>
      <c r="IQ177" s="68">
        <f t="shared" si="205"/>
        <v>0</v>
      </c>
      <c r="IR177" s="68">
        <f t="shared" si="207"/>
        <v>0</v>
      </c>
      <c r="IS177" s="70" t="str">
        <f>IF(IC173="-","",ROUND(SUM(IM177:IR177),2))</f>
        <v/>
      </c>
      <c r="IT177" s="68">
        <f t="shared" si="206"/>
        <v>25.5</v>
      </c>
      <c r="IV177" s="54">
        <f>ID182</f>
        <v>25.5</v>
      </c>
      <c r="IW177" s="54">
        <v>0</v>
      </c>
      <c r="IY177" s="54">
        <f>IY176</f>
        <v>-5</v>
      </c>
      <c r="IZ177" s="54">
        <f>IF(IC173="-",0,ER28/20)</f>
        <v>0</v>
      </c>
      <c r="JB177" s="54"/>
      <c r="JC177" s="54"/>
      <c r="JE177" s="54"/>
      <c r="JF177" s="54"/>
      <c r="JH177" s="54"/>
      <c r="JI177" s="54"/>
      <c r="JK177" s="54">
        <f>IF(IC173=17,IT177,-5)</f>
        <v>-5</v>
      </c>
      <c r="JL177" s="59" t="str">
        <f>IS177</f>
        <v/>
      </c>
      <c r="JM177" s="40"/>
      <c r="JN177" s="59"/>
      <c r="JO177" s="59"/>
      <c r="JP177" s="40"/>
      <c r="JQ177" s="59"/>
      <c r="JR177" s="59"/>
      <c r="JS177" s="40"/>
      <c r="JT177" s="59"/>
      <c r="JU177" s="59"/>
      <c r="JW177" s="122"/>
      <c r="JX177" s="122"/>
    </row>
    <row r="178" spans="237:284" ht="14.25" customHeight="1" x14ac:dyDescent="0.2">
      <c r="IC178" s="250"/>
      <c r="ID178" s="53">
        <f t="shared" si="208"/>
        <v>25.5</v>
      </c>
      <c r="IE178" s="53" t="s">
        <v>154</v>
      </c>
      <c r="IF178" s="53">
        <f>IF177</f>
        <v>0</v>
      </c>
      <c r="IG178" s="53">
        <f>IF(IC173="-",0,IG177-ER28)</f>
        <v>0</v>
      </c>
      <c r="II178" s="54" t="b">
        <f t="shared" si="180"/>
        <v>0</v>
      </c>
      <c r="IJ178" s="55" t="b">
        <f t="shared" si="199"/>
        <v>0</v>
      </c>
      <c r="IK178" s="54">
        <f t="shared" si="200"/>
        <v>0</v>
      </c>
      <c r="IL178" s="56">
        <f>IL177+($IL$182-$IL$177)/4</f>
        <v>0</v>
      </c>
      <c r="IM178" s="54">
        <f t="shared" si="201"/>
        <v>0</v>
      </c>
      <c r="IN178" s="54">
        <f t="shared" si="202"/>
        <v>0</v>
      </c>
      <c r="IO178" s="57">
        <f t="shared" si="203"/>
        <v>0</v>
      </c>
      <c r="IP178" s="54">
        <f t="shared" si="204"/>
        <v>0</v>
      </c>
      <c r="IQ178" s="54">
        <f t="shared" si="205"/>
        <v>0</v>
      </c>
      <c r="IR178" s="54">
        <f t="shared" si="207"/>
        <v>0</v>
      </c>
      <c r="IS178" s="58" t="str">
        <f>IF(IC173="-","",SUM(IM178:IR178))</f>
        <v/>
      </c>
      <c r="IT178" s="54">
        <f t="shared" si="206"/>
        <v>25.5</v>
      </c>
      <c r="IV178" s="54"/>
      <c r="IW178" s="54"/>
      <c r="IY178" s="65" t="str">
        <f>IF(IC173="-","",IF(ER28=0,"",ER28))</f>
        <v/>
      </c>
      <c r="IZ178" s="55"/>
      <c r="JB178" s="54"/>
      <c r="JC178" s="54"/>
      <c r="JE178" s="54"/>
      <c r="JF178" s="54"/>
      <c r="JH178" s="54"/>
      <c r="JI178" s="54"/>
      <c r="JK178" s="54"/>
      <c r="JL178" s="54"/>
      <c r="JM178" s="39"/>
      <c r="JN178" s="54"/>
      <c r="JO178" s="54"/>
      <c r="JP178" s="39"/>
      <c r="JQ178" s="54"/>
      <c r="JR178" s="54"/>
      <c r="JS178" s="39"/>
      <c r="JT178" s="54"/>
      <c r="JU178" s="54"/>
      <c r="JW178" s="123"/>
      <c r="JX178" s="123"/>
    </row>
    <row r="179" spans="237:284" ht="14.25" customHeight="1" x14ac:dyDescent="0.2">
      <c r="IC179" s="250"/>
      <c r="ID179" s="53">
        <f t="shared" si="208"/>
        <v>25.5</v>
      </c>
      <c r="IE179" s="53" t="s">
        <v>155</v>
      </c>
      <c r="IF179" s="53">
        <f>IF(EX28=0,IF178,EZ28)</f>
        <v>0</v>
      </c>
      <c r="IG179" s="53">
        <f>IF(IC173="-",0,IG178-IF(EX28=0,0,EJ28*(IF179-IF178)))</f>
        <v>0</v>
      </c>
      <c r="II179" s="54" t="b">
        <f t="shared" si="180"/>
        <v>0</v>
      </c>
      <c r="IJ179" s="55" t="b">
        <f t="shared" si="199"/>
        <v>0</v>
      </c>
      <c r="IK179" s="54">
        <f t="shared" si="200"/>
        <v>0</v>
      </c>
      <c r="IL179" s="56">
        <f>IL178+($IL$182-$IL$177)/4</f>
        <v>0</v>
      </c>
      <c r="IM179" s="54">
        <f t="shared" si="201"/>
        <v>0</v>
      </c>
      <c r="IN179" s="54">
        <f t="shared" si="202"/>
        <v>0</v>
      </c>
      <c r="IO179" s="57">
        <f t="shared" si="203"/>
        <v>0</v>
      </c>
      <c r="IP179" s="54">
        <f t="shared" si="204"/>
        <v>0</v>
      </c>
      <c r="IQ179" s="54">
        <f t="shared" si="205"/>
        <v>0</v>
      </c>
      <c r="IR179" s="54">
        <f t="shared" si="207"/>
        <v>0</v>
      </c>
      <c r="IS179" s="58" t="str">
        <f>IF(IC173="-","",SUM(IM179:IR179))</f>
        <v/>
      </c>
      <c r="IT179" s="54">
        <f t="shared" si="206"/>
        <v>25.5</v>
      </c>
      <c r="IV179" s="72" t="str">
        <f>IF(IC173="-","",EJ28)</f>
        <v/>
      </c>
      <c r="IW179" s="54"/>
      <c r="IY179" s="54">
        <f>IF(IC173="-",-5,IF(EX28=0,-5,ID173+EZ28))</f>
        <v>-5</v>
      </c>
      <c r="IZ179" s="54">
        <v>0</v>
      </c>
      <c r="JB179" s="54"/>
      <c r="JC179" s="54"/>
      <c r="JE179" s="54"/>
      <c r="JF179" s="54"/>
      <c r="JH179" s="54"/>
      <c r="JI179" s="54"/>
      <c r="JK179" s="54"/>
      <c r="JL179" s="54"/>
      <c r="JM179" s="39"/>
      <c r="JN179" s="54"/>
      <c r="JO179" s="54"/>
      <c r="JP179" s="39"/>
      <c r="JQ179" s="54"/>
      <c r="JR179" s="54"/>
      <c r="JS179" s="39"/>
      <c r="JT179" s="54"/>
      <c r="JU179" s="54"/>
      <c r="JW179" s="123"/>
      <c r="JX179" s="123"/>
    </row>
    <row r="180" spans="237:284" ht="14.25" customHeight="1" x14ac:dyDescent="0.2">
      <c r="IC180" s="250"/>
      <c r="ID180" s="53">
        <f t="shared" si="208"/>
        <v>25.5</v>
      </c>
      <c r="IE180" s="53" t="s">
        <v>156</v>
      </c>
      <c r="IF180" s="53">
        <f>IF179</f>
        <v>0</v>
      </c>
      <c r="IG180" s="53">
        <f>IF(IC173="-",0,IG179-EX28)</f>
        <v>0</v>
      </c>
      <c r="II180" s="54" t="b">
        <f t="shared" si="180"/>
        <v>0</v>
      </c>
      <c r="IJ180" s="55" t="b">
        <f t="shared" si="199"/>
        <v>0</v>
      </c>
      <c r="IK180" s="54">
        <f t="shared" si="200"/>
        <v>0</v>
      </c>
      <c r="IL180" s="56">
        <f>IL179+($IL$182-$IL$177)/4</f>
        <v>0</v>
      </c>
      <c r="IM180" s="54">
        <f t="shared" si="201"/>
        <v>0</v>
      </c>
      <c r="IN180" s="54">
        <f t="shared" si="202"/>
        <v>0</v>
      </c>
      <c r="IO180" s="57">
        <f t="shared" si="203"/>
        <v>0</v>
      </c>
      <c r="IP180" s="54">
        <f t="shared" si="204"/>
        <v>0</v>
      </c>
      <c r="IQ180" s="54">
        <f t="shared" si="205"/>
        <v>0</v>
      </c>
      <c r="IR180" s="54">
        <f t="shared" si="207"/>
        <v>0</v>
      </c>
      <c r="IS180" s="58" t="str">
        <f>IF(IC173="-","",SUM(IM180:IR180))</f>
        <v/>
      </c>
      <c r="IT180" s="54">
        <f t="shared" si="206"/>
        <v>25.5</v>
      </c>
      <c r="IV180" s="54"/>
      <c r="IW180" s="54"/>
      <c r="IY180" s="54">
        <f>IY179</f>
        <v>-5</v>
      </c>
      <c r="IZ180" s="54">
        <f>IF(IC173="-",0,EX28/20)</f>
        <v>0</v>
      </c>
      <c r="JB180" s="66" t="str">
        <f>IF(IC173="-","",HY38)</f>
        <v/>
      </c>
      <c r="JC180" s="54" t="b">
        <f>AND($F$2=17,$F$10=$ER$43)</f>
        <v>0</v>
      </c>
      <c r="JE180" s="66" t="str">
        <f>JB180</f>
        <v/>
      </c>
      <c r="JF180" s="54"/>
      <c r="JH180" s="54"/>
      <c r="JI180" s="54"/>
      <c r="JK180" s="54" t="b">
        <f>AND($F$2=17,$F$10=$ER$43)</f>
        <v>0</v>
      </c>
      <c r="JL180" s="54"/>
      <c r="JM180" s="39"/>
      <c r="JN180" s="54"/>
      <c r="JO180" s="54"/>
      <c r="JP180" s="39"/>
      <c r="JQ180" s="54"/>
      <c r="JR180" s="54"/>
      <c r="JS180" s="39"/>
      <c r="JT180" s="54"/>
      <c r="JU180" s="54"/>
      <c r="JW180" s="123"/>
      <c r="JX180" s="123"/>
    </row>
    <row r="181" spans="237:284" ht="14.25" customHeight="1" x14ac:dyDescent="0.2">
      <c r="IC181" s="250"/>
      <c r="ID181" s="53">
        <f t="shared" si="208"/>
        <v>25.5</v>
      </c>
      <c r="IE181" s="53" t="s">
        <v>157</v>
      </c>
      <c r="IF181" s="53">
        <f>IF182</f>
        <v>0</v>
      </c>
      <c r="IG181" s="53">
        <f>HW38</f>
        <v>0</v>
      </c>
      <c r="II181" s="54" t="b">
        <f t="shared" si="180"/>
        <v>0</v>
      </c>
      <c r="IJ181" s="55" t="b">
        <f t="shared" si="199"/>
        <v>0</v>
      </c>
      <c r="IK181" s="54">
        <f t="shared" si="200"/>
        <v>0</v>
      </c>
      <c r="IL181" s="56">
        <f>IL180+($IL$182-$IL$177)/4</f>
        <v>0</v>
      </c>
      <c r="IM181" s="54">
        <f t="shared" si="201"/>
        <v>0</v>
      </c>
      <c r="IN181" s="54">
        <f t="shared" si="202"/>
        <v>0</v>
      </c>
      <c r="IO181" s="57">
        <f t="shared" si="203"/>
        <v>0</v>
      </c>
      <c r="IP181" s="54">
        <f t="shared" si="204"/>
        <v>0</v>
      </c>
      <c r="IQ181" s="54">
        <f t="shared" si="205"/>
        <v>0</v>
      </c>
      <c r="IR181" s="55"/>
      <c r="IS181" s="59" t="str">
        <f>IF(IC173="-","",ROUND(HU38,2))</f>
        <v/>
      </c>
      <c r="IT181" s="54">
        <f t="shared" si="206"/>
        <v>25.5</v>
      </c>
      <c r="IV181" s="54"/>
      <c r="IW181" s="54"/>
      <c r="IY181" s="65" t="str">
        <f>IF(IC173="-","",IF(EX28=0,"",EX28))</f>
        <v/>
      </c>
      <c r="IZ181" s="55"/>
      <c r="JB181" s="54">
        <f>ID182</f>
        <v>25.5</v>
      </c>
      <c r="JC181" s="54">
        <v>0</v>
      </c>
      <c r="JE181" s="54">
        <f>JB181</f>
        <v>25.5</v>
      </c>
      <c r="JF181" s="54">
        <f>IF(JE180&gt;0,-MAX(IW3:IW272,IZ3:IZ272)*0.5,-MAX(IW3:IW272,IZ3:IZ272)*1.5)</f>
        <v>-37.5</v>
      </c>
      <c r="JH181" s="54">
        <f>IF(IC173=17,ID181,-5)</f>
        <v>-5</v>
      </c>
      <c r="JI181" s="54">
        <f>IG181</f>
        <v>0</v>
      </c>
      <c r="JK181" s="54">
        <f>IF(JK180=TRUE,IT181,-5)</f>
        <v>-5</v>
      </c>
      <c r="JL181" s="59" t="str">
        <f>IS181</f>
        <v/>
      </c>
      <c r="JM181" s="40"/>
      <c r="JN181" s="59"/>
      <c r="JO181" s="59"/>
      <c r="JP181" s="40"/>
      <c r="JQ181" s="59"/>
      <c r="JR181" s="59"/>
      <c r="JS181" s="40"/>
      <c r="JT181" s="59"/>
      <c r="JU181" s="59"/>
      <c r="JW181" s="122"/>
      <c r="JX181" s="122"/>
    </row>
    <row r="182" spans="237:284" ht="14.25" customHeight="1" x14ac:dyDescent="0.2">
      <c r="IC182" s="250"/>
      <c r="ID182" s="53">
        <f>IF(HS37="R0",ID173,ID173+HT37)</f>
        <v>25.5</v>
      </c>
      <c r="IE182" s="53" t="s">
        <v>158</v>
      </c>
      <c r="IF182" s="53">
        <f>IF(HS37="R0",0,HT37)</f>
        <v>0</v>
      </c>
      <c r="IG182" s="53">
        <v>0</v>
      </c>
      <c r="II182" s="54" t="b">
        <f t="shared" si="180"/>
        <v>0</v>
      </c>
      <c r="IJ182" s="55" t="b">
        <f t="shared" si="199"/>
        <v>0</v>
      </c>
      <c r="IK182" s="54">
        <f t="shared" si="200"/>
        <v>0</v>
      </c>
      <c r="IL182" s="56">
        <f>IK182</f>
        <v>0</v>
      </c>
      <c r="IM182" s="54"/>
      <c r="IN182" s="54"/>
      <c r="IO182" s="57"/>
      <c r="IP182" s="54"/>
      <c r="IQ182" s="54"/>
      <c r="IR182" s="55"/>
      <c r="IS182" s="83"/>
      <c r="IT182" s="54"/>
      <c r="IV182" s="54"/>
      <c r="IW182" s="54"/>
      <c r="IY182" s="55"/>
      <c r="IZ182" s="55"/>
      <c r="JB182" s="54">
        <f>JB181</f>
        <v>25.5</v>
      </c>
      <c r="JC182" s="54">
        <f>IF(IC173="-",0,IF(JC180=TRUE,0,-20))</f>
        <v>0</v>
      </c>
      <c r="JE182" s="54">
        <f>JE181</f>
        <v>25.5</v>
      </c>
      <c r="JF182" s="54">
        <f>IF(IC173="-",JF181,IF(JE180&gt;0,-MAX(IW3:IW272,IZ3:IZ272)*1.5,-MAX(IW3:IW272,IZ3:IZ272)*0.5))</f>
        <v>-37.5</v>
      </c>
      <c r="JH182" s="54"/>
      <c r="JI182" s="54"/>
      <c r="JK182" s="54"/>
      <c r="JL182" s="54"/>
      <c r="JM182" s="39"/>
      <c r="JN182" s="54"/>
      <c r="JO182" s="54"/>
      <c r="JP182" s="39"/>
      <c r="JQ182" s="54"/>
      <c r="JR182" s="54"/>
      <c r="JS182" s="39"/>
      <c r="JT182" s="54"/>
      <c r="JU182" s="54"/>
      <c r="JW182" s="123"/>
      <c r="JX182" s="123"/>
    </row>
    <row r="183" spans="237:284" ht="14.25" customHeight="1" x14ac:dyDescent="0.2">
      <c r="IC183" s="234" t="str">
        <f>IF(HS39="R0","-",HS39)</f>
        <v>-</v>
      </c>
      <c r="ID183" s="74">
        <f>IF(HS39="R0",ID272,ID182)</f>
        <v>25.5</v>
      </c>
      <c r="IE183" s="74" t="s">
        <v>149</v>
      </c>
      <c r="IF183" s="74">
        <v>0</v>
      </c>
      <c r="IG183" s="74">
        <v>0</v>
      </c>
      <c r="II183" s="35" t="b">
        <f t="shared" si="180"/>
        <v>0</v>
      </c>
      <c r="IJ183" s="45" t="b">
        <f t="shared" si="199"/>
        <v>0</v>
      </c>
      <c r="IK183" s="35">
        <f t="shared" ref="IK183:IK192" si="209">IF(II183=TRUE,IF(IJ183=TRUE,IG183/$EJ$29)+IF183,IF183)</f>
        <v>0</v>
      </c>
      <c r="IL183" s="48">
        <f>IK183</f>
        <v>0</v>
      </c>
      <c r="IM183" s="35">
        <f t="shared" ref="IM183:IM191" si="210">$HV$39*IL183</f>
        <v>0</v>
      </c>
      <c r="IN183" s="35">
        <f t="shared" ref="IN183:IN191" si="211">-$EJ$29*(IL183^2/2)</f>
        <v>0</v>
      </c>
      <c r="IO183" s="36">
        <f t="shared" ref="IO183:IO191" si="212">-IF(IL183&gt;=$EN$29,$EL$29*(IL183-$EN$29),0)</f>
        <v>0</v>
      </c>
      <c r="IP183" s="35">
        <f t="shared" ref="IP183:IP191" si="213">-IF(IL183&gt;=$ET$29,$ER$29*(IL183-$ET$29),0)</f>
        <v>0</v>
      </c>
      <c r="IQ183" s="35">
        <f t="shared" ref="IQ183:IQ191" si="214">-IF(IL183&gt;=$EZ$29,$EX$29*(IL183-$EZ$29),0)</f>
        <v>0</v>
      </c>
      <c r="IR183" s="45"/>
      <c r="IS183" s="37" t="str">
        <f>IF(IC183="-","",HU39)</f>
        <v/>
      </c>
      <c r="IT183" s="35">
        <f t="shared" ref="IT183:IT191" si="215">$ID$183+IL183</f>
        <v>25.5</v>
      </c>
      <c r="IV183" s="35">
        <f>ID183</f>
        <v>25.5</v>
      </c>
      <c r="IW183" s="35">
        <v>0</v>
      </c>
      <c r="IY183" s="35">
        <f>IF(IC183="-",-5,IF(EL29=0,-5,ID183+EN29))</f>
        <v>-5</v>
      </c>
      <c r="IZ183" s="35">
        <v>0</v>
      </c>
      <c r="JB183" s="38"/>
      <c r="JC183" s="38"/>
      <c r="JE183" s="38"/>
      <c r="JF183" s="38"/>
      <c r="JH183" s="38"/>
      <c r="JI183" s="38"/>
      <c r="JK183" s="35">
        <f>IF(IC183=18,IT183,-5)</f>
        <v>-5</v>
      </c>
      <c r="JL183" s="37" t="str">
        <f>IS183</f>
        <v/>
      </c>
      <c r="JM183" s="40"/>
      <c r="JN183" s="37">
        <f>IF(IC183="-",-5,(ID183+ID192)/2)</f>
        <v>-5</v>
      </c>
      <c r="JO183" s="37">
        <f>-MAX(IW3:IW272,IZ3:IZ272)*0.7</f>
        <v>-52.5</v>
      </c>
      <c r="JP183" s="40"/>
      <c r="JQ183" s="37">
        <f>IF(IC183="-",-5,(IT183+IT187)/2)</f>
        <v>-5</v>
      </c>
      <c r="JR183" s="37">
        <f>JR13</f>
        <v>-760.38306347150262</v>
      </c>
      <c r="JS183" s="40"/>
      <c r="JT183" s="37"/>
      <c r="JU183" s="37"/>
      <c r="JW183" s="37">
        <f>JN183</f>
        <v>-5</v>
      </c>
      <c r="JX183" s="37">
        <f>JF192</f>
        <v>-37.5</v>
      </c>
    </row>
    <row r="184" spans="237:284" ht="14.25" customHeight="1" x14ac:dyDescent="0.2">
      <c r="IC184" s="234"/>
      <c r="ID184" s="74">
        <f>IF($IC$183="-",$ID$183,$ID$183+IF184)</f>
        <v>25.5</v>
      </c>
      <c r="IE184" s="74" t="s">
        <v>150</v>
      </c>
      <c r="IF184" s="74">
        <f>IF183</f>
        <v>0</v>
      </c>
      <c r="IG184" s="74">
        <f>IF(IC183="-",0,HV39)</f>
        <v>0</v>
      </c>
      <c r="II184" s="35" t="b">
        <f t="shared" si="180"/>
        <v>0</v>
      </c>
      <c r="IJ184" s="45" t="b">
        <f t="shared" si="199"/>
        <v>0</v>
      </c>
      <c r="IK184" s="35">
        <f t="shared" si="209"/>
        <v>0</v>
      </c>
      <c r="IL184" s="48">
        <f>(IL187-IL183)/4</f>
        <v>0</v>
      </c>
      <c r="IM184" s="35">
        <f t="shared" si="210"/>
        <v>0</v>
      </c>
      <c r="IN184" s="35">
        <f t="shared" si="211"/>
        <v>0</v>
      </c>
      <c r="IO184" s="36">
        <f t="shared" si="212"/>
        <v>0</v>
      </c>
      <c r="IP184" s="35">
        <f t="shared" si="213"/>
        <v>0</v>
      </c>
      <c r="IQ184" s="35">
        <f t="shared" si="214"/>
        <v>0</v>
      </c>
      <c r="IR184" s="35">
        <f t="shared" ref="IR184:IR190" si="216">$HU$39</f>
        <v>0</v>
      </c>
      <c r="IS184" s="42" t="str">
        <f>IF(IC183="-","",SUM(IM184:IR184))</f>
        <v/>
      </c>
      <c r="IT184" s="35">
        <f t="shared" si="215"/>
        <v>25.5</v>
      </c>
      <c r="IV184" s="35">
        <f>IV183</f>
        <v>25.5</v>
      </c>
      <c r="IW184" s="35">
        <f>IF(IC183="-",0,EJ29)/20</f>
        <v>0</v>
      </c>
      <c r="IY184" s="35">
        <f>IY183</f>
        <v>-5</v>
      </c>
      <c r="IZ184" s="35">
        <f>IF(IC183="-",0,EL29/20)</f>
        <v>0</v>
      </c>
      <c r="JB184" s="38"/>
      <c r="JC184" s="38"/>
      <c r="JE184" s="38"/>
      <c r="JF184" s="38"/>
      <c r="JH184" s="38">
        <f>IF(IC183=18,ID184,-5)</f>
        <v>-5</v>
      </c>
      <c r="JI184" s="38">
        <f>IG184</f>
        <v>0</v>
      </c>
      <c r="JK184" s="35"/>
      <c r="JL184" s="35"/>
      <c r="JM184" s="39"/>
      <c r="JN184" s="75">
        <f>HT39</f>
        <v>0</v>
      </c>
      <c r="JO184" s="35"/>
      <c r="JP184" s="39"/>
      <c r="JQ184" s="76" t="b">
        <f>IL187</f>
        <v>0</v>
      </c>
      <c r="JR184" s="35"/>
      <c r="JS184" s="39"/>
      <c r="JT184" s="35"/>
      <c r="JU184" s="35"/>
      <c r="JW184" s="124" t="str">
        <f>IC183</f>
        <v>-</v>
      </c>
      <c r="JX184" s="127"/>
    </row>
    <row r="185" spans="237:284" ht="14.25" customHeight="1" x14ac:dyDescent="0.2">
      <c r="IC185" s="234"/>
      <c r="ID185" s="74">
        <f t="shared" ref="ID185:ID191" si="217">IF($IC$183="-",$ID$183,$ID$183+IF185)</f>
        <v>25.5</v>
      </c>
      <c r="IE185" s="74" t="s">
        <v>151</v>
      </c>
      <c r="IF185" s="74">
        <f>IF(EL29=0,IF184,EN29)</f>
        <v>0</v>
      </c>
      <c r="IG185" s="74">
        <f>IF(IC183="-",0,IG184-IF(EL29=0,0,EJ29*IF185))</f>
        <v>0</v>
      </c>
      <c r="II185" s="35" t="b">
        <f t="shared" si="180"/>
        <v>0</v>
      </c>
      <c r="IJ185" s="45" t="b">
        <f t="shared" si="199"/>
        <v>0</v>
      </c>
      <c r="IK185" s="35">
        <f t="shared" si="209"/>
        <v>0</v>
      </c>
      <c r="IL185" s="48">
        <f>IL184*2</f>
        <v>0</v>
      </c>
      <c r="IM185" s="35">
        <f t="shared" si="210"/>
        <v>0</v>
      </c>
      <c r="IN185" s="35">
        <f t="shared" si="211"/>
        <v>0</v>
      </c>
      <c r="IO185" s="36">
        <f t="shared" si="212"/>
        <v>0</v>
      </c>
      <c r="IP185" s="35">
        <f t="shared" si="213"/>
        <v>0</v>
      </c>
      <c r="IQ185" s="35">
        <f t="shared" si="214"/>
        <v>0</v>
      </c>
      <c r="IR185" s="35">
        <f t="shared" si="216"/>
        <v>0</v>
      </c>
      <c r="IS185" s="42" t="str">
        <f>IF(IC183="-","",SUM(IM185:IR185))</f>
        <v/>
      </c>
      <c r="IT185" s="35">
        <f t="shared" si="215"/>
        <v>25.5</v>
      </c>
      <c r="IV185" s="35">
        <f>IF192/2+IV183</f>
        <v>25.5</v>
      </c>
      <c r="IW185" s="35">
        <f>IW184</f>
        <v>0</v>
      </c>
      <c r="IY185" s="44" t="str">
        <f>IF(IC183="-","",IF(EL29=0,"",EL29))</f>
        <v/>
      </c>
      <c r="IZ185" s="45"/>
      <c r="JB185" s="38"/>
      <c r="JC185" s="38"/>
      <c r="JE185" s="38"/>
      <c r="JF185" s="38"/>
      <c r="JH185" s="38"/>
      <c r="JI185" s="38"/>
      <c r="JK185" s="35"/>
      <c r="JL185" s="35"/>
      <c r="JM185" s="39"/>
      <c r="JN185" s="35"/>
      <c r="JO185" s="35"/>
      <c r="JP185" s="39"/>
      <c r="JQ185" s="35"/>
      <c r="JR185" s="35"/>
      <c r="JS185" s="39"/>
      <c r="JT185" s="35"/>
      <c r="JU185" s="35"/>
      <c r="JW185" s="127"/>
      <c r="JX185" s="127"/>
    </row>
    <row r="186" spans="237:284" ht="14.25" customHeight="1" x14ac:dyDescent="0.2">
      <c r="IC186" s="234"/>
      <c r="ID186" s="74">
        <f t="shared" si="217"/>
        <v>25.5</v>
      </c>
      <c r="IE186" s="74" t="s">
        <v>152</v>
      </c>
      <c r="IF186" s="74">
        <f>IF185</f>
        <v>0</v>
      </c>
      <c r="IG186" s="74">
        <f>IF(IC183="-",0,IG185-EL29)</f>
        <v>0</v>
      </c>
      <c r="II186" s="35" t="b">
        <f t="shared" si="180"/>
        <v>0</v>
      </c>
      <c r="IJ186" s="45" t="b">
        <f t="shared" si="199"/>
        <v>0</v>
      </c>
      <c r="IK186" s="35">
        <f t="shared" si="209"/>
        <v>0</v>
      </c>
      <c r="IL186" s="48">
        <f>IL184*3</f>
        <v>0</v>
      </c>
      <c r="IM186" s="35">
        <f t="shared" si="210"/>
        <v>0</v>
      </c>
      <c r="IN186" s="35">
        <f t="shared" si="211"/>
        <v>0</v>
      </c>
      <c r="IO186" s="36">
        <f t="shared" si="212"/>
        <v>0</v>
      </c>
      <c r="IP186" s="35">
        <f t="shared" si="213"/>
        <v>0</v>
      </c>
      <c r="IQ186" s="35">
        <f t="shared" si="214"/>
        <v>0</v>
      </c>
      <c r="IR186" s="35">
        <f t="shared" si="216"/>
        <v>0</v>
      </c>
      <c r="IS186" s="42" t="str">
        <f>IF(IC183="-","",SUM(IM186:IR186))</f>
        <v/>
      </c>
      <c r="IT186" s="35">
        <f t="shared" si="215"/>
        <v>25.5</v>
      </c>
      <c r="IV186" s="35">
        <f>IV187</f>
        <v>25.5</v>
      </c>
      <c r="IW186" s="35">
        <f>IW184</f>
        <v>0</v>
      </c>
      <c r="IY186" s="35">
        <f>IF(IC183="-",-5,IF(ER29=0,-5,ID183+ET29))</f>
        <v>-5</v>
      </c>
      <c r="IZ186" s="35">
        <v>0</v>
      </c>
      <c r="JB186" s="38"/>
      <c r="JC186" s="38"/>
      <c r="JE186" s="38"/>
      <c r="JF186" s="38"/>
      <c r="JH186" s="38"/>
      <c r="JI186" s="38"/>
      <c r="JK186" s="35"/>
      <c r="JL186" s="35"/>
      <c r="JM186" s="39"/>
      <c r="JN186" s="35"/>
      <c r="JO186" s="35"/>
      <c r="JP186" s="39"/>
      <c r="JQ186" s="35"/>
      <c r="JR186" s="35"/>
      <c r="JS186" s="39"/>
      <c r="JT186" s="35"/>
      <c r="JU186" s="35"/>
      <c r="JW186" s="127"/>
      <c r="JX186" s="127"/>
    </row>
    <row r="187" spans="237:284" ht="14.25" customHeight="1" x14ac:dyDescent="0.2">
      <c r="IC187" s="234"/>
      <c r="ID187" s="74">
        <f t="shared" si="217"/>
        <v>25.5</v>
      </c>
      <c r="IE187" s="74" t="s">
        <v>153</v>
      </c>
      <c r="IF187" s="74">
        <f>IF(ER29=0,IF186,ET29)</f>
        <v>0</v>
      </c>
      <c r="IG187" s="74">
        <f>IF(IC183="-",0,IG186-IF(ER29=0,0,EJ29*(IF187-IF186)))</f>
        <v>0</v>
      </c>
      <c r="II187" s="35" t="b">
        <f t="shared" si="180"/>
        <v>0</v>
      </c>
      <c r="IJ187" s="45" t="b">
        <f t="shared" si="199"/>
        <v>0</v>
      </c>
      <c r="IK187" s="35">
        <f t="shared" si="209"/>
        <v>0</v>
      </c>
      <c r="IL187" s="68" t="b">
        <f>IF(II183=TRUE,IK183,IF(II184=TRUE,IK184,IF(II185=TRUE,IK185,IF(II186=TRUE,IK186,IF(II187=TRUE,IK187,IF(II188=TRUE,IK188,IF(II189=TRUE,IK189,IF(II190=TRUE,IK190,IF(II191=TRUE,IK191,IF(II192=TRUE,IK192))))))))))</f>
        <v>0</v>
      </c>
      <c r="IM187" s="68">
        <f t="shared" si="210"/>
        <v>0</v>
      </c>
      <c r="IN187" s="68">
        <f t="shared" si="211"/>
        <v>0</v>
      </c>
      <c r="IO187" s="69">
        <f t="shared" si="212"/>
        <v>0</v>
      </c>
      <c r="IP187" s="68">
        <f t="shared" si="213"/>
        <v>0</v>
      </c>
      <c r="IQ187" s="68">
        <f t="shared" si="214"/>
        <v>0</v>
      </c>
      <c r="IR187" s="68">
        <f t="shared" si="216"/>
        <v>0</v>
      </c>
      <c r="IS187" s="70" t="str">
        <f>IF(IC183="-","",ROUND(SUM(IM187:IR187),2))</f>
        <v/>
      </c>
      <c r="IT187" s="68">
        <f t="shared" si="215"/>
        <v>25.5</v>
      </c>
      <c r="IV187" s="35">
        <f>ID192</f>
        <v>25.5</v>
      </c>
      <c r="IW187" s="35">
        <v>0</v>
      </c>
      <c r="IY187" s="35">
        <f>IY186</f>
        <v>-5</v>
      </c>
      <c r="IZ187" s="35">
        <f>IF(IC183="-",0,ER29/20)</f>
        <v>0</v>
      </c>
      <c r="JB187" s="38"/>
      <c r="JC187" s="38"/>
      <c r="JE187" s="38"/>
      <c r="JF187" s="38"/>
      <c r="JH187" s="38"/>
      <c r="JI187" s="38"/>
      <c r="JK187" s="35">
        <f>IF(IC183=18,IT187,-5)</f>
        <v>-5</v>
      </c>
      <c r="JL187" s="37" t="str">
        <f>IS187</f>
        <v/>
      </c>
      <c r="JM187" s="40"/>
      <c r="JN187" s="37"/>
      <c r="JO187" s="37"/>
      <c r="JP187" s="40"/>
      <c r="JQ187" s="37"/>
      <c r="JR187" s="37"/>
      <c r="JS187" s="40"/>
      <c r="JT187" s="37"/>
      <c r="JU187" s="37"/>
      <c r="JW187" s="37"/>
      <c r="JX187" s="37"/>
    </row>
    <row r="188" spans="237:284" ht="14.25" customHeight="1" x14ac:dyDescent="0.2">
      <c r="IC188" s="234"/>
      <c r="ID188" s="74">
        <f t="shared" si="217"/>
        <v>25.5</v>
      </c>
      <c r="IE188" s="74" t="s">
        <v>154</v>
      </c>
      <c r="IF188" s="74">
        <f>IF187</f>
        <v>0</v>
      </c>
      <c r="IG188" s="74">
        <f>IF(IC183="-",0,IG187-ER29)</f>
        <v>0</v>
      </c>
      <c r="II188" s="35" t="b">
        <f t="shared" si="180"/>
        <v>0</v>
      </c>
      <c r="IJ188" s="45" t="b">
        <f t="shared" si="199"/>
        <v>0</v>
      </c>
      <c r="IK188" s="35">
        <f t="shared" si="209"/>
        <v>0</v>
      </c>
      <c r="IL188" s="48">
        <f>IL187+($IL$192-$IL$187)/4</f>
        <v>0</v>
      </c>
      <c r="IM188" s="35">
        <f t="shared" si="210"/>
        <v>0</v>
      </c>
      <c r="IN188" s="35">
        <f t="shared" si="211"/>
        <v>0</v>
      </c>
      <c r="IO188" s="36">
        <f t="shared" si="212"/>
        <v>0</v>
      </c>
      <c r="IP188" s="35">
        <f t="shared" si="213"/>
        <v>0</v>
      </c>
      <c r="IQ188" s="35">
        <f t="shared" si="214"/>
        <v>0</v>
      </c>
      <c r="IR188" s="35">
        <f t="shared" si="216"/>
        <v>0</v>
      </c>
      <c r="IS188" s="42" t="str">
        <f>IF(IC183="-","",SUM(IM188:IR188))</f>
        <v/>
      </c>
      <c r="IT188" s="35">
        <f t="shared" si="215"/>
        <v>25.5</v>
      </c>
      <c r="IV188" s="35"/>
      <c r="IW188" s="35"/>
      <c r="IY188" s="44" t="str">
        <f>IF(IC183="-","",IF(ER29=0,"",ER29))</f>
        <v/>
      </c>
      <c r="IZ188" s="45"/>
      <c r="JB188" s="38"/>
      <c r="JC188" s="38"/>
      <c r="JE188" s="38"/>
      <c r="JF188" s="38"/>
      <c r="JH188" s="38"/>
      <c r="JI188" s="38"/>
      <c r="JK188" s="35"/>
      <c r="JL188" s="35"/>
      <c r="JM188" s="39"/>
      <c r="JN188" s="35"/>
      <c r="JO188" s="35"/>
      <c r="JP188" s="39"/>
      <c r="JQ188" s="35"/>
      <c r="JR188" s="35"/>
      <c r="JS188" s="39"/>
      <c r="JT188" s="35"/>
      <c r="JU188" s="35"/>
      <c r="JW188" s="127"/>
      <c r="JX188" s="127"/>
    </row>
    <row r="189" spans="237:284" ht="14.25" customHeight="1" x14ac:dyDescent="0.2">
      <c r="IC189" s="234"/>
      <c r="ID189" s="74">
        <f t="shared" si="217"/>
        <v>25.5</v>
      </c>
      <c r="IE189" s="74" t="s">
        <v>155</v>
      </c>
      <c r="IF189" s="74">
        <f>IF(EX29=0,IF188,EZ29)</f>
        <v>0</v>
      </c>
      <c r="IG189" s="74">
        <f>IF(IC183="-",0,IG188-IF(EX29=0,0,EJ29*(IF189-IF188)))</f>
        <v>0</v>
      </c>
      <c r="II189" s="35" t="b">
        <f t="shared" si="180"/>
        <v>0</v>
      </c>
      <c r="IJ189" s="45" t="b">
        <f t="shared" si="199"/>
        <v>0</v>
      </c>
      <c r="IK189" s="35">
        <f t="shared" si="209"/>
        <v>0</v>
      </c>
      <c r="IL189" s="48">
        <f>IL188+($IL$192-$IL$187)/4</f>
        <v>0</v>
      </c>
      <c r="IM189" s="35">
        <f t="shared" si="210"/>
        <v>0</v>
      </c>
      <c r="IN189" s="35">
        <f t="shared" si="211"/>
        <v>0</v>
      </c>
      <c r="IO189" s="36">
        <f t="shared" si="212"/>
        <v>0</v>
      </c>
      <c r="IP189" s="35">
        <f t="shared" si="213"/>
        <v>0</v>
      </c>
      <c r="IQ189" s="35">
        <f t="shared" si="214"/>
        <v>0</v>
      </c>
      <c r="IR189" s="35">
        <f t="shared" si="216"/>
        <v>0</v>
      </c>
      <c r="IS189" s="42" t="str">
        <f>IF(IC183="-","",SUM(IM189:IR189))</f>
        <v/>
      </c>
      <c r="IT189" s="35">
        <f t="shared" si="215"/>
        <v>25.5</v>
      </c>
      <c r="IV189" s="84" t="str">
        <f>IF(IC183="-","",EJ29)</f>
        <v/>
      </c>
      <c r="IW189" s="35"/>
      <c r="IY189" s="35">
        <f>IF(IC183="-",-5,IF(EX29=0,-5,ID183+EZ29))</f>
        <v>-5</v>
      </c>
      <c r="IZ189" s="35">
        <v>0</v>
      </c>
      <c r="JB189" s="38"/>
      <c r="JC189" s="38"/>
      <c r="JE189" s="38"/>
      <c r="JF189" s="38"/>
      <c r="JH189" s="38"/>
      <c r="JI189" s="38"/>
      <c r="JK189" s="35"/>
      <c r="JL189" s="35"/>
      <c r="JM189" s="39"/>
      <c r="JN189" s="35"/>
      <c r="JO189" s="35"/>
      <c r="JP189" s="39"/>
      <c r="JQ189" s="35"/>
      <c r="JR189" s="35"/>
      <c r="JS189" s="39"/>
      <c r="JT189" s="35"/>
      <c r="JU189" s="35"/>
      <c r="JW189" s="127"/>
      <c r="JX189" s="127"/>
    </row>
    <row r="190" spans="237:284" ht="14.25" customHeight="1" x14ac:dyDescent="0.2">
      <c r="IC190" s="234"/>
      <c r="ID190" s="74">
        <f t="shared" si="217"/>
        <v>25.5</v>
      </c>
      <c r="IE190" s="74" t="s">
        <v>156</v>
      </c>
      <c r="IF190" s="74">
        <f>IF189</f>
        <v>0</v>
      </c>
      <c r="IG190" s="74">
        <f>IF(IC183="-",0,IG189-EX29)</f>
        <v>0</v>
      </c>
      <c r="II190" s="35" t="b">
        <f t="shared" si="180"/>
        <v>0</v>
      </c>
      <c r="IJ190" s="45" t="b">
        <f t="shared" si="199"/>
        <v>0</v>
      </c>
      <c r="IK190" s="35">
        <f t="shared" si="209"/>
        <v>0</v>
      </c>
      <c r="IL190" s="48">
        <f>IL189+($IL$192-$IL$187)/4</f>
        <v>0</v>
      </c>
      <c r="IM190" s="35">
        <f t="shared" si="210"/>
        <v>0</v>
      </c>
      <c r="IN190" s="35">
        <f t="shared" si="211"/>
        <v>0</v>
      </c>
      <c r="IO190" s="36">
        <f t="shared" si="212"/>
        <v>0</v>
      </c>
      <c r="IP190" s="35">
        <f t="shared" si="213"/>
        <v>0</v>
      </c>
      <c r="IQ190" s="35">
        <f t="shared" si="214"/>
        <v>0</v>
      </c>
      <c r="IR190" s="35">
        <f t="shared" si="216"/>
        <v>0</v>
      </c>
      <c r="IS190" s="42" t="str">
        <f>IF(IC183="-","",SUM(IM190:IR190))</f>
        <v/>
      </c>
      <c r="IT190" s="35">
        <f t="shared" si="215"/>
        <v>25.5</v>
      </c>
      <c r="IV190" s="35"/>
      <c r="IW190" s="35"/>
      <c r="IY190" s="35">
        <f>IY189</f>
        <v>-5</v>
      </c>
      <c r="IZ190" s="35">
        <f>IF(IC183="-",0,EX29/20)</f>
        <v>0</v>
      </c>
      <c r="JB190" s="47" t="str">
        <f>IF(IC183="-","",HY40)</f>
        <v/>
      </c>
      <c r="JC190" s="35" t="b">
        <f>AND($F$2=18,$F$10=$ER$43)</f>
        <v>0</v>
      </c>
      <c r="JE190" s="47" t="str">
        <f>JB190</f>
        <v/>
      </c>
      <c r="JF190" s="38"/>
      <c r="JH190" s="38"/>
      <c r="JI190" s="38"/>
      <c r="JK190" s="35" t="b">
        <f>AND($F$2=18,$F$10=$ER$43)</f>
        <v>0</v>
      </c>
      <c r="JL190" s="35"/>
      <c r="JM190" s="39"/>
      <c r="JN190" s="35"/>
      <c r="JO190" s="35"/>
      <c r="JP190" s="39"/>
      <c r="JQ190" s="35"/>
      <c r="JR190" s="35"/>
      <c r="JS190" s="39"/>
      <c r="JT190" s="35"/>
      <c r="JU190" s="35"/>
      <c r="JW190" s="127"/>
      <c r="JX190" s="127"/>
    </row>
    <row r="191" spans="237:284" ht="14.25" customHeight="1" x14ac:dyDescent="0.2">
      <c r="IC191" s="234"/>
      <c r="ID191" s="74">
        <f t="shared" si="217"/>
        <v>25.5</v>
      </c>
      <c r="IE191" s="74" t="s">
        <v>157</v>
      </c>
      <c r="IF191" s="74">
        <f>IF192</f>
        <v>0</v>
      </c>
      <c r="IG191" s="74">
        <f>HW40</f>
        <v>0</v>
      </c>
      <c r="II191" s="35" t="b">
        <f t="shared" si="180"/>
        <v>0</v>
      </c>
      <c r="IJ191" s="45" t="b">
        <f t="shared" si="199"/>
        <v>0</v>
      </c>
      <c r="IK191" s="35">
        <f t="shared" si="209"/>
        <v>0</v>
      </c>
      <c r="IL191" s="48">
        <f>IL190+($IL$192-$IL$187)/4</f>
        <v>0</v>
      </c>
      <c r="IM191" s="35">
        <f t="shared" si="210"/>
        <v>0</v>
      </c>
      <c r="IN191" s="35">
        <f t="shared" si="211"/>
        <v>0</v>
      </c>
      <c r="IO191" s="36">
        <f t="shared" si="212"/>
        <v>0</v>
      </c>
      <c r="IP191" s="35">
        <f t="shared" si="213"/>
        <v>0</v>
      </c>
      <c r="IQ191" s="35">
        <f t="shared" si="214"/>
        <v>0</v>
      </c>
      <c r="IR191" s="45"/>
      <c r="IS191" s="37" t="str">
        <f>IF(IC183="-","",ROUND(HU40,2))</f>
        <v/>
      </c>
      <c r="IT191" s="35">
        <f t="shared" si="215"/>
        <v>25.5</v>
      </c>
      <c r="IV191" s="35"/>
      <c r="IW191" s="35"/>
      <c r="IY191" s="44" t="str">
        <f>IF(IC183="-","",IF(EX29=0,"",EX29))</f>
        <v/>
      </c>
      <c r="IZ191" s="45"/>
      <c r="JB191" s="38">
        <f>ID192</f>
        <v>25.5</v>
      </c>
      <c r="JC191" s="38">
        <v>0</v>
      </c>
      <c r="JE191" s="38">
        <f>JB191</f>
        <v>25.5</v>
      </c>
      <c r="JF191" s="38">
        <f>IF(JE190&gt;0,-MAX(IW3:IW272,IZ3:IZ272)*0.5,-MAX(IW3:IW272,IZ3:IZ272)*1.5)</f>
        <v>-37.5</v>
      </c>
      <c r="JH191" s="38">
        <f>IF(IC183=18,ID191,-5)</f>
        <v>-5</v>
      </c>
      <c r="JI191" s="38">
        <f>IG191</f>
        <v>0</v>
      </c>
      <c r="JK191" s="35">
        <f>IF(JK190=TRUE,IT191,-5)</f>
        <v>-5</v>
      </c>
      <c r="JL191" s="49" t="str">
        <f>IS191</f>
        <v/>
      </c>
      <c r="JM191" s="40"/>
      <c r="JN191" s="49"/>
      <c r="JO191" s="49"/>
      <c r="JP191" s="40"/>
      <c r="JQ191" s="49"/>
      <c r="JR191" s="49"/>
      <c r="JS191" s="40"/>
      <c r="JT191" s="49"/>
      <c r="JU191" s="49"/>
      <c r="JW191" s="120"/>
      <c r="JX191" s="120"/>
    </row>
    <row r="192" spans="237:284" ht="14.25" customHeight="1" x14ac:dyDescent="0.2">
      <c r="IC192" s="234"/>
      <c r="ID192" s="74">
        <f>IF(HS39="R0",ID183,ID183+HT39)</f>
        <v>25.5</v>
      </c>
      <c r="IE192" s="74" t="s">
        <v>158</v>
      </c>
      <c r="IF192" s="74">
        <f>IF(HS39="R0",0,HT39)</f>
        <v>0</v>
      </c>
      <c r="IG192" s="74">
        <v>0</v>
      </c>
      <c r="II192" s="35" t="b">
        <f t="shared" si="180"/>
        <v>0</v>
      </c>
      <c r="IJ192" s="45" t="b">
        <f t="shared" si="199"/>
        <v>0</v>
      </c>
      <c r="IK192" s="35">
        <f t="shared" si="209"/>
        <v>0</v>
      </c>
      <c r="IL192" s="48">
        <f>IK192</f>
        <v>0</v>
      </c>
      <c r="IM192" s="35"/>
      <c r="IN192" s="35"/>
      <c r="IO192" s="36"/>
      <c r="IP192" s="35"/>
      <c r="IQ192" s="35"/>
      <c r="IR192" s="45"/>
      <c r="IS192" s="82"/>
      <c r="IT192" s="35"/>
      <c r="IV192" s="35"/>
      <c r="IW192" s="35"/>
      <c r="IY192" s="45"/>
      <c r="IZ192" s="45"/>
      <c r="JB192" s="38">
        <f>JB191</f>
        <v>25.5</v>
      </c>
      <c r="JC192" s="38">
        <f>IF(IC183="-",0,IF(JC190=TRUE,0,-20))</f>
        <v>0</v>
      </c>
      <c r="JE192" s="38">
        <f>JE191</f>
        <v>25.5</v>
      </c>
      <c r="JF192" s="38">
        <f>IF(IC183="-",JF191,IF(JE190&gt;0,-MAX(IW3:IW272,IZ3:IZ272)*1.5,-MAX(IW3:IW272,IZ3:IZ272)*0.5))</f>
        <v>-37.5</v>
      </c>
      <c r="JH192" s="38"/>
      <c r="JI192" s="38"/>
      <c r="JK192" s="35"/>
      <c r="JL192" s="35"/>
      <c r="JM192" s="39"/>
      <c r="JN192" s="35"/>
      <c r="JO192" s="35"/>
      <c r="JP192" s="39"/>
      <c r="JQ192" s="35"/>
      <c r="JR192" s="35"/>
      <c r="JS192" s="39"/>
      <c r="JT192" s="35"/>
      <c r="JU192" s="35"/>
      <c r="JW192" s="127"/>
      <c r="JX192" s="127"/>
    </row>
    <row r="193" spans="237:284" ht="14.25" customHeight="1" x14ac:dyDescent="0.2">
      <c r="IC193" s="250" t="str">
        <f>IF(HS41="R0","-",HS41)</f>
        <v>-</v>
      </c>
      <c r="ID193" s="53">
        <f>IF(HS41="R0",ID272,ID192)</f>
        <v>25.5</v>
      </c>
      <c r="IE193" s="53" t="s">
        <v>149</v>
      </c>
      <c r="IF193" s="53">
        <v>0</v>
      </c>
      <c r="IG193" s="53">
        <v>0</v>
      </c>
      <c r="II193" s="54" t="b">
        <f t="shared" si="180"/>
        <v>0</v>
      </c>
      <c r="IJ193" s="55" t="b">
        <f t="shared" si="199"/>
        <v>0</v>
      </c>
      <c r="IK193" s="54">
        <f t="shared" ref="IK193:IK202" si="218">IF(II193=TRUE,IF(IJ193=TRUE,IG193/$EJ$30)+IF193,IF193)</f>
        <v>0</v>
      </c>
      <c r="IL193" s="56">
        <f>IK193</f>
        <v>0</v>
      </c>
      <c r="IM193" s="54">
        <f t="shared" ref="IM193:IM201" si="219">$HV$41*IL193</f>
        <v>0</v>
      </c>
      <c r="IN193" s="54">
        <f t="shared" ref="IN193:IN201" si="220">-$EJ$30*(IL193^2/2)</f>
        <v>0</v>
      </c>
      <c r="IO193" s="57">
        <f t="shared" ref="IO193:IO201" si="221">-IF(IL193&gt;=$EN$30,$EL$30*(IL193-$EN$30),0)</f>
        <v>0</v>
      </c>
      <c r="IP193" s="54">
        <f t="shared" ref="IP193:IP201" si="222">-IF(IL193&gt;=$ET$30,$ER$30*(IL193-$ET$30),0)</f>
        <v>0</v>
      </c>
      <c r="IQ193" s="54">
        <f t="shared" ref="IQ193:IQ201" si="223">-IF(IL193&gt;=$EZ$30,$EX$30*(IL193-$EZ$30),0)</f>
        <v>0</v>
      </c>
      <c r="IR193" s="55"/>
      <c r="IS193" s="59" t="str">
        <f>IF(IC193="-","",HU41)</f>
        <v/>
      </c>
      <c r="IT193" s="54">
        <f t="shared" ref="IT193:IT201" si="224">$ID$193+IL193</f>
        <v>25.5</v>
      </c>
      <c r="IV193" s="54">
        <f>ID193</f>
        <v>25.5</v>
      </c>
      <c r="IW193" s="54">
        <v>0</v>
      </c>
      <c r="IY193" s="54">
        <f>IF(IC193="-",-5,IF(EL30=0,-5,ID193+EN30))</f>
        <v>-5</v>
      </c>
      <c r="IZ193" s="54">
        <v>0</v>
      </c>
      <c r="JB193" s="54"/>
      <c r="JC193" s="54"/>
      <c r="JE193" s="54"/>
      <c r="JF193" s="54"/>
      <c r="JH193" s="54"/>
      <c r="JI193" s="54"/>
      <c r="JK193" s="54">
        <f>IF(IC193=19,IT193,-5)</f>
        <v>-5</v>
      </c>
      <c r="JL193" s="59" t="str">
        <f>IS193</f>
        <v/>
      </c>
      <c r="JM193" s="40"/>
      <c r="JN193" s="59">
        <f>IF(IC193="-",-5,(ID193+ID202)/2)</f>
        <v>-5</v>
      </c>
      <c r="JO193" s="59">
        <f>-MAX(IW3:IW272,IZ3:IZ272)*0.7</f>
        <v>-52.5</v>
      </c>
      <c r="JP193" s="40"/>
      <c r="JQ193" s="59">
        <f>IF(IC193="-",-5,(IT193+IT197)/2)</f>
        <v>-5</v>
      </c>
      <c r="JR193" s="59">
        <f>JR13</f>
        <v>-760.38306347150262</v>
      </c>
      <c r="JS193" s="40"/>
      <c r="JT193" s="59"/>
      <c r="JU193" s="59"/>
      <c r="JW193" s="122">
        <f>JN193</f>
        <v>-5</v>
      </c>
      <c r="JX193" s="122">
        <f>JF202</f>
        <v>-37.5</v>
      </c>
    </row>
    <row r="194" spans="237:284" ht="14.25" customHeight="1" x14ac:dyDescent="0.2">
      <c r="IC194" s="250"/>
      <c r="ID194" s="53">
        <f>IF($IC$193="-",$ID$193,$ID$193+IF194)</f>
        <v>25.5</v>
      </c>
      <c r="IE194" s="53" t="s">
        <v>150</v>
      </c>
      <c r="IF194" s="53">
        <f>IF193</f>
        <v>0</v>
      </c>
      <c r="IG194" s="53">
        <f>IF(IC193="-",0,HV41)</f>
        <v>0</v>
      </c>
      <c r="II194" s="54" t="b">
        <f t="shared" si="180"/>
        <v>0</v>
      </c>
      <c r="IJ194" s="55" t="b">
        <f t="shared" si="199"/>
        <v>0</v>
      </c>
      <c r="IK194" s="54">
        <f t="shared" si="218"/>
        <v>0</v>
      </c>
      <c r="IL194" s="56">
        <f>(IL197-IL193)/4</f>
        <v>0</v>
      </c>
      <c r="IM194" s="54">
        <f t="shared" si="219"/>
        <v>0</v>
      </c>
      <c r="IN194" s="54">
        <f t="shared" si="220"/>
        <v>0</v>
      </c>
      <c r="IO194" s="57">
        <f t="shared" si="221"/>
        <v>0</v>
      </c>
      <c r="IP194" s="54">
        <f t="shared" si="222"/>
        <v>0</v>
      </c>
      <c r="IQ194" s="54">
        <f t="shared" si="223"/>
        <v>0</v>
      </c>
      <c r="IR194" s="54">
        <f t="shared" ref="IR194:IR200" si="225">$HU$41</f>
        <v>0</v>
      </c>
      <c r="IS194" s="58" t="str">
        <f>IF(IC193="-","",SUM(IM194:IR194))</f>
        <v/>
      </c>
      <c r="IT194" s="54">
        <f t="shared" si="224"/>
        <v>25.5</v>
      </c>
      <c r="IV194" s="54">
        <f>IV193</f>
        <v>25.5</v>
      </c>
      <c r="IW194" s="54">
        <f>IF(IC193="-",0,EJ30)/20</f>
        <v>0</v>
      </c>
      <c r="IY194" s="54">
        <f>IY193</f>
        <v>-5</v>
      </c>
      <c r="IZ194" s="54">
        <f>IF(IC193="-",0,EL30/20)</f>
        <v>0</v>
      </c>
      <c r="JB194" s="54"/>
      <c r="JC194" s="54"/>
      <c r="JE194" s="54"/>
      <c r="JF194" s="54"/>
      <c r="JH194" s="54">
        <f>IF(IC193=19,ID194,-5)</f>
        <v>-5</v>
      </c>
      <c r="JI194" s="54">
        <f>IG194</f>
        <v>0</v>
      </c>
      <c r="JK194" s="54"/>
      <c r="JL194" s="54"/>
      <c r="JM194" s="39"/>
      <c r="JN194" s="61">
        <f>HT41</f>
        <v>0</v>
      </c>
      <c r="JO194" s="54"/>
      <c r="JP194" s="39"/>
      <c r="JQ194" s="62" t="b">
        <f>IL197</f>
        <v>0</v>
      </c>
      <c r="JR194" s="54"/>
      <c r="JS194" s="39"/>
      <c r="JT194" s="54"/>
      <c r="JU194" s="54"/>
      <c r="JW194" s="125" t="str">
        <f>IC193</f>
        <v>-</v>
      </c>
      <c r="JX194" s="123"/>
    </row>
    <row r="195" spans="237:284" ht="14.25" customHeight="1" x14ac:dyDescent="0.2">
      <c r="IC195" s="250"/>
      <c r="ID195" s="53">
        <f t="shared" ref="ID195:ID201" si="226">IF($IC$193="-",$ID$193,$ID$193+IF195)</f>
        <v>25.5</v>
      </c>
      <c r="IE195" s="53" t="s">
        <v>151</v>
      </c>
      <c r="IF195" s="53">
        <f>IF(EL30=0,IF194,EN30)</f>
        <v>0</v>
      </c>
      <c r="IG195" s="53">
        <f>IF(IC193="-",0,IG194-IF(EL30=0,0,EJ30*IF195))</f>
        <v>0</v>
      </c>
      <c r="II195" s="54" t="b">
        <f t="shared" si="180"/>
        <v>0</v>
      </c>
      <c r="IJ195" s="55" t="b">
        <f t="shared" si="199"/>
        <v>0</v>
      </c>
      <c r="IK195" s="54">
        <f t="shared" si="218"/>
        <v>0</v>
      </c>
      <c r="IL195" s="56">
        <f>IL194*2</f>
        <v>0</v>
      </c>
      <c r="IM195" s="54">
        <f t="shared" si="219"/>
        <v>0</v>
      </c>
      <c r="IN195" s="54">
        <f t="shared" si="220"/>
        <v>0</v>
      </c>
      <c r="IO195" s="57">
        <f t="shared" si="221"/>
        <v>0</v>
      </c>
      <c r="IP195" s="54">
        <f t="shared" si="222"/>
        <v>0</v>
      </c>
      <c r="IQ195" s="54">
        <f t="shared" si="223"/>
        <v>0</v>
      </c>
      <c r="IR195" s="54">
        <f t="shared" si="225"/>
        <v>0</v>
      </c>
      <c r="IS195" s="58" t="str">
        <f>IF(IC193="-","",SUM(IM195:IR195))</f>
        <v/>
      </c>
      <c r="IT195" s="54">
        <f t="shared" si="224"/>
        <v>25.5</v>
      </c>
      <c r="IV195" s="54">
        <f>IF202/2+IV193</f>
        <v>25.5</v>
      </c>
      <c r="IW195" s="54">
        <f>IW194</f>
        <v>0</v>
      </c>
      <c r="IY195" s="65" t="str">
        <f>IF(IC193="-","",IF(EL30=0,"",EL30))</f>
        <v/>
      </c>
      <c r="IZ195" s="55"/>
      <c r="JB195" s="54"/>
      <c r="JC195" s="54"/>
      <c r="JE195" s="54"/>
      <c r="JF195" s="54"/>
      <c r="JH195" s="54"/>
      <c r="JI195" s="54"/>
      <c r="JK195" s="54"/>
      <c r="JL195" s="54"/>
      <c r="JM195" s="39"/>
      <c r="JN195" s="54"/>
      <c r="JO195" s="54"/>
      <c r="JP195" s="39"/>
      <c r="JQ195" s="54"/>
      <c r="JR195" s="54"/>
      <c r="JS195" s="39"/>
      <c r="JT195" s="54"/>
      <c r="JU195" s="54"/>
      <c r="JW195" s="123"/>
      <c r="JX195" s="123"/>
    </row>
    <row r="196" spans="237:284" ht="14.25" customHeight="1" x14ac:dyDescent="0.2">
      <c r="IC196" s="250"/>
      <c r="ID196" s="53">
        <f t="shared" si="226"/>
        <v>25.5</v>
      </c>
      <c r="IE196" s="53" t="s">
        <v>152</v>
      </c>
      <c r="IF196" s="53">
        <f>IF195</f>
        <v>0</v>
      </c>
      <c r="IG196" s="53">
        <f>IF(IC193="-",0,IG195-EL30)</f>
        <v>0</v>
      </c>
      <c r="II196" s="54" t="b">
        <f t="shared" si="180"/>
        <v>0</v>
      </c>
      <c r="IJ196" s="55" t="b">
        <f t="shared" si="199"/>
        <v>0</v>
      </c>
      <c r="IK196" s="54">
        <f t="shared" si="218"/>
        <v>0</v>
      </c>
      <c r="IL196" s="56">
        <f>IL194*3</f>
        <v>0</v>
      </c>
      <c r="IM196" s="54">
        <f t="shared" si="219"/>
        <v>0</v>
      </c>
      <c r="IN196" s="54">
        <f t="shared" si="220"/>
        <v>0</v>
      </c>
      <c r="IO196" s="57">
        <f t="shared" si="221"/>
        <v>0</v>
      </c>
      <c r="IP196" s="54">
        <f t="shared" si="222"/>
        <v>0</v>
      </c>
      <c r="IQ196" s="54">
        <f t="shared" si="223"/>
        <v>0</v>
      </c>
      <c r="IR196" s="54">
        <f t="shared" si="225"/>
        <v>0</v>
      </c>
      <c r="IS196" s="58" t="str">
        <f>IF(IC193="-","",SUM(IM196:IR196))</f>
        <v/>
      </c>
      <c r="IT196" s="54">
        <f t="shared" si="224"/>
        <v>25.5</v>
      </c>
      <c r="IV196" s="54">
        <f>IV197</f>
        <v>25.5</v>
      </c>
      <c r="IW196" s="54">
        <f>IW194</f>
        <v>0</v>
      </c>
      <c r="IY196" s="54">
        <f>IF(IC193="-",-5,IF(ER30=0,-5,ID193+ET30))</f>
        <v>-5</v>
      </c>
      <c r="IZ196" s="54">
        <v>0</v>
      </c>
      <c r="JB196" s="54"/>
      <c r="JC196" s="54"/>
      <c r="JE196" s="54"/>
      <c r="JF196" s="54"/>
      <c r="JH196" s="54"/>
      <c r="JI196" s="54"/>
      <c r="JK196" s="54"/>
      <c r="JL196" s="54"/>
      <c r="JM196" s="39"/>
      <c r="JN196" s="54"/>
      <c r="JO196" s="54"/>
      <c r="JP196" s="39"/>
      <c r="JQ196" s="54"/>
      <c r="JR196" s="54"/>
      <c r="JS196" s="39"/>
      <c r="JT196" s="54"/>
      <c r="JU196" s="54"/>
      <c r="JW196" s="123"/>
      <c r="JX196" s="123"/>
    </row>
    <row r="197" spans="237:284" ht="14.25" customHeight="1" x14ac:dyDescent="0.2">
      <c r="IC197" s="250"/>
      <c r="ID197" s="53">
        <f t="shared" si="226"/>
        <v>25.5</v>
      </c>
      <c r="IE197" s="53" t="s">
        <v>153</v>
      </c>
      <c r="IF197" s="53">
        <f>IF(ER30=0,IF196,ET30)</f>
        <v>0</v>
      </c>
      <c r="IG197" s="53">
        <f>IF(IC193="-",0,IG196-IF(ER30=0,0,EJ30*(IF197-IF196)))</f>
        <v>0</v>
      </c>
      <c r="II197" s="54" t="b">
        <f t="shared" si="180"/>
        <v>0</v>
      </c>
      <c r="IJ197" s="55" t="b">
        <f t="shared" si="199"/>
        <v>0</v>
      </c>
      <c r="IK197" s="54">
        <f t="shared" si="218"/>
        <v>0</v>
      </c>
      <c r="IL197" s="68" t="b">
        <f>IF(II193=TRUE,IK193,IF(II194=TRUE,IK194,IF(II195=TRUE,IK195,IF(II196=TRUE,IK196,IF(II197=TRUE,IK197,IF(II198=TRUE,IK198,IF(II199=TRUE,IK199,IF(II200=TRUE,IK200,IF(II201=TRUE,IK201,IF(II202=TRUE,IK202))))))))))</f>
        <v>0</v>
      </c>
      <c r="IM197" s="68">
        <f t="shared" si="219"/>
        <v>0</v>
      </c>
      <c r="IN197" s="68">
        <f t="shared" si="220"/>
        <v>0</v>
      </c>
      <c r="IO197" s="69">
        <f t="shared" si="221"/>
        <v>0</v>
      </c>
      <c r="IP197" s="68">
        <f t="shared" si="222"/>
        <v>0</v>
      </c>
      <c r="IQ197" s="68">
        <f t="shared" si="223"/>
        <v>0</v>
      </c>
      <c r="IR197" s="68">
        <f t="shared" si="225"/>
        <v>0</v>
      </c>
      <c r="IS197" s="70" t="str">
        <f>IF(IC193="-","",ROUND(SUM(IM197:IR197),2))</f>
        <v/>
      </c>
      <c r="IT197" s="68">
        <f t="shared" si="224"/>
        <v>25.5</v>
      </c>
      <c r="IV197" s="54">
        <f>ID202</f>
        <v>25.5</v>
      </c>
      <c r="IW197" s="54">
        <v>0</v>
      </c>
      <c r="IY197" s="54">
        <f>IY196</f>
        <v>-5</v>
      </c>
      <c r="IZ197" s="54">
        <f>IF(IC193="-",0,ER30/20)</f>
        <v>0</v>
      </c>
      <c r="JB197" s="54"/>
      <c r="JC197" s="54"/>
      <c r="JE197" s="54"/>
      <c r="JF197" s="54"/>
      <c r="JH197" s="54"/>
      <c r="JI197" s="54"/>
      <c r="JK197" s="54">
        <f>IF(IC193=19,IT197,-5)</f>
        <v>-5</v>
      </c>
      <c r="JL197" s="59" t="str">
        <f>IS197</f>
        <v/>
      </c>
      <c r="JM197" s="40"/>
      <c r="JN197" s="59"/>
      <c r="JO197" s="59"/>
      <c r="JP197" s="40"/>
      <c r="JQ197" s="59"/>
      <c r="JR197" s="59"/>
      <c r="JS197" s="40"/>
      <c r="JT197" s="59"/>
      <c r="JU197" s="59"/>
      <c r="JW197" s="122"/>
      <c r="JX197" s="122"/>
    </row>
    <row r="198" spans="237:284" ht="14.25" customHeight="1" x14ac:dyDescent="0.2">
      <c r="IC198" s="250"/>
      <c r="ID198" s="53">
        <f t="shared" si="226"/>
        <v>25.5</v>
      </c>
      <c r="IE198" s="53" t="s">
        <v>154</v>
      </c>
      <c r="IF198" s="53">
        <f>IF197</f>
        <v>0</v>
      </c>
      <c r="IG198" s="53">
        <f>IF(IC193="-",0,IG197-ER30)</f>
        <v>0</v>
      </c>
      <c r="II198" s="54" t="b">
        <f t="shared" si="180"/>
        <v>0</v>
      </c>
      <c r="IJ198" s="55" t="b">
        <f t="shared" si="199"/>
        <v>0</v>
      </c>
      <c r="IK198" s="54">
        <f t="shared" si="218"/>
        <v>0</v>
      </c>
      <c r="IL198" s="56">
        <f>IL197+($IL$202-$IL$197)/4</f>
        <v>0</v>
      </c>
      <c r="IM198" s="54">
        <f t="shared" si="219"/>
        <v>0</v>
      </c>
      <c r="IN198" s="54">
        <f t="shared" si="220"/>
        <v>0</v>
      </c>
      <c r="IO198" s="57">
        <f t="shared" si="221"/>
        <v>0</v>
      </c>
      <c r="IP198" s="54">
        <f t="shared" si="222"/>
        <v>0</v>
      </c>
      <c r="IQ198" s="54">
        <f t="shared" si="223"/>
        <v>0</v>
      </c>
      <c r="IR198" s="54">
        <f t="shared" si="225"/>
        <v>0</v>
      </c>
      <c r="IS198" s="58" t="str">
        <f>IF(IC193="-","",SUM(IM198:IR198))</f>
        <v/>
      </c>
      <c r="IT198" s="54">
        <f t="shared" si="224"/>
        <v>25.5</v>
      </c>
      <c r="IV198" s="54"/>
      <c r="IW198" s="54"/>
      <c r="IY198" s="65" t="str">
        <f>IF(IC193="-","",IF(ER30=0,"",ER30))</f>
        <v/>
      </c>
      <c r="IZ198" s="55"/>
      <c r="JB198" s="54"/>
      <c r="JC198" s="54"/>
      <c r="JE198" s="54"/>
      <c r="JF198" s="54"/>
      <c r="JH198" s="54"/>
      <c r="JI198" s="54"/>
      <c r="JK198" s="54"/>
      <c r="JL198" s="54"/>
      <c r="JM198" s="39"/>
      <c r="JN198" s="54"/>
      <c r="JO198" s="54"/>
      <c r="JP198" s="39"/>
      <c r="JQ198" s="54"/>
      <c r="JR198" s="54"/>
      <c r="JS198" s="39"/>
      <c r="JT198" s="54"/>
      <c r="JU198" s="54"/>
      <c r="JW198" s="123"/>
      <c r="JX198" s="123"/>
    </row>
    <row r="199" spans="237:284" ht="14.25" customHeight="1" x14ac:dyDescent="0.2">
      <c r="IC199" s="250"/>
      <c r="ID199" s="53">
        <f t="shared" si="226"/>
        <v>25.5</v>
      </c>
      <c r="IE199" s="53" t="s">
        <v>155</v>
      </c>
      <c r="IF199" s="53">
        <f>IF(EX30=0,IF198,EZ30)</f>
        <v>0</v>
      </c>
      <c r="IG199" s="53">
        <f>IF(IC193="-",0,IG198-IF(EX30=0,0,EJ30*(IF199-IF198)))</f>
        <v>0</v>
      </c>
      <c r="II199" s="54" t="b">
        <f t="shared" si="180"/>
        <v>0</v>
      </c>
      <c r="IJ199" s="55" t="b">
        <f t="shared" si="199"/>
        <v>0</v>
      </c>
      <c r="IK199" s="54">
        <f t="shared" si="218"/>
        <v>0</v>
      </c>
      <c r="IL199" s="56">
        <f>IL198+($IL$202-$IL$197)/4</f>
        <v>0</v>
      </c>
      <c r="IM199" s="54">
        <f t="shared" si="219"/>
        <v>0</v>
      </c>
      <c r="IN199" s="54">
        <f t="shared" si="220"/>
        <v>0</v>
      </c>
      <c r="IO199" s="57">
        <f t="shared" si="221"/>
        <v>0</v>
      </c>
      <c r="IP199" s="54">
        <f t="shared" si="222"/>
        <v>0</v>
      </c>
      <c r="IQ199" s="54">
        <f t="shared" si="223"/>
        <v>0</v>
      </c>
      <c r="IR199" s="54">
        <f t="shared" si="225"/>
        <v>0</v>
      </c>
      <c r="IS199" s="58" t="str">
        <f>IF(IC193="-","",SUM(IM199:IR199))</f>
        <v/>
      </c>
      <c r="IT199" s="54">
        <f t="shared" si="224"/>
        <v>25.5</v>
      </c>
      <c r="IV199" s="72" t="str">
        <f>IF(IC193="-","",EJ30)</f>
        <v/>
      </c>
      <c r="IW199" s="54"/>
      <c r="IY199" s="54">
        <f>IF(IC193="-",-5,IF(EX30=0,-5,ID193+EZ30))</f>
        <v>-5</v>
      </c>
      <c r="IZ199" s="54">
        <v>0</v>
      </c>
      <c r="JB199" s="54"/>
      <c r="JC199" s="54"/>
      <c r="JE199" s="54"/>
      <c r="JF199" s="54"/>
      <c r="JH199" s="54"/>
      <c r="JI199" s="54"/>
      <c r="JK199" s="54"/>
      <c r="JL199" s="54"/>
      <c r="JM199" s="39"/>
      <c r="JN199" s="54"/>
      <c r="JO199" s="54"/>
      <c r="JP199" s="39"/>
      <c r="JQ199" s="54"/>
      <c r="JR199" s="54"/>
      <c r="JS199" s="39"/>
      <c r="JT199" s="54"/>
      <c r="JU199" s="54"/>
      <c r="JW199" s="123"/>
      <c r="JX199" s="123"/>
    </row>
    <row r="200" spans="237:284" ht="14.25" customHeight="1" x14ac:dyDescent="0.2">
      <c r="IC200" s="250"/>
      <c r="ID200" s="53">
        <f t="shared" si="226"/>
        <v>25.5</v>
      </c>
      <c r="IE200" s="53" t="s">
        <v>156</v>
      </c>
      <c r="IF200" s="53">
        <f>IF199</f>
        <v>0</v>
      </c>
      <c r="IG200" s="53">
        <f>IF(IC193="-",0,IG199-EX30)</f>
        <v>0</v>
      </c>
      <c r="II200" s="54" t="b">
        <f t="shared" si="180"/>
        <v>0</v>
      </c>
      <c r="IJ200" s="55" t="b">
        <f t="shared" si="199"/>
        <v>0</v>
      </c>
      <c r="IK200" s="54">
        <f t="shared" si="218"/>
        <v>0</v>
      </c>
      <c r="IL200" s="56">
        <f>IL199+($IL$202-$IL$197)/4</f>
        <v>0</v>
      </c>
      <c r="IM200" s="54">
        <f t="shared" si="219"/>
        <v>0</v>
      </c>
      <c r="IN200" s="54">
        <f t="shared" si="220"/>
        <v>0</v>
      </c>
      <c r="IO200" s="57">
        <f t="shared" si="221"/>
        <v>0</v>
      </c>
      <c r="IP200" s="54">
        <f t="shared" si="222"/>
        <v>0</v>
      </c>
      <c r="IQ200" s="54">
        <f t="shared" si="223"/>
        <v>0</v>
      </c>
      <c r="IR200" s="54">
        <f t="shared" si="225"/>
        <v>0</v>
      </c>
      <c r="IS200" s="58" t="str">
        <f>IF(IC193="-","",SUM(IM200:IR200))</f>
        <v/>
      </c>
      <c r="IT200" s="54">
        <f t="shared" si="224"/>
        <v>25.5</v>
      </c>
      <c r="IV200" s="54"/>
      <c r="IW200" s="54"/>
      <c r="IY200" s="54">
        <f>IY199</f>
        <v>-5</v>
      </c>
      <c r="IZ200" s="54">
        <f>IF(IC193="-",0,EX30/20)</f>
        <v>0</v>
      </c>
      <c r="JB200" s="66" t="str">
        <f>IF(IC193="-","",HY42)</f>
        <v/>
      </c>
      <c r="JC200" s="54" t="b">
        <f>AND($F$2=19,$F$10=$ER$43)</f>
        <v>0</v>
      </c>
      <c r="JE200" s="66" t="str">
        <f>JB200</f>
        <v/>
      </c>
      <c r="JF200" s="54"/>
      <c r="JH200" s="54"/>
      <c r="JI200" s="54"/>
      <c r="JK200" s="54" t="b">
        <f>AND($F$2=19,$F$10=$ER$43)</f>
        <v>0</v>
      </c>
      <c r="JL200" s="54"/>
      <c r="JM200" s="39"/>
      <c r="JN200" s="54"/>
      <c r="JO200" s="54"/>
      <c r="JP200" s="39"/>
      <c r="JQ200" s="54"/>
      <c r="JR200" s="54"/>
      <c r="JS200" s="39"/>
      <c r="JT200" s="54"/>
      <c r="JU200" s="54"/>
      <c r="JW200" s="123"/>
      <c r="JX200" s="123"/>
    </row>
    <row r="201" spans="237:284" ht="14.25" customHeight="1" x14ac:dyDescent="0.2">
      <c r="IC201" s="250"/>
      <c r="ID201" s="53">
        <f t="shared" si="226"/>
        <v>25.5</v>
      </c>
      <c r="IE201" s="53" t="s">
        <v>157</v>
      </c>
      <c r="IF201" s="53">
        <f>IF202</f>
        <v>0</v>
      </c>
      <c r="IG201" s="53">
        <f>HW42</f>
        <v>0</v>
      </c>
      <c r="II201" s="54" t="b">
        <f t="shared" si="180"/>
        <v>0</v>
      </c>
      <c r="IJ201" s="55" t="b">
        <f t="shared" si="199"/>
        <v>0</v>
      </c>
      <c r="IK201" s="54">
        <f t="shared" si="218"/>
        <v>0</v>
      </c>
      <c r="IL201" s="56">
        <f>IL200+($IL$202-$IL$197)/4</f>
        <v>0</v>
      </c>
      <c r="IM201" s="54">
        <f t="shared" si="219"/>
        <v>0</v>
      </c>
      <c r="IN201" s="54">
        <f t="shared" si="220"/>
        <v>0</v>
      </c>
      <c r="IO201" s="57">
        <f t="shared" si="221"/>
        <v>0</v>
      </c>
      <c r="IP201" s="54">
        <f t="shared" si="222"/>
        <v>0</v>
      </c>
      <c r="IQ201" s="54">
        <f t="shared" si="223"/>
        <v>0</v>
      </c>
      <c r="IR201" s="55"/>
      <c r="IS201" s="59" t="str">
        <f>IF(IC193="-","",ROUND(HU42,2))</f>
        <v/>
      </c>
      <c r="IT201" s="54">
        <f t="shared" si="224"/>
        <v>25.5</v>
      </c>
      <c r="IV201" s="54"/>
      <c r="IW201" s="54"/>
      <c r="IY201" s="65" t="str">
        <f>IF(IC193="-","",IF(EX30=0,"",EX30))</f>
        <v/>
      </c>
      <c r="IZ201" s="55"/>
      <c r="JB201" s="54">
        <f>ID202</f>
        <v>25.5</v>
      </c>
      <c r="JC201" s="54">
        <v>0</v>
      </c>
      <c r="JE201" s="54">
        <f>JB201</f>
        <v>25.5</v>
      </c>
      <c r="JF201" s="54">
        <f>IF(JE200&gt;0,-MAX(IW3:IW272,IZ3:IZ272)*0.5,-MAX(IW3:IW272,IZ3:IZ272)*1.5)</f>
        <v>-37.5</v>
      </c>
      <c r="JH201" s="54">
        <f>IF(IC193=19,ID201,-5)</f>
        <v>-5</v>
      </c>
      <c r="JI201" s="54">
        <f>IG201</f>
        <v>0</v>
      </c>
      <c r="JK201" s="54">
        <f>IF(JK200=TRUE,IT201,-5)</f>
        <v>-5</v>
      </c>
      <c r="JL201" s="59" t="str">
        <f>IS201</f>
        <v/>
      </c>
      <c r="JM201" s="40"/>
      <c r="JN201" s="59"/>
      <c r="JO201" s="59"/>
      <c r="JP201" s="40"/>
      <c r="JQ201" s="59"/>
      <c r="JR201" s="59"/>
      <c r="JS201" s="40"/>
      <c r="JT201" s="59"/>
      <c r="JU201" s="59"/>
      <c r="JW201" s="122"/>
      <c r="JX201" s="122"/>
    </row>
    <row r="202" spans="237:284" ht="14.25" customHeight="1" x14ac:dyDescent="0.2">
      <c r="IC202" s="250"/>
      <c r="ID202" s="53">
        <f>IF(HS41="R0",ID193,ID193+HT41)</f>
        <v>25.5</v>
      </c>
      <c r="IE202" s="53" t="s">
        <v>158</v>
      </c>
      <c r="IF202" s="53">
        <f>IF(HS41="R0",0,HT41)</f>
        <v>0</v>
      </c>
      <c r="IG202" s="53">
        <v>0</v>
      </c>
      <c r="II202" s="54" t="b">
        <f t="shared" si="180"/>
        <v>0</v>
      </c>
      <c r="IJ202" s="55" t="b">
        <f t="shared" si="199"/>
        <v>0</v>
      </c>
      <c r="IK202" s="54">
        <f t="shared" si="218"/>
        <v>0</v>
      </c>
      <c r="IL202" s="56">
        <f>IK202</f>
        <v>0</v>
      </c>
      <c r="IM202" s="54"/>
      <c r="IN202" s="54"/>
      <c r="IO202" s="57"/>
      <c r="IP202" s="54"/>
      <c r="IQ202" s="54"/>
      <c r="IR202" s="55"/>
      <c r="IS202" s="83"/>
      <c r="IT202" s="54"/>
      <c r="IV202" s="54"/>
      <c r="IW202" s="54"/>
      <c r="IY202" s="55"/>
      <c r="IZ202" s="55"/>
      <c r="JB202" s="54">
        <f>JB201</f>
        <v>25.5</v>
      </c>
      <c r="JC202" s="54">
        <f>IF(IC193="-",0,IF(JC200=TRUE,0,-20))</f>
        <v>0</v>
      </c>
      <c r="JE202" s="54">
        <f>JE201</f>
        <v>25.5</v>
      </c>
      <c r="JF202" s="54">
        <f>IF(IC193="-",JF201,IF(JE200&gt;0,-MAX(IW3:IW272,IZ3:IZ272)*1.5,-MAX(IW3:IW272,IZ3:IZ272)*0.5))</f>
        <v>-37.5</v>
      </c>
      <c r="JH202" s="54"/>
      <c r="JI202" s="54"/>
      <c r="JK202" s="54"/>
      <c r="JL202" s="54"/>
      <c r="JM202" s="39"/>
      <c r="JN202" s="54"/>
      <c r="JO202" s="54"/>
      <c r="JP202" s="39"/>
      <c r="JQ202" s="54"/>
      <c r="JR202" s="54"/>
      <c r="JS202" s="39"/>
      <c r="JT202" s="54"/>
      <c r="JU202" s="54"/>
      <c r="JW202" s="123"/>
      <c r="JX202" s="123"/>
    </row>
    <row r="203" spans="237:284" ht="14.25" customHeight="1" x14ac:dyDescent="0.2">
      <c r="IC203" s="234" t="str">
        <f>IF(HS43="R0","-",HS43)</f>
        <v>-</v>
      </c>
      <c r="ID203" s="74">
        <f>IF(HS43="R0",ID272,ID202)</f>
        <v>25.5</v>
      </c>
      <c r="IE203" s="74" t="s">
        <v>149</v>
      </c>
      <c r="IF203" s="74">
        <v>0</v>
      </c>
      <c r="IG203" s="74">
        <v>0</v>
      </c>
      <c r="II203" s="35" t="b">
        <f t="shared" si="180"/>
        <v>0</v>
      </c>
      <c r="IJ203" s="45" t="b">
        <f t="shared" si="199"/>
        <v>0</v>
      </c>
      <c r="IK203" s="35">
        <f t="shared" ref="IK203:IK212" si="227">IF(II203=TRUE,IF(IJ203=TRUE,IG203/$EJ$31)+IF203,IF203)</f>
        <v>0</v>
      </c>
      <c r="IL203" s="48">
        <f>IK203</f>
        <v>0</v>
      </c>
      <c r="IM203" s="35">
        <f t="shared" ref="IM203:IM211" si="228">$HV$43*IL203</f>
        <v>0</v>
      </c>
      <c r="IN203" s="35">
        <f t="shared" ref="IN203:IN211" si="229">-$EJ$31*(IL203^2/2)</f>
        <v>0</v>
      </c>
      <c r="IO203" s="36">
        <f t="shared" ref="IO203:IO211" si="230">-IF(IL203&gt;=$EN$31,$EL$31*(IL203-$EN$31),0)</f>
        <v>0</v>
      </c>
      <c r="IP203" s="35">
        <f t="shared" ref="IP203:IP211" si="231">-IF(IL203&gt;=$ET$31,$ER$31*(IL203-$ET$31),0)</f>
        <v>0</v>
      </c>
      <c r="IQ203" s="35">
        <f t="shared" ref="IQ203:IQ211" si="232">-IF(IL203&gt;=$EZ$31,$EX$31*(IL203-$EZ$31),0)</f>
        <v>0</v>
      </c>
      <c r="IR203" s="45"/>
      <c r="IS203" s="37" t="str">
        <f>IF(IC203="-","",HU43)</f>
        <v/>
      </c>
      <c r="IT203" s="35">
        <f t="shared" ref="IT203:IT211" si="233">$ID$203+IL203</f>
        <v>25.5</v>
      </c>
      <c r="IV203" s="35">
        <f>ID203</f>
        <v>25.5</v>
      </c>
      <c r="IW203" s="35">
        <v>0</v>
      </c>
      <c r="IY203" s="35">
        <f>IF(IC203="-",-5,IF(EL31=0,-5,ID203+EN31))</f>
        <v>-5</v>
      </c>
      <c r="IZ203" s="35">
        <v>0</v>
      </c>
      <c r="JB203" s="38"/>
      <c r="JC203" s="38"/>
      <c r="JE203" s="38"/>
      <c r="JF203" s="38"/>
      <c r="JH203" s="38"/>
      <c r="JI203" s="38"/>
      <c r="JK203" s="35">
        <f>IF(IC203=20,IT203,-5)</f>
        <v>-5</v>
      </c>
      <c r="JL203" s="37" t="str">
        <f>IS203</f>
        <v/>
      </c>
      <c r="JM203" s="40"/>
      <c r="JN203" s="37">
        <f>IF(IC203="-",-5,(ID203+ID212)/2)</f>
        <v>-5</v>
      </c>
      <c r="JO203" s="37">
        <f>-MAX(IW3:IW272,IZ3:IZ272)*0.7</f>
        <v>-52.5</v>
      </c>
      <c r="JP203" s="40"/>
      <c r="JQ203" s="37">
        <f>IF(IC203="-",-5,(IT203+IT207)/2)</f>
        <v>-5</v>
      </c>
      <c r="JR203" s="37">
        <f>JR13</f>
        <v>-760.38306347150262</v>
      </c>
      <c r="JS203" s="40"/>
      <c r="JT203" s="37"/>
      <c r="JU203" s="37"/>
      <c r="JW203" s="37">
        <f>JN203</f>
        <v>-5</v>
      </c>
      <c r="JX203" s="37">
        <f>JF212</f>
        <v>-37.5</v>
      </c>
    </row>
    <row r="204" spans="237:284" ht="14.25" customHeight="1" x14ac:dyDescent="0.2">
      <c r="IC204" s="234"/>
      <c r="ID204" s="74">
        <f>IF($IC$203="-",$ID$203,$ID$203+IF204)</f>
        <v>25.5</v>
      </c>
      <c r="IE204" s="74" t="s">
        <v>150</v>
      </c>
      <c r="IF204" s="74">
        <f>IF203</f>
        <v>0</v>
      </c>
      <c r="IG204" s="74">
        <f>IF(IC203="-",0,HV43)</f>
        <v>0</v>
      </c>
      <c r="II204" s="35" t="b">
        <f t="shared" si="180"/>
        <v>0</v>
      </c>
      <c r="IJ204" s="45" t="b">
        <f t="shared" si="199"/>
        <v>0</v>
      </c>
      <c r="IK204" s="35">
        <f t="shared" si="227"/>
        <v>0</v>
      </c>
      <c r="IL204" s="48">
        <f>(IL207-IL203)/4</f>
        <v>0</v>
      </c>
      <c r="IM204" s="35">
        <f t="shared" si="228"/>
        <v>0</v>
      </c>
      <c r="IN204" s="35">
        <f t="shared" si="229"/>
        <v>0</v>
      </c>
      <c r="IO204" s="36">
        <f t="shared" si="230"/>
        <v>0</v>
      </c>
      <c r="IP204" s="35">
        <f t="shared" si="231"/>
        <v>0</v>
      </c>
      <c r="IQ204" s="35">
        <f t="shared" si="232"/>
        <v>0</v>
      </c>
      <c r="IR204" s="35">
        <f t="shared" ref="IR204:IR210" si="234">$HU$43</f>
        <v>0</v>
      </c>
      <c r="IS204" s="42" t="str">
        <f>IF(IC203="-","",SUM(IM204:IR204))</f>
        <v/>
      </c>
      <c r="IT204" s="35">
        <f t="shared" si="233"/>
        <v>25.5</v>
      </c>
      <c r="IV204" s="35">
        <f>IV203</f>
        <v>25.5</v>
      </c>
      <c r="IW204" s="35">
        <f>IF(IC203="-",0,EJ31)/20</f>
        <v>0</v>
      </c>
      <c r="IY204" s="35">
        <f>IY203</f>
        <v>-5</v>
      </c>
      <c r="IZ204" s="35">
        <f>IF(IC203="-",0,EL31/20)</f>
        <v>0</v>
      </c>
      <c r="JB204" s="38"/>
      <c r="JC204" s="38"/>
      <c r="JE204" s="38"/>
      <c r="JF204" s="38"/>
      <c r="JH204" s="38">
        <f>IF(IC203=20,ID204,-5)</f>
        <v>-5</v>
      </c>
      <c r="JI204" s="38">
        <f>IG204</f>
        <v>0</v>
      </c>
      <c r="JK204" s="35"/>
      <c r="JL204" s="35"/>
      <c r="JM204" s="39"/>
      <c r="JN204" s="75">
        <f>HT43</f>
        <v>0</v>
      </c>
      <c r="JO204" s="35"/>
      <c r="JP204" s="39"/>
      <c r="JQ204" s="76" t="b">
        <f>IL207</f>
        <v>0</v>
      </c>
      <c r="JR204" s="35"/>
      <c r="JS204" s="39"/>
      <c r="JT204" s="35"/>
      <c r="JU204" s="35"/>
      <c r="JW204" s="124" t="str">
        <f>IC203</f>
        <v>-</v>
      </c>
      <c r="JX204" s="127"/>
    </row>
    <row r="205" spans="237:284" ht="14.25" customHeight="1" x14ac:dyDescent="0.2">
      <c r="IC205" s="234"/>
      <c r="ID205" s="74">
        <f t="shared" ref="ID205:ID211" si="235">IF($IC$203="-",$ID$203,$ID$203+IF205)</f>
        <v>25.5</v>
      </c>
      <c r="IE205" s="74" t="s">
        <v>151</v>
      </c>
      <c r="IF205" s="74">
        <f>IF(EL31=0,IF204,EN31)</f>
        <v>0</v>
      </c>
      <c r="IG205" s="74">
        <f>IF(IC203="-",0,IG204-IF(EL31=0,0,EJ31*IF205))</f>
        <v>0</v>
      </c>
      <c r="II205" s="35" t="b">
        <f t="shared" si="180"/>
        <v>0</v>
      </c>
      <c r="IJ205" s="45" t="b">
        <f t="shared" si="199"/>
        <v>0</v>
      </c>
      <c r="IK205" s="35">
        <f t="shared" si="227"/>
        <v>0</v>
      </c>
      <c r="IL205" s="48">
        <f>IL204*2</f>
        <v>0</v>
      </c>
      <c r="IM205" s="35">
        <f t="shared" si="228"/>
        <v>0</v>
      </c>
      <c r="IN205" s="35">
        <f t="shared" si="229"/>
        <v>0</v>
      </c>
      <c r="IO205" s="36">
        <f t="shared" si="230"/>
        <v>0</v>
      </c>
      <c r="IP205" s="35">
        <f t="shared" si="231"/>
        <v>0</v>
      </c>
      <c r="IQ205" s="35">
        <f t="shared" si="232"/>
        <v>0</v>
      </c>
      <c r="IR205" s="35">
        <f t="shared" si="234"/>
        <v>0</v>
      </c>
      <c r="IS205" s="42" t="str">
        <f>IF(IC203="-","",SUM(IM205:IR205))</f>
        <v/>
      </c>
      <c r="IT205" s="35">
        <f t="shared" si="233"/>
        <v>25.5</v>
      </c>
      <c r="IV205" s="35">
        <f>IF212/2+IV203</f>
        <v>25.5</v>
      </c>
      <c r="IW205" s="35">
        <f>IW204</f>
        <v>0</v>
      </c>
      <c r="IY205" s="44" t="str">
        <f>IF(IC203="-","",IF(EL31=0,"",EL31))</f>
        <v/>
      </c>
      <c r="IZ205" s="45"/>
      <c r="JB205" s="38"/>
      <c r="JC205" s="38"/>
      <c r="JE205" s="38"/>
      <c r="JF205" s="38"/>
      <c r="JH205" s="38"/>
      <c r="JI205" s="38"/>
      <c r="JK205" s="35"/>
      <c r="JL205" s="35"/>
      <c r="JM205" s="39"/>
      <c r="JN205" s="35"/>
      <c r="JO205" s="35"/>
      <c r="JP205" s="39"/>
      <c r="JQ205" s="35"/>
      <c r="JR205" s="35"/>
      <c r="JS205" s="39"/>
      <c r="JT205" s="35"/>
      <c r="JU205" s="35"/>
      <c r="JW205" s="127"/>
      <c r="JX205" s="127"/>
    </row>
    <row r="206" spans="237:284" ht="14.25" customHeight="1" x14ac:dyDescent="0.2">
      <c r="IC206" s="234"/>
      <c r="ID206" s="74">
        <f t="shared" si="235"/>
        <v>25.5</v>
      </c>
      <c r="IE206" s="74" t="s">
        <v>152</v>
      </c>
      <c r="IF206" s="74">
        <f>IF205</f>
        <v>0</v>
      </c>
      <c r="IG206" s="74">
        <f>IF(IC203="-",0,IG205-EL31)</f>
        <v>0</v>
      </c>
      <c r="II206" s="35" t="b">
        <f t="shared" si="180"/>
        <v>0</v>
      </c>
      <c r="IJ206" s="45" t="b">
        <f t="shared" si="199"/>
        <v>0</v>
      </c>
      <c r="IK206" s="35">
        <f t="shared" si="227"/>
        <v>0</v>
      </c>
      <c r="IL206" s="48">
        <f>IL204*3</f>
        <v>0</v>
      </c>
      <c r="IM206" s="35">
        <f t="shared" si="228"/>
        <v>0</v>
      </c>
      <c r="IN206" s="35">
        <f t="shared" si="229"/>
        <v>0</v>
      </c>
      <c r="IO206" s="36">
        <f t="shared" si="230"/>
        <v>0</v>
      </c>
      <c r="IP206" s="35">
        <f t="shared" si="231"/>
        <v>0</v>
      </c>
      <c r="IQ206" s="35">
        <f t="shared" si="232"/>
        <v>0</v>
      </c>
      <c r="IR206" s="35">
        <f t="shared" si="234"/>
        <v>0</v>
      </c>
      <c r="IS206" s="42" t="str">
        <f>IF(IC203="-","",SUM(IM206:IR206))</f>
        <v/>
      </c>
      <c r="IT206" s="35">
        <f t="shared" si="233"/>
        <v>25.5</v>
      </c>
      <c r="IV206" s="35">
        <f>IV207</f>
        <v>25.5</v>
      </c>
      <c r="IW206" s="35">
        <f>IW204</f>
        <v>0</v>
      </c>
      <c r="IY206" s="35">
        <f>IF(IC203="-",-5,IF(ER31=0,-5,ID203+ET31))</f>
        <v>-5</v>
      </c>
      <c r="IZ206" s="35">
        <v>0</v>
      </c>
      <c r="JB206" s="38"/>
      <c r="JC206" s="38"/>
      <c r="JE206" s="38"/>
      <c r="JF206" s="38"/>
      <c r="JH206" s="38"/>
      <c r="JI206" s="38"/>
      <c r="JK206" s="35"/>
      <c r="JL206" s="35"/>
      <c r="JM206" s="39"/>
      <c r="JN206" s="35"/>
      <c r="JO206" s="35"/>
      <c r="JP206" s="39"/>
      <c r="JQ206" s="35"/>
      <c r="JR206" s="35"/>
      <c r="JS206" s="39"/>
      <c r="JT206" s="35"/>
      <c r="JU206" s="35"/>
      <c r="JW206" s="127"/>
      <c r="JX206" s="127"/>
    </row>
    <row r="207" spans="237:284" ht="14.25" customHeight="1" x14ac:dyDescent="0.2">
      <c r="IC207" s="234"/>
      <c r="ID207" s="74">
        <f t="shared" si="235"/>
        <v>25.5</v>
      </c>
      <c r="IE207" s="74" t="s">
        <v>153</v>
      </c>
      <c r="IF207" s="74">
        <f>IF(ER31=0,IF206,ET31)</f>
        <v>0</v>
      </c>
      <c r="IG207" s="74">
        <f>IF(IC203="-",0,IG206-IF(ER31=0,0,EJ31*(IF207-IF206)))</f>
        <v>0</v>
      </c>
      <c r="II207" s="35" t="b">
        <f t="shared" si="180"/>
        <v>0</v>
      </c>
      <c r="IJ207" s="45" t="b">
        <f t="shared" si="199"/>
        <v>0</v>
      </c>
      <c r="IK207" s="35">
        <f t="shared" si="227"/>
        <v>0</v>
      </c>
      <c r="IL207" s="68" t="b">
        <f>IF(II203=TRUE,IK203,IF(II204=TRUE,IK204,IF(II205=TRUE,IK205,IF(II206=TRUE,IK206,IF(II207=TRUE,IK207,IF(II208=TRUE,IK208,IF(II209=TRUE,IK209,IF(II210=TRUE,IK210,IF(II211=TRUE,IK211,IF(II212=TRUE,IK212))))))))))</f>
        <v>0</v>
      </c>
      <c r="IM207" s="68">
        <f t="shared" si="228"/>
        <v>0</v>
      </c>
      <c r="IN207" s="68">
        <f t="shared" si="229"/>
        <v>0</v>
      </c>
      <c r="IO207" s="69">
        <f t="shared" si="230"/>
        <v>0</v>
      </c>
      <c r="IP207" s="68">
        <f t="shared" si="231"/>
        <v>0</v>
      </c>
      <c r="IQ207" s="68">
        <f t="shared" si="232"/>
        <v>0</v>
      </c>
      <c r="IR207" s="68">
        <f t="shared" si="234"/>
        <v>0</v>
      </c>
      <c r="IS207" s="70" t="str">
        <f>IF(IC203="-","",ROUND(SUM(IM207:IR207),2))</f>
        <v/>
      </c>
      <c r="IT207" s="68">
        <f t="shared" si="233"/>
        <v>25.5</v>
      </c>
      <c r="IV207" s="35">
        <f>ID212</f>
        <v>25.5</v>
      </c>
      <c r="IW207" s="35">
        <v>0</v>
      </c>
      <c r="IY207" s="35">
        <f>IY206</f>
        <v>-5</v>
      </c>
      <c r="IZ207" s="35">
        <f>IF(IC203="-",0,ER31/20)</f>
        <v>0</v>
      </c>
      <c r="JB207" s="38"/>
      <c r="JC207" s="38"/>
      <c r="JE207" s="38"/>
      <c r="JF207" s="38"/>
      <c r="JH207" s="38"/>
      <c r="JI207" s="38"/>
      <c r="JK207" s="35">
        <f>IF(IC203=20,IT207,-5)</f>
        <v>-5</v>
      </c>
      <c r="JL207" s="37" t="str">
        <f>IS207</f>
        <v/>
      </c>
      <c r="JM207" s="40"/>
      <c r="JN207" s="37"/>
      <c r="JO207" s="37"/>
      <c r="JP207" s="40"/>
      <c r="JQ207" s="37"/>
      <c r="JR207" s="37"/>
      <c r="JS207" s="40"/>
      <c r="JT207" s="37"/>
      <c r="JU207" s="37"/>
      <c r="JW207" s="37"/>
      <c r="JX207" s="37"/>
    </row>
    <row r="208" spans="237:284" ht="14.25" customHeight="1" x14ac:dyDescent="0.2">
      <c r="IC208" s="234"/>
      <c r="ID208" s="74">
        <f t="shared" si="235"/>
        <v>25.5</v>
      </c>
      <c r="IE208" s="74" t="s">
        <v>154</v>
      </c>
      <c r="IF208" s="74">
        <f>IF207</f>
        <v>0</v>
      </c>
      <c r="IG208" s="74">
        <f>IF(IC203="-",0,IG207-ER31)</f>
        <v>0</v>
      </c>
      <c r="II208" s="35" t="b">
        <f t="shared" si="180"/>
        <v>0</v>
      </c>
      <c r="IJ208" s="45" t="b">
        <f t="shared" si="199"/>
        <v>0</v>
      </c>
      <c r="IK208" s="35">
        <f t="shared" si="227"/>
        <v>0</v>
      </c>
      <c r="IL208" s="48">
        <f>IL207+($IL$212-$IL$207)/4</f>
        <v>0</v>
      </c>
      <c r="IM208" s="35">
        <f t="shared" si="228"/>
        <v>0</v>
      </c>
      <c r="IN208" s="35">
        <f t="shared" si="229"/>
        <v>0</v>
      </c>
      <c r="IO208" s="36">
        <f t="shared" si="230"/>
        <v>0</v>
      </c>
      <c r="IP208" s="35">
        <f t="shared" si="231"/>
        <v>0</v>
      </c>
      <c r="IQ208" s="35">
        <f t="shared" si="232"/>
        <v>0</v>
      </c>
      <c r="IR208" s="35">
        <f t="shared" si="234"/>
        <v>0</v>
      </c>
      <c r="IS208" s="42" t="str">
        <f>IF(IC203="-","",SUM(IM208:IR208))</f>
        <v/>
      </c>
      <c r="IT208" s="35">
        <f t="shared" si="233"/>
        <v>25.5</v>
      </c>
      <c r="IV208" s="35"/>
      <c r="IW208" s="35"/>
      <c r="IY208" s="44" t="str">
        <f>IF(IC203="-","",IF(ER31=0,"",ER31))</f>
        <v/>
      </c>
      <c r="IZ208" s="45"/>
      <c r="JB208" s="38"/>
      <c r="JC208" s="38"/>
      <c r="JE208" s="38"/>
      <c r="JF208" s="38"/>
      <c r="JH208" s="38"/>
      <c r="JI208" s="38"/>
      <c r="JK208" s="35"/>
      <c r="JL208" s="35"/>
      <c r="JM208" s="39"/>
      <c r="JN208" s="35"/>
      <c r="JO208" s="35"/>
      <c r="JP208" s="39"/>
      <c r="JQ208" s="35"/>
      <c r="JR208" s="35"/>
      <c r="JS208" s="39"/>
      <c r="JT208" s="35"/>
      <c r="JU208" s="35"/>
      <c r="JW208" s="127"/>
      <c r="JX208" s="127"/>
    </row>
    <row r="209" spans="237:287" ht="14.25" customHeight="1" x14ac:dyDescent="0.2">
      <c r="IC209" s="234"/>
      <c r="ID209" s="74">
        <f t="shared" si="235"/>
        <v>25.5</v>
      </c>
      <c r="IE209" s="74" t="s">
        <v>155</v>
      </c>
      <c r="IF209" s="74">
        <f>IF(EX31=0,IF208,EZ31)</f>
        <v>0</v>
      </c>
      <c r="IG209" s="74">
        <f>IF(IC203="-",0,IG208-IF(EX31=0,0,EJ31*(IF209-IF208)))</f>
        <v>0</v>
      </c>
      <c r="II209" s="35" t="b">
        <f t="shared" si="180"/>
        <v>0</v>
      </c>
      <c r="IJ209" s="45" t="b">
        <f t="shared" si="199"/>
        <v>0</v>
      </c>
      <c r="IK209" s="35">
        <f t="shared" si="227"/>
        <v>0</v>
      </c>
      <c r="IL209" s="48">
        <f>IL208+($IL$212-$IL$207)/4</f>
        <v>0</v>
      </c>
      <c r="IM209" s="35">
        <f t="shared" si="228"/>
        <v>0</v>
      </c>
      <c r="IN209" s="35">
        <f t="shared" si="229"/>
        <v>0</v>
      </c>
      <c r="IO209" s="36">
        <f t="shared" si="230"/>
        <v>0</v>
      </c>
      <c r="IP209" s="35">
        <f t="shared" si="231"/>
        <v>0</v>
      </c>
      <c r="IQ209" s="35">
        <f t="shared" si="232"/>
        <v>0</v>
      </c>
      <c r="IR209" s="35">
        <f t="shared" si="234"/>
        <v>0</v>
      </c>
      <c r="IS209" s="42" t="str">
        <f>IF(IC203="-","",SUM(IM209:IR209))</f>
        <v/>
      </c>
      <c r="IT209" s="35">
        <f t="shared" si="233"/>
        <v>25.5</v>
      </c>
      <c r="IV209" s="84" t="str">
        <f>IF(IC203="-","",EJ31)</f>
        <v/>
      </c>
      <c r="IW209" s="35"/>
      <c r="IY209" s="35">
        <f>IF(IC203="-",-5,IF(EX31=0,-5,ID203+EZ31))</f>
        <v>-5</v>
      </c>
      <c r="IZ209" s="35">
        <v>0</v>
      </c>
      <c r="JB209" s="38"/>
      <c r="JC209" s="38"/>
      <c r="JE209" s="38"/>
      <c r="JF209" s="38"/>
      <c r="JH209" s="38"/>
      <c r="JI209" s="38"/>
      <c r="JK209" s="35"/>
      <c r="JL209" s="35"/>
      <c r="JM209" s="39"/>
      <c r="JN209" s="35"/>
      <c r="JO209" s="35"/>
      <c r="JP209" s="39"/>
      <c r="JQ209" s="35"/>
      <c r="JR209" s="35"/>
      <c r="JS209" s="39"/>
      <c r="JT209" s="35"/>
      <c r="JU209" s="35"/>
      <c r="JW209" s="127"/>
      <c r="JX209" s="127"/>
    </row>
    <row r="210" spans="237:287" ht="14.25" customHeight="1" x14ac:dyDescent="0.2">
      <c r="IC210" s="234"/>
      <c r="ID210" s="74">
        <f t="shared" si="235"/>
        <v>25.5</v>
      </c>
      <c r="IE210" s="74" t="s">
        <v>156</v>
      </c>
      <c r="IF210" s="74">
        <f>IF209</f>
        <v>0</v>
      </c>
      <c r="IG210" s="74">
        <f>IF(IC203="-",0,IG209-EX31)</f>
        <v>0</v>
      </c>
      <c r="II210" s="35" t="b">
        <f t="shared" si="180"/>
        <v>0</v>
      </c>
      <c r="IJ210" s="45" t="b">
        <f t="shared" si="199"/>
        <v>0</v>
      </c>
      <c r="IK210" s="35">
        <f t="shared" si="227"/>
        <v>0</v>
      </c>
      <c r="IL210" s="48">
        <f>IL209+($IL$212-$IL$207)/4</f>
        <v>0</v>
      </c>
      <c r="IM210" s="35">
        <f t="shared" si="228"/>
        <v>0</v>
      </c>
      <c r="IN210" s="35">
        <f t="shared" si="229"/>
        <v>0</v>
      </c>
      <c r="IO210" s="36">
        <f t="shared" si="230"/>
        <v>0</v>
      </c>
      <c r="IP210" s="35">
        <f t="shared" si="231"/>
        <v>0</v>
      </c>
      <c r="IQ210" s="35">
        <f t="shared" si="232"/>
        <v>0</v>
      </c>
      <c r="IR210" s="35">
        <f t="shared" si="234"/>
        <v>0</v>
      </c>
      <c r="IS210" s="42" t="str">
        <f>IF(IC203="-","",SUM(IM210:IR210))</f>
        <v/>
      </c>
      <c r="IT210" s="35">
        <f t="shared" si="233"/>
        <v>25.5</v>
      </c>
      <c r="IV210" s="35"/>
      <c r="IW210" s="35"/>
      <c r="IY210" s="35">
        <f>IY209</f>
        <v>-5</v>
      </c>
      <c r="IZ210" s="35">
        <f>IF(IC203="-",0,EX31/20)</f>
        <v>0</v>
      </c>
      <c r="JB210" s="47" t="str">
        <f>IF(IC203="-","",HY44)</f>
        <v/>
      </c>
      <c r="JC210" s="35" t="b">
        <f>AND($F$2=20,$F$10=$ER$43)</f>
        <v>0</v>
      </c>
      <c r="JE210" s="47" t="str">
        <f>JB210</f>
        <v/>
      </c>
      <c r="JF210" s="38"/>
      <c r="JH210" s="38"/>
      <c r="JI210" s="38"/>
      <c r="JK210" s="35" t="b">
        <f>AND($F$2=20,$F$10=$ER$43)</f>
        <v>0</v>
      </c>
      <c r="JL210" s="35"/>
      <c r="JM210" s="39"/>
      <c r="JN210" s="35"/>
      <c r="JO210" s="35"/>
      <c r="JP210" s="39"/>
      <c r="JQ210" s="35"/>
      <c r="JR210" s="35"/>
      <c r="JS210" s="39"/>
      <c r="JT210" s="35"/>
      <c r="JU210" s="35"/>
      <c r="JW210" s="127"/>
      <c r="JX210" s="127"/>
    </row>
    <row r="211" spans="237:287" ht="14.25" customHeight="1" x14ac:dyDescent="0.2">
      <c r="IC211" s="234"/>
      <c r="ID211" s="74">
        <f t="shared" si="235"/>
        <v>25.5</v>
      </c>
      <c r="IE211" s="74" t="s">
        <v>157</v>
      </c>
      <c r="IF211" s="74">
        <f>IF212</f>
        <v>0</v>
      </c>
      <c r="IG211" s="74">
        <f>HW44</f>
        <v>0</v>
      </c>
      <c r="II211" s="35" t="b">
        <f t="shared" si="180"/>
        <v>0</v>
      </c>
      <c r="IJ211" s="45" t="b">
        <f t="shared" si="199"/>
        <v>0</v>
      </c>
      <c r="IK211" s="35">
        <f t="shared" si="227"/>
        <v>0</v>
      </c>
      <c r="IL211" s="48">
        <f>IL210+($IL$212-$IL$207)/4</f>
        <v>0</v>
      </c>
      <c r="IM211" s="35">
        <f t="shared" si="228"/>
        <v>0</v>
      </c>
      <c r="IN211" s="35">
        <f t="shared" si="229"/>
        <v>0</v>
      </c>
      <c r="IO211" s="36">
        <f t="shared" si="230"/>
        <v>0</v>
      </c>
      <c r="IP211" s="35">
        <f t="shared" si="231"/>
        <v>0</v>
      </c>
      <c r="IQ211" s="35">
        <f t="shared" si="232"/>
        <v>0</v>
      </c>
      <c r="IR211" s="45"/>
      <c r="IS211" s="37" t="str">
        <f>IF(IC203="-","",ROUND(HU44,2))</f>
        <v/>
      </c>
      <c r="IT211" s="35">
        <f t="shared" si="233"/>
        <v>25.5</v>
      </c>
      <c r="IV211" s="35"/>
      <c r="IW211" s="35"/>
      <c r="IY211" s="44" t="str">
        <f>IF(IC203="-","",IF(EX31=0,"",EX31))</f>
        <v/>
      </c>
      <c r="IZ211" s="45"/>
      <c r="JB211" s="38">
        <f>ID212</f>
        <v>25.5</v>
      </c>
      <c r="JC211" s="38">
        <v>0</v>
      </c>
      <c r="JE211" s="38">
        <f>JB211</f>
        <v>25.5</v>
      </c>
      <c r="JF211" s="38">
        <f>IF(JE210&gt;0,-MAX(IW3:IW272,IZ3:IZ272)*0.5,-MAX(IW3:IW272,IZ3:IZ272)*1.5)</f>
        <v>-37.5</v>
      </c>
      <c r="JH211" s="38">
        <f>IF(IC203=20,ID211,-5)</f>
        <v>-5</v>
      </c>
      <c r="JI211" s="38">
        <f>IG211</f>
        <v>0</v>
      </c>
      <c r="JK211" s="35">
        <f>IF(JK210=TRUE,IT211,-5)</f>
        <v>-5</v>
      </c>
      <c r="JL211" s="49" t="str">
        <f>IS211</f>
        <v/>
      </c>
      <c r="JM211" s="40"/>
      <c r="JN211" s="49"/>
      <c r="JO211" s="49"/>
      <c r="JP211" s="40"/>
      <c r="JQ211" s="49"/>
      <c r="JR211" s="49"/>
      <c r="JS211" s="40"/>
      <c r="JT211" s="49"/>
      <c r="JU211" s="49"/>
      <c r="JW211" s="120"/>
      <c r="JX211" s="120"/>
    </row>
    <row r="212" spans="237:287" ht="14.25" customHeight="1" x14ac:dyDescent="0.2">
      <c r="IC212" s="234"/>
      <c r="ID212" s="74">
        <f>IF(HS43="R0",ID203,ID203+HT43)</f>
        <v>25.5</v>
      </c>
      <c r="IE212" s="74" t="s">
        <v>158</v>
      </c>
      <c r="IF212" s="74">
        <f>IF(HS43="R0",0,HT43)</f>
        <v>0</v>
      </c>
      <c r="IG212" s="74">
        <v>0</v>
      </c>
      <c r="II212" s="35" t="b">
        <f t="shared" si="180"/>
        <v>0</v>
      </c>
      <c r="IJ212" s="45" t="b">
        <f t="shared" si="199"/>
        <v>0</v>
      </c>
      <c r="IK212" s="35">
        <f t="shared" si="227"/>
        <v>0</v>
      </c>
      <c r="IL212" s="48">
        <f>IK212</f>
        <v>0</v>
      </c>
      <c r="IM212" s="35"/>
      <c r="IN212" s="35"/>
      <c r="IO212" s="36"/>
      <c r="IP212" s="35"/>
      <c r="IQ212" s="35"/>
      <c r="IR212" s="45"/>
      <c r="IS212" s="82"/>
      <c r="IT212" s="35"/>
      <c r="IV212" s="35"/>
      <c r="IW212" s="35"/>
      <c r="IY212" s="45"/>
      <c r="IZ212" s="45"/>
      <c r="JB212" s="38">
        <f>JB211</f>
        <v>25.5</v>
      </c>
      <c r="JC212" s="38">
        <f>IF(IC203="-",0,IF(JC210=TRUE,0,-20))</f>
        <v>0</v>
      </c>
      <c r="JE212" s="38">
        <f>JE211</f>
        <v>25.5</v>
      </c>
      <c r="JF212" s="38">
        <f>IF(IC203="-",JF211,IF(JE210&gt;0,-MAX(IW3:IW272,IZ3:IZ272)*1.5,-MAX(IW3:IW272,IZ3:IZ272)*0.5))</f>
        <v>-37.5</v>
      </c>
      <c r="JH212" s="38"/>
      <c r="JI212" s="38"/>
      <c r="JK212" s="35"/>
      <c r="JL212" s="35"/>
      <c r="JM212" s="39"/>
      <c r="JN212" s="35"/>
      <c r="JO212" s="35"/>
      <c r="JP212" s="39"/>
      <c r="JQ212" s="35"/>
      <c r="JR212" s="35"/>
      <c r="JS212" s="39"/>
      <c r="JT212" s="35"/>
      <c r="JU212" s="35"/>
      <c r="JW212" s="127"/>
      <c r="JX212" s="127"/>
    </row>
    <row r="213" spans="237:287" ht="14.25" customHeight="1" x14ac:dyDescent="0.2">
      <c r="IC213" s="250" t="str">
        <f>IF(HS45="R0","-",HS45)</f>
        <v>-</v>
      </c>
      <c r="ID213" s="53">
        <f>IF(HS45="R0",ID272,ID212)</f>
        <v>25.5</v>
      </c>
      <c r="IE213" s="53" t="s">
        <v>149</v>
      </c>
      <c r="IF213" s="53">
        <v>0</v>
      </c>
      <c r="IG213" s="53">
        <v>0</v>
      </c>
      <c r="II213" s="54" t="b">
        <f t="shared" si="180"/>
        <v>0</v>
      </c>
      <c r="IJ213" s="55" t="b">
        <f t="shared" si="199"/>
        <v>0</v>
      </c>
      <c r="IK213" s="54">
        <f t="shared" ref="IK213:IK222" si="236">IF(II213=TRUE,IF(IJ213=TRUE,IG213/$EJ$32)+IF213,IF213)</f>
        <v>0</v>
      </c>
      <c r="IL213" s="56">
        <f>IK213</f>
        <v>0</v>
      </c>
      <c r="IM213" s="54">
        <f t="shared" ref="IM213:IM221" si="237">$HV$45*IL213</f>
        <v>0</v>
      </c>
      <c r="IN213" s="54">
        <f t="shared" ref="IN213:IN221" si="238">-$EJ$32*(IL213^2/2)</f>
        <v>0</v>
      </c>
      <c r="IO213" s="57">
        <f t="shared" ref="IO213:IO221" si="239">-IF(IL213&gt;=$EN$32,$EL$32*(IL213-$EN$32),0)</f>
        <v>0</v>
      </c>
      <c r="IP213" s="54">
        <f t="shared" ref="IP213:IP221" si="240">-IF(IL213&gt;=$ET$32,$ER$32*(IL213-$ET$32),0)</f>
        <v>0</v>
      </c>
      <c r="IQ213" s="54">
        <f t="shared" ref="IQ213:IQ221" si="241">-IF(IL213&gt;=$EZ$32,$EX$32*(IL213-$EZ$32),0)</f>
        <v>0</v>
      </c>
      <c r="IR213" s="55"/>
      <c r="IS213" s="59" t="str">
        <f>IF(IC213="-","",HU45)</f>
        <v/>
      </c>
      <c r="IT213" s="54">
        <f t="shared" ref="IT213:IT221" si="242">$ID$213+IL213</f>
        <v>25.5</v>
      </c>
      <c r="IV213" s="54">
        <f>ID213</f>
        <v>25.5</v>
      </c>
      <c r="IW213" s="54">
        <v>0</v>
      </c>
      <c r="IY213" s="54">
        <f>IF(IC213="-",-5,IF(EL32=0,-5,ID213+EN32))</f>
        <v>-5</v>
      </c>
      <c r="IZ213" s="54">
        <v>0</v>
      </c>
      <c r="JB213" s="54"/>
      <c r="JC213" s="54"/>
      <c r="JE213" s="54"/>
      <c r="JF213" s="54"/>
      <c r="JH213" s="54"/>
      <c r="JI213" s="54"/>
      <c r="JK213" s="54">
        <f>IF(IC213=21,IT213,-5)</f>
        <v>-5</v>
      </c>
      <c r="JL213" s="59" t="str">
        <f>IS213</f>
        <v/>
      </c>
      <c r="JM213" s="40"/>
      <c r="JN213" s="59">
        <f>IF(IC213="-",-5,(ID213+ID222)/2)</f>
        <v>-5</v>
      </c>
      <c r="JO213" s="59">
        <f>-MAX(IW3:IW272,IZ3:IZ272)*0.7</f>
        <v>-52.5</v>
      </c>
      <c r="JP213" s="40"/>
      <c r="JQ213" s="59">
        <f>IF(IC213="-",-5,(IT213+IT217)/2)</f>
        <v>-5</v>
      </c>
      <c r="JR213" s="59">
        <f>JR13</f>
        <v>-760.38306347150262</v>
      </c>
      <c r="JS213" s="40"/>
      <c r="JT213" s="59"/>
      <c r="JU213" s="59"/>
      <c r="JW213" s="122">
        <f>JN213</f>
        <v>-5</v>
      </c>
      <c r="JX213" s="122">
        <f>JF222</f>
        <v>-37.5</v>
      </c>
      <c r="KA213" s="98"/>
    </row>
    <row r="214" spans="237:287" ht="14.25" customHeight="1" x14ac:dyDescent="0.2">
      <c r="IC214" s="250"/>
      <c r="ID214" s="53">
        <f>IF($IC$213="-",$ID$213,$ID$213+IF214)</f>
        <v>25.5</v>
      </c>
      <c r="IE214" s="53" t="s">
        <v>150</v>
      </c>
      <c r="IF214" s="53">
        <f>IF213</f>
        <v>0</v>
      </c>
      <c r="IG214" s="53">
        <f>IF(IC213="-",0,HV45)</f>
        <v>0</v>
      </c>
      <c r="II214" s="54" t="b">
        <f t="shared" si="180"/>
        <v>0</v>
      </c>
      <c r="IJ214" s="55" t="b">
        <f t="shared" si="199"/>
        <v>0</v>
      </c>
      <c r="IK214" s="54">
        <f t="shared" si="236"/>
        <v>0</v>
      </c>
      <c r="IL214" s="56">
        <f>(IL217-IL213)/4</f>
        <v>0</v>
      </c>
      <c r="IM214" s="54">
        <f t="shared" si="237"/>
        <v>0</v>
      </c>
      <c r="IN214" s="54">
        <f t="shared" si="238"/>
        <v>0</v>
      </c>
      <c r="IO214" s="57">
        <f t="shared" si="239"/>
        <v>0</v>
      </c>
      <c r="IP214" s="54">
        <f t="shared" si="240"/>
        <v>0</v>
      </c>
      <c r="IQ214" s="54">
        <f t="shared" si="241"/>
        <v>0</v>
      </c>
      <c r="IR214" s="54">
        <f t="shared" ref="IR214:IR220" si="243">$HU$45</f>
        <v>0</v>
      </c>
      <c r="IS214" s="58" t="str">
        <f>IF(IC213="-","",SUM(IM214:IR214))</f>
        <v/>
      </c>
      <c r="IT214" s="54">
        <f t="shared" si="242"/>
        <v>25.5</v>
      </c>
      <c r="IV214" s="54">
        <f>IV213</f>
        <v>25.5</v>
      </c>
      <c r="IW214" s="54">
        <f>IF(IC213="-",0,EJ32)/20</f>
        <v>0</v>
      </c>
      <c r="IY214" s="54">
        <f>IY213</f>
        <v>-5</v>
      </c>
      <c r="IZ214" s="54">
        <f>IF(IC213="-",0,EL32/20)</f>
        <v>0</v>
      </c>
      <c r="JB214" s="54"/>
      <c r="JC214" s="54"/>
      <c r="JE214" s="54"/>
      <c r="JF214" s="54"/>
      <c r="JH214" s="54">
        <f>IF(IC213=21,ID214,-5)</f>
        <v>-5</v>
      </c>
      <c r="JI214" s="54">
        <f>IG214</f>
        <v>0</v>
      </c>
      <c r="JK214" s="54"/>
      <c r="JL214" s="54"/>
      <c r="JM214" s="39"/>
      <c r="JN214" s="61">
        <f>HT45</f>
        <v>0</v>
      </c>
      <c r="JO214" s="54"/>
      <c r="JP214" s="39"/>
      <c r="JQ214" s="62" t="b">
        <f>IL217</f>
        <v>0</v>
      </c>
      <c r="JR214" s="54"/>
      <c r="JS214" s="39"/>
      <c r="JT214" s="54"/>
      <c r="JU214" s="54"/>
      <c r="JW214" s="125" t="str">
        <f>IC213</f>
        <v>-</v>
      </c>
      <c r="JX214" s="123"/>
    </row>
    <row r="215" spans="237:287" ht="14.25" customHeight="1" x14ac:dyDescent="0.2">
      <c r="IC215" s="250"/>
      <c r="ID215" s="53">
        <f t="shared" ref="ID215:ID221" si="244">IF($IC$213="-",$ID$213,$ID$213+IF215)</f>
        <v>25.5</v>
      </c>
      <c r="IE215" s="53" t="s">
        <v>151</v>
      </c>
      <c r="IF215" s="53">
        <f>IF(EL32=0,IF214,EN32)</f>
        <v>0</v>
      </c>
      <c r="IG215" s="53">
        <f>IF(IC213="-",0,IG214-IF(EL32=0,0,EJ32*IF215))</f>
        <v>0</v>
      </c>
      <c r="II215" s="54" t="b">
        <f t="shared" ref="II215:II246" si="245">AND(IG215&gt;=0,IG216&lt;0)</f>
        <v>0</v>
      </c>
      <c r="IJ215" s="55" t="b">
        <f t="shared" si="199"/>
        <v>0</v>
      </c>
      <c r="IK215" s="54">
        <f t="shared" si="236"/>
        <v>0</v>
      </c>
      <c r="IL215" s="56">
        <f>IL214*2</f>
        <v>0</v>
      </c>
      <c r="IM215" s="54">
        <f t="shared" si="237"/>
        <v>0</v>
      </c>
      <c r="IN215" s="54">
        <f t="shared" si="238"/>
        <v>0</v>
      </c>
      <c r="IO215" s="57">
        <f t="shared" si="239"/>
        <v>0</v>
      </c>
      <c r="IP215" s="54">
        <f t="shared" si="240"/>
        <v>0</v>
      </c>
      <c r="IQ215" s="54">
        <f t="shared" si="241"/>
        <v>0</v>
      </c>
      <c r="IR215" s="54">
        <f t="shared" si="243"/>
        <v>0</v>
      </c>
      <c r="IS215" s="58" t="str">
        <f>IF(IC213="-","",SUM(IM215:IR215))</f>
        <v/>
      </c>
      <c r="IT215" s="54">
        <f t="shared" si="242"/>
        <v>25.5</v>
      </c>
      <c r="IV215" s="54">
        <f>IF222/2+IV213</f>
        <v>25.5</v>
      </c>
      <c r="IW215" s="54">
        <f>IW214</f>
        <v>0</v>
      </c>
      <c r="IY215" s="65" t="str">
        <f>IF(IC213="-","",IF(EL32=0,"",EL32))</f>
        <v/>
      </c>
      <c r="IZ215" s="55"/>
      <c r="JB215" s="54"/>
      <c r="JC215" s="54"/>
      <c r="JE215" s="54"/>
      <c r="JF215" s="54"/>
      <c r="JH215" s="54"/>
      <c r="JI215" s="54"/>
      <c r="JK215" s="54"/>
      <c r="JL215" s="54"/>
      <c r="JM215" s="39"/>
      <c r="JN215" s="54"/>
      <c r="JO215" s="54"/>
      <c r="JP215" s="39"/>
      <c r="JQ215" s="54"/>
      <c r="JR215" s="54"/>
      <c r="JS215" s="39"/>
      <c r="JT215" s="54"/>
      <c r="JU215" s="54"/>
      <c r="JW215" s="123"/>
      <c r="JX215" s="123"/>
    </row>
    <row r="216" spans="237:287" ht="14.25" customHeight="1" x14ac:dyDescent="0.2">
      <c r="IC216" s="250"/>
      <c r="ID216" s="53">
        <f t="shared" si="244"/>
        <v>25.5</v>
      </c>
      <c r="IE216" s="53" t="s">
        <v>152</v>
      </c>
      <c r="IF216" s="53">
        <f>IF215</f>
        <v>0</v>
      </c>
      <c r="IG216" s="53">
        <f>IF(IC213="-",0,IG215-EL32)</f>
        <v>0</v>
      </c>
      <c r="II216" s="54" t="b">
        <f t="shared" si="245"/>
        <v>0</v>
      </c>
      <c r="IJ216" s="55" t="b">
        <f t="shared" si="199"/>
        <v>0</v>
      </c>
      <c r="IK216" s="54">
        <f t="shared" si="236"/>
        <v>0</v>
      </c>
      <c r="IL216" s="56">
        <f>IL214*3</f>
        <v>0</v>
      </c>
      <c r="IM216" s="54">
        <f t="shared" si="237"/>
        <v>0</v>
      </c>
      <c r="IN216" s="54">
        <f t="shared" si="238"/>
        <v>0</v>
      </c>
      <c r="IO216" s="57">
        <f t="shared" si="239"/>
        <v>0</v>
      </c>
      <c r="IP216" s="54">
        <f t="shared" si="240"/>
        <v>0</v>
      </c>
      <c r="IQ216" s="54">
        <f t="shared" si="241"/>
        <v>0</v>
      </c>
      <c r="IR216" s="54">
        <f t="shared" si="243"/>
        <v>0</v>
      </c>
      <c r="IS216" s="58" t="str">
        <f>IF(IC213="-","",SUM(IM216:IR216))</f>
        <v/>
      </c>
      <c r="IT216" s="54">
        <f t="shared" si="242"/>
        <v>25.5</v>
      </c>
      <c r="IV216" s="54">
        <f>IV217</f>
        <v>25.5</v>
      </c>
      <c r="IW216" s="54">
        <f>IW214</f>
        <v>0</v>
      </c>
      <c r="IY216" s="54">
        <f>IF(IC213="-",-5,IF(ER32=0,-5,ID213+ET32))</f>
        <v>-5</v>
      </c>
      <c r="IZ216" s="54">
        <v>0</v>
      </c>
      <c r="JB216" s="54"/>
      <c r="JC216" s="54"/>
      <c r="JE216" s="54"/>
      <c r="JF216" s="54"/>
      <c r="JH216" s="54"/>
      <c r="JI216" s="54"/>
      <c r="JK216" s="54"/>
      <c r="JL216" s="54"/>
      <c r="JM216" s="39"/>
      <c r="JN216" s="54"/>
      <c r="JO216" s="54"/>
      <c r="JP216" s="39"/>
      <c r="JQ216" s="54"/>
      <c r="JR216" s="54"/>
      <c r="JS216" s="39"/>
      <c r="JT216" s="54"/>
      <c r="JU216" s="54"/>
      <c r="JW216" s="123"/>
      <c r="JX216" s="123"/>
    </row>
    <row r="217" spans="237:287" ht="14.25" customHeight="1" x14ac:dyDescent="0.2">
      <c r="IC217" s="250"/>
      <c r="ID217" s="53">
        <f t="shared" si="244"/>
        <v>25.5</v>
      </c>
      <c r="IE217" s="53" t="s">
        <v>153</v>
      </c>
      <c r="IF217" s="53">
        <f>IF(ER32=0,IF216,ET32)</f>
        <v>0</v>
      </c>
      <c r="IG217" s="53">
        <f>IF(IC213="-",0,IG216-IF(ER32=0,0,EJ32*(IF217-IF216)))</f>
        <v>0</v>
      </c>
      <c r="II217" s="54" t="b">
        <f t="shared" si="245"/>
        <v>0</v>
      </c>
      <c r="IJ217" s="55" t="b">
        <f t="shared" si="199"/>
        <v>0</v>
      </c>
      <c r="IK217" s="54">
        <f t="shared" si="236"/>
        <v>0</v>
      </c>
      <c r="IL217" s="68" t="b">
        <f>IF(II213=TRUE,IK213,IF(II214=TRUE,IK214,IF(II215=TRUE,IK215,IF(II216=TRUE,IK216,IF(II217=TRUE,IK217,IF(II218=TRUE,IK218,IF(II219=TRUE,IK219,IF(II220=TRUE,IK220,IF(II221=TRUE,IK221,IF(II222=TRUE,IK222))))))))))</f>
        <v>0</v>
      </c>
      <c r="IM217" s="68">
        <f t="shared" si="237"/>
        <v>0</v>
      </c>
      <c r="IN217" s="68">
        <f t="shared" si="238"/>
        <v>0</v>
      </c>
      <c r="IO217" s="69">
        <f t="shared" si="239"/>
        <v>0</v>
      </c>
      <c r="IP217" s="68">
        <f t="shared" si="240"/>
        <v>0</v>
      </c>
      <c r="IQ217" s="68">
        <f t="shared" si="241"/>
        <v>0</v>
      </c>
      <c r="IR217" s="68">
        <f t="shared" si="243"/>
        <v>0</v>
      </c>
      <c r="IS217" s="70" t="str">
        <f>IF(IC213="-","",ROUND(SUM(IM217:IR217),2))</f>
        <v/>
      </c>
      <c r="IT217" s="68">
        <f t="shared" si="242"/>
        <v>25.5</v>
      </c>
      <c r="IV217" s="54">
        <f>ID222</f>
        <v>25.5</v>
      </c>
      <c r="IW217" s="54">
        <v>0</v>
      </c>
      <c r="IY217" s="54">
        <f>IY216</f>
        <v>-5</v>
      </c>
      <c r="IZ217" s="54">
        <f>IF(IC213="-",0,ER32/20)</f>
        <v>0</v>
      </c>
      <c r="JB217" s="54"/>
      <c r="JC217" s="54"/>
      <c r="JE217" s="54"/>
      <c r="JF217" s="54"/>
      <c r="JH217" s="54"/>
      <c r="JI217" s="54"/>
      <c r="JK217" s="54">
        <f>IF(IC213=21,IT217,-5)</f>
        <v>-5</v>
      </c>
      <c r="JL217" s="59" t="str">
        <f>IS217</f>
        <v/>
      </c>
      <c r="JM217" s="40"/>
      <c r="JN217" s="59"/>
      <c r="JO217" s="59"/>
      <c r="JP217" s="40"/>
      <c r="JQ217" s="59"/>
      <c r="JR217" s="59"/>
      <c r="JS217" s="40"/>
      <c r="JT217" s="59"/>
      <c r="JU217" s="59"/>
      <c r="JW217" s="122"/>
      <c r="JX217" s="122"/>
    </row>
    <row r="218" spans="237:287" ht="14.25" customHeight="1" x14ac:dyDescent="0.2">
      <c r="IC218" s="250"/>
      <c r="ID218" s="53">
        <f t="shared" si="244"/>
        <v>25.5</v>
      </c>
      <c r="IE218" s="53" t="s">
        <v>154</v>
      </c>
      <c r="IF218" s="53">
        <f>IF217</f>
        <v>0</v>
      </c>
      <c r="IG218" s="53">
        <f>IF(IC213="-",0,IG217-ER32)</f>
        <v>0</v>
      </c>
      <c r="II218" s="54" t="b">
        <f t="shared" si="245"/>
        <v>0</v>
      </c>
      <c r="IJ218" s="55" t="b">
        <f t="shared" si="199"/>
        <v>0</v>
      </c>
      <c r="IK218" s="54">
        <f t="shared" si="236"/>
        <v>0</v>
      </c>
      <c r="IL218" s="56">
        <f>IL217+($IL$222-$IL$217)/4</f>
        <v>0</v>
      </c>
      <c r="IM218" s="54">
        <f t="shared" si="237"/>
        <v>0</v>
      </c>
      <c r="IN218" s="54">
        <f t="shared" si="238"/>
        <v>0</v>
      </c>
      <c r="IO218" s="57">
        <f t="shared" si="239"/>
        <v>0</v>
      </c>
      <c r="IP218" s="54">
        <f t="shared" si="240"/>
        <v>0</v>
      </c>
      <c r="IQ218" s="54">
        <f t="shared" si="241"/>
        <v>0</v>
      </c>
      <c r="IR218" s="54">
        <f t="shared" si="243"/>
        <v>0</v>
      </c>
      <c r="IS218" s="58" t="str">
        <f>IF(IC213="-","",SUM(IM218:IR218))</f>
        <v/>
      </c>
      <c r="IT218" s="54">
        <f t="shared" si="242"/>
        <v>25.5</v>
      </c>
      <c r="IV218" s="54"/>
      <c r="IW218" s="54"/>
      <c r="IY218" s="65" t="str">
        <f>IF(IC213="-","",IF(ER32=0,"",ER32))</f>
        <v/>
      </c>
      <c r="IZ218" s="55"/>
      <c r="JB218" s="54"/>
      <c r="JC218" s="54"/>
      <c r="JE218" s="54"/>
      <c r="JF218" s="54"/>
      <c r="JH218" s="54"/>
      <c r="JI218" s="54"/>
      <c r="JK218" s="54"/>
      <c r="JL218" s="54"/>
      <c r="JM218" s="39"/>
      <c r="JN218" s="54"/>
      <c r="JO218" s="54"/>
      <c r="JP218" s="39"/>
      <c r="JQ218" s="54"/>
      <c r="JR218" s="54"/>
      <c r="JS218" s="39"/>
      <c r="JT218" s="54"/>
      <c r="JU218" s="54"/>
      <c r="JW218" s="123"/>
      <c r="JX218" s="123"/>
    </row>
    <row r="219" spans="237:287" ht="14.25" customHeight="1" x14ac:dyDescent="0.2">
      <c r="IC219" s="250"/>
      <c r="ID219" s="53">
        <f t="shared" si="244"/>
        <v>25.5</v>
      </c>
      <c r="IE219" s="53" t="s">
        <v>155</v>
      </c>
      <c r="IF219" s="53">
        <f>IF(EX32=0,IF218,EZ32)</f>
        <v>0</v>
      </c>
      <c r="IG219" s="53">
        <f>IF(IC213="-",0,IG218-IF(EX32=0,0,EJ32*(IF219-IF218)))</f>
        <v>0</v>
      </c>
      <c r="II219" s="54" t="b">
        <f t="shared" si="245"/>
        <v>0</v>
      </c>
      <c r="IJ219" s="55" t="b">
        <f t="shared" si="199"/>
        <v>0</v>
      </c>
      <c r="IK219" s="54">
        <f t="shared" si="236"/>
        <v>0</v>
      </c>
      <c r="IL219" s="56">
        <f>IL218+($IL$222-$IL$217)/4</f>
        <v>0</v>
      </c>
      <c r="IM219" s="54">
        <f t="shared" si="237"/>
        <v>0</v>
      </c>
      <c r="IN219" s="54">
        <f t="shared" si="238"/>
        <v>0</v>
      </c>
      <c r="IO219" s="57">
        <f t="shared" si="239"/>
        <v>0</v>
      </c>
      <c r="IP219" s="54">
        <f t="shared" si="240"/>
        <v>0</v>
      </c>
      <c r="IQ219" s="54">
        <f t="shared" si="241"/>
        <v>0</v>
      </c>
      <c r="IR219" s="54">
        <f t="shared" si="243"/>
        <v>0</v>
      </c>
      <c r="IS219" s="58" t="str">
        <f>IF(IC213="-","",SUM(IM219:IR219))</f>
        <v/>
      </c>
      <c r="IT219" s="54">
        <f t="shared" si="242"/>
        <v>25.5</v>
      </c>
      <c r="IV219" s="72" t="str">
        <f>IF(IC213="-","",EJ32)</f>
        <v/>
      </c>
      <c r="IW219" s="54"/>
      <c r="IY219" s="54">
        <f>IF(IC213="-",-5,IF(EX32=0,-5,ID213+EZ32))</f>
        <v>-5</v>
      </c>
      <c r="IZ219" s="54">
        <v>0</v>
      </c>
      <c r="JB219" s="54"/>
      <c r="JC219" s="54"/>
      <c r="JE219" s="54"/>
      <c r="JF219" s="54"/>
      <c r="JH219" s="54"/>
      <c r="JI219" s="54"/>
      <c r="JK219" s="54"/>
      <c r="JL219" s="54"/>
      <c r="JM219" s="39"/>
      <c r="JN219" s="54"/>
      <c r="JO219" s="54"/>
      <c r="JP219" s="39"/>
      <c r="JQ219" s="54"/>
      <c r="JR219" s="54"/>
      <c r="JS219" s="39"/>
      <c r="JT219" s="54"/>
      <c r="JU219" s="54"/>
      <c r="JW219" s="123"/>
      <c r="JX219" s="123"/>
    </row>
    <row r="220" spans="237:287" ht="14.25" customHeight="1" x14ac:dyDescent="0.2">
      <c r="IC220" s="250"/>
      <c r="ID220" s="53">
        <f t="shared" si="244"/>
        <v>25.5</v>
      </c>
      <c r="IE220" s="53" t="s">
        <v>156</v>
      </c>
      <c r="IF220" s="53">
        <f>IF219</f>
        <v>0</v>
      </c>
      <c r="IG220" s="53">
        <f>IF(IC213="-",0,IG219-EX32)</f>
        <v>0</v>
      </c>
      <c r="II220" s="54" t="b">
        <f t="shared" si="245"/>
        <v>0</v>
      </c>
      <c r="IJ220" s="55" t="b">
        <f t="shared" si="199"/>
        <v>0</v>
      </c>
      <c r="IK220" s="54">
        <f t="shared" si="236"/>
        <v>0</v>
      </c>
      <c r="IL220" s="56">
        <f>IL219+($IL$222-$IL$217)/4</f>
        <v>0</v>
      </c>
      <c r="IM220" s="54">
        <f t="shared" si="237"/>
        <v>0</v>
      </c>
      <c r="IN220" s="54">
        <f t="shared" si="238"/>
        <v>0</v>
      </c>
      <c r="IO220" s="57">
        <f t="shared" si="239"/>
        <v>0</v>
      </c>
      <c r="IP220" s="54">
        <f t="shared" si="240"/>
        <v>0</v>
      </c>
      <c r="IQ220" s="54">
        <f t="shared" si="241"/>
        <v>0</v>
      </c>
      <c r="IR220" s="54">
        <f t="shared" si="243"/>
        <v>0</v>
      </c>
      <c r="IS220" s="58" t="str">
        <f>IF(IC213="-","",SUM(IM220:IR220))</f>
        <v/>
      </c>
      <c r="IT220" s="54">
        <f t="shared" si="242"/>
        <v>25.5</v>
      </c>
      <c r="IV220" s="54"/>
      <c r="IW220" s="54"/>
      <c r="IY220" s="54">
        <f>IY219</f>
        <v>-5</v>
      </c>
      <c r="IZ220" s="54">
        <f>IF(IC213="-",0,EX32/20)</f>
        <v>0</v>
      </c>
      <c r="JB220" s="66" t="str">
        <f>IF(IC213="-","",HY46)</f>
        <v/>
      </c>
      <c r="JC220" s="54" t="b">
        <f>AND($F$2=21,$F$10=$ER$43)</f>
        <v>0</v>
      </c>
      <c r="JE220" s="66" t="str">
        <f>JB220</f>
        <v/>
      </c>
      <c r="JF220" s="54"/>
      <c r="JH220" s="54"/>
      <c r="JI220" s="54"/>
      <c r="JK220" s="54" t="b">
        <f>AND($F$2=21,$F$10=$ER$43)</f>
        <v>0</v>
      </c>
      <c r="JL220" s="54"/>
      <c r="JM220" s="39"/>
      <c r="JN220" s="54"/>
      <c r="JO220" s="54"/>
      <c r="JP220" s="39"/>
      <c r="JQ220" s="54"/>
      <c r="JR220" s="54"/>
      <c r="JS220" s="39"/>
      <c r="JT220" s="54"/>
      <c r="JU220" s="54"/>
      <c r="JW220" s="123"/>
      <c r="JX220" s="123"/>
    </row>
    <row r="221" spans="237:287" ht="14.25" customHeight="1" x14ac:dyDescent="0.2">
      <c r="IC221" s="250"/>
      <c r="ID221" s="53">
        <f t="shared" si="244"/>
        <v>25.5</v>
      </c>
      <c r="IE221" s="53" t="s">
        <v>157</v>
      </c>
      <c r="IF221" s="53">
        <f>IF222</f>
        <v>0</v>
      </c>
      <c r="IG221" s="53">
        <f>HW46</f>
        <v>0</v>
      </c>
      <c r="II221" s="54" t="b">
        <f t="shared" si="245"/>
        <v>0</v>
      </c>
      <c r="IJ221" s="55" t="b">
        <f t="shared" si="199"/>
        <v>0</v>
      </c>
      <c r="IK221" s="54">
        <f t="shared" si="236"/>
        <v>0</v>
      </c>
      <c r="IL221" s="56">
        <f>IL220+($IL$222-$IL$217)/4</f>
        <v>0</v>
      </c>
      <c r="IM221" s="54">
        <f t="shared" si="237"/>
        <v>0</v>
      </c>
      <c r="IN221" s="54">
        <f t="shared" si="238"/>
        <v>0</v>
      </c>
      <c r="IO221" s="57">
        <f t="shared" si="239"/>
        <v>0</v>
      </c>
      <c r="IP221" s="54">
        <f t="shared" si="240"/>
        <v>0</v>
      </c>
      <c r="IQ221" s="54">
        <f t="shared" si="241"/>
        <v>0</v>
      </c>
      <c r="IR221" s="55"/>
      <c r="IS221" s="59" t="str">
        <f>IF(IC213="-","",ROUND(HU46,2))</f>
        <v/>
      </c>
      <c r="IT221" s="54">
        <f t="shared" si="242"/>
        <v>25.5</v>
      </c>
      <c r="IV221" s="54"/>
      <c r="IW221" s="54"/>
      <c r="IY221" s="65" t="str">
        <f>IF(IC213="-","",IF(EX32=0,"",EX32))</f>
        <v/>
      </c>
      <c r="IZ221" s="55"/>
      <c r="JB221" s="54">
        <f>ID222</f>
        <v>25.5</v>
      </c>
      <c r="JC221" s="54">
        <v>0</v>
      </c>
      <c r="JE221" s="54">
        <f>JB221</f>
        <v>25.5</v>
      </c>
      <c r="JF221" s="54">
        <f>IF(JE220&gt;0,-MAX(IW3:IW272,IZ3:IZ272)*0.5,-MAX(IW3:IW272,IZ3:IZ272)*1.5)</f>
        <v>-37.5</v>
      </c>
      <c r="JH221" s="54">
        <f>IF(IC213=21,ID221,-5)</f>
        <v>-5</v>
      </c>
      <c r="JI221" s="54">
        <f>IG221</f>
        <v>0</v>
      </c>
      <c r="JK221" s="54">
        <f>IF(JK220=TRUE,IT221,-5)</f>
        <v>-5</v>
      </c>
      <c r="JL221" s="59" t="str">
        <f>IS221</f>
        <v/>
      </c>
      <c r="JM221" s="40"/>
      <c r="JN221" s="59"/>
      <c r="JO221" s="59"/>
      <c r="JP221" s="40"/>
      <c r="JQ221" s="59"/>
      <c r="JR221" s="59"/>
      <c r="JS221" s="40"/>
      <c r="JT221" s="59"/>
      <c r="JU221" s="59"/>
      <c r="JW221" s="122"/>
      <c r="JX221" s="122"/>
    </row>
    <row r="222" spans="237:287" ht="14.25" customHeight="1" x14ac:dyDescent="0.2">
      <c r="IC222" s="250"/>
      <c r="ID222" s="53">
        <f>IF(HS45="R0",ID213,ID213+HT45)</f>
        <v>25.5</v>
      </c>
      <c r="IE222" s="53" t="s">
        <v>158</v>
      </c>
      <c r="IF222" s="53">
        <f>IF(HS45="R0",0,HT45)</f>
        <v>0</v>
      </c>
      <c r="IG222" s="53">
        <v>0</v>
      </c>
      <c r="II222" s="54" t="b">
        <f t="shared" si="245"/>
        <v>0</v>
      </c>
      <c r="IJ222" s="55" t="b">
        <f t="shared" si="199"/>
        <v>0</v>
      </c>
      <c r="IK222" s="54">
        <f t="shared" si="236"/>
        <v>0</v>
      </c>
      <c r="IL222" s="56">
        <f>IK222</f>
        <v>0</v>
      </c>
      <c r="IM222" s="54"/>
      <c r="IN222" s="54"/>
      <c r="IO222" s="57"/>
      <c r="IP222" s="54"/>
      <c r="IQ222" s="54"/>
      <c r="IR222" s="55"/>
      <c r="IS222" s="83"/>
      <c r="IT222" s="54"/>
      <c r="IV222" s="54"/>
      <c r="IW222" s="54"/>
      <c r="IY222" s="55"/>
      <c r="IZ222" s="55"/>
      <c r="JB222" s="54">
        <f>JB221</f>
        <v>25.5</v>
      </c>
      <c r="JC222" s="54">
        <f>IF(IC213="-",0,IF(JC220=TRUE,0,-20))</f>
        <v>0</v>
      </c>
      <c r="JE222" s="54">
        <f>JE221</f>
        <v>25.5</v>
      </c>
      <c r="JF222" s="54">
        <f>IF(IC213="-",JF221,IF(JE220&gt;0,-MAX(IW3:IW272,IZ3:IZ272)*1.5,-MAX(IW3:IW272,IZ3:IZ272)*0.5))</f>
        <v>-37.5</v>
      </c>
      <c r="JH222" s="54"/>
      <c r="JI222" s="54"/>
      <c r="JK222" s="54"/>
      <c r="JL222" s="54"/>
      <c r="JM222" s="39"/>
      <c r="JN222" s="54"/>
      <c r="JO222" s="54"/>
      <c r="JP222" s="39"/>
      <c r="JQ222" s="54"/>
      <c r="JR222" s="54"/>
      <c r="JS222" s="39"/>
      <c r="JT222" s="54"/>
      <c r="JU222" s="54"/>
      <c r="JW222" s="123"/>
      <c r="JX222" s="123"/>
    </row>
    <row r="223" spans="237:287" ht="14.25" customHeight="1" x14ac:dyDescent="0.2">
      <c r="IC223" s="234" t="str">
        <f>IF(HS47="R0","-",HS47)</f>
        <v>-</v>
      </c>
      <c r="ID223" s="74">
        <f>IF(HS47="R0",ID272,ID222)</f>
        <v>25.5</v>
      </c>
      <c r="IE223" s="74"/>
      <c r="IF223" s="74">
        <v>0</v>
      </c>
      <c r="IG223" s="74">
        <v>0</v>
      </c>
      <c r="II223" s="35" t="b">
        <f t="shared" si="245"/>
        <v>0</v>
      </c>
      <c r="IJ223" s="45" t="b">
        <f t="shared" si="199"/>
        <v>0</v>
      </c>
      <c r="IK223" s="35">
        <f t="shared" ref="IK223:IK232" si="246">IF(II223=TRUE,IF(IJ223=TRUE,IG223/$EJ$33)+IF223,IF223)</f>
        <v>0</v>
      </c>
      <c r="IL223" s="48">
        <f>IK223</f>
        <v>0</v>
      </c>
      <c r="IM223" s="35">
        <f t="shared" ref="IM223:IM231" si="247">$HV$47*IL223</f>
        <v>0</v>
      </c>
      <c r="IN223" s="35">
        <f t="shared" ref="IN223:IN231" si="248">-$EJ$33*(IL223^2/2)</f>
        <v>0</v>
      </c>
      <c r="IO223" s="36">
        <f t="shared" ref="IO223:IO231" si="249">-IF(IL223&gt;=$EN$33,$EL$33*(IL223-$EN$33),0)</f>
        <v>0</v>
      </c>
      <c r="IP223" s="35">
        <f t="shared" ref="IP223:IP231" si="250">-IF(IL223&gt;=$ET$33,$ER$33*(IL223-$ET$33),0)</f>
        <v>0</v>
      </c>
      <c r="IQ223" s="35">
        <f t="shared" ref="IQ223:IQ231" si="251">-IF(IL223&gt;=$EZ$33,$EX$33*(IL223-$EZ$33),0)</f>
        <v>0</v>
      </c>
      <c r="IR223" s="45"/>
      <c r="IS223" s="37" t="str">
        <f>IF(IC223="-","",HU47)</f>
        <v/>
      </c>
      <c r="IT223" s="35">
        <f t="shared" ref="IT223:IT231" si="252">$ID$223+IL223</f>
        <v>25.5</v>
      </c>
      <c r="IV223" s="35">
        <f>ID223</f>
        <v>25.5</v>
      </c>
      <c r="IW223" s="35">
        <v>0</v>
      </c>
      <c r="IY223" s="35">
        <f>IF(IC223="-",-5,IF(EL33=0,-5,ID223+EN33))</f>
        <v>-5</v>
      </c>
      <c r="IZ223" s="35">
        <v>0</v>
      </c>
      <c r="JB223" s="38"/>
      <c r="JC223" s="38"/>
      <c r="JE223" s="38"/>
      <c r="JF223" s="38"/>
      <c r="JH223" s="38"/>
      <c r="JI223" s="38"/>
      <c r="JK223" s="35">
        <f>IF(IC223=22,IT223,-5)</f>
        <v>-5</v>
      </c>
      <c r="JL223" s="37" t="str">
        <f>IS223</f>
        <v/>
      </c>
      <c r="JM223" s="40"/>
      <c r="JN223" s="37">
        <f>IF(IC223="-",-5,(ID223+ID232)/2)</f>
        <v>-5</v>
      </c>
      <c r="JO223" s="37">
        <f>-MAX(IW3:IW272,IZ3:IZ272)*0.7</f>
        <v>-52.5</v>
      </c>
      <c r="JP223" s="40"/>
      <c r="JQ223" s="37">
        <f>IF(IC223="-",-5,(IT223+IT227)/2)</f>
        <v>-5</v>
      </c>
      <c r="JR223" s="37">
        <f>JR13</f>
        <v>-760.38306347150262</v>
      </c>
      <c r="JS223" s="40"/>
      <c r="JT223" s="37"/>
      <c r="JU223" s="37"/>
      <c r="JW223" s="37">
        <f>JN223</f>
        <v>-5</v>
      </c>
      <c r="JX223" s="37">
        <f>JF232</f>
        <v>-37.5</v>
      </c>
    </row>
    <row r="224" spans="237:287" ht="14.25" customHeight="1" x14ac:dyDescent="0.2">
      <c r="IC224" s="234"/>
      <c r="ID224" s="74">
        <f>IF($IC$223="-",$ID$223,$ID$223+IF224)</f>
        <v>25.5</v>
      </c>
      <c r="IE224" s="74" t="s">
        <v>150</v>
      </c>
      <c r="IF224" s="74">
        <f>IF223</f>
        <v>0</v>
      </c>
      <c r="IG224" s="74">
        <f>IF(IC223="-",0,HV47)</f>
        <v>0</v>
      </c>
      <c r="II224" s="35" t="b">
        <f t="shared" si="245"/>
        <v>0</v>
      </c>
      <c r="IJ224" s="45" t="b">
        <f t="shared" si="199"/>
        <v>0</v>
      </c>
      <c r="IK224" s="35">
        <f t="shared" si="246"/>
        <v>0</v>
      </c>
      <c r="IL224" s="48">
        <f>(IL227-IL223)/4</f>
        <v>0</v>
      </c>
      <c r="IM224" s="35">
        <f t="shared" si="247"/>
        <v>0</v>
      </c>
      <c r="IN224" s="35">
        <f t="shared" si="248"/>
        <v>0</v>
      </c>
      <c r="IO224" s="36">
        <f t="shared" si="249"/>
        <v>0</v>
      </c>
      <c r="IP224" s="35">
        <f t="shared" si="250"/>
        <v>0</v>
      </c>
      <c r="IQ224" s="35">
        <f t="shared" si="251"/>
        <v>0</v>
      </c>
      <c r="IR224" s="35">
        <f t="shared" ref="IR224:IR230" si="253">$HU$47</f>
        <v>0</v>
      </c>
      <c r="IS224" s="42" t="str">
        <f>IF(IC223="-","",SUM(IM224:IR224))</f>
        <v/>
      </c>
      <c r="IT224" s="35">
        <f t="shared" si="252"/>
        <v>25.5</v>
      </c>
      <c r="IV224" s="35">
        <f>IV223</f>
        <v>25.5</v>
      </c>
      <c r="IW224" s="35">
        <f>IF(IC223="-",0,EJ33)/20</f>
        <v>0</v>
      </c>
      <c r="IY224" s="35">
        <f>IY223</f>
        <v>-5</v>
      </c>
      <c r="IZ224" s="35">
        <f>IF(IC223="-",0,EL33/20)</f>
        <v>0</v>
      </c>
      <c r="JB224" s="38"/>
      <c r="JC224" s="38"/>
      <c r="JE224" s="38"/>
      <c r="JF224" s="38"/>
      <c r="JH224" s="38">
        <f>IF(IC223=22,ID224,-5)</f>
        <v>-5</v>
      </c>
      <c r="JI224" s="38">
        <f>IG224</f>
        <v>0</v>
      </c>
      <c r="JK224" s="35"/>
      <c r="JL224" s="35"/>
      <c r="JM224" s="39"/>
      <c r="JN224" s="75">
        <f>HT47</f>
        <v>0</v>
      </c>
      <c r="JO224" s="35"/>
      <c r="JP224" s="39"/>
      <c r="JQ224" s="76" t="b">
        <f>IL227</f>
        <v>0</v>
      </c>
      <c r="JR224" s="35"/>
      <c r="JS224" s="39"/>
      <c r="JT224" s="35"/>
      <c r="JU224" s="35"/>
      <c r="JW224" s="124" t="str">
        <f>IC223</f>
        <v>-</v>
      </c>
      <c r="JX224" s="127"/>
    </row>
    <row r="225" spans="237:291" ht="14.25" customHeight="1" x14ac:dyDescent="0.2">
      <c r="IC225" s="234"/>
      <c r="ID225" s="74">
        <f t="shared" ref="ID225:ID231" si="254">IF($IC$223="-",$ID$223,$ID$223+IF225)</f>
        <v>25.5</v>
      </c>
      <c r="IE225" s="74" t="s">
        <v>151</v>
      </c>
      <c r="IF225" s="74">
        <f>IF(EL33=0,IF224,EN33)</f>
        <v>0</v>
      </c>
      <c r="IG225" s="74">
        <f>IF(IC223="-",0,IG224-IF(EL33=0,0,EJ33*IF225))</f>
        <v>0</v>
      </c>
      <c r="II225" s="35" t="b">
        <f t="shared" si="245"/>
        <v>0</v>
      </c>
      <c r="IJ225" s="45" t="b">
        <f t="shared" si="199"/>
        <v>0</v>
      </c>
      <c r="IK225" s="35">
        <f t="shared" si="246"/>
        <v>0</v>
      </c>
      <c r="IL225" s="48">
        <f>IL224*2</f>
        <v>0</v>
      </c>
      <c r="IM225" s="35">
        <f t="shared" si="247"/>
        <v>0</v>
      </c>
      <c r="IN225" s="35">
        <f t="shared" si="248"/>
        <v>0</v>
      </c>
      <c r="IO225" s="36">
        <f t="shared" si="249"/>
        <v>0</v>
      </c>
      <c r="IP225" s="35">
        <f t="shared" si="250"/>
        <v>0</v>
      </c>
      <c r="IQ225" s="35">
        <f t="shared" si="251"/>
        <v>0</v>
      </c>
      <c r="IR225" s="35">
        <f t="shared" si="253"/>
        <v>0</v>
      </c>
      <c r="IS225" s="42" t="str">
        <f>IF(IC223="-","",SUM(IM225:IR225))</f>
        <v/>
      </c>
      <c r="IT225" s="35">
        <f t="shared" si="252"/>
        <v>25.5</v>
      </c>
      <c r="IV225" s="35">
        <f>IF232/2+IV223</f>
        <v>25.5</v>
      </c>
      <c r="IW225" s="35">
        <f>IW224</f>
        <v>0</v>
      </c>
      <c r="IY225" s="44" t="str">
        <f>IF(IC223="-","",IF(EL33=0,"",EL33))</f>
        <v/>
      </c>
      <c r="IZ225" s="45"/>
      <c r="JB225" s="38"/>
      <c r="JC225" s="38"/>
      <c r="JE225" s="38"/>
      <c r="JF225" s="38"/>
      <c r="JH225" s="38"/>
      <c r="JI225" s="38"/>
      <c r="JK225" s="35"/>
      <c r="JL225" s="35"/>
      <c r="JM225" s="39"/>
      <c r="JN225" s="35"/>
      <c r="JO225" s="35"/>
      <c r="JP225" s="39"/>
      <c r="JQ225" s="35"/>
      <c r="JR225" s="35"/>
      <c r="JS225" s="39"/>
      <c r="JT225" s="35"/>
      <c r="JU225" s="35"/>
      <c r="JW225" s="127"/>
      <c r="JX225" s="127"/>
    </row>
    <row r="226" spans="237:291" ht="14.25" customHeight="1" x14ac:dyDescent="0.2">
      <c r="IC226" s="234"/>
      <c r="ID226" s="74">
        <f t="shared" si="254"/>
        <v>25.5</v>
      </c>
      <c r="IE226" s="74" t="s">
        <v>152</v>
      </c>
      <c r="IF226" s="74">
        <f>IF225</f>
        <v>0</v>
      </c>
      <c r="IG226" s="74">
        <f>IF(IC223="-",0,IG225-EL33)</f>
        <v>0</v>
      </c>
      <c r="II226" s="35" t="b">
        <f t="shared" si="245"/>
        <v>0</v>
      </c>
      <c r="IJ226" s="45" t="b">
        <f t="shared" si="199"/>
        <v>0</v>
      </c>
      <c r="IK226" s="35">
        <f t="shared" si="246"/>
        <v>0</v>
      </c>
      <c r="IL226" s="48">
        <f>IL224*3</f>
        <v>0</v>
      </c>
      <c r="IM226" s="35">
        <f t="shared" si="247"/>
        <v>0</v>
      </c>
      <c r="IN226" s="35">
        <f t="shared" si="248"/>
        <v>0</v>
      </c>
      <c r="IO226" s="36">
        <f t="shared" si="249"/>
        <v>0</v>
      </c>
      <c r="IP226" s="35">
        <f t="shared" si="250"/>
        <v>0</v>
      </c>
      <c r="IQ226" s="35">
        <f t="shared" si="251"/>
        <v>0</v>
      </c>
      <c r="IR226" s="35">
        <f t="shared" si="253"/>
        <v>0</v>
      </c>
      <c r="IS226" s="42" t="str">
        <f>IF(IC223="-","",SUM(IM226:IR226))</f>
        <v/>
      </c>
      <c r="IT226" s="35">
        <f t="shared" si="252"/>
        <v>25.5</v>
      </c>
      <c r="IV226" s="35">
        <f>IV227</f>
        <v>25.5</v>
      </c>
      <c r="IW226" s="35">
        <f>IW224</f>
        <v>0</v>
      </c>
      <c r="IY226" s="35">
        <f>IF(IC223="-",-5,IF(ER33=0,-5,ID223+ET33))</f>
        <v>-5</v>
      </c>
      <c r="IZ226" s="35">
        <v>0</v>
      </c>
      <c r="JB226" s="38"/>
      <c r="JC226" s="38"/>
      <c r="JE226" s="38"/>
      <c r="JF226" s="38"/>
      <c r="JH226" s="38"/>
      <c r="JI226" s="38"/>
      <c r="JK226" s="35"/>
      <c r="JL226" s="35"/>
      <c r="JM226" s="39"/>
      <c r="JN226" s="35"/>
      <c r="JO226" s="35"/>
      <c r="JP226" s="39"/>
      <c r="JQ226" s="35"/>
      <c r="JR226" s="35"/>
      <c r="JS226" s="39"/>
      <c r="JT226" s="35"/>
      <c r="JU226" s="35"/>
      <c r="JW226" s="127"/>
      <c r="JX226" s="127"/>
    </row>
    <row r="227" spans="237:291" ht="14.25" customHeight="1" x14ac:dyDescent="0.2">
      <c r="IC227" s="234"/>
      <c r="ID227" s="74">
        <f t="shared" si="254"/>
        <v>25.5</v>
      </c>
      <c r="IE227" s="74" t="s">
        <v>153</v>
      </c>
      <c r="IF227" s="74">
        <f>IF(ER33=0,IF226,ET33)</f>
        <v>0</v>
      </c>
      <c r="IG227" s="74">
        <f>IF(IC223="-",0,IG226-IF(ER33=0,0,EJ33*(IF227-IF226)))</f>
        <v>0</v>
      </c>
      <c r="II227" s="35" t="b">
        <f t="shared" si="245"/>
        <v>0</v>
      </c>
      <c r="IJ227" s="45" t="b">
        <f t="shared" si="199"/>
        <v>0</v>
      </c>
      <c r="IK227" s="35">
        <f t="shared" si="246"/>
        <v>0</v>
      </c>
      <c r="IL227" s="68" t="b">
        <f>IF(II223=TRUE,IK223,IF(II224=TRUE,IK224,IF(II225=TRUE,IK225,IF(II226=TRUE,IK226,IF(II227=TRUE,IK227,IF(II228=TRUE,IK228,IF(II229=TRUE,IK229,IF(II230=TRUE,IK230,IF(II231=TRUE,IK231,IF(II232=TRUE,IK232))))))))))</f>
        <v>0</v>
      </c>
      <c r="IM227" s="68">
        <f t="shared" si="247"/>
        <v>0</v>
      </c>
      <c r="IN227" s="68">
        <f t="shared" si="248"/>
        <v>0</v>
      </c>
      <c r="IO227" s="69">
        <f t="shared" si="249"/>
        <v>0</v>
      </c>
      <c r="IP227" s="68">
        <f t="shared" si="250"/>
        <v>0</v>
      </c>
      <c r="IQ227" s="68">
        <f t="shared" si="251"/>
        <v>0</v>
      </c>
      <c r="IR227" s="68">
        <f t="shared" si="253"/>
        <v>0</v>
      </c>
      <c r="IS227" s="70" t="str">
        <f>IF(IC223="-","",ROUND(SUM(IM227:IR227),2))</f>
        <v/>
      </c>
      <c r="IT227" s="68">
        <f t="shared" si="252"/>
        <v>25.5</v>
      </c>
      <c r="IV227" s="35">
        <f>ID232</f>
        <v>25.5</v>
      </c>
      <c r="IW227" s="35">
        <v>0</v>
      </c>
      <c r="IY227" s="35">
        <f>IY226</f>
        <v>-5</v>
      </c>
      <c r="IZ227" s="35">
        <f>IF(IC223="-",0,ER33/20)</f>
        <v>0</v>
      </c>
      <c r="JB227" s="38"/>
      <c r="JC227" s="38"/>
      <c r="JE227" s="38"/>
      <c r="JF227" s="38"/>
      <c r="JH227" s="38"/>
      <c r="JI227" s="38"/>
      <c r="JK227" s="35">
        <f>IF(IC223=22,IT227,-5)</f>
        <v>-5</v>
      </c>
      <c r="JL227" s="37" t="str">
        <f>IS227</f>
        <v/>
      </c>
      <c r="JM227" s="40"/>
      <c r="JN227" s="37"/>
      <c r="JO227" s="37"/>
      <c r="JP227" s="40"/>
      <c r="JQ227" s="37"/>
      <c r="JR227" s="37"/>
      <c r="JS227" s="40"/>
      <c r="JT227" s="37"/>
      <c r="JU227" s="37"/>
      <c r="JW227" s="37"/>
      <c r="JX227" s="37"/>
    </row>
    <row r="228" spans="237:291" ht="14.25" customHeight="1" x14ac:dyDescent="0.2">
      <c r="IC228" s="234"/>
      <c r="ID228" s="74">
        <f t="shared" si="254"/>
        <v>25.5</v>
      </c>
      <c r="IE228" s="74" t="s">
        <v>154</v>
      </c>
      <c r="IF228" s="74">
        <f>IF227</f>
        <v>0</v>
      </c>
      <c r="IG228" s="74">
        <f>IF(IC223="-",0,IG227-ER33)</f>
        <v>0</v>
      </c>
      <c r="II228" s="35" t="b">
        <f t="shared" si="245"/>
        <v>0</v>
      </c>
      <c r="IJ228" s="45" t="b">
        <f t="shared" si="199"/>
        <v>0</v>
      </c>
      <c r="IK228" s="35">
        <f t="shared" si="246"/>
        <v>0</v>
      </c>
      <c r="IL228" s="48">
        <f>IL227+($IL$232-$IL$227)/4</f>
        <v>0</v>
      </c>
      <c r="IM228" s="35">
        <f t="shared" si="247"/>
        <v>0</v>
      </c>
      <c r="IN228" s="35">
        <f t="shared" si="248"/>
        <v>0</v>
      </c>
      <c r="IO228" s="36">
        <f t="shared" si="249"/>
        <v>0</v>
      </c>
      <c r="IP228" s="35">
        <f t="shared" si="250"/>
        <v>0</v>
      </c>
      <c r="IQ228" s="35">
        <f t="shared" si="251"/>
        <v>0</v>
      </c>
      <c r="IR228" s="35">
        <f t="shared" si="253"/>
        <v>0</v>
      </c>
      <c r="IS228" s="42" t="str">
        <f>IF(IC223="-","",SUM(IM228:IR228))</f>
        <v/>
      </c>
      <c r="IT228" s="35">
        <f t="shared" si="252"/>
        <v>25.5</v>
      </c>
      <c r="IV228" s="35"/>
      <c r="IW228" s="35"/>
      <c r="IY228" s="44" t="str">
        <f>IF(IC223="-","",IF(ER33=0,"",ER33))</f>
        <v/>
      </c>
      <c r="IZ228" s="45"/>
      <c r="JB228" s="38"/>
      <c r="JC228" s="38"/>
      <c r="JE228" s="38"/>
      <c r="JF228" s="38"/>
      <c r="JH228" s="38"/>
      <c r="JI228" s="38"/>
      <c r="JK228" s="35"/>
      <c r="JL228" s="35"/>
      <c r="JM228" s="39"/>
      <c r="JN228" s="35"/>
      <c r="JO228" s="35"/>
      <c r="JP228" s="39"/>
      <c r="JQ228" s="35"/>
      <c r="JR228" s="35"/>
      <c r="JS228" s="39"/>
      <c r="JT228" s="35"/>
      <c r="JU228" s="35"/>
      <c r="JW228" s="127"/>
      <c r="JX228" s="127"/>
    </row>
    <row r="229" spans="237:291" ht="14.25" customHeight="1" x14ac:dyDescent="0.2">
      <c r="IC229" s="234"/>
      <c r="ID229" s="74">
        <f t="shared" si="254"/>
        <v>25.5</v>
      </c>
      <c r="IE229" s="74" t="s">
        <v>155</v>
      </c>
      <c r="IF229" s="74">
        <f>IF(EX33=0,IF228,EZ33)</f>
        <v>0</v>
      </c>
      <c r="IG229" s="74">
        <f>IF(IC223="-",0,IG228-IF(EX33=0,0,EJ33*(IF229-IF228)))</f>
        <v>0</v>
      </c>
      <c r="II229" s="35" t="b">
        <f t="shared" si="245"/>
        <v>0</v>
      </c>
      <c r="IJ229" s="45" t="b">
        <f t="shared" si="199"/>
        <v>0</v>
      </c>
      <c r="IK229" s="35">
        <f t="shared" si="246"/>
        <v>0</v>
      </c>
      <c r="IL229" s="48">
        <f>IL228+($IL$232-$IL$227)/4</f>
        <v>0</v>
      </c>
      <c r="IM229" s="35">
        <f t="shared" si="247"/>
        <v>0</v>
      </c>
      <c r="IN229" s="35">
        <f t="shared" si="248"/>
        <v>0</v>
      </c>
      <c r="IO229" s="36">
        <f t="shared" si="249"/>
        <v>0</v>
      </c>
      <c r="IP229" s="35">
        <f t="shared" si="250"/>
        <v>0</v>
      </c>
      <c r="IQ229" s="35">
        <f t="shared" si="251"/>
        <v>0</v>
      </c>
      <c r="IR229" s="35">
        <f t="shared" si="253"/>
        <v>0</v>
      </c>
      <c r="IS229" s="42" t="str">
        <f>IF(IC223="-","",SUM(IM229:IR229))</f>
        <v/>
      </c>
      <c r="IT229" s="35">
        <f t="shared" si="252"/>
        <v>25.5</v>
      </c>
      <c r="IV229" s="84" t="str">
        <f>IF(IC223="-","",EJ33)</f>
        <v/>
      </c>
      <c r="IW229" s="35"/>
      <c r="IY229" s="35">
        <f>IF(IC223="-",-5,IF(EX33=0,-5,ID223+EZ33))</f>
        <v>-5</v>
      </c>
      <c r="IZ229" s="35">
        <v>0</v>
      </c>
      <c r="JB229" s="38"/>
      <c r="JC229" s="38"/>
      <c r="JE229" s="38"/>
      <c r="JF229" s="38"/>
      <c r="JH229" s="38"/>
      <c r="JI229" s="38"/>
      <c r="JK229" s="35"/>
      <c r="JL229" s="35"/>
      <c r="JM229" s="39"/>
      <c r="JN229" s="35"/>
      <c r="JO229" s="35"/>
      <c r="JP229" s="39"/>
      <c r="JQ229" s="35"/>
      <c r="JR229" s="35"/>
      <c r="JS229" s="39"/>
      <c r="JT229" s="35"/>
      <c r="JU229" s="35"/>
      <c r="JW229" s="127"/>
      <c r="JX229" s="127"/>
    </row>
    <row r="230" spans="237:291" ht="14.25" customHeight="1" x14ac:dyDescent="0.2">
      <c r="IC230" s="234"/>
      <c r="ID230" s="74">
        <f t="shared" si="254"/>
        <v>25.5</v>
      </c>
      <c r="IE230" s="74" t="s">
        <v>156</v>
      </c>
      <c r="IF230" s="74">
        <f>IF229</f>
        <v>0</v>
      </c>
      <c r="IG230" s="74">
        <f>IF(IC223="-",0,IG229-EX33)</f>
        <v>0</v>
      </c>
      <c r="II230" s="35" t="b">
        <f t="shared" si="245"/>
        <v>0</v>
      </c>
      <c r="IJ230" s="45" t="b">
        <f t="shared" si="199"/>
        <v>0</v>
      </c>
      <c r="IK230" s="35">
        <f t="shared" si="246"/>
        <v>0</v>
      </c>
      <c r="IL230" s="48">
        <f>IL229+($IL$232-$IL$227)/4</f>
        <v>0</v>
      </c>
      <c r="IM230" s="35">
        <f t="shared" si="247"/>
        <v>0</v>
      </c>
      <c r="IN230" s="35">
        <f t="shared" si="248"/>
        <v>0</v>
      </c>
      <c r="IO230" s="36">
        <f t="shared" si="249"/>
        <v>0</v>
      </c>
      <c r="IP230" s="35">
        <f t="shared" si="250"/>
        <v>0</v>
      </c>
      <c r="IQ230" s="35">
        <f t="shared" si="251"/>
        <v>0</v>
      </c>
      <c r="IR230" s="35">
        <f t="shared" si="253"/>
        <v>0</v>
      </c>
      <c r="IS230" s="42" t="str">
        <f>IF(IC223="-","",SUM(IM230:IR230))</f>
        <v/>
      </c>
      <c r="IT230" s="35">
        <f t="shared" si="252"/>
        <v>25.5</v>
      </c>
      <c r="IV230" s="35"/>
      <c r="IW230" s="35"/>
      <c r="IY230" s="35">
        <f>IY229</f>
        <v>-5</v>
      </c>
      <c r="IZ230" s="35">
        <f>IF(IC223="-",0,EX33/20)</f>
        <v>0</v>
      </c>
      <c r="JB230" s="47" t="str">
        <f>IF(IC223="-","",HY48)</f>
        <v/>
      </c>
      <c r="JC230" s="35" t="b">
        <f>AND($F$2=22,$F$10=$ER$43)</f>
        <v>0</v>
      </c>
      <c r="JE230" s="47" t="str">
        <f>JB230</f>
        <v/>
      </c>
      <c r="JF230" s="38"/>
      <c r="JH230" s="38"/>
      <c r="JI230" s="38"/>
      <c r="JK230" s="35" t="b">
        <f>AND($F$2=22,$F$10=$ER$43)</f>
        <v>0</v>
      </c>
      <c r="JL230" s="35"/>
      <c r="JM230" s="39"/>
      <c r="JN230" s="35"/>
      <c r="JO230" s="35"/>
      <c r="JP230" s="39"/>
      <c r="JQ230" s="35"/>
      <c r="JR230" s="35"/>
      <c r="JS230" s="39"/>
      <c r="JT230" s="35"/>
      <c r="JU230" s="35"/>
      <c r="JW230" s="127"/>
      <c r="JX230" s="127"/>
    </row>
    <row r="231" spans="237:291" ht="14.25" customHeight="1" x14ac:dyDescent="0.2">
      <c r="IC231" s="234"/>
      <c r="ID231" s="74">
        <f t="shared" si="254"/>
        <v>25.5</v>
      </c>
      <c r="IE231" s="74" t="s">
        <v>157</v>
      </c>
      <c r="IF231" s="74">
        <f>IF232</f>
        <v>0</v>
      </c>
      <c r="IG231" s="74">
        <f>HW48</f>
        <v>0</v>
      </c>
      <c r="II231" s="35" t="b">
        <f t="shared" si="245"/>
        <v>0</v>
      </c>
      <c r="IJ231" s="45" t="b">
        <f t="shared" si="199"/>
        <v>0</v>
      </c>
      <c r="IK231" s="35">
        <f t="shared" si="246"/>
        <v>0</v>
      </c>
      <c r="IL231" s="48">
        <f>IL230+($IL$232-$IL$227)/4</f>
        <v>0</v>
      </c>
      <c r="IM231" s="35">
        <f t="shared" si="247"/>
        <v>0</v>
      </c>
      <c r="IN231" s="35">
        <f t="shared" si="248"/>
        <v>0</v>
      </c>
      <c r="IO231" s="36">
        <f t="shared" si="249"/>
        <v>0</v>
      </c>
      <c r="IP231" s="35">
        <f t="shared" si="250"/>
        <v>0</v>
      </c>
      <c r="IQ231" s="35">
        <f t="shared" si="251"/>
        <v>0</v>
      </c>
      <c r="IR231" s="45"/>
      <c r="IS231" s="37" t="str">
        <f>IF(IC223="-","",ROUND(HU48,2))</f>
        <v/>
      </c>
      <c r="IT231" s="35">
        <f t="shared" si="252"/>
        <v>25.5</v>
      </c>
      <c r="IV231" s="35"/>
      <c r="IW231" s="35"/>
      <c r="IY231" s="44" t="str">
        <f>IF(IC223="-","",IF(EX33=0,"",EX33))</f>
        <v/>
      </c>
      <c r="IZ231" s="45"/>
      <c r="JB231" s="38">
        <f>ID232</f>
        <v>25.5</v>
      </c>
      <c r="JC231" s="38">
        <v>0</v>
      </c>
      <c r="JE231" s="38">
        <f>JB231</f>
        <v>25.5</v>
      </c>
      <c r="JF231" s="38">
        <f>IF(JE230&gt;0,-MAX(IW3:IW272,IZ3:IZ272)*0.5,-MAX(IW3:IW272,IZ3:IZ272)*1.5)</f>
        <v>-37.5</v>
      </c>
      <c r="JH231" s="38">
        <f>IF(IC223=22,ID231,-5)</f>
        <v>-5</v>
      </c>
      <c r="JI231" s="38">
        <f>IG231</f>
        <v>0</v>
      </c>
      <c r="JK231" s="35">
        <f>IF(JK230=TRUE,IT231,-5)</f>
        <v>-5</v>
      </c>
      <c r="JL231" s="49" t="str">
        <f>IS231</f>
        <v/>
      </c>
      <c r="JM231" s="40"/>
      <c r="JN231" s="49"/>
      <c r="JO231" s="49"/>
      <c r="JP231" s="40"/>
      <c r="JQ231" s="49"/>
      <c r="JR231" s="49"/>
      <c r="JS231" s="40"/>
      <c r="JT231" s="49"/>
      <c r="JU231" s="49"/>
      <c r="JW231" s="120"/>
      <c r="JX231" s="120"/>
    </row>
    <row r="232" spans="237:291" ht="14.25" customHeight="1" x14ac:dyDescent="0.2">
      <c r="IC232" s="234"/>
      <c r="ID232" s="74">
        <f>IF(HS47="R0",ID223,ID223+HT47)</f>
        <v>25.5</v>
      </c>
      <c r="IE232" s="74" t="s">
        <v>158</v>
      </c>
      <c r="IF232" s="74">
        <f>IF(HS47="R0",0,HT47)</f>
        <v>0</v>
      </c>
      <c r="IG232" s="74">
        <v>0</v>
      </c>
      <c r="II232" s="35" t="b">
        <f t="shared" si="245"/>
        <v>0</v>
      </c>
      <c r="IJ232" s="45" t="b">
        <f t="shared" si="199"/>
        <v>0</v>
      </c>
      <c r="IK232" s="35">
        <f t="shared" si="246"/>
        <v>0</v>
      </c>
      <c r="IL232" s="48">
        <f>IK232</f>
        <v>0</v>
      </c>
      <c r="IM232" s="35"/>
      <c r="IN232" s="35"/>
      <c r="IO232" s="36"/>
      <c r="IP232" s="35"/>
      <c r="IQ232" s="35"/>
      <c r="IR232" s="45"/>
      <c r="IS232" s="82"/>
      <c r="IT232" s="35"/>
      <c r="IV232" s="35"/>
      <c r="IW232" s="35"/>
      <c r="IY232" s="45"/>
      <c r="IZ232" s="45"/>
      <c r="JB232" s="38">
        <f>JB231</f>
        <v>25.5</v>
      </c>
      <c r="JC232" s="38">
        <f>IF(IC223="-",0,IF(JC230=TRUE,0,-20))</f>
        <v>0</v>
      </c>
      <c r="JE232" s="38">
        <f>JE231</f>
        <v>25.5</v>
      </c>
      <c r="JF232" s="38">
        <f>IF(IC223="-",JF231,IF(JE230&gt;0,-MAX(IW3:IW272,IZ3:IZ272)*1.5,-MAX(IW3:IW272,IZ3:IZ272)*0.5))</f>
        <v>-37.5</v>
      </c>
      <c r="JH232" s="38"/>
      <c r="JI232" s="38"/>
      <c r="JK232" s="35"/>
      <c r="JL232" s="35"/>
      <c r="JM232" s="39"/>
      <c r="JN232" s="35"/>
      <c r="JO232" s="35"/>
      <c r="JP232" s="39"/>
      <c r="JQ232" s="35"/>
      <c r="JR232" s="35"/>
      <c r="JS232" s="39"/>
      <c r="JT232" s="35"/>
      <c r="JU232" s="35"/>
      <c r="JW232" s="127"/>
      <c r="JX232" s="127"/>
      <c r="KE232" s="22" t="s">
        <v>172</v>
      </c>
    </row>
    <row r="233" spans="237:291" ht="14.25" customHeight="1" x14ac:dyDescent="0.2">
      <c r="IC233" s="250" t="str">
        <f>IF(HS49="R0","-",HS49)</f>
        <v>-</v>
      </c>
      <c r="ID233" s="53">
        <f>IF(HS49="R0",ID272,ID232)</f>
        <v>25.5</v>
      </c>
      <c r="IE233" s="53" t="s">
        <v>149</v>
      </c>
      <c r="IF233" s="53">
        <v>0</v>
      </c>
      <c r="IG233" s="53">
        <v>0</v>
      </c>
      <c r="II233" s="54" t="b">
        <f t="shared" si="245"/>
        <v>0</v>
      </c>
      <c r="IJ233" s="55" t="b">
        <f t="shared" si="199"/>
        <v>0</v>
      </c>
      <c r="IK233" s="54">
        <f t="shared" ref="IK233:IK242" si="255">IF(II233=TRUE,IF(IJ233=TRUE,IG233/$EJ$34)+IF233,IF233)</f>
        <v>0</v>
      </c>
      <c r="IL233" s="56">
        <f>IK233</f>
        <v>0</v>
      </c>
      <c r="IM233" s="54">
        <f t="shared" ref="IM233:IM241" si="256">$HV$49*IL233</f>
        <v>0</v>
      </c>
      <c r="IN233" s="54">
        <f t="shared" ref="IN233:IN241" si="257">-$EJ$34*(IL233^2/2)</f>
        <v>0</v>
      </c>
      <c r="IO233" s="57">
        <f t="shared" ref="IO233:IO241" si="258">-IF(IL233&gt;=$EN$34,$EL$34*(IL233-$EN$34),0)</f>
        <v>0</v>
      </c>
      <c r="IP233" s="54">
        <f t="shared" ref="IP233:IP241" si="259">-IF(IL233&gt;=$ET$34,$ER$34*(IL233-$ET$34),0)</f>
        <v>0</v>
      </c>
      <c r="IQ233" s="54">
        <f t="shared" ref="IQ233:IQ241" si="260">-IF(IL233&gt;=$EZ$34,$EX$34*(IL233-$EZ$34),0)</f>
        <v>0</v>
      </c>
      <c r="IR233" s="55"/>
      <c r="IS233" s="59" t="str">
        <f>IF(IC233="-","",HU49)</f>
        <v/>
      </c>
      <c r="IT233" s="54">
        <f t="shared" ref="IT233:IT241" si="261">$ID$233+IL233</f>
        <v>25.5</v>
      </c>
      <c r="IV233" s="54">
        <f>ID233</f>
        <v>25.5</v>
      </c>
      <c r="IW233" s="54">
        <v>0</v>
      </c>
      <c r="IY233" s="54">
        <f>IF(IC233="-",-5,IF(EL34=0,-5,ID233+EN34))</f>
        <v>-5</v>
      </c>
      <c r="IZ233" s="54">
        <v>0</v>
      </c>
      <c r="JB233" s="54"/>
      <c r="JC233" s="54"/>
      <c r="JE233" s="54"/>
      <c r="JF233" s="54"/>
      <c r="JH233" s="54"/>
      <c r="JI233" s="54"/>
      <c r="JK233" s="54">
        <f>IF(IC233=23,IT233,-5)</f>
        <v>-5</v>
      </c>
      <c r="JL233" s="59" t="str">
        <f>IS233</f>
        <v/>
      </c>
      <c r="JM233" s="40"/>
      <c r="JN233" s="59">
        <f>IF(IC233="-",-5,(ID233+ID242)/2)</f>
        <v>-5</v>
      </c>
      <c r="JO233" s="59">
        <f>-MAX(IW3:IW272,IZ3:IZ272)*0.7</f>
        <v>-52.5</v>
      </c>
      <c r="JP233" s="40"/>
      <c r="JQ233" s="59">
        <f>IF(IC233="-",-5,(IT233+IT237)/2)</f>
        <v>-5</v>
      </c>
      <c r="JR233" s="59">
        <f>JR13</f>
        <v>-760.38306347150262</v>
      </c>
      <c r="JS233" s="40"/>
      <c r="JT233" s="59"/>
      <c r="JU233" s="59"/>
      <c r="JW233" s="122">
        <f>JN233</f>
        <v>-5</v>
      </c>
      <c r="JX233" s="122">
        <f>JF242</f>
        <v>-37.5</v>
      </c>
    </row>
    <row r="234" spans="237:291" ht="14.25" customHeight="1" x14ac:dyDescent="0.2">
      <c r="IC234" s="250"/>
      <c r="ID234" s="53">
        <f>IF($IC$233="-",$ID$233,$ID$233+IF234)</f>
        <v>25.5</v>
      </c>
      <c r="IE234" s="53" t="s">
        <v>150</v>
      </c>
      <c r="IF234" s="53">
        <f>IF233</f>
        <v>0</v>
      </c>
      <c r="IG234" s="53">
        <f>IF(IC233="-",0,HV49)</f>
        <v>0</v>
      </c>
      <c r="II234" s="54" t="b">
        <f t="shared" si="245"/>
        <v>0</v>
      </c>
      <c r="IJ234" s="55" t="b">
        <f t="shared" si="199"/>
        <v>0</v>
      </c>
      <c r="IK234" s="54">
        <f t="shared" si="255"/>
        <v>0</v>
      </c>
      <c r="IL234" s="56">
        <f>(IL237-IL233)/4</f>
        <v>0</v>
      </c>
      <c r="IM234" s="54">
        <f t="shared" si="256"/>
        <v>0</v>
      </c>
      <c r="IN234" s="54">
        <f t="shared" si="257"/>
        <v>0</v>
      </c>
      <c r="IO234" s="57">
        <f t="shared" si="258"/>
        <v>0</v>
      </c>
      <c r="IP234" s="54">
        <f t="shared" si="259"/>
        <v>0</v>
      </c>
      <c r="IQ234" s="54">
        <f t="shared" si="260"/>
        <v>0</v>
      </c>
      <c r="IR234" s="54">
        <f t="shared" ref="IR234:IR240" si="262">$HU$49</f>
        <v>0</v>
      </c>
      <c r="IS234" s="58" t="str">
        <f>IF(IC233="-","",SUM(IM234:IR234))</f>
        <v/>
      </c>
      <c r="IT234" s="54">
        <f t="shared" si="261"/>
        <v>25.5</v>
      </c>
      <c r="IV234" s="54">
        <f>IV233</f>
        <v>25.5</v>
      </c>
      <c r="IW234" s="54">
        <f>IF(IC233="-",0,EJ34)/20</f>
        <v>0</v>
      </c>
      <c r="IY234" s="54">
        <f>IY233</f>
        <v>-5</v>
      </c>
      <c r="IZ234" s="54">
        <f>IF(IC233="-",0,EL34/20)</f>
        <v>0</v>
      </c>
      <c r="JB234" s="54"/>
      <c r="JC234" s="54"/>
      <c r="JE234" s="54"/>
      <c r="JF234" s="54"/>
      <c r="JH234" s="54">
        <f>IF(IC233=23,ID234,-5)</f>
        <v>-5</v>
      </c>
      <c r="JI234" s="54">
        <f>IG234</f>
        <v>0</v>
      </c>
      <c r="JK234" s="54"/>
      <c r="JL234" s="54"/>
      <c r="JM234" s="39"/>
      <c r="JN234" s="61">
        <f>HT49</f>
        <v>0</v>
      </c>
      <c r="JO234" s="54"/>
      <c r="JP234" s="39"/>
      <c r="JQ234" s="62" t="b">
        <f>IL237</f>
        <v>0</v>
      </c>
      <c r="JR234" s="54"/>
      <c r="JS234" s="39"/>
      <c r="JT234" s="54"/>
      <c r="JU234" s="54"/>
      <c r="JW234" s="125" t="str">
        <f>IC233</f>
        <v>-</v>
      </c>
      <c r="JX234" s="123"/>
    </row>
    <row r="235" spans="237:291" ht="14.25" customHeight="1" x14ac:dyDescent="0.2">
      <c r="IC235" s="250"/>
      <c r="ID235" s="53">
        <f t="shared" ref="ID235:ID241" si="263">IF($IC$233="-",$ID$233,$ID$233+IF235)</f>
        <v>25.5</v>
      </c>
      <c r="IE235" s="53" t="s">
        <v>151</v>
      </c>
      <c r="IF235" s="53">
        <f>IF(EL34=0,IF234,EN34)</f>
        <v>0</v>
      </c>
      <c r="IG235" s="53">
        <f>IF(IC233="-",0,IG234-IF(EL34=0,0,EJ34*IF235))</f>
        <v>0</v>
      </c>
      <c r="II235" s="54" t="b">
        <f t="shared" si="245"/>
        <v>0</v>
      </c>
      <c r="IJ235" s="55" t="b">
        <f t="shared" ref="IJ235:IJ272" si="264">IF(IF235=IF236,FALSE,TRUE)</f>
        <v>0</v>
      </c>
      <c r="IK235" s="54">
        <f t="shared" si="255"/>
        <v>0</v>
      </c>
      <c r="IL235" s="56">
        <f>IL234*2</f>
        <v>0</v>
      </c>
      <c r="IM235" s="54">
        <f t="shared" si="256"/>
        <v>0</v>
      </c>
      <c r="IN235" s="54">
        <f t="shared" si="257"/>
        <v>0</v>
      </c>
      <c r="IO235" s="57">
        <f t="shared" si="258"/>
        <v>0</v>
      </c>
      <c r="IP235" s="54">
        <f t="shared" si="259"/>
        <v>0</v>
      </c>
      <c r="IQ235" s="54">
        <f t="shared" si="260"/>
        <v>0</v>
      </c>
      <c r="IR235" s="54">
        <f t="shared" si="262"/>
        <v>0</v>
      </c>
      <c r="IS235" s="58" t="str">
        <f>IF(IC233="-","",SUM(IM235:IR235))</f>
        <v/>
      </c>
      <c r="IT235" s="54">
        <f t="shared" si="261"/>
        <v>25.5</v>
      </c>
      <c r="IV235" s="54">
        <f>IF242/2+IV233</f>
        <v>25.5</v>
      </c>
      <c r="IW235" s="54">
        <f>IW234</f>
        <v>0</v>
      </c>
      <c r="IY235" s="65" t="str">
        <f>IF(IC233="-","",IF(EL34=0,"",EL34))</f>
        <v/>
      </c>
      <c r="IZ235" s="55"/>
      <c r="JB235" s="54"/>
      <c r="JC235" s="54"/>
      <c r="JE235" s="54"/>
      <c r="JF235" s="54"/>
      <c r="JH235" s="54"/>
      <c r="JI235" s="54"/>
      <c r="JK235" s="54"/>
      <c r="JL235" s="54"/>
      <c r="JM235" s="39"/>
      <c r="JN235" s="54"/>
      <c r="JO235" s="54"/>
      <c r="JP235" s="39"/>
      <c r="JQ235" s="54"/>
      <c r="JR235" s="54"/>
      <c r="JS235" s="39"/>
      <c r="JT235" s="54"/>
      <c r="JU235" s="54"/>
      <c r="JW235" s="123"/>
      <c r="JX235" s="123"/>
    </row>
    <row r="236" spans="237:291" ht="14.25" customHeight="1" x14ac:dyDescent="0.2">
      <c r="IC236" s="250"/>
      <c r="ID236" s="53">
        <f t="shared" si="263"/>
        <v>25.5</v>
      </c>
      <c r="IE236" s="53" t="s">
        <v>152</v>
      </c>
      <c r="IF236" s="53">
        <f>IF235</f>
        <v>0</v>
      </c>
      <c r="IG236" s="53">
        <f>IF(IC233="-",0,IG235-EL34)</f>
        <v>0</v>
      </c>
      <c r="II236" s="54" t="b">
        <f t="shared" si="245"/>
        <v>0</v>
      </c>
      <c r="IJ236" s="55" t="b">
        <f t="shared" si="264"/>
        <v>0</v>
      </c>
      <c r="IK236" s="54">
        <f t="shared" si="255"/>
        <v>0</v>
      </c>
      <c r="IL236" s="56">
        <f>IL234*3</f>
        <v>0</v>
      </c>
      <c r="IM236" s="54">
        <f t="shared" si="256"/>
        <v>0</v>
      </c>
      <c r="IN236" s="54">
        <f t="shared" si="257"/>
        <v>0</v>
      </c>
      <c r="IO236" s="57">
        <f t="shared" si="258"/>
        <v>0</v>
      </c>
      <c r="IP236" s="54">
        <f t="shared" si="259"/>
        <v>0</v>
      </c>
      <c r="IQ236" s="54">
        <f t="shared" si="260"/>
        <v>0</v>
      </c>
      <c r="IR236" s="54">
        <f t="shared" si="262"/>
        <v>0</v>
      </c>
      <c r="IS236" s="58" t="str">
        <f>IF(IC233="-","",SUM(IM236:IR236))</f>
        <v/>
      </c>
      <c r="IT236" s="54">
        <f t="shared" si="261"/>
        <v>25.5</v>
      </c>
      <c r="IV236" s="54">
        <f>IV237</f>
        <v>25.5</v>
      </c>
      <c r="IW236" s="54">
        <f>IW234</f>
        <v>0</v>
      </c>
      <c r="IY236" s="54">
        <f>IF(IC233="-",-5,IF(ER34=0,-5,ID233+ET34))</f>
        <v>-5</v>
      </c>
      <c r="IZ236" s="54">
        <v>0</v>
      </c>
      <c r="JB236" s="54"/>
      <c r="JC236" s="54"/>
      <c r="JE236" s="54"/>
      <c r="JF236" s="54"/>
      <c r="JH236" s="54"/>
      <c r="JI236" s="54"/>
      <c r="JK236" s="54"/>
      <c r="JL236" s="54"/>
      <c r="JM236" s="39"/>
      <c r="JN236" s="54"/>
      <c r="JO236" s="54"/>
      <c r="JP236" s="39"/>
      <c r="JQ236" s="54"/>
      <c r="JR236" s="54"/>
      <c r="JS236" s="39"/>
      <c r="JT236" s="54"/>
      <c r="JU236" s="54"/>
      <c r="JW236" s="123"/>
      <c r="JX236" s="123"/>
    </row>
    <row r="237" spans="237:291" ht="14.25" customHeight="1" x14ac:dyDescent="0.2">
      <c r="IC237" s="250"/>
      <c r="ID237" s="53">
        <f t="shared" si="263"/>
        <v>25.5</v>
      </c>
      <c r="IE237" s="53" t="s">
        <v>153</v>
      </c>
      <c r="IF237" s="53">
        <f>IF(ER34=0,IF236,ET34)</f>
        <v>0</v>
      </c>
      <c r="IG237" s="53">
        <f>IF(IC233="-",0,IG236-IF(ER34=0,0,EJ34*(IF237-IF236)))</f>
        <v>0</v>
      </c>
      <c r="II237" s="54" t="b">
        <f t="shared" si="245"/>
        <v>0</v>
      </c>
      <c r="IJ237" s="55" t="b">
        <f t="shared" si="264"/>
        <v>0</v>
      </c>
      <c r="IK237" s="54">
        <f t="shared" si="255"/>
        <v>0</v>
      </c>
      <c r="IL237" s="68" t="b">
        <f>IF(II233=TRUE,IK233,IF(II234=TRUE,IK234,IF(II235=TRUE,IK235,IF(II236=TRUE,IK236,IF(II237=TRUE,IK237,IF(II238=TRUE,IK238,IF(II239=TRUE,IK239,IF(II240=TRUE,IK240,IF(II241=TRUE,IK241,IF(II242=TRUE,IK242))))))))))</f>
        <v>0</v>
      </c>
      <c r="IM237" s="68">
        <f t="shared" si="256"/>
        <v>0</v>
      </c>
      <c r="IN237" s="68">
        <f t="shared" si="257"/>
        <v>0</v>
      </c>
      <c r="IO237" s="69">
        <f t="shared" si="258"/>
        <v>0</v>
      </c>
      <c r="IP237" s="68">
        <f t="shared" si="259"/>
        <v>0</v>
      </c>
      <c r="IQ237" s="68">
        <f t="shared" si="260"/>
        <v>0</v>
      </c>
      <c r="IR237" s="68">
        <f t="shared" si="262"/>
        <v>0</v>
      </c>
      <c r="IS237" s="70" t="str">
        <f>IF(IC233="-","",ROUND(SUM(IM237:IR237),2))</f>
        <v/>
      </c>
      <c r="IT237" s="68">
        <f t="shared" si="261"/>
        <v>25.5</v>
      </c>
      <c r="IV237" s="54">
        <f>ID242</f>
        <v>25.5</v>
      </c>
      <c r="IW237" s="54">
        <v>0</v>
      </c>
      <c r="IY237" s="54">
        <f>IY236</f>
        <v>-5</v>
      </c>
      <c r="IZ237" s="54">
        <f>IF(IC233="-",0,ER34/20)</f>
        <v>0</v>
      </c>
      <c r="JB237" s="54"/>
      <c r="JC237" s="54"/>
      <c r="JE237" s="54"/>
      <c r="JF237" s="54"/>
      <c r="JH237" s="54"/>
      <c r="JI237" s="54"/>
      <c r="JK237" s="54">
        <f>IF(IC233=23,IT237,-5)</f>
        <v>-5</v>
      </c>
      <c r="JL237" s="59" t="str">
        <f>IS237</f>
        <v/>
      </c>
      <c r="JM237" s="40"/>
      <c r="JN237" s="59"/>
      <c r="JO237" s="59"/>
      <c r="JP237" s="40"/>
      <c r="JQ237" s="59"/>
      <c r="JR237" s="59"/>
      <c r="JS237" s="40"/>
      <c r="JT237" s="59"/>
      <c r="JU237" s="59"/>
      <c r="JW237" s="122"/>
      <c r="JX237" s="122"/>
    </row>
    <row r="238" spans="237:291" ht="14.25" customHeight="1" x14ac:dyDescent="0.2">
      <c r="IC238" s="250"/>
      <c r="ID238" s="53">
        <f t="shared" si="263"/>
        <v>25.5</v>
      </c>
      <c r="IE238" s="53" t="s">
        <v>154</v>
      </c>
      <c r="IF238" s="53">
        <f>IF237</f>
        <v>0</v>
      </c>
      <c r="IG238" s="53">
        <f>IF(IC233="-",0,IG237-ER34)</f>
        <v>0</v>
      </c>
      <c r="II238" s="54" t="b">
        <f t="shared" si="245"/>
        <v>0</v>
      </c>
      <c r="IJ238" s="55" t="b">
        <f t="shared" si="264"/>
        <v>0</v>
      </c>
      <c r="IK238" s="54">
        <f t="shared" si="255"/>
        <v>0</v>
      </c>
      <c r="IL238" s="56">
        <f>IL237+($IL$242-$IL$237)/4</f>
        <v>0</v>
      </c>
      <c r="IM238" s="54">
        <f t="shared" si="256"/>
        <v>0</v>
      </c>
      <c r="IN238" s="54">
        <f t="shared" si="257"/>
        <v>0</v>
      </c>
      <c r="IO238" s="57">
        <f t="shared" si="258"/>
        <v>0</v>
      </c>
      <c r="IP238" s="54">
        <f t="shared" si="259"/>
        <v>0</v>
      </c>
      <c r="IQ238" s="54">
        <f t="shared" si="260"/>
        <v>0</v>
      </c>
      <c r="IR238" s="54">
        <f t="shared" si="262"/>
        <v>0</v>
      </c>
      <c r="IS238" s="58" t="str">
        <f>IF(IC233="-","",SUM(IM238:IR238))</f>
        <v/>
      </c>
      <c r="IT238" s="54">
        <f t="shared" si="261"/>
        <v>25.5</v>
      </c>
      <c r="IV238" s="54"/>
      <c r="IW238" s="54"/>
      <c r="IY238" s="65" t="str">
        <f>IF(IC233="-","",IF(ER34=0,"",ER34))</f>
        <v/>
      </c>
      <c r="IZ238" s="55"/>
      <c r="JB238" s="54"/>
      <c r="JC238" s="54"/>
      <c r="JE238" s="54"/>
      <c r="JF238" s="54"/>
      <c r="JH238" s="54"/>
      <c r="JI238" s="54"/>
      <c r="JK238" s="54"/>
      <c r="JL238" s="54"/>
      <c r="JM238" s="39"/>
      <c r="JN238" s="54"/>
      <c r="JO238" s="54"/>
      <c r="JP238" s="39"/>
      <c r="JQ238" s="54"/>
      <c r="JR238" s="54"/>
      <c r="JS238" s="39"/>
      <c r="JT238" s="54"/>
      <c r="JU238" s="54"/>
      <c r="JW238" s="123"/>
      <c r="JX238" s="123"/>
    </row>
    <row r="239" spans="237:291" ht="14.25" customHeight="1" x14ac:dyDescent="0.2">
      <c r="IC239" s="250"/>
      <c r="ID239" s="53">
        <f t="shared" si="263"/>
        <v>25.5</v>
      </c>
      <c r="IE239" s="53" t="s">
        <v>155</v>
      </c>
      <c r="IF239" s="53">
        <f>IF(EX34=0,IF238,EZ34)</f>
        <v>0</v>
      </c>
      <c r="IG239" s="53">
        <f>IF(IC233="-",0,IG238-IF(EX34=0,0,EJ34*(IF239-IF238)))</f>
        <v>0</v>
      </c>
      <c r="II239" s="54" t="b">
        <f t="shared" si="245"/>
        <v>0</v>
      </c>
      <c r="IJ239" s="55" t="b">
        <f t="shared" si="264"/>
        <v>0</v>
      </c>
      <c r="IK239" s="54">
        <f t="shared" si="255"/>
        <v>0</v>
      </c>
      <c r="IL239" s="56">
        <f>IL238+($IL$242-$IL$237)/4</f>
        <v>0</v>
      </c>
      <c r="IM239" s="54">
        <f t="shared" si="256"/>
        <v>0</v>
      </c>
      <c r="IN239" s="54">
        <f t="shared" si="257"/>
        <v>0</v>
      </c>
      <c r="IO239" s="57">
        <f t="shared" si="258"/>
        <v>0</v>
      </c>
      <c r="IP239" s="54">
        <f t="shared" si="259"/>
        <v>0</v>
      </c>
      <c r="IQ239" s="54">
        <f t="shared" si="260"/>
        <v>0</v>
      </c>
      <c r="IR239" s="54">
        <f t="shared" si="262"/>
        <v>0</v>
      </c>
      <c r="IS239" s="58" t="str">
        <f>IF(IC233="-","",SUM(IM239:IR239))</f>
        <v/>
      </c>
      <c r="IT239" s="54">
        <f t="shared" si="261"/>
        <v>25.5</v>
      </c>
      <c r="IV239" s="72" t="str">
        <f>IF(IC233="-","",EJ34)</f>
        <v/>
      </c>
      <c r="IW239" s="54"/>
      <c r="IY239" s="54">
        <f>IF(IC233="-",-5,IF(EX34=0,-5,ID233+EZ34))</f>
        <v>-5</v>
      </c>
      <c r="IZ239" s="54">
        <v>0</v>
      </c>
      <c r="JB239" s="54"/>
      <c r="JC239" s="54"/>
      <c r="JE239" s="54"/>
      <c r="JF239" s="54"/>
      <c r="JH239" s="54"/>
      <c r="JI239" s="54"/>
      <c r="JK239" s="54"/>
      <c r="JL239" s="54"/>
      <c r="JM239" s="39"/>
      <c r="JN239" s="54"/>
      <c r="JO239" s="54"/>
      <c r="JP239" s="39"/>
      <c r="JQ239" s="54"/>
      <c r="JR239" s="54"/>
      <c r="JS239" s="39"/>
      <c r="JT239" s="54"/>
      <c r="JU239" s="54"/>
      <c r="JW239" s="123"/>
      <c r="JX239" s="123"/>
    </row>
    <row r="240" spans="237:291" ht="14.25" customHeight="1" x14ac:dyDescent="0.2">
      <c r="IC240" s="250"/>
      <c r="ID240" s="53">
        <f t="shared" si="263"/>
        <v>25.5</v>
      </c>
      <c r="IE240" s="53" t="s">
        <v>156</v>
      </c>
      <c r="IF240" s="53">
        <f>IF239</f>
        <v>0</v>
      </c>
      <c r="IG240" s="53">
        <f>IF(IC233="-",0,IG239-EX34)</f>
        <v>0</v>
      </c>
      <c r="II240" s="54" t="b">
        <f t="shared" si="245"/>
        <v>0</v>
      </c>
      <c r="IJ240" s="55" t="b">
        <f t="shared" si="264"/>
        <v>0</v>
      </c>
      <c r="IK240" s="54">
        <f t="shared" si="255"/>
        <v>0</v>
      </c>
      <c r="IL240" s="56">
        <f>IL239+($IL$242-$IL$237)/4</f>
        <v>0</v>
      </c>
      <c r="IM240" s="54">
        <f t="shared" si="256"/>
        <v>0</v>
      </c>
      <c r="IN240" s="54">
        <f t="shared" si="257"/>
        <v>0</v>
      </c>
      <c r="IO240" s="57">
        <f t="shared" si="258"/>
        <v>0</v>
      </c>
      <c r="IP240" s="54">
        <f t="shared" si="259"/>
        <v>0</v>
      </c>
      <c r="IQ240" s="54">
        <f t="shared" si="260"/>
        <v>0</v>
      </c>
      <c r="IR240" s="54">
        <f t="shared" si="262"/>
        <v>0</v>
      </c>
      <c r="IS240" s="58" t="str">
        <f>IF(IC233="-","",SUM(IM240:IR240))</f>
        <v/>
      </c>
      <c r="IT240" s="54">
        <f t="shared" si="261"/>
        <v>25.5</v>
      </c>
      <c r="IV240" s="54"/>
      <c r="IW240" s="54"/>
      <c r="IY240" s="54">
        <f>IY239</f>
        <v>-5</v>
      </c>
      <c r="IZ240" s="54">
        <f>IF(IC233="-",0,EX34/20)</f>
        <v>0</v>
      </c>
      <c r="JB240" s="66" t="str">
        <f>IF(IC233="-","",HY50)</f>
        <v/>
      </c>
      <c r="JC240" s="54" t="b">
        <f>AND($F$2=23,$F$10=$ER$43)</f>
        <v>0</v>
      </c>
      <c r="JE240" s="66" t="str">
        <f>JB240</f>
        <v/>
      </c>
      <c r="JF240" s="54"/>
      <c r="JH240" s="54"/>
      <c r="JI240" s="54"/>
      <c r="JK240" s="54" t="b">
        <f>AND($F$2=23,$F$10=$ER$43)</f>
        <v>0</v>
      </c>
      <c r="JL240" s="54"/>
      <c r="JM240" s="39"/>
      <c r="JN240" s="54"/>
      <c r="JO240" s="54"/>
      <c r="JP240" s="39"/>
      <c r="JQ240" s="54"/>
      <c r="JR240" s="54"/>
      <c r="JS240" s="39"/>
      <c r="JT240" s="54"/>
      <c r="JU240" s="54"/>
      <c r="JW240" s="123"/>
      <c r="JX240" s="123"/>
    </row>
    <row r="241" spans="237:287" ht="14.25" customHeight="1" x14ac:dyDescent="0.2">
      <c r="IC241" s="250"/>
      <c r="ID241" s="53">
        <f t="shared" si="263"/>
        <v>25.5</v>
      </c>
      <c r="IE241" s="53" t="s">
        <v>157</v>
      </c>
      <c r="IF241" s="53">
        <f>IF242</f>
        <v>0</v>
      </c>
      <c r="IG241" s="53">
        <f>HW50</f>
        <v>0</v>
      </c>
      <c r="II241" s="54" t="b">
        <f t="shared" si="245"/>
        <v>0</v>
      </c>
      <c r="IJ241" s="55" t="b">
        <f t="shared" si="264"/>
        <v>0</v>
      </c>
      <c r="IK241" s="54">
        <f t="shared" si="255"/>
        <v>0</v>
      </c>
      <c r="IL241" s="56">
        <f>IL240+($IL$242-$IL$237)/4</f>
        <v>0</v>
      </c>
      <c r="IM241" s="54">
        <f t="shared" si="256"/>
        <v>0</v>
      </c>
      <c r="IN241" s="54">
        <f t="shared" si="257"/>
        <v>0</v>
      </c>
      <c r="IO241" s="57">
        <f t="shared" si="258"/>
        <v>0</v>
      </c>
      <c r="IP241" s="54">
        <f t="shared" si="259"/>
        <v>0</v>
      </c>
      <c r="IQ241" s="54">
        <f t="shared" si="260"/>
        <v>0</v>
      </c>
      <c r="IR241" s="55"/>
      <c r="IS241" s="59" t="str">
        <f>IF(IC233="-","",ROUND(HU50,2))</f>
        <v/>
      </c>
      <c r="IT241" s="54">
        <f t="shared" si="261"/>
        <v>25.5</v>
      </c>
      <c r="IV241" s="54"/>
      <c r="IW241" s="54"/>
      <c r="IY241" s="65" t="str">
        <f>IF(IC233="-","",IF(EX34=0,"",EX34))</f>
        <v/>
      </c>
      <c r="IZ241" s="55"/>
      <c r="JB241" s="54">
        <f>ID242</f>
        <v>25.5</v>
      </c>
      <c r="JC241" s="54">
        <v>0</v>
      </c>
      <c r="JE241" s="54">
        <f>JB241</f>
        <v>25.5</v>
      </c>
      <c r="JF241" s="54">
        <f>IF(JE240&gt;0,-MAX(IW3:IW272,IZ3:IZ272)*0.5,-MAX(IW3:IW272,IZ3:IZ272)*1.5)</f>
        <v>-37.5</v>
      </c>
      <c r="JH241" s="54">
        <f>IF(IC233=23,ID241,-5)</f>
        <v>-5</v>
      </c>
      <c r="JI241" s="54">
        <f>IG241</f>
        <v>0</v>
      </c>
      <c r="JK241" s="54">
        <f>IF(JK240=TRUE,IT241,-5)</f>
        <v>-5</v>
      </c>
      <c r="JL241" s="59" t="str">
        <f>IS241</f>
        <v/>
      </c>
      <c r="JM241" s="40"/>
      <c r="JN241" s="59"/>
      <c r="JO241" s="59"/>
      <c r="JP241" s="40"/>
      <c r="JQ241" s="59"/>
      <c r="JR241" s="59"/>
      <c r="JS241" s="40"/>
      <c r="JT241" s="59"/>
      <c r="JU241" s="59"/>
      <c r="JW241" s="122"/>
      <c r="JX241" s="122"/>
    </row>
    <row r="242" spans="237:287" ht="14.25" customHeight="1" x14ac:dyDescent="0.2">
      <c r="IC242" s="250"/>
      <c r="ID242" s="53">
        <f>IF(HS49="R0",ID233,ID233+HT49)</f>
        <v>25.5</v>
      </c>
      <c r="IE242" s="53" t="s">
        <v>158</v>
      </c>
      <c r="IF242" s="53">
        <f>IF(HS49="R0",0,HT49)</f>
        <v>0</v>
      </c>
      <c r="IG242" s="53">
        <v>0</v>
      </c>
      <c r="II242" s="54" t="b">
        <f t="shared" si="245"/>
        <v>0</v>
      </c>
      <c r="IJ242" s="55" t="b">
        <f t="shared" si="264"/>
        <v>0</v>
      </c>
      <c r="IK242" s="54">
        <f t="shared" si="255"/>
        <v>0</v>
      </c>
      <c r="IL242" s="56">
        <f>IK242</f>
        <v>0</v>
      </c>
      <c r="IM242" s="54"/>
      <c r="IN242" s="54"/>
      <c r="IO242" s="57"/>
      <c r="IP242" s="54"/>
      <c r="IQ242" s="54"/>
      <c r="IR242" s="55"/>
      <c r="IS242" s="83"/>
      <c r="IT242" s="54"/>
      <c r="IV242" s="54"/>
      <c r="IW242" s="54"/>
      <c r="IY242" s="55"/>
      <c r="IZ242" s="55"/>
      <c r="JB242" s="54">
        <f>JB241</f>
        <v>25.5</v>
      </c>
      <c r="JC242" s="54">
        <f>IF(IC233="-",0,IF(JC240=TRUE,0,-20))</f>
        <v>0</v>
      </c>
      <c r="JE242" s="54">
        <f>JE241</f>
        <v>25.5</v>
      </c>
      <c r="JF242" s="54">
        <f>IF(IC233="-",JF241,IF(JE240&gt;0,-MAX(IW3:IW272,IZ3:IZ272)*1.5,-MAX(IW3:IW272,IZ3:IZ272)*0.5))</f>
        <v>-37.5</v>
      </c>
      <c r="JH242" s="54"/>
      <c r="JI242" s="54"/>
      <c r="JK242" s="54"/>
      <c r="JL242" s="54"/>
      <c r="JM242" s="39"/>
      <c r="JN242" s="54"/>
      <c r="JO242" s="54"/>
      <c r="JP242" s="39"/>
      <c r="JQ242" s="54"/>
      <c r="JR242" s="54"/>
      <c r="JS242" s="39"/>
      <c r="JT242" s="54"/>
      <c r="JU242" s="54"/>
      <c r="JW242" s="123"/>
      <c r="JX242" s="123"/>
    </row>
    <row r="243" spans="237:287" ht="14.25" customHeight="1" x14ac:dyDescent="0.2">
      <c r="IC243" s="234" t="str">
        <f>IF(HS51="R0","-",HS51)</f>
        <v>-</v>
      </c>
      <c r="ID243" s="74">
        <f>IF(HS51="R0",ID272,ID242)</f>
        <v>25.5</v>
      </c>
      <c r="IE243" s="74" t="s">
        <v>149</v>
      </c>
      <c r="IF243" s="74">
        <v>0</v>
      </c>
      <c r="IG243" s="74">
        <v>0</v>
      </c>
      <c r="II243" s="35" t="b">
        <f t="shared" si="245"/>
        <v>0</v>
      </c>
      <c r="IJ243" s="45" t="b">
        <f t="shared" si="264"/>
        <v>0</v>
      </c>
      <c r="IK243" s="35">
        <f t="shared" ref="IK243:IK252" si="265">IF(II243=TRUE,IF(IJ243=TRUE,IG243/$EJ$35)+IF243,IF243)</f>
        <v>0</v>
      </c>
      <c r="IL243" s="48">
        <f>IK243</f>
        <v>0</v>
      </c>
      <c r="IM243" s="35">
        <f t="shared" ref="IM243:IM251" si="266">$HV$51*IL243</f>
        <v>0</v>
      </c>
      <c r="IN243" s="35">
        <f t="shared" ref="IN243:IN251" si="267">-$EJ$35*(IL243^2/2)</f>
        <v>0</v>
      </c>
      <c r="IO243" s="36">
        <f t="shared" ref="IO243:IO251" si="268">-IF(IL243&gt;=$EN$35,$EL$35*(IL243-$EN$35),0)</f>
        <v>0</v>
      </c>
      <c r="IP243" s="35">
        <f t="shared" ref="IP243:IP251" si="269">-IF(IL243&gt;=$ET$35,$ER$35*(IL243-$ET$35),0)</f>
        <v>0</v>
      </c>
      <c r="IQ243" s="35">
        <f t="shared" ref="IQ243:IQ251" si="270">-IF(IL243&gt;=$EZ$35,$EX$35*(IL243-$EZ$35),0)</f>
        <v>0</v>
      </c>
      <c r="IR243" s="45"/>
      <c r="IS243" s="37" t="str">
        <f>IF(IC243="-","",HU51)</f>
        <v/>
      </c>
      <c r="IT243" s="35">
        <f t="shared" ref="IT243:IT251" si="271">$ID$243+IL243</f>
        <v>25.5</v>
      </c>
      <c r="IV243" s="35">
        <f>ID243</f>
        <v>25.5</v>
      </c>
      <c r="IW243" s="35">
        <v>0</v>
      </c>
      <c r="IY243" s="35">
        <f>IF(IC243="-",-5,IF(EL35=0,-5,ID243+EN35))</f>
        <v>-5</v>
      </c>
      <c r="IZ243" s="35">
        <v>0</v>
      </c>
      <c r="JB243" s="38"/>
      <c r="JC243" s="38"/>
      <c r="JE243" s="38"/>
      <c r="JF243" s="38"/>
      <c r="JH243" s="38"/>
      <c r="JI243" s="38"/>
      <c r="JK243" s="35">
        <f>IF(IC243=24,IT243,-5)</f>
        <v>-5</v>
      </c>
      <c r="JL243" s="37" t="str">
        <f>IS243</f>
        <v/>
      </c>
      <c r="JM243" s="40"/>
      <c r="JN243" s="37">
        <f>IF(IC243="-",-5,(ID243+ID252)/2)</f>
        <v>-5</v>
      </c>
      <c r="JO243" s="37">
        <f>-MAX(IW3:IW272,IZ3:IZ272)*0.7</f>
        <v>-52.5</v>
      </c>
      <c r="JP243" s="40"/>
      <c r="JQ243" s="37">
        <f>IF(IC243="-",-5,(IT243+IT247)/2)</f>
        <v>-5</v>
      </c>
      <c r="JR243" s="37">
        <f>JR13</f>
        <v>-760.38306347150262</v>
      </c>
      <c r="JS243" s="40"/>
      <c r="JT243" s="37"/>
      <c r="JU243" s="37"/>
      <c r="JW243" s="37">
        <f>JN243</f>
        <v>-5</v>
      </c>
      <c r="JX243" s="37">
        <f>JF252</f>
        <v>-37.5</v>
      </c>
    </row>
    <row r="244" spans="237:287" ht="14.25" customHeight="1" x14ac:dyDescent="0.2">
      <c r="IC244" s="234"/>
      <c r="ID244" s="74">
        <f>IF($IC$243="-",$ID$243,$ID$243+IF244)</f>
        <v>25.5</v>
      </c>
      <c r="IE244" s="74" t="s">
        <v>150</v>
      </c>
      <c r="IF244" s="74">
        <f>IF243</f>
        <v>0</v>
      </c>
      <c r="IG244" s="74">
        <f>IF(IC243="-",0,HV51)</f>
        <v>0</v>
      </c>
      <c r="II244" s="35" t="b">
        <f t="shared" si="245"/>
        <v>0</v>
      </c>
      <c r="IJ244" s="45" t="b">
        <f t="shared" si="264"/>
        <v>0</v>
      </c>
      <c r="IK244" s="35">
        <f t="shared" si="265"/>
        <v>0</v>
      </c>
      <c r="IL244" s="48">
        <f>(IL247-IL243)/4</f>
        <v>0</v>
      </c>
      <c r="IM244" s="35">
        <f t="shared" si="266"/>
        <v>0</v>
      </c>
      <c r="IN244" s="35">
        <f t="shared" si="267"/>
        <v>0</v>
      </c>
      <c r="IO244" s="36">
        <f t="shared" si="268"/>
        <v>0</v>
      </c>
      <c r="IP244" s="35">
        <f t="shared" si="269"/>
        <v>0</v>
      </c>
      <c r="IQ244" s="35">
        <f t="shared" si="270"/>
        <v>0</v>
      </c>
      <c r="IR244" s="35">
        <f t="shared" ref="IR244:IR250" si="272">$HU$51</f>
        <v>0</v>
      </c>
      <c r="IS244" s="42" t="str">
        <f>IF(IC243="-","",SUM(IM244:IR244))</f>
        <v/>
      </c>
      <c r="IT244" s="35">
        <f t="shared" si="271"/>
        <v>25.5</v>
      </c>
      <c r="IV244" s="35">
        <f>IV243</f>
        <v>25.5</v>
      </c>
      <c r="IW244" s="35">
        <f>IF(IC243="-",0,EJ35)/20</f>
        <v>0</v>
      </c>
      <c r="IY244" s="35">
        <f>IY243</f>
        <v>-5</v>
      </c>
      <c r="IZ244" s="35">
        <f>IF(IC243="-",0,EL35/20)</f>
        <v>0</v>
      </c>
      <c r="JB244" s="38"/>
      <c r="JC244" s="38"/>
      <c r="JE244" s="38"/>
      <c r="JF244" s="38"/>
      <c r="JH244" s="38">
        <f>IF(IC243=24,ID244,-5)</f>
        <v>-5</v>
      </c>
      <c r="JI244" s="38">
        <f>IG244</f>
        <v>0</v>
      </c>
      <c r="JK244" s="35"/>
      <c r="JL244" s="35"/>
      <c r="JM244" s="39"/>
      <c r="JN244" s="75">
        <f>HT51</f>
        <v>0</v>
      </c>
      <c r="JO244" s="35"/>
      <c r="JP244" s="39"/>
      <c r="JQ244" s="76" t="b">
        <f>IL247</f>
        <v>0</v>
      </c>
      <c r="JR244" s="35"/>
      <c r="JS244" s="39"/>
      <c r="JT244" s="35"/>
      <c r="JU244" s="35"/>
      <c r="JW244" s="124" t="str">
        <f>IC243</f>
        <v>-</v>
      </c>
      <c r="JX244" s="127"/>
    </row>
    <row r="245" spans="237:287" ht="14.25" customHeight="1" x14ac:dyDescent="0.2">
      <c r="IC245" s="234"/>
      <c r="ID245" s="74">
        <f t="shared" ref="ID245:ID251" si="273">IF($IC$243="-",$ID$243,$ID$243+IF245)</f>
        <v>25.5</v>
      </c>
      <c r="IE245" s="74" t="s">
        <v>151</v>
      </c>
      <c r="IF245" s="74">
        <f>IF(EL35=0,IF244,EN35)</f>
        <v>0</v>
      </c>
      <c r="IG245" s="74">
        <f>IF(IC243="-",0,IG244-IF(EL35=0,0,EJ35*IF245))</f>
        <v>0</v>
      </c>
      <c r="II245" s="35" t="b">
        <f t="shared" si="245"/>
        <v>0</v>
      </c>
      <c r="IJ245" s="45" t="b">
        <f t="shared" si="264"/>
        <v>0</v>
      </c>
      <c r="IK245" s="35">
        <f t="shared" si="265"/>
        <v>0</v>
      </c>
      <c r="IL245" s="48">
        <f>IL244*2</f>
        <v>0</v>
      </c>
      <c r="IM245" s="35">
        <f t="shared" si="266"/>
        <v>0</v>
      </c>
      <c r="IN245" s="35">
        <f t="shared" si="267"/>
        <v>0</v>
      </c>
      <c r="IO245" s="36">
        <f t="shared" si="268"/>
        <v>0</v>
      </c>
      <c r="IP245" s="35">
        <f t="shared" si="269"/>
        <v>0</v>
      </c>
      <c r="IQ245" s="35">
        <f t="shared" si="270"/>
        <v>0</v>
      </c>
      <c r="IR245" s="35">
        <f t="shared" si="272"/>
        <v>0</v>
      </c>
      <c r="IS245" s="42" t="str">
        <f>IF(IC243="-","",SUM(IM245:IR245))</f>
        <v/>
      </c>
      <c r="IT245" s="35">
        <f t="shared" si="271"/>
        <v>25.5</v>
      </c>
      <c r="IV245" s="35">
        <f>IF252/2+IV243</f>
        <v>25.5</v>
      </c>
      <c r="IW245" s="35">
        <f>IW244</f>
        <v>0</v>
      </c>
      <c r="IY245" s="44" t="str">
        <f>IF(IC243="-","",IF(EL35=0,"",EL35))</f>
        <v/>
      </c>
      <c r="IZ245" s="45"/>
      <c r="JB245" s="38"/>
      <c r="JC245" s="38"/>
      <c r="JE245" s="38"/>
      <c r="JF245" s="38"/>
      <c r="JH245" s="38"/>
      <c r="JI245" s="38"/>
      <c r="JK245" s="35"/>
      <c r="JL245" s="35"/>
      <c r="JM245" s="39"/>
      <c r="JN245" s="35"/>
      <c r="JO245" s="35"/>
      <c r="JP245" s="39"/>
      <c r="JQ245" s="35"/>
      <c r="JR245" s="35"/>
      <c r="JS245" s="39"/>
      <c r="JT245" s="35"/>
      <c r="JU245" s="35"/>
      <c r="JW245" s="127"/>
      <c r="JX245" s="127"/>
    </row>
    <row r="246" spans="237:287" ht="14.25" customHeight="1" x14ac:dyDescent="0.2">
      <c r="IC246" s="234"/>
      <c r="ID246" s="74">
        <f t="shared" si="273"/>
        <v>25.5</v>
      </c>
      <c r="IE246" s="74" t="s">
        <v>152</v>
      </c>
      <c r="IF246" s="74">
        <f>IF245</f>
        <v>0</v>
      </c>
      <c r="IG246" s="74">
        <f>IF(IC243="-",0,IG245-EL35)</f>
        <v>0</v>
      </c>
      <c r="II246" s="35" t="b">
        <f t="shared" si="245"/>
        <v>0</v>
      </c>
      <c r="IJ246" s="45" t="b">
        <f t="shared" si="264"/>
        <v>0</v>
      </c>
      <c r="IK246" s="35">
        <f t="shared" si="265"/>
        <v>0</v>
      </c>
      <c r="IL246" s="48">
        <f>IL244*3</f>
        <v>0</v>
      </c>
      <c r="IM246" s="35">
        <f t="shared" si="266"/>
        <v>0</v>
      </c>
      <c r="IN246" s="35">
        <f t="shared" si="267"/>
        <v>0</v>
      </c>
      <c r="IO246" s="36">
        <f t="shared" si="268"/>
        <v>0</v>
      </c>
      <c r="IP246" s="35">
        <f t="shared" si="269"/>
        <v>0</v>
      </c>
      <c r="IQ246" s="35">
        <f t="shared" si="270"/>
        <v>0</v>
      </c>
      <c r="IR246" s="35">
        <f t="shared" si="272"/>
        <v>0</v>
      </c>
      <c r="IS246" s="42" t="str">
        <f>IF(IC243="-","",SUM(IM246:IR246))</f>
        <v/>
      </c>
      <c r="IT246" s="35">
        <f t="shared" si="271"/>
        <v>25.5</v>
      </c>
      <c r="IV246" s="35">
        <f>IV247</f>
        <v>25.5</v>
      </c>
      <c r="IW246" s="35">
        <f>IW244</f>
        <v>0</v>
      </c>
      <c r="IY246" s="35">
        <f>IF(IC243="-",-5,IF(ER35=0,-5,ID243+ET35))</f>
        <v>-5</v>
      </c>
      <c r="IZ246" s="35">
        <v>0</v>
      </c>
      <c r="JB246" s="38"/>
      <c r="JC246" s="38"/>
      <c r="JE246" s="38"/>
      <c r="JF246" s="38"/>
      <c r="JH246" s="38"/>
      <c r="JI246" s="38"/>
      <c r="JK246" s="35"/>
      <c r="JL246" s="35"/>
      <c r="JM246" s="39"/>
      <c r="JN246" s="35"/>
      <c r="JO246" s="35"/>
      <c r="JP246" s="39"/>
      <c r="JQ246" s="35"/>
      <c r="JR246" s="35"/>
      <c r="JS246" s="39"/>
      <c r="JT246" s="35"/>
      <c r="JU246" s="35"/>
      <c r="JW246" s="127"/>
      <c r="JX246" s="127"/>
    </row>
    <row r="247" spans="237:287" ht="14.25" customHeight="1" x14ac:dyDescent="0.2">
      <c r="IC247" s="234"/>
      <c r="ID247" s="74">
        <f t="shared" si="273"/>
        <v>25.5</v>
      </c>
      <c r="IE247" s="74" t="s">
        <v>153</v>
      </c>
      <c r="IF247" s="74">
        <f>IF(ER35=0,IF246,ET35)</f>
        <v>0</v>
      </c>
      <c r="IG247" s="74">
        <f>IF(IC243="-",0,IG246-IF(ER35=0,0,EJ35*(IF247-IF246)))</f>
        <v>0</v>
      </c>
      <c r="II247" s="35" t="b">
        <f t="shared" ref="II247:II272" si="274">AND(IG247&gt;=0,IG248&lt;0)</f>
        <v>0</v>
      </c>
      <c r="IJ247" s="45" t="b">
        <f t="shared" si="264"/>
        <v>0</v>
      </c>
      <c r="IK247" s="35">
        <f t="shared" si="265"/>
        <v>0</v>
      </c>
      <c r="IL247" s="68" t="b">
        <f>IF(II243=TRUE,IK243,IF(II244=TRUE,IK244,IF(II245=TRUE,IK245,IF(II246=TRUE,IK246,IF(II247=TRUE,IK247,IF(II248=TRUE,IK248,IF(II249=TRUE,IK249,IF(II250=TRUE,IK250,IF(II251=TRUE,IK251,IF(II252=TRUE,IK252))))))))))</f>
        <v>0</v>
      </c>
      <c r="IM247" s="68">
        <f t="shared" si="266"/>
        <v>0</v>
      </c>
      <c r="IN247" s="68">
        <f t="shared" si="267"/>
        <v>0</v>
      </c>
      <c r="IO247" s="69">
        <f t="shared" si="268"/>
        <v>0</v>
      </c>
      <c r="IP247" s="68">
        <f t="shared" si="269"/>
        <v>0</v>
      </c>
      <c r="IQ247" s="68">
        <f t="shared" si="270"/>
        <v>0</v>
      </c>
      <c r="IR247" s="68">
        <f t="shared" si="272"/>
        <v>0</v>
      </c>
      <c r="IS247" s="70" t="str">
        <f>IF(IC243="-","",ROUND(SUM(IM247:IR247),2))</f>
        <v/>
      </c>
      <c r="IT247" s="68">
        <f t="shared" si="271"/>
        <v>25.5</v>
      </c>
      <c r="IV247" s="35">
        <f>ID252</f>
        <v>25.5</v>
      </c>
      <c r="IW247" s="35">
        <v>0</v>
      </c>
      <c r="IY247" s="35">
        <f>IY246</f>
        <v>-5</v>
      </c>
      <c r="IZ247" s="35">
        <f>IF(IC243="-",0,ER35/20)</f>
        <v>0</v>
      </c>
      <c r="JB247" s="38"/>
      <c r="JC247" s="38"/>
      <c r="JE247" s="38"/>
      <c r="JF247" s="38"/>
      <c r="JH247" s="38"/>
      <c r="JI247" s="38"/>
      <c r="JK247" s="35">
        <f>IF(IC243=24,IT247,-5)</f>
        <v>-5</v>
      </c>
      <c r="JL247" s="37" t="str">
        <f>IS247</f>
        <v/>
      </c>
      <c r="JM247" s="40"/>
      <c r="JN247" s="37"/>
      <c r="JO247" s="37"/>
      <c r="JP247" s="40"/>
      <c r="JQ247" s="37"/>
      <c r="JR247" s="37"/>
      <c r="JS247" s="40"/>
      <c r="JT247" s="37"/>
      <c r="JU247" s="37"/>
      <c r="JW247" s="37"/>
      <c r="JX247" s="37"/>
      <c r="KA247" s="98"/>
    </row>
    <row r="248" spans="237:287" ht="14.25" customHeight="1" x14ac:dyDescent="0.2">
      <c r="IC248" s="234"/>
      <c r="ID248" s="74">
        <f t="shared" si="273"/>
        <v>25.5</v>
      </c>
      <c r="IE248" s="74" t="s">
        <v>154</v>
      </c>
      <c r="IF248" s="74">
        <f>IF247</f>
        <v>0</v>
      </c>
      <c r="IG248" s="74">
        <f>IF(IC243="-",0,IG247-ER35)</f>
        <v>0</v>
      </c>
      <c r="II248" s="35" t="b">
        <f t="shared" si="274"/>
        <v>0</v>
      </c>
      <c r="IJ248" s="45" t="b">
        <f t="shared" si="264"/>
        <v>0</v>
      </c>
      <c r="IK248" s="35">
        <f t="shared" si="265"/>
        <v>0</v>
      </c>
      <c r="IL248" s="48">
        <f>IL247+($IL$252-$IL$247)/4</f>
        <v>0</v>
      </c>
      <c r="IM248" s="35">
        <f t="shared" si="266"/>
        <v>0</v>
      </c>
      <c r="IN248" s="35">
        <f t="shared" si="267"/>
        <v>0</v>
      </c>
      <c r="IO248" s="36">
        <f t="shared" si="268"/>
        <v>0</v>
      </c>
      <c r="IP248" s="35">
        <f t="shared" si="269"/>
        <v>0</v>
      </c>
      <c r="IQ248" s="35">
        <f t="shared" si="270"/>
        <v>0</v>
      </c>
      <c r="IR248" s="35">
        <f t="shared" si="272"/>
        <v>0</v>
      </c>
      <c r="IS248" s="42" t="str">
        <f>IF(IC243="-","",SUM(IM248:IR248))</f>
        <v/>
      </c>
      <c r="IT248" s="35">
        <f t="shared" si="271"/>
        <v>25.5</v>
      </c>
      <c r="IV248" s="35"/>
      <c r="IW248" s="35"/>
      <c r="IY248" s="44" t="str">
        <f>IF(IC243="-","",IF(ER35=0,"",ER35))</f>
        <v/>
      </c>
      <c r="IZ248" s="45"/>
      <c r="JB248" s="38"/>
      <c r="JC248" s="38"/>
      <c r="JE248" s="38"/>
      <c r="JF248" s="38"/>
      <c r="JH248" s="38"/>
      <c r="JI248" s="38"/>
      <c r="JK248" s="35"/>
      <c r="JL248" s="35"/>
      <c r="JM248" s="39"/>
      <c r="JN248" s="35"/>
      <c r="JO248" s="35"/>
      <c r="JP248" s="39"/>
      <c r="JQ248" s="35"/>
      <c r="JR248" s="35"/>
      <c r="JS248" s="39"/>
      <c r="JT248" s="35"/>
      <c r="JU248" s="35"/>
      <c r="JW248" s="127"/>
      <c r="JX248" s="127"/>
    </row>
    <row r="249" spans="237:287" ht="14.25" customHeight="1" x14ac:dyDescent="0.2">
      <c r="IC249" s="234"/>
      <c r="ID249" s="74">
        <f t="shared" si="273"/>
        <v>25.5</v>
      </c>
      <c r="IE249" s="74" t="s">
        <v>155</v>
      </c>
      <c r="IF249" s="74">
        <f>IF(EX35=0,IF248,EZ35)</f>
        <v>0</v>
      </c>
      <c r="IG249" s="74">
        <f>IF(IC243="-",0,IG248-IF(EX35=0,0,EJ35*(IF249-IF248)))</f>
        <v>0</v>
      </c>
      <c r="II249" s="35" t="b">
        <f t="shared" si="274"/>
        <v>0</v>
      </c>
      <c r="IJ249" s="45" t="b">
        <f t="shared" si="264"/>
        <v>0</v>
      </c>
      <c r="IK249" s="35">
        <f t="shared" si="265"/>
        <v>0</v>
      </c>
      <c r="IL249" s="48">
        <f>IL248+($IL$252-$IL$247)/4</f>
        <v>0</v>
      </c>
      <c r="IM249" s="35">
        <f t="shared" si="266"/>
        <v>0</v>
      </c>
      <c r="IN249" s="35">
        <f t="shared" si="267"/>
        <v>0</v>
      </c>
      <c r="IO249" s="36">
        <f t="shared" si="268"/>
        <v>0</v>
      </c>
      <c r="IP249" s="35">
        <f t="shared" si="269"/>
        <v>0</v>
      </c>
      <c r="IQ249" s="35">
        <f t="shared" si="270"/>
        <v>0</v>
      </c>
      <c r="IR249" s="35">
        <f t="shared" si="272"/>
        <v>0</v>
      </c>
      <c r="IS249" s="42" t="str">
        <f>IF(IC243="-","",SUM(IM249:IR249))</f>
        <v/>
      </c>
      <c r="IT249" s="35">
        <f t="shared" si="271"/>
        <v>25.5</v>
      </c>
      <c r="IV249" s="84" t="str">
        <f>IF(IC243="-","",EJ35)</f>
        <v/>
      </c>
      <c r="IW249" s="35"/>
      <c r="IY249" s="35">
        <f>IF(IC243="-",-5,IF(EX35=0,-5,ID243+EZ35))</f>
        <v>-5</v>
      </c>
      <c r="IZ249" s="35">
        <v>0</v>
      </c>
      <c r="JB249" s="38"/>
      <c r="JC249" s="38"/>
      <c r="JE249" s="38"/>
      <c r="JF249" s="38"/>
      <c r="JH249" s="38"/>
      <c r="JI249" s="38"/>
      <c r="JK249" s="35"/>
      <c r="JL249" s="35"/>
      <c r="JM249" s="39"/>
      <c r="JN249" s="35"/>
      <c r="JO249" s="35"/>
      <c r="JP249" s="39"/>
      <c r="JQ249" s="35"/>
      <c r="JR249" s="35"/>
      <c r="JS249" s="39"/>
      <c r="JT249" s="35"/>
      <c r="JU249" s="35"/>
      <c r="JW249" s="127"/>
      <c r="JX249" s="127"/>
    </row>
    <row r="250" spans="237:287" ht="14.25" customHeight="1" x14ac:dyDescent="0.2">
      <c r="IC250" s="234"/>
      <c r="ID250" s="74">
        <f t="shared" si="273"/>
        <v>25.5</v>
      </c>
      <c r="IE250" s="74" t="s">
        <v>156</v>
      </c>
      <c r="IF250" s="74">
        <f>IF249</f>
        <v>0</v>
      </c>
      <c r="IG250" s="74">
        <f>IF(IC243="-",0,IG249-EX35)</f>
        <v>0</v>
      </c>
      <c r="II250" s="35" t="b">
        <f t="shared" si="274"/>
        <v>0</v>
      </c>
      <c r="IJ250" s="45" t="b">
        <f t="shared" si="264"/>
        <v>0</v>
      </c>
      <c r="IK250" s="35">
        <f t="shared" si="265"/>
        <v>0</v>
      </c>
      <c r="IL250" s="48">
        <f>IL249+($IL$252-$IL$247)/4</f>
        <v>0</v>
      </c>
      <c r="IM250" s="35">
        <f t="shared" si="266"/>
        <v>0</v>
      </c>
      <c r="IN250" s="35">
        <f t="shared" si="267"/>
        <v>0</v>
      </c>
      <c r="IO250" s="36">
        <f t="shared" si="268"/>
        <v>0</v>
      </c>
      <c r="IP250" s="35">
        <f t="shared" si="269"/>
        <v>0</v>
      </c>
      <c r="IQ250" s="35">
        <f t="shared" si="270"/>
        <v>0</v>
      </c>
      <c r="IR250" s="35">
        <f t="shared" si="272"/>
        <v>0</v>
      </c>
      <c r="IS250" s="42" t="str">
        <f>IF(IC243="-","",SUM(IM250:IR250))</f>
        <v/>
      </c>
      <c r="IT250" s="35">
        <f t="shared" si="271"/>
        <v>25.5</v>
      </c>
      <c r="IV250" s="35"/>
      <c r="IW250" s="35"/>
      <c r="IY250" s="35">
        <f>IY249</f>
        <v>-5</v>
      </c>
      <c r="IZ250" s="35">
        <f>IF(IC243="-",0,EX35/20)</f>
        <v>0</v>
      </c>
      <c r="JB250" s="47" t="str">
        <f>IF(IC243="-","",HY52)</f>
        <v/>
      </c>
      <c r="JC250" s="35" t="b">
        <f>AND($F$2=24,$F$10=$ER$43)</f>
        <v>0</v>
      </c>
      <c r="JE250" s="47" t="str">
        <f>JB250</f>
        <v/>
      </c>
      <c r="JF250" s="38"/>
      <c r="JH250" s="38"/>
      <c r="JI250" s="38"/>
      <c r="JK250" s="35" t="b">
        <f>AND($F$2=24,$F$10=$ER$43)</f>
        <v>0</v>
      </c>
      <c r="JL250" s="35"/>
      <c r="JM250" s="39"/>
      <c r="JN250" s="35"/>
      <c r="JO250" s="35"/>
      <c r="JP250" s="39"/>
      <c r="JQ250" s="35"/>
      <c r="JR250" s="35"/>
      <c r="JS250" s="39"/>
      <c r="JT250" s="35"/>
      <c r="JU250" s="35"/>
      <c r="JW250" s="127"/>
      <c r="JX250" s="127"/>
    </row>
    <row r="251" spans="237:287" ht="14.25" customHeight="1" x14ac:dyDescent="0.2">
      <c r="IC251" s="234"/>
      <c r="ID251" s="74">
        <f t="shared" si="273"/>
        <v>25.5</v>
      </c>
      <c r="IE251" s="74" t="s">
        <v>157</v>
      </c>
      <c r="IF251" s="74">
        <f>IF252</f>
        <v>0</v>
      </c>
      <c r="IG251" s="74">
        <f>HW52</f>
        <v>0</v>
      </c>
      <c r="II251" s="35" t="b">
        <f t="shared" si="274"/>
        <v>0</v>
      </c>
      <c r="IJ251" s="45" t="b">
        <f t="shared" si="264"/>
        <v>0</v>
      </c>
      <c r="IK251" s="35">
        <f t="shared" si="265"/>
        <v>0</v>
      </c>
      <c r="IL251" s="48">
        <f>IL250+($IL$252-$IL$247)/4</f>
        <v>0</v>
      </c>
      <c r="IM251" s="35">
        <f t="shared" si="266"/>
        <v>0</v>
      </c>
      <c r="IN251" s="35">
        <f t="shared" si="267"/>
        <v>0</v>
      </c>
      <c r="IO251" s="36">
        <f t="shared" si="268"/>
        <v>0</v>
      </c>
      <c r="IP251" s="35">
        <f t="shared" si="269"/>
        <v>0</v>
      </c>
      <c r="IQ251" s="35">
        <f t="shared" si="270"/>
        <v>0</v>
      </c>
      <c r="IR251" s="45"/>
      <c r="IS251" s="37" t="str">
        <f>IF(IC243="-","",ROUND(HU52,2))</f>
        <v/>
      </c>
      <c r="IT251" s="35">
        <f t="shared" si="271"/>
        <v>25.5</v>
      </c>
      <c r="IV251" s="35"/>
      <c r="IW251" s="35"/>
      <c r="IY251" s="44" t="str">
        <f>IF(IC243="-","",IF(EX35=0,"",EX35))</f>
        <v/>
      </c>
      <c r="IZ251" s="45"/>
      <c r="JB251" s="38">
        <f>ID252</f>
        <v>25.5</v>
      </c>
      <c r="JC251" s="38">
        <v>0</v>
      </c>
      <c r="JE251" s="38">
        <f>JB251</f>
        <v>25.5</v>
      </c>
      <c r="JF251" s="38">
        <f>IF(JE250&gt;0,-MAX(IW3:IW272,IZ3:IZ272)*0.5,-MAX(IW3:IW272,IZ3:IZ272)*1.5)</f>
        <v>-37.5</v>
      </c>
      <c r="JH251" s="38">
        <f>IF(IC243=24,ID251,-5)</f>
        <v>-5</v>
      </c>
      <c r="JI251" s="38">
        <f>IG251</f>
        <v>0</v>
      </c>
      <c r="JK251" s="35">
        <f>IF(JK250=TRUE,IT251,-5)</f>
        <v>-5</v>
      </c>
      <c r="JL251" s="49" t="str">
        <f>IS251</f>
        <v/>
      </c>
      <c r="JM251" s="40"/>
      <c r="JN251" s="49"/>
      <c r="JO251" s="49"/>
      <c r="JP251" s="40"/>
      <c r="JQ251" s="49"/>
      <c r="JR251" s="49"/>
      <c r="JS251" s="40"/>
      <c r="JT251" s="49"/>
      <c r="JU251" s="49"/>
      <c r="JW251" s="120"/>
      <c r="JX251" s="120"/>
    </row>
    <row r="252" spans="237:287" ht="14.25" customHeight="1" x14ac:dyDescent="0.2">
      <c r="IC252" s="234"/>
      <c r="ID252" s="74">
        <f>IF(HS51="R0",ID243,ID243+HT51)</f>
        <v>25.5</v>
      </c>
      <c r="IE252" s="74" t="s">
        <v>158</v>
      </c>
      <c r="IF252" s="74">
        <f>IF(HS51="R0",0,HT51)</f>
        <v>0</v>
      </c>
      <c r="IG252" s="74">
        <v>0</v>
      </c>
      <c r="II252" s="35" t="b">
        <f t="shared" si="274"/>
        <v>0</v>
      </c>
      <c r="IJ252" s="45" t="b">
        <f t="shared" si="264"/>
        <v>0</v>
      </c>
      <c r="IK252" s="35">
        <f t="shared" si="265"/>
        <v>0</v>
      </c>
      <c r="IL252" s="48">
        <f>IK252</f>
        <v>0</v>
      </c>
      <c r="IM252" s="35"/>
      <c r="IN252" s="35"/>
      <c r="IO252" s="36"/>
      <c r="IP252" s="35"/>
      <c r="IQ252" s="35"/>
      <c r="IR252" s="45"/>
      <c r="IS252" s="82"/>
      <c r="IT252" s="35"/>
      <c r="IV252" s="35"/>
      <c r="IW252" s="35"/>
      <c r="IY252" s="45"/>
      <c r="IZ252" s="45"/>
      <c r="JB252" s="38">
        <f>JB251</f>
        <v>25.5</v>
      </c>
      <c r="JC252" s="38">
        <f>IF(IC243="-",0,IF(JC250=TRUE,0,-20))</f>
        <v>0</v>
      </c>
      <c r="JE252" s="38">
        <f>JE251</f>
        <v>25.5</v>
      </c>
      <c r="JF252" s="38">
        <f>IF(IC243="-",JF251,IF(JE250&gt;0,-MAX(IW3:IW272,IZ3:IZ272)*1.5,-MAX(IW3:IW272,IZ3:IZ272)*0.5))</f>
        <v>-37.5</v>
      </c>
      <c r="JH252" s="38"/>
      <c r="JI252" s="38"/>
      <c r="JK252" s="35"/>
      <c r="JL252" s="35"/>
      <c r="JM252" s="39"/>
      <c r="JN252" s="35"/>
      <c r="JO252" s="35"/>
      <c r="JP252" s="39"/>
      <c r="JQ252" s="35"/>
      <c r="JR252" s="35"/>
      <c r="JS252" s="39"/>
      <c r="JT252" s="35"/>
      <c r="JU252" s="35"/>
      <c r="JW252" s="127"/>
      <c r="JX252" s="127"/>
    </row>
    <row r="253" spans="237:287" ht="14.25" customHeight="1" x14ac:dyDescent="0.2">
      <c r="IC253" s="250" t="str">
        <f>IF(HS53="R0","-",HS53)</f>
        <v>-</v>
      </c>
      <c r="ID253" s="53">
        <f>IF(HS53="R0",ID272,ID252)</f>
        <v>25.5</v>
      </c>
      <c r="IE253" s="53" t="s">
        <v>149</v>
      </c>
      <c r="IF253" s="53">
        <v>0</v>
      </c>
      <c r="IG253" s="53">
        <v>0</v>
      </c>
      <c r="II253" s="54" t="b">
        <f t="shared" si="274"/>
        <v>0</v>
      </c>
      <c r="IJ253" s="55" t="b">
        <f t="shared" si="264"/>
        <v>0</v>
      </c>
      <c r="IK253" s="54">
        <f t="shared" ref="IK253:IK262" si="275">IF(II253=TRUE,IF(IJ253=TRUE,IG253/$EJ$36)+IF253,IF253)</f>
        <v>0</v>
      </c>
      <c r="IL253" s="56">
        <f>IK253</f>
        <v>0</v>
      </c>
      <c r="IM253" s="54">
        <f t="shared" ref="IM253:IM261" si="276">$HV$53*IL253</f>
        <v>0</v>
      </c>
      <c r="IN253" s="54">
        <f t="shared" ref="IN253:IN261" si="277">-$EJ$36*(IL253^2/2)</f>
        <v>0</v>
      </c>
      <c r="IO253" s="57">
        <f t="shared" ref="IO253:IO261" si="278">-IF(IL253&gt;=$EN$36,$EL$36*(IL253-$EN$36),0)</f>
        <v>0</v>
      </c>
      <c r="IP253" s="54">
        <f t="shared" ref="IP253:IP261" si="279">-IF(IL253&gt;=$ET$36,$ER$36*(IL253-$ET$36),0)</f>
        <v>0</v>
      </c>
      <c r="IQ253" s="54">
        <f t="shared" ref="IQ253:IQ261" si="280">-IF(IL253&gt;=$EZ$36,$EX$36*(IL253-$EZ$36),0)</f>
        <v>0</v>
      </c>
      <c r="IR253" s="55"/>
      <c r="IS253" s="59" t="str">
        <f>IF(IC253="-","",HU53)</f>
        <v/>
      </c>
      <c r="IT253" s="54">
        <f t="shared" ref="IT253:IT261" si="281">$ID$253+IL253</f>
        <v>25.5</v>
      </c>
      <c r="IV253" s="54">
        <f>ID253</f>
        <v>25.5</v>
      </c>
      <c r="IW253" s="54">
        <v>0</v>
      </c>
      <c r="IY253" s="54">
        <f>IF(IC253="-",-5,IF(EL36=0,-5,ID253+EN36))</f>
        <v>-5</v>
      </c>
      <c r="IZ253" s="54">
        <v>0</v>
      </c>
      <c r="JB253" s="54"/>
      <c r="JC253" s="54"/>
      <c r="JE253" s="54"/>
      <c r="JF253" s="54"/>
      <c r="JH253" s="54"/>
      <c r="JI253" s="54"/>
      <c r="JK253" s="54">
        <f>IF(IC253=25,IT253,-5)</f>
        <v>-5</v>
      </c>
      <c r="JL253" s="59" t="str">
        <f>IS253</f>
        <v/>
      </c>
      <c r="JM253" s="40"/>
      <c r="JN253" s="59">
        <f>IF(IC253="-",-5,(ID253+ID262)/2)</f>
        <v>-5</v>
      </c>
      <c r="JO253" s="59">
        <f>-MAX(IW3:IW272,IZ3:IZ272)*0.7</f>
        <v>-52.5</v>
      </c>
      <c r="JP253" s="40"/>
      <c r="JQ253" s="59">
        <f>IF(IC253="-",-5,(IT253+IT257)/2)</f>
        <v>-5</v>
      </c>
      <c r="JR253" s="59">
        <f>JR13</f>
        <v>-760.38306347150262</v>
      </c>
      <c r="JS253" s="40"/>
      <c r="JT253" s="59"/>
      <c r="JU253" s="59"/>
      <c r="JW253" s="122">
        <f>JN253</f>
        <v>-5</v>
      </c>
      <c r="JX253" s="122">
        <f>JF262</f>
        <v>-37.5</v>
      </c>
    </row>
    <row r="254" spans="237:287" ht="14.25" customHeight="1" x14ac:dyDescent="0.2">
      <c r="IC254" s="250"/>
      <c r="ID254" s="53">
        <f>IF($IC$253="-",$ID$253,$ID$253+IF254)</f>
        <v>25.5</v>
      </c>
      <c r="IE254" s="53" t="s">
        <v>150</v>
      </c>
      <c r="IF254" s="53">
        <f>IF253</f>
        <v>0</v>
      </c>
      <c r="IG254" s="53">
        <f>IF(IC253="-",0,HV53)</f>
        <v>0</v>
      </c>
      <c r="II254" s="54" t="b">
        <f t="shared" si="274"/>
        <v>0</v>
      </c>
      <c r="IJ254" s="55" t="b">
        <f t="shared" si="264"/>
        <v>0</v>
      </c>
      <c r="IK254" s="54">
        <f t="shared" si="275"/>
        <v>0</v>
      </c>
      <c r="IL254" s="56">
        <f>(IL257-IL253)/4</f>
        <v>0</v>
      </c>
      <c r="IM254" s="54">
        <f t="shared" si="276"/>
        <v>0</v>
      </c>
      <c r="IN254" s="54">
        <f t="shared" si="277"/>
        <v>0</v>
      </c>
      <c r="IO254" s="57">
        <f t="shared" si="278"/>
        <v>0</v>
      </c>
      <c r="IP254" s="54">
        <f t="shared" si="279"/>
        <v>0</v>
      </c>
      <c r="IQ254" s="54">
        <f t="shared" si="280"/>
        <v>0</v>
      </c>
      <c r="IR254" s="54">
        <f t="shared" ref="IR254:IR260" si="282">$HU$53</f>
        <v>0</v>
      </c>
      <c r="IS254" s="58" t="str">
        <f>IF(IC253="-","",SUM(IM254:IR254))</f>
        <v/>
      </c>
      <c r="IT254" s="54">
        <f t="shared" si="281"/>
        <v>25.5</v>
      </c>
      <c r="IV254" s="54">
        <f>IV253</f>
        <v>25.5</v>
      </c>
      <c r="IW254" s="54">
        <f>IF(IC253="-",0,EJ36)/20</f>
        <v>0</v>
      </c>
      <c r="IY254" s="54">
        <f>IY253</f>
        <v>-5</v>
      </c>
      <c r="IZ254" s="54">
        <f>IF(IC253="-",0,EL36/20)</f>
        <v>0</v>
      </c>
      <c r="JB254" s="54"/>
      <c r="JC254" s="54"/>
      <c r="JE254" s="54"/>
      <c r="JF254" s="54"/>
      <c r="JH254" s="54">
        <f>IF(IC253=25,ID254,-5)</f>
        <v>-5</v>
      </c>
      <c r="JI254" s="54">
        <f>IG254</f>
        <v>0</v>
      </c>
      <c r="JK254" s="54"/>
      <c r="JL254" s="54"/>
      <c r="JM254" s="39"/>
      <c r="JN254" s="61">
        <f>HT53</f>
        <v>0</v>
      </c>
      <c r="JO254" s="54"/>
      <c r="JP254" s="39"/>
      <c r="JQ254" s="62" t="b">
        <f>IL257</f>
        <v>0</v>
      </c>
      <c r="JR254" s="54"/>
      <c r="JS254" s="39"/>
      <c r="JT254" s="54"/>
      <c r="JU254" s="54"/>
      <c r="JW254" s="125" t="str">
        <f>IC253</f>
        <v>-</v>
      </c>
      <c r="JX254" s="123"/>
    </row>
    <row r="255" spans="237:287" ht="14.25" customHeight="1" x14ac:dyDescent="0.2">
      <c r="IC255" s="250"/>
      <c r="ID255" s="53">
        <f t="shared" ref="ID255:ID261" si="283">IF($IC$253="-",$ID$253,$ID$253+IF255)</f>
        <v>25.5</v>
      </c>
      <c r="IE255" s="53" t="s">
        <v>151</v>
      </c>
      <c r="IF255" s="53">
        <f>IF(EL36=0,IF254,EN36)</f>
        <v>0</v>
      </c>
      <c r="IG255" s="53">
        <f>IF(IC253="-",0,IG254-IF(EL36=0,0,EJ36*IF255))</f>
        <v>0</v>
      </c>
      <c r="II255" s="54" t="b">
        <f t="shared" si="274"/>
        <v>0</v>
      </c>
      <c r="IJ255" s="55" t="b">
        <f t="shared" si="264"/>
        <v>0</v>
      </c>
      <c r="IK255" s="54">
        <f t="shared" si="275"/>
        <v>0</v>
      </c>
      <c r="IL255" s="56">
        <f>IL254*2</f>
        <v>0</v>
      </c>
      <c r="IM255" s="54">
        <f t="shared" si="276"/>
        <v>0</v>
      </c>
      <c r="IN255" s="54">
        <f t="shared" si="277"/>
        <v>0</v>
      </c>
      <c r="IO255" s="57">
        <f t="shared" si="278"/>
        <v>0</v>
      </c>
      <c r="IP255" s="54">
        <f t="shared" si="279"/>
        <v>0</v>
      </c>
      <c r="IQ255" s="54">
        <f t="shared" si="280"/>
        <v>0</v>
      </c>
      <c r="IR255" s="54">
        <f t="shared" si="282"/>
        <v>0</v>
      </c>
      <c r="IS255" s="58" t="str">
        <f>IF(IC253="-","",SUM(IM255:IR255))</f>
        <v/>
      </c>
      <c r="IT255" s="54">
        <f t="shared" si="281"/>
        <v>25.5</v>
      </c>
      <c r="IV255" s="54">
        <f>IF262/2+IV253</f>
        <v>25.5</v>
      </c>
      <c r="IW255" s="54">
        <f>IW254</f>
        <v>0</v>
      </c>
      <c r="IY255" s="65" t="str">
        <f>IF(IC253="-","",IF(EL36=0,"",EL36))</f>
        <v/>
      </c>
      <c r="IZ255" s="55"/>
      <c r="JB255" s="54"/>
      <c r="JC255" s="54"/>
      <c r="JE255" s="54"/>
      <c r="JF255" s="54"/>
      <c r="JH255" s="54"/>
      <c r="JI255" s="54"/>
      <c r="JK255" s="54"/>
      <c r="JL255" s="54"/>
      <c r="JM255" s="39"/>
      <c r="JN255" s="54"/>
      <c r="JO255" s="54"/>
      <c r="JP255" s="39"/>
      <c r="JQ255" s="54"/>
      <c r="JR255" s="54"/>
      <c r="JS255" s="39"/>
      <c r="JT255" s="54"/>
      <c r="JU255" s="54"/>
      <c r="JW255" s="123"/>
      <c r="JX255" s="123"/>
    </row>
    <row r="256" spans="237:287" ht="14.25" customHeight="1" x14ac:dyDescent="0.2">
      <c r="IC256" s="250"/>
      <c r="ID256" s="53">
        <f t="shared" si="283"/>
        <v>25.5</v>
      </c>
      <c r="IE256" s="53" t="s">
        <v>152</v>
      </c>
      <c r="IF256" s="53">
        <f>IF255</f>
        <v>0</v>
      </c>
      <c r="IG256" s="53">
        <f>IF(IC253="-",0,IG255-EL36)</f>
        <v>0</v>
      </c>
      <c r="II256" s="54" t="b">
        <f t="shared" si="274"/>
        <v>0</v>
      </c>
      <c r="IJ256" s="55" t="b">
        <f t="shared" si="264"/>
        <v>0</v>
      </c>
      <c r="IK256" s="54">
        <f t="shared" si="275"/>
        <v>0</v>
      </c>
      <c r="IL256" s="56">
        <f>IL254*3</f>
        <v>0</v>
      </c>
      <c r="IM256" s="54">
        <f t="shared" si="276"/>
        <v>0</v>
      </c>
      <c r="IN256" s="54">
        <f t="shared" si="277"/>
        <v>0</v>
      </c>
      <c r="IO256" s="57">
        <f t="shared" si="278"/>
        <v>0</v>
      </c>
      <c r="IP256" s="54">
        <f t="shared" si="279"/>
        <v>0</v>
      </c>
      <c r="IQ256" s="54">
        <f t="shared" si="280"/>
        <v>0</v>
      </c>
      <c r="IR256" s="54">
        <f t="shared" si="282"/>
        <v>0</v>
      </c>
      <c r="IS256" s="58" t="str">
        <f>IF(IC253="-","",SUM(IM256:IR256))</f>
        <v/>
      </c>
      <c r="IT256" s="54">
        <f t="shared" si="281"/>
        <v>25.5</v>
      </c>
      <c r="IV256" s="54">
        <f>IV257</f>
        <v>25.5</v>
      </c>
      <c r="IW256" s="54">
        <f>IW254</f>
        <v>0</v>
      </c>
      <c r="IY256" s="54">
        <f>IF(IC253="-",-5,IF(ER36=0,-5,ID253+ET36))</f>
        <v>-5</v>
      </c>
      <c r="IZ256" s="54">
        <v>0</v>
      </c>
      <c r="JB256" s="54"/>
      <c r="JC256" s="54"/>
      <c r="JE256" s="54"/>
      <c r="JF256" s="54"/>
      <c r="JH256" s="54"/>
      <c r="JI256" s="54"/>
      <c r="JK256" s="54"/>
      <c r="JL256" s="54"/>
      <c r="JM256" s="39"/>
      <c r="JN256" s="54"/>
      <c r="JO256" s="54"/>
      <c r="JP256" s="39"/>
      <c r="JQ256" s="54"/>
      <c r="JR256" s="54"/>
      <c r="JS256" s="39"/>
      <c r="JT256" s="54"/>
      <c r="JU256" s="54"/>
      <c r="JW256" s="123"/>
      <c r="JX256" s="123"/>
    </row>
    <row r="257" spans="237:284" ht="14.25" customHeight="1" x14ac:dyDescent="0.2">
      <c r="IC257" s="250"/>
      <c r="ID257" s="53">
        <f t="shared" si="283"/>
        <v>25.5</v>
      </c>
      <c r="IE257" s="53" t="s">
        <v>153</v>
      </c>
      <c r="IF257" s="53">
        <f>IF(ER36=0,IF256,ET36)</f>
        <v>0</v>
      </c>
      <c r="IG257" s="53">
        <f>IF(IC253="-",0,IG256-IF(ER36=0,0,EJ36*(IF257-IF256)))</f>
        <v>0</v>
      </c>
      <c r="II257" s="54" t="b">
        <f t="shared" si="274"/>
        <v>0</v>
      </c>
      <c r="IJ257" s="55" t="b">
        <f t="shared" si="264"/>
        <v>0</v>
      </c>
      <c r="IK257" s="54">
        <f t="shared" si="275"/>
        <v>0</v>
      </c>
      <c r="IL257" s="68" t="b">
        <f>IF(II253=TRUE,IK253,IF(II254=TRUE,IK254,IF(II255=TRUE,IK255,IF(II256=TRUE,IK256,IF(II257=TRUE,IK257,IF(II258=TRUE,IK258,IF(II259=TRUE,IK259,IF(II260=TRUE,IK260,IF(II261=TRUE,IK261,IF(II262=TRUE,IK262))))))))))</f>
        <v>0</v>
      </c>
      <c r="IM257" s="68">
        <f t="shared" si="276"/>
        <v>0</v>
      </c>
      <c r="IN257" s="68">
        <f t="shared" si="277"/>
        <v>0</v>
      </c>
      <c r="IO257" s="69">
        <f t="shared" si="278"/>
        <v>0</v>
      </c>
      <c r="IP257" s="68">
        <f t="shared" si="279"/>
        <v>0</v>
      </c>
      <c r="IQ257" s="68">
        <f t="shared" si="280"/>
        <v>0</v>
      </c>
      <c r="IR257" s="68">
        <f t="shared" si="282"/>
        <v>0</v>
      </c>
      <c r="IS257" s="70" t="str">
        <f>IF(IC253="-","",ROUND(SUM(IM257:IR257),2))</f>
        <v/>
      </c>
      <c r="IT257" s="68">
        <f t="shared" si="281"/>
        <v>25.5</v>
      </c>
      <c r="IV257" s="54">
        <f>ID262</f>
        <v>25.5</v>
      </c>
      <c r="IW257" s="54">
        <v>0</v>
      </c>
      <c r="IY257" s="54">
        <f>IY256</f>
        <v>-5</v>
      </c>
      <c r="IZ257" s="54">
        <f>IF(IC253="-",0,ER36/20)</f>
        <v>0</v>
      </c>
      <c r="JB257" s="64">
        <f>ID262</f>
        <v>25.5</v>
      </c>
      <c r="JC257" s="64">
        <f>IF(F2&gt;0,IF(F10=ER43,MAX(IW3:IW272,IZ3:IZ272)*0.75,0),0)</f>
        <v>0</v>
      </c>
      <c r="JE257" s="54"/>
      <c r="JF257" s="54"/>
      <c r="JH257" s="54"/>
      <c r="JI257" s="54"/>
      <c r="JK257" s="54">
        <f>IF(IC253=25,IT257,-5)</f>
        <v>-5</v>
      </c>
      <c r="JL257" s="59" t="str">
        <f>IS257</f>
        <v/>
      </c>
      <c r="JM257" s="40"/>
      <c r="JN257" s="59"/>
      <c r="JO257" s="59"/>
      <c r="JP257" s="40"/>
      <c r="JQ257" s="59"/>
      <c r="JR257" s="59"/>
      <c r="JS257" s="40"/>
      <c r="JT257" s="59"/>
      <c r="JU257" s="59"/>
      <c r="JW257" s="122"/>
      <c r="JX257" s="122"/>
    </row>
    <row r="258" spans="237:284" ht="14.25" customHeight="1" x14ac:dyDescent="0.2">
      <c r="IC258" s="250"/>
      <c r="ID258" s="53">
        <f t="shared" si="283"/>
        <v>25.5</v>
      </c>
      <c r="IE258" s="53" t="s">
        <v>154</v>
      </c>
      <c r="IF258" s="53">
        <f>IF257</f>
        <v>0</v>
      </c>
      <c r="IG258" s="53">
        <f>IF(IC253="-",0,IG257-ER36)</f>
        <v>0</v>
      </c>
      <c r="II258" s="54" t="b">
        <f t="shared" si="274"/>
        <v>0</v>
      </c>
      <c r="IJ258" s="55" t="b">
        <f t="shared" si="264"/>
        <v>0</v>
      </c>
      <c r="IK258" s="54">
        <f t="shared" si="275"/>
        <v>0</v>
      </c>
      <c r="IL258" s="56">
        <f>IL257+($IL$262-$IL$257)/4</f>
        <v>0</v>
      </c>
      <c r="IM258" s="54">
        <f t="shared" si="276"/>
        <v>0</v>
      </c>
      <c r="IN258" s="54">
        <f t="shared" si="277"/>
        <v>0</v>
      </c>
      <c r="IO258" s="57">
        <f t="shared" si="278"/>
        <v>0</v>
      </c>
      <c r="IP258" s="54">
        <f t="shared" si="279"/>
        <v>0</v>
      </c>
      <c r="IQ258" s="54">
        <f t="shared" si="280"/>
        <v>0</v>
      </c>
      <c r="IR258" s="54">
        <f t="shared" si="282"/>
        <v>0</v>
      </c>
      <c r="IS258" s="58" t="str">
        <f>IF(IC253="-","",SUM(IM258:IR258))</f>
        <v/>
      </c>
      <c r="IT258" s="54">
        <f t="shared" si="281"/>
        <v>25.5</v>
      </c>
      <c r="IV258" s="54"/>
      <c r="IW258" s="54"/>
      <c r="IY258" s="65" t="str">
        <f>IF(IC253="-","",IF(ER36=0,"",ER36))</f>
        <v/>
      </c>
      <c r="IZ258" s="55"/>
      <c r="JB258" s="64">
        <f>JB257</f>
        <v>25.5</v>
      </c>
      <c r="JC258" s="64">
        <f>IF(F2&gt;0,IF(F10=ER43,-MAX(IW3:IW272,IZ3:IZ272)*0.75,0),0)</f>
        <v>0</v>
      </c>
      <c r="JE258" s="54"/>
      <c r="JF258" s="54"/>
      <c r="JH258" s="54"/>
      <c r="JI258" s="54"/>
      <c r="JK258" s="54"/>
      <c r="JL258" s="54"/>
      <c r="JM258" s="39"/>
      <c r="JN258" s="54"/>
      <c r="JO258" s="54"/>
      <c r="JP258" s="39"/>
      <c r="JQ258" s="54"/>
      <c r="JR258" s="54"/>
      <c r="JS258" s="39"/>
      <c r="JT258" s="54"/>
      <c r="JU258" s="54"/>
      <c r="JW258" s="123"/>
      <c r="JX258" s="123"/>
    </row>
    <row r="259" spans="237:284" ht="14.25" customHeight="1" x14ac:dyDescent="0.2">
      <c r="IC259" s="250"/>
      <c r="ID259" s="53">
        <f>IF($IC$253="-",$ID$253,$ID$253+IF259)</f>
        <v>25.5</v>
      </c>
      <c r="IE259" s="53" t="s">
        <v>155</v>
      </c>
      <c r="IF259" s="53">
        <f>IF(EX36=0,IF258,EZ36)</f>
        <v>0</v>
      </c>
      <c r="IG259" s="53">
        <f>IF(IC253="-",0,IG258-IF(EX36=0,0,EJ36*(IF259-IF258)))</f>
        <v>0</v>
      </c>
      <c r="II259" s="54" t="b">
        <f t="shared" si="274"/>
        <v>0</v>
      </c>
      <c r="IJ259" s="55" t="b">
        <f t="shared" si="264"/>
        <v>0</v>
      </c>
      <c r="IK259" s="54">
        <f t="shared" si="275"/>
        <v>0</v>
      </c>
      <c r="IL259" s="56">
        <f>IL258+($IL$262-$IL$257)/4</f>
        <v>0</v>
      </c>
      <c r="IM259" s="54">
        <f t="shared" si="276"/>
        <v>0</v>
      </c>
      <c r="IN259" s="54">
        <f t="shared" si="277"/>
        <v>0</v>
      </c>
      <c r="IO259" s="57">
        <f t="shared" si="278"/>
        <v>0</v>
      </c>
      <c r="IP259" s="54">
        <f t="shared" si="279"/>
        <v>0</v>
      </c>
      <c r="IQ259" s="54">
        <f t="shared" si="280"/>
        <v>0</v>
      </c>
      <c r="IR259" s="54">
        <f t="shared" si="282"/>
        <v>0</v>
      </c>
      <c r="IS259" s="58" t="str">
        <f>IF(IC253="-","",SUM(IM259:IR259))</f>
        <v/>
      </c>
      <c r="IT259" s="54">
        <f t="shared" si="281"/>
        <v>25.5</v>
      </c>
      <c r="IV259" s="72" t="str">
        <f>IF(IC253="-","",EJ36)</f>
        <v/>
      </c>
      <c r="IW259" s="54"/>
      <c r="IY259" s="54">
        <f>IF(IC253="-",-5,IF(EX36=0,-5,ID253+EZ36))</f>
        <v>-5</v>
      </c>
      <c r="IZ259" s="54">
        <v>0</v>
      </c>
      <c r="JB259" s="71" t="b">
        <f>IF(F2&gt;0,IF(F10=ER43,IF(JC20=TRUE,JB20,IF(JC30=TRUE,JB30,IF(JC40=TRUE,JB40,IF(JC50=TRUE,JB50,IF(JC60=TRUE,JB60,IF(JC70=TRUE,JB70,IF(JC80=TRUE,JB80,IF(JC90=TRUE,JB90,IF(JC100=TRUE,JB100,IF(JC110=TRUE,JB110,IF(JC120=TRUE,JB120,IF(JC130=TRUE,JB130,IF(JC140=TRUE,JB140,IF(JC150=TRUE,JB150,IF(JC160=TRUE,JB160,IF(JC170=TRUE,JB170,IF(JC180=TRUE,JB180,IF(JC190=TRUE,JB190,IF(JC200=TRUE,JB200,IF(JC210=TRUE,JB210,IF(JC220=TRUE,JB220,IF(JC230=TRUE,JB230,IF(JC240=TRUE,JB240,IF(JC250=TRUE,JB250,IF(JC260=TRUE,JB260,"")))))))))))))))))))))))))))</f>
        <v>0</v>
      </c>
      <c r="JC259" s="64"/>
      <c r="JE259" s="54"/>
      <c r="JF259" s="54"/>
      <c r="JH259" s="54"/>
      <c r="JI259" s="54"/>
      <c r="JK259" s="54"/>
      <c r="JL259" s="54"/>
      <c r="JM259" s="39"/>
      <c r="JN259" s="54"/>
      <c r="JO259" s="54"/>
      <c r="JP259" s="39"/>
      <c r="JQ259" s="54"/>
      <c r="JR259" s="54"/>
      <c r="JS259" s="39"/>
      <c r="JT259" s="54"/>
      <c r="JU259" s="54"/>
      <c r="JW259" s="123"/>
      <c r="JX259" s="123"/>
    </row>
    <row r="260" spans="237:284" ht="14.25" customHeight="1" x14ac:dyDescent="0.2">
      <c r="IC260" s="250"/>
      <c r="ID260" s="53">
        <f t="shared" si="283"/>
        <v>25.5</v>
      </c>
      <c r="IE260" s="53" t="s">
        <v>156</v>
      </c>
      <c r="IF260" s="53">
        <f>IF259</f>
        <v>0</v>
      </c>
      <c r="IG260" s="53">
        <f>IF(IC253="-",0,IG259-EX36)</f>
        <v>0</v>
      </c>
      <c r="II260" s="54" t="b">
        <f t="shared" si="274"/>
        <v>0</v>
      </c>
      <c r="IJ260" s="55" t="b">
        <f t="shared" si="264"/>
        <v>0</v>
      </c>
      <c r="IK260" s="54">
        <f t="shared" si="275"/>
        <v>0</v>
      </c>
      <c r="IL260" s="56">
        <f>IL259+($IL$262-$IL$257)/4</f>
        <v>0</v>
      </c>
      <c r="IM260" s="54">
        <f t="shared" si="276"/>
        <v>0</v>
      </c>
      <c r="IN260" s="54">
        <f t="shared" si="277"/>
        <v>0</v>
      </c>
      <c r="IO260" s="57">
        <f t="shared" si="278"/>
        <v>0</v>
      </c>
      <c r="IP260" s="54">
        <f t="shared" si="279"/>
        <v>0</v>
      </c>
      <c r="IQ260" s="54">
        <f t="shared" si="280"/>
        <v>0</v>
      </c>
      <c r="IR260" s="54">
        <f t="shared" si="282"/>
        <v>0</v>
      </c>
      <c r="IS260" s="58" t="str">
        <f>IF(IC253="-","",SUM(IM260:IR260))</f>
        <v/>
      </c>
      <c r="IT260" s="54">
        <f t="shared" si="281"/>
        <v>25.5</v>
      </c>
      <c r="IV260" s="54"/>
      <c r="IW260" s="54"/>
      <c r="IY260" s="54">
        <f>IY259</f>
        <v>-5</v>
      </c>
      <c r="IZ260" s="54">
        <f>IF(IC253="-",0,EX36/20)</f>
        <v>0</v>
      </c>
      <c r="JB260" s="66" t="str">
        <f>IF(IC253="-","",HY54)</f>
        <v/>
      </c>
      <c r="JC260" s="54" t="b">
        <f>AND($F$2=25,$F$10=$ER$43)</f>
        <v>0</v>
      </c>
      <c r="JE260" s="66" t="str">
        <f>JB260</f>
        <v/>
      </c>
      <c r="JF260" s="54"/>
      <c r="JH260" s="54"/>
      <c r="JI260" s="54"/>
      <c r="JK260" s="54" t="b">
        <f>AND($F$2=25,$F$10=$ER$43)</f>
        <v>0</v>
      </c>
      <c r="JL260" s="54"/>
      <c r="JM260" s="39"/>
      <c r="JN260" s="54"/>
      <c r="JO260" s="54"/>
      <c r="JP260" s="39"/>
      <c r="JQ260" s="54"/>
      <c r="JR260" s="54"/>
      <c r="JS260" s="39"/>
      <c r="JT260" s="54"/>
      <c r="JU260" s="54"/>
      <c r="JW260" s="123"/>
      <c r="JX260" s="123"/>
    </row>
    <row r="261" spans="237:284" ht="14.25" customHeight="1" x14ac:dyDescent="0.2">
      <c r="IC261" s="250"/>
      <c r="ID261" s="53">
        <f t="shared" si="283"/>
        <v>25.5</v>
      </c>
      <c r="IE261" s="53" t="s">
        <v>157</v>
      </c>
      <c r="IF261" s="53">
        <f>IF262</f>
        <v>0</v>
      </c>
      <c r="IG261" s="53">
        <f>HW54</f>
        <v>0</v>
      </c>
      <c r="II261" s="54" t="b">
        <f t="shared" si="274"/>
        <v>0</v>
      </c>
      <c r="IJ261" s="55" t="b">
        <f t="shared" si="264"/>
        <v>0</v>
      </c>
      <c r="IK261" s="54">
        <f t="shared" si="275"/>
        <v>0</v>
      </c>
      <c r="IL261" s="56">
        <f>IL260+($IL$262-$IL$257)/4</f>
        <v>0</v>
      </c>
      <c r="IM261" s="54">
        <f t="shared" si="276"/>
        <v>0</v>
      </c>
      <c r="IN261" s="54">
        <f t="shared" si="277"/>
        <v>0</v>
      </c>
      <c r="IO261" s="57">
        <f t="shared" si="278"/>
        <v>0</v>
      </c>
      <c r="IP261" s="54">
        <f t="shared" si="279"/>
        <v>0</v>
      </c>
      <c r="IQ261" s="54">
        <f t="shared" si="280"/>
        <v>0</v>
      </c>
      <c r="IR261" s="55"/>
      <c r="IS261" s="59" t="str">
        <f>IF(IC253="-","",ROUND(HU54,2))</f>
        <v/>
      </c>
      <c r="IT261" s="54">
        <f t="shared" si="281"/>
        <v>25.5</v>
      </c>
      <c r="IV261" s="54"/>
      <c r="IW261" s="54"/>
      <c r="IY261" s="65" t="str">
        <f>IF(IC253="-","",IF(EX36=0,"",EX36))</f>
        <v/>
      </c>
      <c r="IZ261" s="55"/>
      <c r="JB261" s="54">
        <f>ID262</f>
        <v>25.5</v>
      </c>
      <c r="JC261" s="54">
        <v>0</v>
      </c>
      <c r="JE261" s="54">
        <f>JB261</f>
        <v>25.5</v>
      </c>
      <c r="JF261" s="54">
        <f>IF(JE260&gt;0,-MAX(IW3:IW272,IZ3:IZ272)*0.5,-MAX(IW3:IW272,IZ3:IZ272)*1.5)</f>
        <v>-37.5</v>
      </c>
      <c r="JH261" s="54">
        <f>IF(IC253=25,ID261,-5)</f>
        <v>-5</v>
      </c>
      <c r="JI261" s="54">
        <f>IG261</f>
        <v>0</v>
      </c>
      <c r="JK261" s="54">
        <f>IF(JK260=TRUE,IT261,-5)</f>
        <v>-5</v>
      </c>
      <c r="JL261" s="59" t="str">
        <f>IS261</f>
        <v/>
      </c>
      <c r="JM261" s="40"/>
      <c r="JN261" s="59"/>
      <c r="JO261" s="59"/>
      <c r="JP261" s="40"/>
      <c r="JQ261" s="59"/>
      <c r="JR261" s="59"/>
      <c r="JS261" s="40"/>
      <c r="JT261" s="63" t="b">
        <f>IF(F2&gt;0,IF(F10=ER43,IF(JC20=TRUE,IS21,IF(JC30=TRUE,IS31,IF(JC40=TRUE,IS41,IF(JC50=TRUE,IS51,IF(JC60=TRUE,IS61,IF(JC70=TRUE,IS71,IF(JC80=TRUE,IS81,IF(JC90=TRUE,IS91,IF(JC100=TRUE,IS101,IF(JC110=TRUE,IS111,IF(JC120=TRUE,IS121,IF(JC130=TRUE,IS131,IF(JC140=TRUE,IS141,IF(JC150=TRUE,IS151,IF(JC160=TRUE,IS161,IF(JC170=TRUE,IS171,IF(JC180=TRUE,IS181,IF(JC190=TRUE,IS191,IF(JC200=TRUE,IS201,IF(JC210=TRUE,IS211,IF(JC220=TRUE,IS221,IF(JC230=TRUE,IS231,IF(JC240=TRUE,IS241,IF(JC250=TRUE,IS251,IF(JC260=TRUE,IS261,"")))))))))))))))))))))))))))</f>
        <v>0</v>
      </c>
      <c r="JU261" s="60"/>
      <c r="JW261" s="122"/>
      <c r="JX261" s="122"/>
    </row>
    <row r="262" spans="237:284" ht="14.25" customHeight="1" x14ac:dyDescent="0.2">
      <c r="IC262" s="250"/>
      <c r="ID262" s="53">
        <f>IF(HS53="R0",ID253,ID253+HT53)</f>
        <v>25.5</v>
      </c>
      <c r="IE262" s="53" t="s">
        <v>158</v>
      </c>
      <c r="IF262" s="53">
        <f>IF(HS53="R0",0,HT53)</f>
        <v>0</v>
      </c>
      <c r="IG262" s="53">
        <v>0</v>
      </c>
      <c r="II262" s="54" t="b">
        <f t="shared" si="274"/>
        <v>0</v>
      </c>
      <c r="IJ262" s="55" t="b">
        <f t="shared" si="264"/>
        <v>0</v>
      </c>
      <c r="IK262" s="54">
        <f t="shared" si="275"/>
        <v>0</v>
      </c>
      <c r="IL262" s="56">
        <f>IK262</f>
        <v>0</v>
      </c>
      <c r="IM262" s="54"/>
      <c r="IN262" s="54"/>
      <c r="IO262" s="57"/>
      <c r="IP262" s="54"/>
      <c r="IQ262" s="54"/>
      <c r="IR262" s="55"/>
      <c r="IS262" s="83"/>
      <c r="IT262" s="54"/>
      <c r="IV262" s="54"/>
      <c r="IW262" s="54"/>
      <c r="IY262" s="55"/>
      <c r="IZ262" s="55"/>
      <c r="JB262" s="54">
        <f>JB261</f>
        <v>25.5</v>
      </c>
      <c r="JC262" s="54">
        <f>IF(IC253="-",0,IF(JC260=TRUE,0,-20))</f>
        <v>0</v>
      </c>
      <c r="JE262" s="54">
        <f>JE261</f>
        <v>25.5</v>
      </c>
      <c r="JF262" s="54">
        <f>IF(IC253="-",JF261,IF(JE260&gt;0,-MAX(IW3:IW272,IZ3:IZ272)*1.5,-MAX(IW3:IW272,IZ3:IZ272)*0.5))</f>
        <v>-37.5</v>
      </c>
      <c r="JH262" s="54"/>
      <c r="JI262" s="54"/>
      <c r="JK262" s="54"/>
      <c r="JL262" s="54"/>
      <c r="JM262" s="39"/>
      <c r="JN262" s="54"/>
      <c r="JO262" s="54"/>
      <c r="JP262" s="39"/>
      <c r="JQ262" s="54"/>
      <c r="JR262" s="54"/>
      <c r="JS262" s="39"/>
      <c r="JT262" s="60">
        <f>IF(JC257=0,-5,JB257)</f>
        <v>-5</v>
      </c>
      <c r="JU262" s="60">
        <v>0</v>
      </c>
      <c r="JW262" s="123"/>
      <c r="JX262" s="123"/>
    </row>
    <row r="263" spans="237:284" ht="14.25" customHeight="1" x14ac:dyDescent="0.2">
      <c r="IC263" s="251" t="str">
        <f>HS55</f>
        <v>R0</v>
      </c>
      <c r="ID263" s="30">
        <f>IF(F2=25,SUM(HT3:HT54),IF(F2&lt;25,SUM(HT3:HT54)-HT55))</f>
        <v>24</v>
      </c>
      <c r="IE263" s="30" t="s">
        <v>149</v>
      </c>
      <c r="IF263" s="30">
        <v>0</v>
      </c>
      <c r="IG263" s="30">
        <v>0</v>
      </c>
      <c r="II263" s="31" t="b">
        <f t="shared" si="274"/>
        <v>0</v>
      </c>
      <c r="IJ263" s="32" t="b">
        <f t="shared" si="264"/>
        <v>0</v>
      </c>
      <c r="IK263" s="31">
        <f t="shared" ref="IK263:IK272" si="284">IF(II263=TRUE,IF(IJ263=TRUE,IG263/$EJ$40)+IF263,IF263)</f>
        <v>0</v>
      </c>
      <c r="IL263" s="35">
        <f>IK263</f>
        <v>0</v>
      </c>
      <c r="IM263" s="35">
        <f>$HV$55*IL263</f>
        <v>0</v>
      </c>
      <c r="IN263" s="35">
        <f t="shared" ref="IN263:IN271" si="285">-$EJ$40*(IL263^2/2)</f>
        <v>0</v>
      </c>
      <c r="IO263" s="36">
        <f t="shared" ref="IO263:IO271" si="286">-IF(IL263&gt;=$EN$40,$EL$40*(IL263-$EN$40),0)</f>
        <v>0</v>
      </c>
      <c r="IP263" s="35">
        <f t="shared" ref="IP263:IP271" si="287">-IF(IL263&gt;=$ET$40,$ER$40*(IL263-$ET$40),0)</f>
        <v>0</v>
      </c>
      <c r="IQ263" s="35">
        <f t="shared" ref="IQ263:IQ271" si="288">-IF(IL263&gt;=$EZ$40,$EX$40*(IL263-$EZ$40),0)</f>
        <v>0</v>
      </c>
      <c r="IR263" s="45"/>
      <c r="IS263" s="37">
        <f>IF(IC263="-","",HU55)</f>
        <v>-1093.5</v>
      </c>
      <c r="IT263" s="35">
        <f t="shared" ref="IT263:IT271" si="289">$ID$263+IL263</f>
        <v>24</v>
      </c>
      <c r="IV263" s="54">
        <f>ID263</f>
        <v>24</v>
      </c>
      <c r="IW263" s="54">
        <v>0</v>
      </c>
      <c r="IY263" s="35">
        <f>IF(IC263="-",-5,IF(EL40=0,-5,ID263+EN40))</f>
        <v>-5</v>
      </c>
      <c r="IZ263" s="35">
        <v>0</v>
      </c>
      <c r="JB263" s="38">
        <f>ID263</f>
        <v>24</v>
      </c>
      <c r="JC263" s="38">
        <f>IF(JC265=TRUE,MAX(IW3:IW272,IZ3:IZ272),0)</f>
        <v>0</v>
      </c>
      <c r="JE263" s="38">
        <f>JB263</f>
        <v>24</v>
      </c>
      <c r="JF263" s="38">
        <f>IF(JE265&gt;0,-MAX(IW3:IW272,IZ3:IZ272)*0.5,-MAX(IW3:IW272,IZ3:IZ272)*1.5)</f>
        <v>-37.5</v>
      </c>
      <c r="JH263" s="38"/>
      <c r="JI263" s="38"/>
      <c r="JK263" s="35">
        <f>IF(IC263="R0",IT263,-5)</f>
        <v>24</v>
      </c>
      <c r="JL263" s="37">
        <f>IS263</f>
        <v>-1093.5</v>
      </c>
      <c r="JM263" s="40"/>
      <c r="JN263" s="37">
        <f>IF(IC263="-",-5,(ID263+ID272)/2)</f>
        <v>24.75</v>
      </c>
      <c r="JO263" s="37">
        <f>-MAX(IW3:IW272,IZ3:IZ272)*0.7</f>
        <v>-52.5</v>
      </c>
      <c r="JP263" s="40"/>
      <c r="JQ263" s="37"/>
      <c r="JR263" s="37"/>
      <c r="JS263" s="40"/>
      <c r="JT263" s="51">
        <f>IF(JC263=0,-5,JB263)</f>
        <v>-5</v>
      </c>
      <c r="JU263" s="51">
        <v>0</v>
      </c>
      <c r="JW263" s="37">
        <f>JN263</f>
        <v>24.75</v>
      </c>
      <c r="JX263" s="37">
        <f>JF264</f>
        <v>-112.5</v>
      </c>
    </row>
    <row r="264" spans="237:284" ht="14.25" customHeight="1" x14ac:dyDescent="0.2">
      <c r="IC264" s="251"/>
      <c r="ID264" s="30">
        <f>IF($IC$263="-",$ID$263,$ID$263+IF264)</f>
        <v>24</v>
      </c>
      <c r="IE264" s="30" t="s">
        <v>150</v>
      </c>
      <c r="IF264" s="30">
        <f>IF263</f>
        <v>0</v>
      </c>
      <c r="IG264" s="30">
        <f>IF(IC263="-",0,HV55)</f>
        <v>1458</v>
      </c>
      <c r="II264" s="31" t="b">
        <f t="shared" si="274"/>
        <v>0</v>
      </c>
      <c r="IJ264" s="32" t="b">
        <f t="shared" si="264"/>
        <v>0</v>
      </c>
      <c r="IK264" s="31">
        <f t="shared" si="284"/>
        <v>0</v>
      </c>
      <c r="IL264" s="38">
        <f>(IL272-IL263)/8</f>
        <v>0.1875</v>
      </c>
      <c r="IM264" s="35">
        <f t="shared" ref="IM264:IM271" si="290">$HV$55*IL264</f>
        <v>273.375</v>
      </c>
      <c r="IN264" s="35">
        <f t="shared" si="285"/>
        <v>-17.0859375</v>
      </c>
      <c r="IO264" s="36">
        <f t="shared" si="286"/>
        <v>0</v>
      </c>
      <c r="IP264" s="35">
        <f t="shared" si="287"/>
        <v>0</v>
      </c>
      <c r="IQ264" s="35">
        <f t="shared" si="288"/>
        <v>0</v>
      </c>
      <c r="IR264" s="35">
        <f>$HU$55</f>
        <v>-1093.5</v>
      </c>
      <c r="IS264" s="42">
        <f>IF(IC263="-","",SUM(IM264:IR264))</f>
        <v>-837.2109375</v>
      </c>
      <c r="IT264" s="35">
        <f t="shared" si="289"/>
        <v>24.1875</v>
      </c>
      <c r="IV264" s="54">
        <f>IV263</f>
        <v>24</v>
      </c>
      <c r="IW264" s="54">
        <f>IF(IC263="-",0,EJ40)/20</f>
        <v>48.6</v>
      </c>
      <c r="IY264" s="35">
        <f>IY263</f>
        <v>-5</v>
      </c>
      <c r="IZ264" s="35">
        <f>IF(IC263="-",0,EL40/20)</f>
        <v>0</v>
      </c>
      <c r="JB264" s="38">
        <f>JB263</f>
        <v>24</v>
      </c>
      <c r="JC264" s="38">
        <f>IF(JC265=TRUE,-MAX(IW3:IW272,IZ3:IZ272),0)</f>
        <v>0</v>
      </c>
      <c r="JE264" s="38">
        <f>JE263</f>
        <v>24</v>
      </c>
      <c r="JF264" s="38">
        <f>IF(IC263="-",JF263,IF(JE265&gt;0,-MAX(IW3:IW272,IZ3:IZ272)*1.5,-MAX(IW3:IW272,IZ3:IZ272)*0.5))</f>
        <v>-112.5</v>
      </c>
      <c r="JH264" s="38">
        <f>IF(IC263="R0",ID264,-5)</f>
        <v>24</v>
      </c>
      <c r="JI264" s="38">
        <f>IG264</f>
        <v>1458</v>
      </c>
      <c r="JK264" s="35"/>
      <c r="JL264" s="35"/>
      <c r="JM264" s="39"/>
      <c r="JN264" s="75">
        <f>HT55</f>
        <v>1.5</v>
      </c>
      <c r="JO264" s="35"/>
      <c r="JP264" s="39"/>
      <c r="JQ264" s="35"/>
      <c r="JR264" s="35"/>
      <c r="JS264" s="39"/>
      <c r="JT264" s="50">
        <f>IS263</f>
        <v>-1093.5</v>
      </c>
      <c r="JU264" s="68"/>
      <c r="JW264" s="124" t="str">
        <f>IC263</f>
        <v>R0</v>
      </c>
      <c r="JX264" s="127"/>
    </row>
    <row r="265" spans="237:284" ht="14.25" customHeight="1" x14ac:dyDescent="0.2">
      <c r="IC265" s="251"/>
      <c r="ID265" s="30">
        <f t="shared" ref="ID265:ID271" si="291">IF($IC$263="-",$ID$263,$ID$263+IF265)</f>
        <v>24</v>
      </c>
      <c r="IE265" s="30" t="s">
        <v>151</v>
      </c>
      <c r="IF265" s="30">
        <f>IF(EX40=0,IF264,EZ40)</f>
        <v>0</v>
      </c>
      <c r="IG265" s="30">
        <f>IF(IC263="-",0,IG264-IF(EX40=0,0,EJ40*IF265))</f>
        <v>1458</v>
      </c>
      <c r="II265" s="31" t="b">
        <f t="shared" si="274"/>
        <v>0</v>
      </c>
      <c r="IJ265" s="32" t="b">
        <f t="shared" si="264"/>
        <v>0</v>
      </c>
      <c r="IK265" s="31">
        <f t="shared" si="284"/>
        <v>0</v>
      </c>
      <c r="IL265" s="38">
        <f>IL264*2</f>
        <v>0.375</v>
      </c>
      <c r="IM265" s="35">
        <f t="shared" si="290"/>
        <v>546.75</v>
      </c>
      <c r="IN265" s="35">
        <f t="shared" si="285"/>
        <v>-68.34375</v>
      </c>
      <c r="IO265" s="36">
        <f t="shared" si="286"/>
        <v>0</v>
      </c>
      <c r="IP265" s="35">
        <f t="shared" si="287"/>
        <v>0</v>
      </c>
      <c r="IQ265" s="35">
        <f t="shared" si="288"/>
        <v>0</v>
      </c>
      <c r="IR265" s="35">
        <f t="shared" ref="IR265:IR270" si="292">$HU$55</f>
        <v>-1093.5</v>
      </c>
      <c r="IS265" s="42">
        <f>IF(IC263="-","",SUM(IM265:IR265))</f>
        <v>-615.09375</v>
      </c>
      <c r="IT265" s="35">
        <f t="shared" si="289"/>
        <v>24.375</v>
      </c>
      <c r="IV265" s="54">
        <f>IF272/2+IV263</f>
        <v>24.75</v>
      </c>
      <c r="IW265" s="54">
        <f>IW264</f>
        <v>48.6</v>
      </c>
      <c r="IY265" s="44" t="str">
        <f>IF(IC263="-","",IF(EL40=0,"",EL40))</f>
        <v/>
      </c>
      <c r="IZ265" s="45"/>
      <c r="JB265" s="47" t="str">
        <f>IF(JC265=TRUE,HY5,"")</f>
        <v/>
      </c>
      <c r="JC265" s="38" t="b">
        <f>AND(F2=0,F10=ER44)</f>
        <v>0</v>
      </c>
      <c r="JE265" s="47" t="str">
        <f>JB265</f>
        <v/>
      </c>
      <c r="JF265" s="38"/>
      <c r="JH265" s="38"/>
      <c r="JI265" s="38"/>
      <c r="JK265" s="35"/>
      <c r="JL265" s="35"/>
      <c r="JM265" s="39"/>
      <c r="JN265" s="35"/>
      <c r="JO265" s="35"/>
      <c r="JP265" s="39"/>
      <c r="JQ265" s="35"/>
      <c r="JR265" s="35"/>
      <c r="JS265" s="39"/>
      <c r="JT265" s="35"/>
      <c r="JU265" s="35"/>
      <c r="JW265" s="127"/>
      <c r="JX265" s="127"/>
    </row>
    <row r="266" spans="237:284" ht="14.25" customHeight="1" x14ac:dyDescent="0.2">
      <c r="IC266" s="251"/>
      <c r="ID266" s="30">
        <f>IF($IC$263="-",$ID$263,$ID$263+IF266)</f>
        <v>24</v>
      </c>
      <c r="IE266" s="30" t="s">
        <v>152</v>
      </c>
      <c r="IF266" s="30">
        <f>IF265</f>
        <v>0</v>
      </c>
      <c r="IG266" s="30">
        <f>IF(IC263="-",0,IG265-EX40)</f>
        <v>1458</v>
      </c>
      <c r="II266" s="31" t="b">
        <f t="shared" si="274"/>
        <v>0</v>
      </c>
      <c r="IJ266" s="32" t="b">
        <f t="shared" si="264"/>
        <v>0</v>
      </c>
      <c r="IK266" s="31">
        <f t="shared" si="284"/>
        <v>0</v>
      </c>
      <c r="IL266" s="38">
        <f>IL264*3</f>
        <v>0.5625</v>
      </c>
      <c r="IM266" s="35">
        <f t="shared" si="290"/>
        <v>820.125</v>
      </c>
      <c r="IN266" s="35">
        <f t="shared" si="285"/>
        <v>-153.7734375</v>
      </c>
      <c r="IO266" s="36">
        <f t="shared" si="286"/>
        <v>0</v>
      </c>
      <c r="IP266" s="35">
        <f t="shared" si="287"/>
        <v>0</v>
      </c>
      <c r="IQ266" s="35">
        <f t="shared" si="288"/>
        <v>0</v>
      </c>
      <c r="IR266" s="35">
        <f t="shared" si="292"/>
        <v>-1093.5</v>
      </c>
      <c r="IS266" s="42">
        <f>IF(IC263="-","",SUM(IM266:IR266))</f>
        <v>-427.1484375</v>
      </c>
      <c r="IT266" s="35">
        <f t="shared" si="289"/>
        <v>24.5625</v>
      </c>
      <c r="IV266" s="54">
        <f>IV267</f>
        <v>25.5</v>
      </c>
      <c r="IW266" s="54">
        <f>IW264</f>
        <v>48.6</v>
      </c>
      <c r="IY266" s="35">
        <f>IF(IC263="-",-5,IF(ER40=0,-5,ID263+ET40))</f>
        <v>-5</v>
      </c>
      <c r="IZ266" s="35">
        <v>0</v>
      </c>
      <c r="JB266" s="38"/>
      <c r="JC266" s="38"/>
      <c r="JE266" s="38"/>
      <c r="JF266" s="38"/>
      <c r="JH266" s="38"/>
      <c r="JI266" s="38"/>
      <c r="JK266" s="35"/>
      <c r="JL266" s="35"/>
      <c r="JM266" s="39"/>
      <c r="JN266" s="35"/>
      <c r="JO266" s="35"/>
      <c r="JP266" s="39"/>
      <c r="JQ266" s="35"/>
      <c r="JR266" s="35"/>
      <c r="JS266" s="39"/>
      <c r="JT266" s="35"/>
      <c r="JU266" s="35"/>
      <c r="JW266" s="127"/>
      <c r="JX266" s="127"/>
    </row>
    <row r="267" spans="237:284" ht="14.25" customHeight="1" x14ac:dyDescent="0.2">
      <c r="IC267" s="251"/>
      <c r="ID267" s="30">
        <f t="shared" si="291"/>
        <v>24</v>
      </c>
      <c r="IE267" s="30" t="s">
        <v>153</v>
      </c>
      <c r="IF267" s="30">
        <f>IF(ER40=0,IF266,ET40)</f>
        <v>0</v>
      </c>
      <c r="IG267" s="30">
        <f>IF(IC263="-",0,IG266-IF(ER40=0,0,EJ40*(IF267-IF266)))</f>
        <v>1458</v>
      </c>
      <c r="II267" s="31" t="b">
        <f t="shared" si="274"/>
        <v>0</v>
      </c>
      <c r="IJ267" s="32" t="b">
        <f t="shared" si="264"/>
        <v>0</v>
      </c>
      <c r="IK267" s="31">
        <f t="shared" si="284"/>
        <v>0</v>
      </c>
      <c r="IL267" s="38">
        <f>IL264*4</f>
        <v>0.75</v>
      </c>
      <c r="IM267" s="35">
        <f t="shared" si="290"/>
        <v>1093.5</v>
      </c>
      <c r="IN267" s="35">
        <f t="shared" si="285"/>
        <v>-273.375</v>
      </c>
      <c r="IO267" s="36">
        <f t="shared" si="286"/>
        <v>0</v>
      </c>
      <c r="IP267" s="35">
        <f t="shared" si="287"/>
        <v>0</v>
      </c>
      <c r="IQ267" s="35">
        <f t="shared" si="288"/>
        <v>0</v>
      </c>
      <c r="IR267" s="35">
        <f t="shared" si="292"/>
        <v>-1093.5</v>
      </c>
      <c r="IS267" s="42">
        <f>IF(IC263="-","",ROUND(SUM(IM267:IR267),2))</f>
        <v>-273.38</v>
      </c>
      <c r="IT267" s="35">
        <f t="shared" si="289"/>
        <v>24.75</v>
      </c>
      <c r="IV267" s="54">
        <f>ID272</f>
        <v>25.5</v>
      </c>
      <c r="IW267" s="54">
        <v>0</v>
      </c>
      <c r="IY267" s="35">
        <f>IY266</f>
        <v>-5</v>
      </c>
      <c r="IZ267" s="35">
        <f>IF(IC263="-",0,ER40/20)</f>
        <v>0</v>
      </c>
      <c r="JB267" s="38"/>
      <c r="JC267" s="38"/>
      <c r="JE267" s="38"/>
      <c r="JF267" s="38"/>
      <c r="JH267" s="38"/>
      <c r="JI267" s="38"/>
      <c r="JK267" s="35"/>
      <c r="JL267" s="37"/>
      <c r="JM267" s="40"/>
      <c r="JN267" s="37"/>
      <c r="JO267" s="37"/>
      <c r="JP267" s="40"/>
      <c r="JQ267" s="37"/>
      <c r="JR267" s="37"/>
      <c r="JS267" s="40"/>
      <c r="JT267" s="37"/>
      <c r="JU267" s="37"/>
      <c r="JW267" s="37"/>
      <c r="JX267" s="37"/>
    </row>
    <row r="268" spans="237:284" ht="14.25" customHeight="1" x14ac:dyDescent="0.2">
      <c r="IC268" s="251"/>
      <c r="ID268" s="30">
        <f t="shared" si="291"/>
        <v>24</v>
      </c>
      <c r="IE268" s="30" t="s">
        <v>154</v>
      </c>
      <c r="IF268" s="30">
        <f>IF267</f>
        <v>0</v>
      </c>
      <c r="IG268" s="30">
        <f>IF(IC263="-",0,IG267-ER40)</f>
        <v>1458</v>
      </c>
      <c r="II268" s="31" t="b">
        <f t="shared" si="274"/>
        <v>0</v>
      </c>
      <c r="IJ268" s="32" t="b">
        <f t="shared" si="264"/>
        <v>0</v>
      </c>
      <c r="IK268" s="31">
        <f t="shared" si="284"/>
        <v>0</v>
      </c>
      <c r="IL268" s="38">
        <f>IL264*5</f>
        <v>0.9375</v>
      </c>
      <c r="IM268" s="35">
        <f t="shared" si="290"/>
        <v>1366.875</v>
      </c>
      <c r="IN268" s="35">
        <f t="shared" si="285"/>
        <v>-427.1484375</v>
      </c>
      <c r="IO268" s="36">
        <f t="shared" si="286"/>
        <v>0</v>
      </c>
      <c r="IP268" s="35">
        <f t="shared" si="287"/>
        <v>0</v>
      </c>
      <c r="IQ268" s="35">
        <f t="shared" si="288"/>
        <v>0</v>
      </c>
      <c r="IR268" s="35">
        <f t="shared" si="292"/>
        <v>-1093.5</v>
      </c>
      <c r="IS268" s="42">
        <f>IF(IC263="-","",SUM(IM268:IR268))</f>
        <v>-153.7734375</v>
      </c>
      <c r="IT268" s="35">
        <f t="shared" si="289"/>
        <v>24.9375</v>
      </c>
      <c r="IV268" s="54"/>
      <c r="IW268" s="54"/>
      <c r="IY268" s="44" t="str">
        <f>IF(IC263="-","",IF(ER40=0,"",ER40))</f>
        <v/>
      </c>
      <c r="IZ268" s="45"/>
      <c r="JB268" s="38"/>
      <c r="JC268" s="38"/>
      <c r="JE268" s="38"/>
      <c r="JF268" s="38"/>
      <c r="JH268" s="38"/>
      <c r="JI268" s="38"/>
      <c r="JK268" s="35"/>
      <c r="JL268" s="35"/>
      <c r="JM268" s="39"/>
      <c r="JN268" s="35"/>
      <c r="JO268" s="35"/>
      <c r="JP268" s="39"/>
      <c r="JQ268" s="35"/>
      <c r="JR268" s="35"/>
      <c r="JS268" s="39"/>
      <c r="JT268" s="35"/>
      <c r="JU268" s="35"/>
      <c r="JW268" s="127"/>
      <c r="JX268" s="127"/>
    </row>
    <row r="269" spans="237:284" ht="14.25" customHeight="1" x14ac:dyDescent="0.2">
      <c r="IC269" s="251"/>
      <c r="ID269" s="30">
        <f t="shared" si="291"/>
        <v>24</v>
      </c>
      <c r="IE269" s="30" t="s">
        <v>155</v>
      </c>
      <c r="IF269" s="30">
        <f>IF(EL40=0,IF268,EN40)</f>
        <v>0</v>
      </c>
      <c r="IG269" s="30">
        <f>IF(IC263="-",0,IG268-IF(EL40=0,0,EJ40*(IF269-IF268)))</f>
        <v>1458</v>
      </c>
      <c r="II269" s="31" t="b">
        <f t="shared" si="274"/>
        <v>0</v>
      </c>
      <c r="IJ269" s="32" t="b">
        <f t="shared" si="264"/>
        <v>0</v>
      </c>
      <c r="IK269" s="31">
        <f t="shared" si="284"/>
        <v>0</v>
      </c>
      <c r="IL269" s="38">
        <f>IL264*6</f>
        <v>1.125</v>
      </c>
      <c r="IM269" s="35">
        <f t="shared" si="290"/>
        <v>1640.25</v>
      </c>
      <c r="IN269" s="35">
        <f t="shared" si="285"/>
        <v>-615.09375</v>
      </c>
      <c r="IO269" s="36">
        <f t="shared" si="286"/>
        <v>0</v>
      </c>
      <c r="IP269" s="35">
        <f t="shared" si="287"/>
        <v>0</v>
      </c>
      <c r="IQ269" s="35">
        <f t="shared" si="288"/>
        <v>0</v>
      </c>
      <c r="IR269" s="35">
        <f t="shared" si="292"/>
        <v>-1093.5</v>
      </c>
      <c r="IS269" s="42">
        <f>IF(IC263="-","",SUM(IM269:IR269))</f>
        <v>-68.34375</v>
      </c>
      <c r="IT269" s="35">
        <f t="shared" si="289"/>
        <v>25.125</v>
      </c>
      <c r="IV269" s="72">
        <f>IF(IC263="-","",EJ40)</f>
        <v>972</v>
      </c>
      <c r="IW269" s="54"/>
      <c r="IY269" s="35">
        <f>IF(IC263="-",-5,IF(EX40=0,-5,ID263+EZ40))</f>
        <v>-5</v>
      </c>
      <c r="IZ269" s="35">
        <v>0</v>
      </c>
      <c r="JB269" s="38"/>
      <c r="JC269" s="38"/>
      <c r="JE269" s="38"/>
      <c r="JF269" s="38"/>
      <c r="JH269" s="38"/>
      <c r="JI269" s="38"/>
      <c r="JK269" s="35"/>
      <c r="JL269" s="35"/>
      <c r="JM269" s="39"/>
      <c r="JN269" s="35"/>
      <c r="JO269" s="35"/>
      <c r="JP269" s="39"/>
      <c r="JQ269" s="35"/>
      <c r="JR269" s="35"/>
      <c r="JS269" s="39"/>
      <c r="JT269" s="35"/>
      <c r="JU269" s="35"/>
      <c r="JW269" s="127"/>
      <c r="JX269" s="127"/>
    </row>
    <row r="270" spans="237:284" ht="14.25" customHeight="1" x14ac:dyDescent="0.2">
      <c r="IC270" s="251"/>
      <c r="ID270" s="30">
        <f t="shared" si="291"/>
        <v>24</v>
      </c>
      <c r="IE270" s="30" t="s">
        <v>156</v>
      </c>
      <c r="IF270" s="30">
        <f>IF269</f>
        <v>0</v>
      </c>
      <c r="IG270" s="30">
        <f>IF(IC263="-",0,IG269-EL40)</f>
        <v>1458</v>
      </c>
      <c r="II270" s="31" t="b">
        <f t="shared" si="274"/>
        <v>0</v>
      </c>
      <c r="IJ270" s="32" t="b">
        <f t="shared" si="264"/>
        <v>1</v>
      </c>
      <c r="IK270" s="31">
        <f t="shared" si="284"/>
        <v>0</v>
      </c>
      <c r="IL270" s="38">
        <f>IL264*7</f>
        <v>1.3125</v>
      </c>
      <c r="IM270" s="35">
        <f t="shared" si="290"/>
        <v>1913.625</v>
      </c>
      <c r="IN270" s="35">
        <f t="shared" si="285"/>
        <v>-837.2109375</v>
      </c>
      <c r="IO270" s="36">
        <f t="shared" si="286"/>
        <v>0</v>
      </c>
      <c r="IP270" s="35">
        <f t="shared" si="287"/>
        <v>0</v>
      </c>
      <c r="IQ270" s="35">
        <f t="shared" si="288"/>
        <v>0</v>
      </c>
      <c r="IR270" s="35">
        <f t="shared" si="292"/>
        <v>-1093.5</v>
      </c>
      <c r="IS270" s="42">
        <f>IF(IC263="-","",SUM(IM270:IR270))</f>
        <v>-17.0859375</v>
      </c>
      <c r="IT270" s="35">
        <f t="shared" si="289"/>
        <v>25.3125</v>
      </c>
      <c r="IV270" s="54"/>
      <c r="IW270" s="54"/>
      <c r="IY270" s="35">
        <f>IY269</f>
        <v>-5</v>
      </c>
      <c r="IZ270" s="35">
        <f>IF(IC263="-",0,EX40/20)</f>
        <v>0</v>
      </c>
      <c r="JB270" s="38"/>
      <c r="JC270" s="38"/>
      <c r="JE270" s="38"/>
      <c r="JF270" s="38"/>
      <c r="JH270" s="38"/>
      <c r="JI270" s="38"/>
      <c r="JK270" s="35"/>
      <c r="JL270" s="35"/>
      <c r="JM270" s="39"/>
      <c r="JN270" s="35"/>
      <c r="JO270" s="35"/>
      <c r="JP270" s="39"/>
      <c r="JQ270" s="35"/>
      <c r="JR270" s="35"/>
      <c r="JS270" s="39"/>
      <c r="JT270" s="35"/>
      <c r="JU270" s="35"/>
      <c r="JW270" s="127"/>
      <c r="JX270" s="127"/>
    </row>
    <row r="271" spans="237:284" ht="14.25" customHeight="1" x14ac:dyDescent="0.2">
      <c r="IC271" s="251"/>
      <c r="ID271" s="30">
        <f t="shared" si="291"/>
        <v>25.5</v>
      </c>
      <c r="IE271" s="30" t="s">
        <v>157</v>
      </c>
      <c r="IF271" s="30">
        <f>IF272</f>
        <v>1.5</v>
      </c>
      <c r="IG271" s="30">
        <f>IG272</f>
        <v>0</v>
      </c>
      <c r="II271" s="31" t="b">
        <f t="shared" si="274"/>
        <v>0</v>
      </c>
      <c r="IJ271" s="32" t="b">
        <f t="shared" si="264"/>
        <v>0</v>
      </c>
      <c r="IK271" s="31">
        <f t="shared" si="284"/>
        <v>1.5</v>
      </c>
      <c r="IL271" s="38">
        <f>IL264*8</f>
        <v>1.5</v>
      </c>
      <c r="IM271" s="35">
        <f t="shared" si="290"/>
        <v>2187</v>
      </c>
      <c r="IN271" s="35">
        <f t="shared" si="285"/>
        <v>-1093.5</v>
      </c>
      <c r="IO271" s="36">
        <f t="shared" si="286"/>
        <v>0</v>
      </c>
      <c r="IP271" s="35">
        <f t="shared" si="287"/>
        <v>0</v>
      </c>
      <c r="IQ271" s="35">
        <f t="shared" si="288"/>
        <v>0</v>
      </c>
      <c r="IR271" s="45"/>
      <c r="IS271" s="37">
        <f>IF(IC263="-","",ROUND(HU56,2))</f>
        <v>0</v>
      </c>
      <c r="IT271" s="35">
        <f t="shared" si="289"/>
        <v>25.5</v>
      </c>
      <c r="IV271" s="54"/>
      <c r="IW271" s="54"/>
      <c r="IY271" s="44" t="str">
        <f>IF(IC263="-","",IF(EX40=0,"",EX40))</f>
        <v/>
      </c>
      <c r="IZ271" s="45"/>
      <c r="JB271" s="38"/>
      <c r="JC271" s="38"/>
      <c r="JE271" s="38"/>
      <c r="JF271" s="38"/>
      <c r="JH271" s="38"/>
      <c r="JI271" s="38"/>
      <c r="JK271" s="38"/>
      <c r="JL271" s="38"/>
      <c r="JM271" s="39"/>
      <c r="JN271" s="38"/>
      <c r="JO271" s="38"/>
      <c r="JP271" s="39"/>
      <c r="JQ271" s="38"/>
      <c r="JR271" s="38"/>
      <c r="JS271" s="39"/>
      <c r="JT271" s="38"/>
      <c r="JU271" s="38"/>
      <c r="JW271" s="121"/>
      <c r="JX271" s="121"/>
    </row>
    <row r="272" spans="237:284" ht="14.25" customHeight="1" x14ac:dyDescent="0.2">
      <c r="IC272" s="251"/>
      <c r="ID272" s="30">
        <f>ID263+HT55</f>
        <v>25.5</v>
      </c>
      <c r="IE272" s="30" t="s">
        <v>158</v>
      </c>
      <c r="IF272" s="30">
        <f>HT55</f>
        <v>1.5</v>
      </c>
      <c r="IG272" s="30">
        <v>0</v>
      </c>
      <c r="II272" s="31" t="b">
        <f t="shared" si="274"/>
        <v>0</v>
      </c>
      <c r="IJ272" s="32" t="b">
        <f t="shared" si="264"/>
        <v>1</v>
      </c>
      <c r="IK272" s="31">
        <f t="shared" si="284"/>
        <v>1.5</v>
      </c>
      <c r="IL272" s="38">
        <f>IF272</f>
        <v>1.5</v>
      </c>
      <c r="IM272" s="35"/>
      <c r="IN272" s="35"/>
      <c r="IO272" s="36"/>
      <c r="IP272" s="35"/>
      <c r="IQ272" s="35"/>
      <c r="IR272" s="45"/>
      <c r="IS272" s="82"/>
      <c r="IT272" s="35"/>
      <c r="IV272" s="54"/>
      <c r="IW272" s="54"/>
      <c r="IY272" s="45"/>
      <c r="IZ272" s="45"/>
      <c r="JB272" s="38"/>
      <c r="JC272" s="38"/>
      <c r="JE272" s="38"/>
      <c r="JF272" s="38"/>
      <c r="JH272" s="38"/>
      <c r="JI272" s="38"/>
      <c r="JK272" s="35"/>
      <c r="JL272" s="35"/>
      <c r="JM272" s="39"/>
      <c r="JN272" s="35"/>
      <c r="JO272" s="35"/>
      <c r="JP272" s="39"/>
      <c r="JQ272" s="35"/>
      <c r="JR272" s="35"/>
      <c r="JS272" s="39"/>
      <c r="JT272" s="35"/>
      <c r="JU272" s="35"/>
      <c r="JW272" s="127"/>
      <c r="JX272" s="127"/>
    </row>
    <row r="273" spans="237:238" ht="14.25" customHeight="1" x14ac:dyDescent="0.2">
      <c r="IC273" s="28"/>
      <c r="ID273" s="28"/>
    </row>
    <row r="274" spans="237:238" ht="14.25" customHeight="1" x14ac:dyDescent="0.2">
      <c r="ID274" s="28"/>
    </row>
  </sheetData>
  <sheetProtection password="CA20" sheet="1" objects="1" scenarios="1"/>
  <sortState ref="IO14:IO26">
    <sortCondition ref="IO14:IO26"/>
  </sortState>
  <mergeCells count="1492">
    <mergeCell ref="HZ53:HZ54"/>
    <mergeCell ref="IA53:IA54"/>
    <mergeCell ref="HZ37:HZ38"/>
    <mergeCell ref="IA37:IA38"/>
    <mergeCell ref="IA41:IA42"/>
    <mergeCell ref="IA31:IA32"/>
    <mergeCell ref="IC143:IC152"/>
    <mergeCell ref="IC153:IC162"/>
    <mergeCell ref="IC163:IC172"/>
    <mergeCell ref="HZ55:HZ56"/>
    <mergeCell ref="IA55:IA56"/>
    <mergeCell ref="IC173:IC182"/>
    <mergeCell ref="IC183:IC192"/>
    <mergeCell ref="IC193:IC202"/>
    <mergeCell ref="IC203:IC212"/>
    <mergeCell ref="IC213:IC222"/>
    <mergeCell ref="IC223:IC232"/>
    <mergeCell ref="IA43:IA44"/>
    <mergeCell ref="HZ45:HZ46"/>
    <mergeCell ref="IA45:IA46"/>
    <mergeCell ref="IC233:IC242"/>
    <mergeCell ref="IC243:IC252"/>
    <mergeCell ref="IC253:IC262"/>
    <mergeCell ref="IC263:IC272"/>
    <mergeCell ref="IC63:IC72"/>
    <mergeCell ref="IC73:IC82"/>
    <mergeCell ref="IC83:IC92"/>
    <mergeCell ref="IC93:IC102"/>
    <mergeCell ref="IC103:IC112"/>
    <mergeCell ref="IC113:IC122"/>
    <mergeCell ref="IC123:IC132"/>
    <mergeCell ref="IC133:IC142"/>
    <mergeCell ref="FK66:FM66"/>
    <mergeCell ref="FN66:FP66"/>
    <mergeCell ref="FQ66:FS66"/>
    <mergeCell ref="IC13:IC22"/>
    <mergeCell ref="IC23:IC32"/>
    <mergeCell ref="IC33:IC42"/>
    <mergeCell ref="IC43:IC52"/>
    <mergeCell ref="IC53:IC62"/>
    <mergeCell ref="FX32:FZ32"/>
    <mergeCell ref="FU25:FW25"/>
    <mergeCell ref="FX25:FZ25"/>
    <mergeCell ref="FU16:FW16"/>
    <mergeCell ref="FN22:FP22"/>
    <mergeCell ref="FU66:FW66"/>
    <mergeCell ref="FX66:FZ66"/>
    <mergeCell ref="GB66:GD66"/>
    <mergeCell ref="GB61:GD61"/>
    <mergeCell ref="GB62:GD65"/>
    <mergeCell ref="FK67:FM67"/>
    <mergeCell ref="FN67:FP67"/>
    <mergeCell ref="IC3:IC12"/>
    <mergeCell ref="FU53:FW53"/>
    <mergeCell ref="FX53:FZ53"/>
    <mergeCell ref="FU54:FW54"/>
    <mergeCell ref="FX54:FZ54"/>
    <mergeCell ref="FU55:FW55"/>
    <mergeCell ref="FX55:FZ55"/>
    <mergeCell ref="HZ11:HZ12"/>
    <mergeCell ref="GB41:GD41"/>
    <mergeCell ref="GB42:GD45"/>
    <mergeCell ref="FU43:FW43"/>
    <mergeCell ref="FX43:FZ43"/>
    <mergeCell ref="FU44:FW44"/>
    <mergeCell ref="FX44:FZ44"/>
    <mergeCell ref="FU45:FW45"/>
    <mergeCell ref="FX45:FZ45"/>
    <mergeCell ref="HS55:HS56"/>
    <mergeCell ref="HT51:HT52"/>
    <mergeCell ref="HT53:HT54"/>
    <mergeCell ref="HS53:HS54"/>
    <mergeCell ref="HT55:HT56"/>
    <mergeCell ref="HZ33:HZ34"/>
    <mergeCell ref="IA33:IA34"/>
    <mergeCell ref="HZ35:HZ36"/>
    <mergeCell ref="GB16:GD16"/>
    <mergeCell ref="HH4:HI4"/>
    <mergeCell ref="GJ4:GK4"/>
    <mergeCell ref="GM4:GN4"/>
    <mergeCell ref="GP4:GQ4"/>
    <mergeCell ref="GS4:GT4"/>
    <mergeCell ref="GV4:GW4"/>
    <mergeCell ref="FU32:FW32"/>
    <mergeCell ref="EI2:EK2"/>
    <mergeCell ref="EL2:EN2"/>
    <mergeCell ref="EO2:EQ2"/>
    <mergeCell ref="EX3:EZ3"/>
    <mergeCell ref="FA3:FC3"/>
    <mergeCell ref="FD3:FF3"/>
    <mergeCell ref="FG3:FI3"/>
    <mergeCell ref="FX123:FZ123"/>
    <mergeCell ref="FU124:FW124"/>
    <mergeCell ref="FI56:FJ56"/>
    <mergeCell ref="FK56:FM56"/>
    <mergeCell ref="FI61:FJ61"/>
    <mergeCell ref="FK61:FM61"/>
    <mergeCell ref="FN61:FP61"/>
    <mergeCell ref="FQ61:FS61"/>
    <mergeCell ref="FU61:FW61"/>
    <mergeCell ref="FX61:FZ61"/>
    <mergeCell ref="FK62:FM62"/>
    <mergeCell ref="FN62:FP62"/>
    <mergeCell ref="FQ62:FS62"/>
    <mergeCell ref="FU62:FW62"/>
    <mergeCell ref="FX62:FZ62"/>
    <mergeCell ref="FU63:FW63"/>
    <mergeCell ref="FX63:FZ63"/>
    <mergeCell ref="FU64:FW64"/>
    <mergeCell ref="FX64:FZ64"/>
    <mergeCell ref="FU65:FW65"/>
    <mergeCell ref="FX65:FZ65"/>
    <mergeCell ref="FN56:FP56"/>
    <mergeCell ref="FQ56:FS56"/>
    <mergeCell ref="FU56:FW56"/>
    <mergeCell ref="FI66:FJ66"/>
    <mergeCell ref="F7:I7"/>
    <mergeCell ref="F10:I10"/>
    <mergeCell ref="F9:I9"/>
    <mergeCell ref="F6:I6"/>
    <mergeCell ref="F2:I2"/>
    <mergeCell ref="F3:I3"/>
    <mergeCell ref="F4:I4"/>
    <mergeCell ref="FU23:FW23"/>
    <mergeCell ref="FX23:FZ23"/>
    <mergeCell ref="FS3:FU3"/>
    <mergeCell ref="FV3:FX3"/>
    <mergeCell ref="FY3:GA3"/>
    <mergeCell ref="EH4:EI4"/>
    <mergeCell ref="EE4:EF4"/>
    <mergeCell ref="EF3:EH3"/>
    <mergeCell ref="EI3:EK3"/>
    <mergeCell ref="EL3:EN3"/>
    <mergeCell ref="EO3:EQ3"/>
    <mergeCell ref="ER3:ET3"/>
    <mergeCell ref="EU3:EW3"/>
    <mergeCell ref="EX20:EY20"/>
    <mergeCell ref="FX18:FZ18"/>
    <mergeCell ref="EV19:EW19"/>
    <mergeCell ref="ET23:EU23"/>
    <mergeCell ref="FJ3:FL3"/>
    <mergeCell ref="FM3:FO3"/>
    <mergeCell ref="FP3:FR3"/>
    <mergeCell ref="FK22:FM22"/>
    <mergeCell ref="EZ16:FA16"/>
    <mergeCell ref="EZ17:FA17"/>
    <mergeCell ref="EZ18:FA18"/>
    <mergeCell ref="EF2:EH2"/>
    <mergeCell ref="GH2:GJ2"/>
    <mergeCell ref="EP13:EQ13"/>
    <mergeCell ref="EN14:EO14"/>
    <mergeCell ref="EP14:EQ14"/>
    <mergeCell ref="EN15:EO15"/>
    <mergeCell ref="EP15:EQ15"/>
    <mergeCell ref="EN16:EO16"/>
    <mergeCell ref="EP16:EQ16"/>
    <mergeCell ref="EN13:EO13"/>
    <mergeCell ref="EL14:EM14"/>
    <mergeCell ref="FQ22:FS22"/>
    <mergeCell ref="FU22:FW22"/>
    <mergeCell ref="FX22:FZ22"/>
    <mergeCell ref="FQ17:FS17"/>
    <mergeCell ref="FX19:FZ19"/>
    <mergeCell ref="FX20:FZ20"/>
    <mergeCell ref="GB17:GD20"/>
    <mergeCell ref="ER2:ET2"/>
    <mergeCell ref="EU2:EW2"/>
    <mergeCell ref="EX19:EY19"/>
    <mergeCell ref="EK4:EL4"/>
    <mergeCell ref="EN4:EO4"/>
    <mergeCell ref="EQ4:ER4"/>
    <mergeCell ref="ET4:EU4"/>
    <mergeCell ref="EW4:EX4"/>
    <mergeCell ref="EZ4:FA4"/>
    <mergeCell ref="FC4:FD4"/>
    <mergeCell ref="FF4:FG4"/>
    <mergeCell ref="FB15:FC15"/>
    <mergeCell ref="FB16:FC16"/>
    <mergeCell ref="EL11:EM11"/>
    <mergeCell ref="GG4:GH4"/>
    <mergeCell ref="ER11:ES11"/>
    <mergeCell ref="GB11:GD11"/>
    <mergeCell ref="FK12:FM12"/>
    <mergeCell ref="FN12:FP12"/>
    <mergeCell ref="FQ12:FS12"/>
    <mergeCell ref="FU12:FW12"/>
    <mergeCell ref="FX12:FZ12"/>
    <mergeCell ref="GB12:GD15"/>
    <mergeCell ref="FU13:FW13"/>
    <mergeCell ref="FX13:FZ13"/>
    <mergeCell ref="FU14:FW14"/>
    <mergeCell ref="FX14:FZ14"/>
    <mergeCell ref="FU15:FW15"/>
    <mergeCell ref="FX15:FZ15"/>
    <mergeCell ref="FR4:FS4"/>
    <mergeCell ref="HE4:HF4"/>
    <mergeCell ref="FU26:FW26"/>
    <mergeCell ref="FX26:FZ26"/>
    <mergeCell ref="FB11:FC11"/>
    <mergeCell ref="FU17:FW17"/>
    <mergeCell ref="FN21:FP21"/>
    <mergeCell ref="FQ21:FS21"/>
    <mergeCell ref="FN11:FP11"/>
    <mergeCell ref="FQ11:FS11"/>
    <mergeCell ref="FU21:FW21"/>
    <mergeCell ref="FX16:FZ16"/>
    <mergeCell ref="FX17:FZ17"/>
    <mergeCell ref="FI4:FJ4"/>
    <mergeCell ref="FL4:FM4"/>
    <mergeCell ref="FO4:FP4"/>
    <mergeCell ref="FU11:FW11"/>
    <mergeCell ref="FX11:FZ11"/>
    <mergeCell ref="EN11:EO11"/>
    <mergeCell ref="EX16:EY16"/>
    <mergeCell ref="EX17:EY17"/>
    <mergeCell ref="EV36:EW36"/>
    <mergeCell ref="ET32:EU32"/>
    <mergeCell ref="EZ11:FA11"/>
    <mergeCell ref="EV31:EW31"/>
    <mergeCell ref="FI26:FJ26"/>
    <mergeCell ref="FK26:FM26"/>
    <mergeCell ref="ET19:EU19"/>
    <mergeCell ref="ET31:EU31"/>
    <mergeCell ref="ET16:EU16"/>
    <mergeCell ref="EV16:EW16"/>
    <mergeCell ref="ET18:EU18"/>
    <mergeCell ref="EV20:EW20"/>
    <mergeCell ref="EV21:EW21"/>
    <mergeCell ref="ET17:EU17"/>
    <mergeCell ref="FK27:FM27"/>
    <mergeCell ref="ER12:ES12"/>
    <mergeCell ref="ER13:ES13"/>
    <mergeCell ref="ER14:ES14"/>
    <mergeCell ref="ER15:ES15"/>
    <mergeCell ref="ER16:ES16"/>
    <mergeCell ref="ER17:ES17"/>
    <mergeCell ref="ER22:ES22"/>
    <mergeCell ref="ER23:ES23"/>
    <mergeCell ref="ER24:ES24"/>
    <mergeCell ref="FI21:FJ21"/>
    <mergeCell ref="FK21:FM21"/>
    <mergeCell ref="EZ14:FA14"/>
    <mergeCell ref="EZ15:FA15"/>
    <mergeCell ref="EZ20:FA20"/>
    <mergeCell ref="FB40:FC40"/>
    <mergeCell ref="EZ35:FA35"/>
    <mergeCell ref="EZ36:FA36"/>
    <mergeCell ref="FB14:FC14"/>
    <mergeCell ref="FF38:FG38"/>
    <mergeCell ref="FD39:FE39"/>
    <mergeCell ref="FF39:FG39"/>
    <mergeCell ref="FD40:FE40"/>
    <mergeCell ref="FF40:FG40"/>
    <mergeCell ref="FB31:FC31"/>
    <mergeCell ref="EX18:EY18"/>
    <mergeCell ref="EZ12:FA12"/>
    <mergeCell ref="FB12:FC12"/>
    <mergeCell ref="EZ13:FA13"/>
    <mergeCell ref="FB13:FC13"/>
    <mergeCell ref="EZ26:FA26"/>
    <mergeCell ref="EZ27:FA27"/>
    <mergeCell ref="EZ28:FA28"/>
    <mergeCell ref="EZ29:FA29"/>
    <mergeCell ref="FB32:FC32"/>
    <mergeCell ref="FB33:FC33"/>
    <mergeCell ref="EZ40:FA40"/>
    <mergeCell ref="EX30:EY30"/>
    <mergeCell ref="EX27:EY27"/>
    <mergeCell ref="EX28:EY28"/>
    <mergeCell ref="FB34:FC34"/>
    <mergeCell ref="FB35:FC35"/>
    <mergeCell ref="FB36:FC36"/>
    <mergeCell ref="EZ30:FA30"/>
    <mergeCell ref="EZ31:FA31"/>
    <mergeCell ref="EX31:EY31"/>
    <mergeCell ref="FD38:FE38"/>
    <mergeCell ref="EK42:EO42"/>
    <mergeCell ref="ET30:EU30"/>
    <mergeCell ref="EV30:EW30"/>
    <mergeCell ref="ET26:EU26"/>
    <mergeCell ref="EV26:EW26"/>
    <mergeCell ref="ET27:EU27"/>
    <mergeCell ref="EV27:EW27"/>
    <mergeCell ref="ET28:EU28"/>
    <mergeCell ref="EV28:EW28"/>
    <mergeCell ref="EF42:EJ42"/>
    <mergeCell ref="FK16:FM16"/>
    <mergeCell ref="FN16:FP16"/>
    <mergeCell ref="FQ16:FS16"/>
    <mergeCell ref="FN17:FP17"/>
    <mergeCell ref="GB22:GD25"/>
    <mergeCell ref="HF2:HH2"/>
    <mergeCell ref="HF3:HH3"/>
    <mergeCell ref="FU4:FV4"/>
    <mergeCell ref="FX4:FY4"/>
    <mergeCell ref="GA4:GB4"/>
    <mergeCell ref="GD4:GE4"/>
    <mergeCell ref="GZ3:HB3"/>
    <mergeCell ref="HC3:HE3"/>
    <mergeCell ref="GK3:GM3"/>
    <mergeCell ref="GN3:GP3"/>
    <mergeCell ref="GQ3:GS3"/>
    <mergeCell ref="GT3:GV3"/>
    <mergeCell ref="GW3:GY3"/>
    <mergeCell ref="GZ2:HB2"/>
    <mergeCell ref="HC2:HE2"/>
    <mergeCell ref="GK2:GM2"/>
    <mergeCell ref="GN2:GP2"/>
    <mergeCell ref="GH3:GJ3"/>
    <mergeCell ref="GB3:GD3"/>
    <mergeCell ref="EV35:EW35"/>
    <mergeCell ref="FX21:FZ21"/>
    <mergeCell ref="GB21:GD21"/>
    <mergeCell ref="FU18:FW18"/>
    <mergeCell ref="FU19:FW19"/>
    <mergeCell ref="FU20:FW20"/>
    <mergeCell ref="EZ39:FA39"/>
    <mergeCell ref="FB39:FC39"/>
    <mergeCell ref="FB25:FC25"/>
    <mergeCell ref="FB26:FC26"/>
    <mergeCell ref="FB27:FC27"/>
    <mergeCell ref="FB28:FC28"/>
    <mergeCell ref="FB29:FC29"/>
    <mergeCell ref="FB30:FC30"/>
    <mergeCell ref="FB19:FC19"/>
    <mergeCell ref="FB20:FC20"/>
    <mergeCell ref="FB21:FC21"/>
    <mergeCell ref="FB22:FC22"/>
    <mergeCell ref="FB23:FC23"/>
    <mergeCell ref="FB24:FC24"/>
    <mergeCell ref="EZ32:FA32"/>
    <mergeCell ref="EZ33:FA33"/>
    <mergeCell ref="EZ34:FA34"/>
    <mergeCell ref="EZ19:FA19"/>
    <mergeCell ref="EZ38:FA38"/>
    <mergeCell ref="FB38:FC38"/>
    <mergeCell ref="FN26:FP26"/>
    <mergeCell ref="EX38:EY38"/>
    <mergeCell ref="EX11:EY11"/>
    <mergeCell ref="EV11:EW11"/>
    <mergeCell ref="EZ21:FA21"/>
    <mergeCell ref="FB17:FC17"/>
    <mergeCell ref="FB18:FC18"/>
    <mergeCell ref="GB26:GD26"/>
    <mergeCell ref="FN27:FP27"/>
    <mergeCell ref="FQ27:FS27"/>
    <mergeCell ref="FU27:FW27"/>
    <mergeCell ref="FP2:FR2"/>
    <mergeCell ref="FS2:FU2"/>
    <mergeCell ref="FV2:FX2"/>
    <mergeCell ref="FY2:GA2"/>
    <mergeCell ref="EV17:EW17"/>
    <mergeCell ref="EZ22:FA22"/>
    <mergeCell ref="EZ23:FA23"/>
    <mergeCell ref="EZ24:FA24"/>
    <mergeCell ref="EZ25:FA25"/>
    <mergeCell ref="EV25:EW25"/>
    <mergeCell ref="FX27:FZ27"/>
    <mergeCell ref="EV18:EW18"/>
    <mergeCell ref="EX25:EY25"/>
    <mergeCell ref="EX26:EY26"/>
    <mergeCell ref="EV22:EW22"/>
    <mergeCell ref="EV23:EW23"/>
    <mergeCell ref="EV24:EW24"/>
    <mergeCell ref="EX2:EZ2"/>
    <mergeCell ref="FA2:FC2"/>
    <mergeCell ref="FD2:FF2"/>
    <mergeCell ref="FG2:FI2"/>
    <mergeCell ref="FJ2:FL2"/>
    <mergeCell ref="FM2:FO2"/>
    <mergeCell ref="FU24:FW24"/>
    <mergeCell ref="FX24:FZ24"/>
    <mergeCell ref="EX21:EY21"/>
    <mergeCell ref="EX22:EY22"/>
    <mergeCell ref="EX23:EY23"/>
    <mergeCell ref="EX24:EY24"/>
    <mergeCell ref="EN23:EO23"/>
    <mergeCell ref="EP23:EQ23"/>
    <mergeCell ref="EN24:EO24"/>
    <mergeCell ref="ET20:EU20"/>
    <mergeCell ref="ET21:EU21"/>
    <mergeCell ref="ET22:EU22"/>
    <mergeCell ref="EN30:EO30"/>
    <mergeCell ref="EP30:EQ30"/>
    <mergeCell ref="EN31:EO31"/>
    <mergeCell ref="EP31:EQ31"/>
    <mergeCell ref="EN26:EO26"/>
    <mergeCell ref="EP26:EQ26"/>
    <mergeCell ref="EN27:EO27"/>
    <mergeCell ref="ER28:ES28"/>
    <mergeCell ref="ET29:EU29"/>
    <mergeCell ref="EV29:EW29"/>
    <mergeCell ref="ER29:ES29"/>
    <mergeCell ref="ER26:ES26"/>
    <mergeCell ref="ER27:ES27"/>
    <mergeCell ref="ET24:EU24"/>
    <mergeCell ref="ET25:EU25"/>
    <mergeCell ref="ER20:ES20"/>
    <mergeCell ref="EF39:EG39"/>
    <mergeCell ref="EF40:EG40"/>
    <mergeCell ref="EH39:EI39"/>
    <mergeCell ref="EH40:EI40"/>
    <mergeCell ref="EJ39:EK39"/>
    <mergeCell ref="EL39:EM39"/>
    <mergeCell ref="ER39:ES39"/>
    <mergeCell ref="EX39:EY39"/>
    <mergeCell ref="EJ40:EK40"/>
    <mergeCell ref="EL40:EM40"/>
    <mergeCell ref="ER40:ES40"/>
    <mergeCell ref="EX40:EY40"/>
    <mergeCell ref="EN39:EO39"/>
    <mergeCell ref="EP39:EQ39"/>
    <mergeCell ref="EN40:EO40"/>
    <mergeCell ref="EF38:EG38"/>
    <mergeCell ref="EH38:EI38"/>
    <mergeCell ref="EP40:EQ40"/>
    <mergeCell ref="ET40:EU40"/>
    <mergeCell ref="ET38:EU38"/>
    <mergeCell ref="EV38:EW38"/>
    <mergeCell ref="EN38:EO38"/>
    <mergeCell ref="EP38:EQ38"/>
    <mergeCell ref="EV40:EW40"/>
    <mergeCell ref="ET39:EU39"/>
    <mergeCell ref="EV39:EW39"/>
    <mergeCell ref="EJ38:EK38"/>
    <mergeCell ref="EL38:EM38"/>
    <mergeCell ref="ER38:ES38"/>
    <mergeCell ref="ET35:EU35"/>
    <mergeCell ref="EF34:EG34"/>
    <mergeCell ref="EF35:EG35"/>
    <mergeCell ref="EF36:EG36"/>
    <mergeCell ref="EJ33:EK33"/>
    <mergeCell ref="EJ31:EK31"/>
    <mergeCell ref="EN32:EO32"/>
    <mergeCell ref="EP32:EQ32"/>
    <mergeCell ref="EN33:EO33"/>
    <mergeCell ref="EP33:EQ33"/>
    <mergeCell ref="EL35:EM35"/>
    <mergeCell ref="EL36:EM36"/>
    <mergeCell ref="EL31:EM31"/>
    <mergeCell ref="EL32:EM32"/>
    <mergeCell ref="EL33:EM33"/>
    <mergeCell ref="EL34:EM34"/>
    <mergeCell ref="EH36:EI36"/>
    <mergeCell ref="EJ32:EK32"/>
    <mergeCell ref="EN35:EO35"/>
    <mergeCell ref="EP35:EQ35"/>
    <mergeCell ref="EN36:EO36"/>
    <mergeCell ref="EP36:EQ36"/>
    <mergeCell ref="EN34:EO34"/>
    <mergeCell ref="EP34:EQ34"/>
    <mergeCell ref="EJ34:EK34"/>
    <mergeCell ref="EJ35:EK35"/>
    <mergeCell ref="EJ36:EK36"/>
    <mergeCell ref="EF21:EG21"/>
    <mergeCell ref="EF22:EG22"/>
    <mergeCell ref="EH24:EI24"/>
    <mergeCell ref="EH25:EI25"/>
    <mergeCell ref="EH26:EI26"/>
    <mergeCell ref="EH27:EI27"/>
    <mergeCell ref="EH28:EI28"/>
    <mergeCell ref="EH29:EI29"/>
    <mergeCell ref="EH18:EI18"/>
    <mergeCell ref="EH19:EI19"/>
    <mergeCell ref="EP27:EQ27"/>
    <mergeCell ref="EN28:EO28"/>
    <mergeCell ref="EP28:EQ28"/>
    <mergeCell ref="EP24:EQ24"/>
    <mergeCell ref="EN29:EO29"/>
    <mergeCell ref="EP29:EQ29"/>
    <mergeCell ref="EN25:EO25"/>
    <mergeCell ref="EJ28:EK28"/>
    <mergeCell ref="EJ29:EK29"/>
    <mergeCell ref="EL29:EM29"/>
    <mergeCell ref="EL23:EM23"/>
    <mergeCell ref="EL24:EM24"/>
    <mergeCell ref="EL25:EM25"/>
    <mergeCell ref="EJ26:EK26"/>
    <mergeCell ref="EJ27:EK27"/>
    <mergeCell ref="EJ20:EK20"/>
    <mergeCell ref="EJ21:EK21"/>
    <mergeCell ref="EJ22:EK22"/>
    <mergeCell ref="EJ23:EK23"/>
    <mergeCell ref="EJ24:EK24"/>
    <mergeCell ref="EL19:EM19"/>
    <mergeCell ref="EL20:EM20"/>
    <mergeCell ref="EL21:EM21"/>
    <mergeCell ref="EL22:EM22"/>
    <mergeCell ref="EJ16:EK16"/>
    <mergeCell ref="EJ17:EK17"/>
    <mergeCell ref="EJ18:EK18"/>
    <mergeCell ref="EJ19:EK19"/>
    <mergeCell ref="EL26:EM26"/>
    <mergeCell ref="EL27:EM27"/>
    <mergeCell ref="ER21:ES21"/>
    <mergeCell ref="EN20:EO20"/>
    <mergeCell ref="EP20:EQ20"/>
    <mergeCell ref="EN21:EO21"/>
    <mergeCell ref="EP21:EQ21"/>
    <mergeCell ref="EN22:EO22"/>
    <mergeCell ref="EP22:EQ22"/>
    <mergeCell ref="EN18:EO18"/>
    <mergeCell ref="ER19:ES19"/>
    <mergeCell ref="ER18:ES18"/>
    <mergeCell ref="EP18:EQ18"/>
    <mergeCell ref="ER25:ES25"/>
    <mergeCell ref="EF15:EG15"/>
    <mergeCell ref="EF16:EG16"/>
    <mergeCell ref="EF18:EG18"/>
    <mergeCell ref="EH30:EI30"/>
    <mergeCell ref="EJ11:EK11"/>
    <mergeCell ref="EN17:EO17"/>
    <mergeCell ref="EP17:EQ17"/>
    <mergeCell ref="EN19:EO19"/>
    <mergeCell ref="EP19:EQ19"/>
    <mergeCell ref="EJ12:EK12"/>
    <mergeCell ref="EH22:EI22"/>
    <mergeCell ref="EH23:EI23"/>
    <mergeCell ref="EH16:EI16"/>
    <mergeCell ref="EH17:EI17"/>
    <mergeCell ref="EF27:EG27"/>
    <mergeCell ref="EF28:EG28"/>
    <mergeCell ref="EF25:EG25"/>
    <mergeCell ref="EF26:EG26"/>
    <mergeCell ref="EH20:EI20"/>
    <mergeCell ref="EH21:EI21"/>
    <mergeCell ref="EL28:EM28"/>
    <mergeCell ref="EL17:EM17"/>
    <mergeCell ref="EF23:EG23"/>
    <mergeCell ref="EF24:EG24"/>
    <mergeCell ref="EJ25:EK25"/>
    <mergeCell ref="EF19:EG19"/>
    <mergeCell ref="EF20:EG20"/>
    <mergeCell ref="EF29:EG29"/>
    <mergeCell ref="EP25:EQ25"/>
    <mergeCell ref="EL16:EM16"/>
    <mergeCell ref="EL15:EM15"/>
    <mergeCell ref="EL18:EM18"/>
    <mergeCell ref="AF5:AG5"/>
    <mergeCell ref="AH5:AI5"/>
    <mergeCell ref="ET12:EU12"/>
    <mergeCell ref="EV12:EW12"/>
    <mergeCell ref="ET13:EU13"/>
    <mergeCell ref="EX12:EY12"/>
    <mergeCell ref="EX13:EY13"/>
    <mergeCell ref="EX14:EY14"/>
    <mergeCell ref="EX15:EY15"/>
    <mergeCell ref="ET11:EU11"/>
    <mergeCell ref="EV13:EW13"/>
    <mergeCell ref="ET14:EU14"/>
    <mergeCell ref="EV14:EW14"/>
    <mergeCell ref="ET15:EU15"/>
    <mergeCell ref="EV15:EW15"/>
    <mergeCell ref="EJ15:EK15"/>
    <mergeCell ref="EH11:EI11"/>
    <mergeCell ref="EF11:EG11"/>
    <mergeCell ref="EH12:EI12"/>
    <mergeCell ref="EH13:EI13"/>
    <mergeCell ref="EH14:EI14"/>
    <mergeCell ref="EH15:EI15"/>
    <mergeCell ref="EL12:EM12"/>
    <mergeCell ref="EL13:EM13"/>
    <mergeCell ref="EJ13:EK13"/>
    <mergeCell ref="EJ14:EK14"/>
    <mergeCell ref="EP11:EQ11"/>
    <mergeCell ref="EN12:EO12"/>
    <mergeCell ref="EP12:EQ12"/>
    <mergeCell ref="EF12:EG12"/>
    <mergeCell ref="EF13:EG13"/>
    <mergeCell ref="EF14:EG14"/>
    <mergeCell ref="AD4:AE4"/>
    <mergeCell ref="AF4:AG4"/>
    <mergeCell ref="AH4:AI4"/>
    <mergeCell ref="AJ4:AK4"/>
    <mergeCell ref="EF17:EG17"/>
    <mergeCell ref="Z4:AA4"/>
    <mergeCell ref="AB4:AC4"/>
    <mergeCell ref="X3:Y3"/>
    <mergeCell ref="Z3:AA3"/>
    <mergeCell ref="AB3:AC3"/>
    <mergeCell ref="AD3:AE3"/>
    <mergeCell ref="AF3:AG3"/>
    <mergeCell ref="AH3:AI3"/>
    <mergeCell ref="L5:M5"/>
    <mergeCell ref="N5:O5"/>
    <mergeCell ref="P5:Q5"/>
    <mergeCell ref="R5:S5"/>
    <mergeCell ref="T5:U5"/>
    <mergeCell ref="V5:W5"/>
    <mergeCell ref="L4:M4"/>
    <mergeCell ref="N4:O4"/>
    <mergeCell ref="P4:Q4"/>
    <mergeCell ref="R4:S4"/>
    <mergeCell ref="T4:U4"/>
    <mergeCell ref="V4:W4"/>
    <mergeCell ref="L3:M3"/>
    <mergeCell ref="N3:O3"/>
    <mergeCell ref="AJ5:AK5"/>
    <mergeCell ref="X5:Y5"/>
    <mergeCell ref="Z5:AA5"/>
    <mergeCell ref="AB5:AC5"/>
    <mergeCell ref="AD5:AE5"/>
    <mergeCell ref="P2:S2"/>
    <mergeCell ref="T2:Y2"/>
    <mergeCell ref="Z2:AE2"/>
    <mergeCell ref="AF2:AK2"/>
    <mergeCell ref="P3:Q3"/>
    <mergeCell ref="R3:S3"/>
    <mergeCell ref="T3:U3"/>
    <mergeCell ref="V3:W3"/>
    <mergeCell ref="Z33:AA33"/>
    <mergeCell ref="AB33:AC33"/>
    <mergeCell ref="AD33:AE33"/>
    <mergeCell ref="AF33:AG33"/>
    <mergeCell ref="AH33:AI33"/>
    <mergeCell ref="AJ33:AK33"/>
    <mergeCell ref="Z32:AA32"/>
    <mergeCell ref="AB32:AC32"/>
    <mergeCell ref="AD32:AE32"/>
    <mergeCell ref="AF32:AG32"/>
    <mergeCell ref="AH32:AI32"/>
    <mergeCell ref="AJ32:AK32"/>
    <mergeCell ref="Z31:AA31"/>
    <mergeCell ref="AB31:AC31"/>
    <mergeCell ref="AD31:AE31"/>
    <mergeCell ref="AF31:AG31"/>
    <mergeCell ref="AH31:AI31"/>
    <mergeCell ref="AJ31:AK31"/>
    <mergeCell ref="Z30:AA30"/>
    <mergeCell ref="AB30:AC30"/>
    <mergeCell ref="AD30:AE30"/>
    <mergeCell ref="AF30:AG30"/>
    <mergeCell ref="AJ3:AK3"/>
    <mergeCell ref="X4:Y4"/>
    <mergeCell ref="Z25:AA25"/>
    <mergeCell ref="AB25:AC25"/>
    <mergeCell ref="AD25:AE25"/>
    <mergeCell ref="AF25:AG25"/>
    <mergeCell ref="AH25:AI25"/>
    <mergeCell ref="AJ25:AK25"/>
    <mergeCell ref="Z24:AA24"/>
    <mergeCell ref="AB24:AC24"/>
    <mergeCell ref="AD24:AE24"/>
    <mergeCell ref="AF24:AG24"/>
    <mergeCell ref="AH24:AI24"/>
    <mergeCell ref="AJ24:AK24"/>
    <mergeCell ref="AJ30:AK30"/>
    <mergeCell ref="Z29:AA29"/>
    <mergeCell ref="AB29:AC29"/>
    <mergeCell ref="AD29:AE29"/>
    <mergeCell ref="AF29:AG29"/>
    <mergeCell ref="AH29:AI29"/>
    <mergeCell ref="AJ29:AK29"/>
    <mergeCell ref="Z28:AA28"/>
    <mergeCell ref="AB28:AC28"/>
    <mergeCell ref="AD28:AE28"/>
    <mergeCell ref="AF28:AG28"/>
    <mergeCell ref="AH28:AI28"/>
    <mergeCell ref="AJ28:AK28"/>
    <mergeCell ref="Z27:AA27"/>
    <mergeCell ref="AB27:AC27"/>
    <mergeCell ref="AD27:AE27"/>
    <mergeCell ref="AF27:AG27"/>
    <mergeCell ref="AH27:AI27"/>
    <mergeCell ref="AJ27:AK27"/>
    <mergeCell ref="AB26:AC26"/>
    <mergeCell ref="AB23:AC23"/>
    <mergeCell ref="AD23:AE23"/>
    <mergeCell ref="AF23:AG23"/>
    <mergeCell ref="AH23:AI23"/>
    <mergeCell ref="AJ23:AK23"/>
    <mergeCell ref="Z22:AA22"/>
    <mergeCell ref="AB22:AC22"/>
    <mergeCell ref="AD22:AE22"/>
    <mergeCell ref="AF22:AG22"/>
    <mergeCell ref="AH22:AI22"/>
    <mergeCell ref="AJ22:AK22"/>
    <mergeCell ref="Z21:AA21"/>
    <mergeCell ref="AB21:AC21"/>
    <mergeCell ref="AD21:AE21"/>
    <mergeCell ref="AF21:AG21"/>
    <mergeCell ref="AH21:AI21"/>
    <mergeCell ref="AJ21:AK21"/>
    <mergeCell ref="AJ15:AK15"/>
    <mergeCell ref="Z12:AA12"/>
    <mergeCell ref="AB12:AC12"/>
    <mergeCell ref="Z14:AA14"/>
    <mergeCell ref="AB14:AC14"/>
    <mergeCell ref="AD14:AE14"/>
    <mergeCell ref="AF14:AG14"/>
    <mergeCell ref="AB20:AC20"/>
    <mergeCell ref="AD20:AE20"/>
    <mergeCell ref="AF20:AG20"/>
    <mergeCell ref="AH20:AI20"/>
    <mergeCell ref="AJ20:AK20"/>
    <mergeCell ref="Z19:AA19"/>
    <mergeCell ref="AB19:AC19"/>
    <mergeCell ref="AD19:AE19"/>
    <mergeCell ref="AF19:AG19"/>
    <mergeCell ref="AH19:AI19"/>
    <mergeCell ref="AJ19:AK19"/>
    <mergeCell ref="Z18:AA18"/>
    <mergeCell ref="AB18:AC18"/>
    <mergeCell ref="AD18:AE18"/>
    <mergeCell ref="AF18:AG18"/>
    <mergeCell ref="AH18:AI18"/>
    <mergeCell ref="AJ18:AK18"/>
    <mergeCell ref="AB17:AC17"/>
    <mergeCell ref="AD17:AE17"/>
    <mergeCell ref="AF17:AG17"/>
    <mergeCell ref="V24:W24"/>
    <mergeCell ref="X24:Y24"/>
    <mergeCell ref="X17:Y17"/>
    <mergeCell ref="T18:U18"/>
    <mergeCell ref="V18:W18"/>
    <mergeCell ref="X18:Y18"/>
    <mergeCell ref="X28:Y28"/>
    <mergeCell ref="AH17:AI17"/>
    <mergeCell ref="AJ17:AK17"/>
    <mergeCell ref="AF16:AG16"/>
    <mergeCell ref="AH16:AI16"/>
    <mergeCell ref="AJ16:AK16"/>
    <mergeCell ref="Z16:AA16"/>
    <mergeCell ref="AB16:AC16"/>
    <mergeCell ref="AD16:AE16"/>
    <mergeCell ref="AF10:AG10"/>
    <mergeCell ref="AH10:AI10"/>
    <mergeCell ref="AJ10:AK10"/>
    <mergeCell ref="Z11:AA11"/>
    <mergeCell ref="AB11:AC11"/>
    <mergeCell ref="AD11:AE11"/>
    <mergeCell ref="AF11:AG11"/>
    <mergeCell ref="AH11:AI11"/>
    <mergeCell ref="AJ11:AK11"/>
    <mergeCell ref="Z10:AA10"/>
    <mergeCell ref="AB10:AC10"/>
    <mergeCell ref="AD10:AE10"/>
    <mergeCell ref="Z15:AA15"/>
    <mergeCell ref="AB15:AC15"/>
    <mergeCell ref="AD15:AE15"/>
    <mergeCell ref="AF15:AG15"/>
    <mergeCell ref="AH15:AI15"/>
    <mergeCell ref="X25:Y25"/>
    <mergeCell ref="T26:U26"/>
    <mergeCell ref="V26:W26"/>
    <mergeCell ref="X26:Y26"/>
    <mergeCell ref="T31:U31"/>
    <mergeCell ref="V31:W31"/>
    <mergeCell ref="X31:Y31"/>
    <mergeCell ref="T29:U29"/>
    <mergeCell ref="V29:W29"/>
    <mergeCell ref="X29:Y29"/>
    <mergeCell ref="T24:U24"/>
    <mergeCell ref="V21:W21"/>
    <mergeCell ref="T25:U25"/>
    <mergeCell ref="R28:S28"/>
    <mergeCell ref="R26:S26"/>
    <mergeCell ref="R27:S27"/>
    <mergeCell ref="Z17:AA17"/>
    <mergeCell ref="T30:U30"/>
    <mergeCell ref="V30:W30"/>
    <mergeCell ref="X30:Y30"/>
    <mergeCell ref="T27:U27"/>
    <mergeCell ref="Z20:AA20"/>
    <mergeCell ref="Z23:AA23"/>
    <mergeCell ref="Z26:AA26"/>
    <mergeCell ref="V27:W27"/>
    <mergeCell ref="X27:Y27"/>
    <mergeCell ref="T28:U28"/>
    <mergeCell ref="V28:W28"/>
    <mergeCell ref="V25:W25"/>
    <mergeCell ref="T23:U23"/>
    <mergeCell ref="V23:W23"/>
    <mergeCell ref="X23:Y23"/>
    <mergeCell ref="P9:Q9"/>
    <mergeCell ref="P8:Q8"/>
    <mergeCell ref="T21:U21"/>
    <mergeCell ref="R33:S33"/>
    <mergeCell ref="R30:S30"/>
    <mergeCell ref="R31:S31"/>
    <mergeCell ref="R32:S32"/>
    <mergeCell ref="T15:U15"/>
    <mergeCell ref="V15:W15"/>
    <mergeCell ref="X15:Y15"/>
    <mergeCell ref="T16:U16"/>
    <mergeCell ref="V16:W16"/>
    <mergeCell ref="X16:Y16"/>
    <mergeCell ref="T19:U19"/>
    <mergeCell ref="V19:W19"/>
    <mergeCell ref="X19:Y19"/>
    <mergeCell ref="T20:U20"/>
    <mergeCell ref="V20:W20"/>
    <mergeCell ref="X20:Y20"/>
    <mergeCell ref="T17:U17"/>
    <mergeCell ref="V17:W17"/>
    <mergeCell ref="R20:S20"/>
    <mergeCell ref="P22:Q22"/>
    <mergeCell ref="T33:U33"/>
    <mergeCell ref="V33:W33"/>
    <mergeCell ref="R29:S29"/>
    <mergeCell ref="R21:S21"/>
    <mergeCell ref="X33:Y33"/>
    <mergeCell ref="T32:U32"/>
    <mergeCell ref="R24:S24"/>
    <mergeCell ref="R25:S25"/>
    <mergeCell ref="V32:W32"/>
    <mergeCell ref="T12:U12"/>
    <mergeCell ref="V12:W12"/>
    <mergeCell ref="X12:Y12"/>
    <mergeCell ref="T14:U14"/>
    <mergeCell ref="V14:W14"/>
    <mergeCell ref="T8:U8"/>
    <mergeCell ref="R9:S9"/>
    <mergeCell ref="R10:S10"/>
    <mergeCell ref="R17:S17"/>
    <mergeCell ref="R18:S18"/>
    <mergeCell ref="R22:S22"/>
    <mergeCell ref="R23:S23"/>
    <mergeCell ref="R19:S19"/>
    <mergeCell ref="R8:S8"/>
    <mergeCell ref="V22:W22"/>
    <mergeCell ref="X22:Y22"/>
    <mergeCell ref="X21:Y21"/>
    <mergeCell ref="T22:U22"/>
    <mergeCell ref="N31:O31"/>
    <mergeCell ref="N32:O32"/>
    <mergeCell ref="N33:O33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P19:Q19"/>
    <mergeCell ref="P20:Q20"/>
    <mergeCell ref="P21:Q21"/>
    <mergeCell ref="P10:Q10"/>
    <mergeCell ref="P11:Q11"/>
    <mergeCell ref="N17:O17"/>
    <mergeCell ref="N18:O18"/>
    <mergeCell ref="N14:O14"/>
    <mergeCell ref="N15:O15"/>
    <mergeCell ref="P23:Q23"/>
    <mergeCell ref="P12:Q12"/>
    <mergeCell ref="P13:Q13"/>
    <mergeCell ref="P24:Q24"/>
    <mergeCell ref="P25:Q25"/>
    <mergeCell ref="P26:Q26"/>
    <mergeCell ref="P29:Q29"/>
    <mergeCell ref="P17:Q17"/>
    <mergeCell ref="P18:Q18"/>
    <mergeCell ref="P30:Q30"/>
    <mergeCell ref="P31:Q31"/>
    <mergeCell ref="L28:M28"/>
    <mergeCell ref="L29:M29"/>
    <mergeCell ref="L30:M30"/>
    <mergeCell ref="L31:M31"/>
    <mergeCell ref="L32:M32"/>
    <mergeCell ref="L33:M33"/>
    <mergeCell ref="L22:M22"/>
    <mergeCell ref="L23:M23"/>
    <mergeCell ref="L24:M24"/>
    <mergeCell ref="L25:M25"/>
    <mergeCell ref="L26:M26"/>
    <mergeCell ref="L27:M27"/>
    <mergeCell ref="N19:O19"/>
    <mergeCell ref="N20:O20"/>
    <mergeCell ref="N21:O21"/>
    <mergeCell ref="N10:O10"/>
    <mergeCell ref="N11:O11"/>
    <mergeCell ref="N12:O12"/>
    <mergeCell ref="N13:O13"/>
    <mergeCell ref="L16:M16"/>
    <mergeCell ref="L17:M17"/>
    <mergeCell ref="L18:M18"/>
    <mergeCell ref="L19:M19"/>
    <mergeCell ref="L20:M20"/>
    <mergeCell ref="L21:M21"/>
    <mergeCell ref="L10:M10"/>
    <mergeCell ref="L11:M11"/>
    <mergeCell ref="L12:M12"/>
    <mergeCell ref="L13:M13"/>
    <mergeCell ref="L14:M14"/>
    <mergeCell ref="L15:M15"/>
    <mergeCell ref="N16:O16"/>
    <mergeCell ref="L7:M7"/>
    <mergeCell ref="L8:M8"/>
    <mergeCell ref="N7:O7"/>
    <mergeCell ref="N8:O8"/>
    <mergeCell ref="L9:M9"/>
    <mergeCell ref="N9:O9"/>
    <mergeCell ref="AF7:AK7"/>
    <mergeCell ref="AF8:AG8"/>
    <mergeCell ref="AH8:AI8"/>
    <mergeCell ref="Z7:AE7"/>
    <mergeCell ref="Z8:AA8"/>
    <mergeCell ref="AB8:AC8"/>
    <mergeCell ref="AD8:AE8"/>
    <mergeCell ref="AJ8:AK8"/>
    <mergeCell ref="Z9:AA9"/>
    <mergeCell ref="AB9:AC9"/>
    <mergeCell ref="AH14:AI14"/>
    <mergeCell ref="AJ14:AK14"/>
    <mergeCell ref="Z13:AA13"/>
    <mergeCell ref="AB13:AC13"/>
    <mergeCell ref="AD13:AE13"/>
    <mergeCell ref="AF13:AG13"/>
    <mergeCell ref="AH13:AI13"/>
    <mergeCell ref="AJ13:AK13"/>
    <mergeCell ref="V8:W8"/>
    <mergeCell ref="X8:Y8"/>
    <mergeCell ref="T9:U9"/>
    <mergeCell ref="V9:W9"/>
    <mergeCell ref="T13:U13"/>
    <mergeCell ref="V13:W13"/>
    <mergeCell ref="X13:Y13"/>
    <mergeCell ref="V10:W10"/>
    <mergeCell ref="AD9:AE9"/>
    <mergeCell ref="AF9:AG9"/>
    <mergeCell ref="P15:Q15"/>
    <mergeCell ref="AH9:AI9"/>
    <mergeCell ref="AJ9:AK9"/>
    <mergeCell ref="FK17:FM17"/>
    <mergeCell ref="P7:S7"/>
    <mergeCell ref="T10:U10"/>
    <mergeCell ref="AD12:AE12"/>
    <mergeCell ref="AF12:AG12"/>
    <mergeCell ref="AH12:AI12"/>
    <mergeCell ref="AJ12:AK12"/>
    <mergeCell ref="L2:M2"/>
    <mergeCell ref="N2:O2"/>
    <mergeCell ref="FI11:FJ11"/>
    <mergeCell ref="FK11:FM11"/>
    <mergeCell ref="R11:S11"/>
    <mergeCell ref="R12:S12"/>
    <mergeCell ref="R13:S13"/>
    <mergeCell ref="R14:S14"/>
    <mergeCell ref="T7:Y7"/>
    <mergeCell ref="X14:Y14"/>
    <mergeCell ref="X9:Y9"/>
    <mergeCell ref="P14:Q14"/>
    <mergeCell ref="R15:S15"/>
    <mergeCell ref="R16:S16"/>
    <mergeCell ref="FI16:FJ16"/>
    <mergeCell ref="P16:Q16"/>
    <mergeCell ref="X10:Y10"/>
    <mergeCell ref="T11:U11"/>
    <mergeCell ref="V11:W11"/>
    <mergeCell ref="X11:Y11"/>
    <mergeCell ref="P32:Q32"/>
    <mergeCell ref="P33:Q33"/>
    <mergeCell ref="P27:Q27"/>
    <mergeCell ref="GB31:GD31"/>
    <mergeCell ref="FU28:FW28"/>
    <mergeCell ref="FX28:FZ28"/>
    <mergeCell ref="FU29:FW29"/>
    <mergeCell ref="FX29:FZ29"/>
    <mergeCell ref="FU30:FW30"/>
    <mergeCell ref="FX30:FZ30"/>
    <mergeCell ref="FI31:FJ31"/>
    <mergeCell ref="FK31:FM31"/>
    <mergeCell ref="FN31:FP31"/>
    <mergeCell ref="FQ31:FS31"/>
    <mergeCell ref="FU31:FW31"/>
    <mergeCell ref="FX31:FZ31"/>
    <mergeCell ref="P28:Q28"/>
    <mergeCell ref="X32:Y32"/>
    <mergeCell ref="AH30:AI30"/>
    <mergeCell ref="EX29:EY29"/>
    <mergeCell ref="EF31:EG31"/>
    <mergeCell ref="EF32:EG32"/>
    <mergeCell ref="EF33:EG33"/>
    <mergeCell ref="EX32:EY32"/>
    <mergeCell ref="EX33:EY33"/>
    <mergeCell ref="EH31:EI31"/>
    <mergeCell ref="EH32:EI32"/>
    <mergeCell ref="EH33:EI33"/>
    <mergeCell ref="ER31:ES31"/>
    <mergeCell ref="ER32:ES32"/>
    <mergeCell ref="FK32:FM32"/>
    <mergeCell ref="FN32:FP32"/>
    <mergeCell ref="FI36:FJ36"/>
    <mergeCell ref="FK36:FM36"/>
    <mergeCell ref="FN36:FP36"/>
    <mergeCell ref="FQ36:FS36"/>
    <mergeCell ref="FU36:FW36"/>
    <mergeCell ref="FX36:FZ36"/>
    <mergeCell ref="GB36:GD36"/>
    <mergeCell ref="GB27:GD30"/>
    <mergeCell ref="AD26:AE26"/>
    <mergeCell ref="AF26:AG26"/>
    <mergeCell ref="AH26:AI26"/>
    <mergeCell ref="AJ26:AK26"/>
    <mergeCell ref="EV34:EW34"/>
    <mergeCell ref="EX34:EY34"/>
    <mergeCell ref="EX35:EY35"/>
    <mergeCell ref="ET36:EU36"/>
    <mergeCell ref="EH34:EI34"/>
    <mergeCell ref="EH35:EI35"/>
    <mergeCell ref="ER33:ES33"/>
    <mergeCell ref="ET34:EU34"/>
    <mergeCell ref="ER34:ES34"/>
    <mergeCell ref="EV32:EW32"/>
    <mergeCell ref="ET33:EU33"/>
    <mergeCell ref="EF30:EG30"/>
    <mergeCell ref="EJ30:EK30"/>
    <mergeCell ref="ER35:ES35"/>
    <mergeCell ref="ER36:ES36"/>
    <mergeCell ref="ER30:ES30"/>
    <mergeCell ref="EL30:EM30"/>
    <mergeCell ref="EV33:EW33"/>
    <mergeCell ref="FQ26:FS26"/>
    <mergeCell ref="EX36:EY36"/>
    <mergeCell ref="FI46:FJ46"/>
    <mergeCell ref="FK46:FM46"/>
    <mergeCell ref="FN46:FP46"/>
    <mergeCell ref="FQ46:FS46"/>
    <mergeCell ref="FU46:FW46"/>
    <mergeCell ref="FX46:FZ46"/>
    <mergeCell ref="GB46:GD46"/>
    <mergeCell ref="FK37:FM37"/>
    <mergeCell ref="FN37:FP37"/>
    <mergeCell ref="FQ37:FS37"/>
    <mergeCell ref="FU37:FW37"/>
    <mergeCell ref="FX37:FZ37"/>
    <mergeCell ref="GB37:GD40"/>
    <mergeCell ref="FU38:FW38"/>
    <mergeCell ref="FX38:FZ38"/>
    <mergeCell ref="FU39:FW39"/>
    <mergeCell ref="FX39:FZ39"/>
    <mergeCell ref="FU40:FW40"/>
    <mergeCell ref="FX40:FZ40"/>
    <mergeCell ref="FI41:FJ41"/>
    <mergeCell ref="FK41:FM41"/>
    <mergeCell ref="FN41:FP41"/>
    <mergeCell ref="FQ41:FS41"/>
    <mergeCell ref="FU41:FW41"/>
    <mergeCell ref="FX41:FZ41"/>
    <mergeCell ref="FI51:FJ51"/>
    <mergeCell ref="FK51:FM51"/>
    <mergeCell ref="FN51:FP51"/>
    <mergeCell ref="FQ51:FS51"/>
    <mergeCell ref="FU51:FW51"/>
    <mergeCell ref="FX51:FZ51"/>
    <mergeCell ref="GB51:GD51"/>
    <mergeCell ref="FK52:FM52"/>
    <mergeCell ref="FN52:FP52"/>
    <mergeCell ref="FQ52:FS52"/>
    <mergeCell ref="FU52:FW52"/>
    <mergeCell ref="FX52:FZ52"/>
    <mergeCell ref="GB52:GD55"/>
    <mergeCell ref="FK57:FM57"/>
    <mergeCell ref="FN57:FP57"/>
    <mergeCell ref="FQ57:FS57"/>
    <mergeCell ref="FU57:FW57"/>
    <mergeCell ref="FX57:FZ57"/>
    <mergeCell ref="GB57:GD60"/>
    <mergeCell ref="FU58:FW58"/>
    <mergeCell ref="FX58:FZ58"/>
    <mergeCell ref="FU59:FW59"/>
    <mergeCell ref="FX59:FZ59"/>
    <mergeCell ref="FU60:FW60"/>
    <mergeCell ref="FX60:FZ60"/>
    <mergeCell ref="FX56:FZ56"/>
    <mergeCell ref="GB56:GD56"/>
    <mergeCell ref="FQ67:FS67"/>
    <mergeCell ref="FU67:FW67"/>
    <mergeCell ref="FX67:FZ67"/>
    <mergeCell ref="GB67:GD70"/>
    <mergeCell ref="FU68:FW68"/>
    <mergeCell ref="FX68:FZ68"/>
    <mergeCell ref="FU69:FW69"/>
    <mergeCell ref="FX69:FZ69"/>
    <mergeCell ref="FU70:FW70"/>
    <mergeCell ref="FX70:FZ70"/>
    <mergeCell ref="FI71:FJ71"/>
    <mergeCell ref="FK71:FM71"/>
    <mergeCell ref="FN71:FP71"/>
    <mergeCell ref="FQ71:FS71"/>
    <mergeCell ref="FU71:FW71"/>
    <mergeCell ref="FX71:FZ71"/>
    <mergeCell ref="GB71:GD71"/>
    <mergeCell ref="FK72:FM72"/>
    <mergeCell ref="FN72:FP72"/>
    <mergeCell ref="FQ72:FS72"/>
    <mergeCell ref="FU72:FW72"/>
    <mergeCell ref="FX72:FZ72"/>
    <mergeCell ref="GB72:GD75"/>
    <mergeCell ref="FU73:FW73"/>
    <mergeCell ref="FX73:FZ73"/>
    <mergeCell ref="FU74:FW74"/>
    <mergeCell ref="FX74:FZ74"/>
    <mergeCell ref="FU75:FW75"/>
    <mergeCell ref="FX75:FZ75"/>
    <mergeCell ref="FI76:FJ76"/>
    <mergeCell ref="FK76:FM76"/>
    <mergeCell ref="FN76:FP76"/>
    <mergeCell ref="FQ76:FS76"/>
    <mergeCell ref="FU76:FW76"/>
    <mergeCell ref="FX76:FZ76"/>
    <mergeCell ref="GB76:GD76"/>
    <mergeCell ref="FK77:FM77"/>
    <mergeCell ref="FN77:FP77"/>
    <mergeCell ref="FQ77:FS77"/>
    <mergeCell ref="FU77:FW77"/>
    <mergeCell ref="FX77:FZ77"/>
    <mergeCell ref="GB77:GD80"/>
    <mergeCell ref="FU78:FW78"/>
    <mergeCell ref="FX78:FZ78"/>
    <mergeCell ref="FU79:FW79"/>
    <mergeCell ref="FX79:FZ79"/>
    <mergeCell ref="FU80:FW80"/>
    <mergeCell ref="FX80:FZ80"/>
    <mergeCell ref="FI81:FJ81"/>
    <mergeCell ref="FK81:FM81"/>
    <mergeCell ref="FN81:FP81"/>
    <mergeCell ref="FQ81:FS81"/>
    <mergeCell ref="FU81:FW81"/>
    <mergeCell ref="FX81:FZ81"/>
    <mergeCell ref="GB81:GD81"/>
    <mergeCell ref="FI91:FJ91"/>
    <mergeCell ref="FK91:FM91"/>
    <mergeCell ref="FN91:FP91"/>
    <mergeCell ref="FQ91:FS91"/>
    <mergeCell ref="FU91:FW91"/>
    <mergeCell ref="FX91:FZ91"/>
    <mergeCell ref="GB91:GD91"/>
    <mergeCell ref="FK82:FM82"/>
    <mergeCell ref="FN82:FP82"/>
    <mergeCell ref="FQ82:FS82"/>
    <mergeCell ref="FU82:FW82"/>
    <mergeCell ref="FX82:FZ82"/>
    <mergeCell ref="GB82:GD85"/>
    <mergeCell ref="FU83:FW83"/>
    <mergeCell ref="FX83:FZ83"/>
    <mergeCell ref="FU84:FW84"/>
    <mergeCell ref="FX84:FZ84"/>
    <mergeCell ref="FU85:FW85"/>
    <mergeCell ref="FX85:FZ85"/>
    <mergeCell ref="FI86:FJ86"/>
    <mergeCell ref="FK86:FM86"/>
    <mergeCell ref="FN86:FP86"/>
    <mergeCell ref="FQ86:FS86"/>
    <mergeCell ref="FU86:FW86"/>
    <mergeCell ref="FX86:FZ86"/>
    <mergeCell ref="GB86:GD86"/>
    <mergeCell ref="FK92:FM92"/>
    <mergeCell ref="FN92:FP92"/>
    <mergeCell ref="FQ92:FS92"/>
    <mergeCell ref="FU92:FW92"/>
    <mergeCell ref="FX92:FZ92"/>
    <mergeCell ref="GB92:GD95"/>
    <mergeCell ref="FU93:FW93"/>
    <mergeCell ref="FX93:FZ93"/>
    <mergeCell ref="FU94:FW94"/>
    <mergeCell ref="FX94:FZ94"/>
    <mergeCell ref="FU95:FW95"/>
    <mergeCell ref="FX95:FZ95"/>
    <mergeCell ref="EF43:EO43"/>
    <mergeCell ref="FI96:FJ96"/>
    <mergeCell ref="FK96:FM96"/>
    <mergeCell ref="FN96:FP96"/>
    <mergeCell ref="FQ96:FS96"/>
    <mergeCell ref="FU96:FW96"/>
    <mergeCell ref="FX96:FZ96"/>
    <mergeCell ref="GB96:GD96"/>
    <mergeCell ref="FK87:FM87"/>
    <mergeCell ref="FN87:FP87"/>
    <mergeCell ref="FQ87:FS87"/>
    <mergeCell ref="FU87:FW87"/>
    <mergeCell ref="FX87:FZ87"/>
    <mergeCell ref="GB87:GD90"/>
    <mergeCell ref="FU88:FW88"/>
    <mergeCell ref="FX88:FZ88"/>
    <mergeCell ref="FU89:FW89"/>
    <mergeCell ref="FX89:FZ89"/>
    <mergeCell ref="FU90:FW90"/>
    <mergeCell ref="FX90:FZ90"/>
    <mergeCell ref="FK97:FM97"/>
    <mergeCell ref="FN97:FP97"/>
    <mergeCell ref="FQ97:FS97"/>
    <mergeCell ref="FU97:FW97"/>
    <mergeCell ref="FX97:FZ97"/>
    <mergeCell ref="GB97:GD100"/>
    <mergeCell ref="FU98:FW98"/>
    <mergeCell ref="FX98:FZ98"/>
    <mergeCell ref="FU99:FW99"/>
    <mergeCell ref="FX99:FZ99"/>
    <mergeCell ref="FU100:FW100"/>
    <mergeCell ref="FX100:FZ100"/>
    <mergeCell ref="FI101:FJ101"/>
    <mergeCell ref="FK101:FM101"/>
    <mergeCell ref="FN101:FP101"/>
    <mergeCell ref="FQ101:FS101"/>
    <mergeCell ref="FU101:FW101"/>
    <mergeCell ref="FX101:FZ101"/>
    <mergeCell ref="GB101:GD101"/>
    <mergeCell ref="FK102:FM102"/>
    <mergeCell ref="FN102:FP102"/>
    <mergeCell ref="FQ102:FS102"/>
    <mergeCell ref="FU102:FW102"/>
    <mergeCell ref="FX102:FZ102"/>
    <mergeCell ref="GB102:GD105"/>
    <mergeCell ref="FU103:FW103"/>
    <mergeCell ref="FX103:FZ103"/>
    <mergeCell ref="FU104:FW104"/>
    <mergeCell ref="FX104:FZ104"/>
    <mergeCell ref="FU105:FW105"/>
    <mergeCell ref="FX105:FZ105"/>
    <mergeCell ref="FI106:FJ106"/>
    <mergeCell ref="FK106:FM106"/>
    <mergeCell ref="FN106:FP106"/>
    <mergeCell ref="FQ106:FS106"/>
    <mergeCell ref="FU106:FW106"/>
    <mergeCell ref="FX106:FZ106"/>
    <mergeCell ref="GB106:GD106"/>
    <mergeCell ref="FK107:FM107"/>
    <mergeCell ref="FN107:FP107"/>
    <mergeCell ref="FQ107:FS107"/>
    <mergeCell ref="FU107:FW107"/>
    <mergeCell ref="FX107:FZ107"/>
    <mergeCell ref="GB107:GD110"/>
    <mergeCell ref="FU108:FW108"/>
    <mergeCell ref="FX108:FZ108"/>
    <mergeCell ref="FU109:FW109"/>
    <mergeCell ref="FX109:FZ109"/>
    <mergeCell ref="FU110:FW110"/>
    <mergeCell ref="FX110:FZ110"/>
    <mergeCell ref="FI111:FJ111"/>
    <mergeCell ref="FK111:FM111"/>
    <mergeCell ref="FN111:FP111"/>
    <mergeCell ref="FQ111:FS111"/>
    <mergeCell ref="FU111:FW111"/>
    <mergeCell ref="FX111:FZ111"/>
    <mergeCell ref="GB111:GD111"/>
    <mergeCell ref="FK112:FM112"/>
    <mergeCell ref="FN112:FP112"/>
    <mergeCell ref="FQ112:FS112"/>
    <mergeCell ref="FU112:FW112"/>
    <mergeCell ref="FX112:FZ112"/>
    <mergeCell ref="GB112:GD115"/>
    <mergeCell ref="FU113:FW113"/>
    <mergeCell ref="FX113:FZ113"/>
    <mergeCell ref="FU114:FW114"/>
    <mergeCell ref="FX114:FZ114"/>
    <mergeCell ref="FU115:FW115"/>
    <mergeCell ref="FX115:FZ115"/>
    <mergeCell ref="FI116:FJ116"/>
    <mergeCell ref="FK116:FM116"/>
    <mergeCell ref="FN116:FP116"/>
    <mergeCell ref="FQ116:FS116"/>
    <mergeCell ref="FU116:FW116"/>
    <mergeCell ref="FX116:FZ116"/>
    <mergeCell ref="GB116:GD116"/>
    <mergeCell ref="FQ126:FS126"/>
    <mergeCell ref="FU126:FW126"/>
    <mergeCell ref="FX126:FZ126"/>
    <mergeCell ref="GB126:GD126"/>
    <mergeCell ref="FK117:FM117"/>
    <mergeCell ref="FN117:FP117"/>
    <mergeCell ref="FQ117:FS117"/>
    <mergeCell ref="FU117:FW117"/>
    <mergeCell ref="FX117:FZ117"/>
    <mergeCell ref="GB117:GD120"/>
    <mergeCell ref="FU118:FW118"/>
    <mergeCell ref="FX118:FZ118"/>
    <mergeCell ref="FU119:FW119"/>
    <mergeCell ref="FX119:FZ119"/>
    <mergeCell ref="FU120:FW120"/>
    <mergeCell ref="FX120:FZ120"/>
    <mergeCell ref="FI121:FJ121"/>
    <mergeCell ref="FK121:FM121"/>
    <mergeCell ref="FN121:FP121"/>
    <mergeCell ref="FQ121:FS121"/>
    <mergeCell ref="FU121:FW121"/>
    <mergeCell ref="FX121:FZ121"/>
    <mergeCell ref="GB121:GD121"/>
    <mergeCell ref="FK122:FM122"/>
    <mergeCell ref="FN122:FP122"/>
    <mergeCell ref="FQ122:FS122"/>
    <mergeCell ref="FU122:FW122"/>
    <mergeCell ref="FX122:FZ122"/>
    <mergeCell ref="GB122:GD125"/>
    <mergeCell ref="FU123:FW123"/>
    <mergeCell ref="FX124:FZ124"/>
    <mergeCell ref="FU125:FW125"/>
    <mergeCell ref="FU136:FW136"/>
    <mergeCell ref="FX136:FZ136"/>
    <mergeCell ref="GB136:GD136"/>
    <mergeCell ref="FK127:FM127"/>
    <mergeCell ref="FN127:FP127"/>
    <mergeCell ref="FQ127:FS127"/>
    <mergeCell ref="FU127:FW127"/>
    <mergeCell ref="FX127:FZ127"/>
    <mergeCell ref="GB127:GD130"/>
    <mergeCell ref="FU128:FW128"/>
    <mergeCell ref="FX128:FZ128"/>
    <mergeCell ref="FU129:FW129"/>
    <mergeCell ref="FX129:FZ129"/>
    <mergeCell ref="FU130:FW130"/>
    <mergeCell ref="FX130:FZ130"/>
    <mergeCell ref="FI131:FJ131"/>
    <mergeCell ref="FK131:FM131"/>
    <mergeCell ref="FN131:FP131"/>
    <mergeCell ref="FQ131:FS131"/>
    <mergeCell ref="FU131:FW131"/>
    <mergeCell ref="FX131:FZ131"/>
    <mergeCell ref="GB131:GD131"/>
    <mergeCell ref="FX125:FZ125"/>
    <mergeCell ref="FI126:FJ126"/>
    <mergeCell ref="FK126:FM126"/>
    <mergeCell ref="FN126:FP126"/>
    <mergeCell ref="FK137:FM137"/>
    <mergeCell ref="FN137:FP137"/>
    <mergeCell ref="FQ137:FS137"/>
    <mergeCell ref="FU137:FW137"/>
    <mergeCell ref="FX137:FZ137"/>
    <mergeCell ref="GB137:GD140"/>
    <mergeCell ref="FU138:FW138"/>
    <mergeCell ref="FX138:FZ138"/>
    <mergeCell ref="FU139:FW139"/>
    <mergeCell ref="FX139:FZ139"/>
    <mergeCell ref="FU140:FW140"/>
    <mergeCell ref="FX140:FZ140"/>
    <mergeCell ref="FK132:FM132"/>
    <mergeCell ref="FN132:FP132"/>
    <mergeCell ref="FQ132:FS132"/>
    <mergeCell ref="FU132:FW132"/>
    <mergeCell ref="FX132:FZ132"/>
    <mergeCell ref="GB132:GD135"/>
    <mergeCell ref="FU133:FW133"/>
    <mergeCell ref="FX133:FZ133"/>
    <mergeCell ref="FU134:FW134"/>
    <mergeCell ref="FX134:FZ134"/>
    <mergeCell ref="FU135:FW135"/>
    <mergeCell ref="FX135:FZ135"/>
    <mergeCell ref="FI136:FJ136"/>
    <mergeCell ref="FK136:FM136"/>
    <mergeCell ref="FN136:FP136"/>
    <mergeCell ref="FQ136:FS136"/>
    <mergeCell ref="HX2:HY2"/>
    <mergeCell ref="HS5:HS6"/>
    <mergeCell ref="HS7:HS8"/>
    <mergeCell ref="HS9:HS10"/>
    <mergeCell ref="HS11:HS12"/>
    <mergeCell ref="HS37:HS38"/>
    <mergeCell ref="HT47:HT48"/>
    <mergeCell ref="HT49:HT50"/>
    <mergeCell ref="HT37:HT38"/>
    <mergeCell ref="HT39:HT40"/>
    <mergeCell ref="FU42:FW42"/>
    <mergeCell ref="FX42:FZ42"/>
    <mergeCell ref="HS33:HS34"/>
    <mergeCell ref="HS35:HS36"/>
    <mergeCell ref="HS3:HS4"/>
    <mergeCell ref="HT13:HT14"/>
    <mergeCell ref="HT15:HT16"/>
    <mergeCell ref="GB32:GD35"/>
    <mergeCell ref="FU33:FW33"/>
    <mergeCell ref="FX33:FZ33"/>
    <mergeCell ref="FU34:FW34"/>
    <mergeCell ref="FX34:FZ34"/>
    <mergeCell ref="FU35:FW35"/>
    <mergeCell ref="FX35:FZ35"/>
    <mergeCell ref="GE3:GG3"/>
    <mergeCell ref="GB2:GD2"/>
    <mergeCell ref="GE2:GG2"/>
    <mergeCell ref="GQ2:GS2"/>
    <mergeCell ref="GT2:GV2"/>
    <mergeCell ref="GW2:GY2"/>
    <mergeCell ref="GY4:GZ4"/>
    <mergeCell ref="HB4:HC4"/>
    <mergeCell ref="IA13:IA14"/>
    <mergeCell ref="HZ15:HZ16"/>
    <mergeCell ref="IA15:IA16"/>
    <mergeCell ref="HZ29:HZ30"/>
    <mergeCell ref="IA29:IA30"/>
    <mergeCell ref="IA5:IA6"/>
    <mergeCell ref="HZ7:HZ8"/>
    <mergeCell ref="IA7:IA8"/>
    <mergeCell ref="HZ9:HZ10"/>
    <mergeCell ref="HT25:HT26"/>
    <mergeCell ref="HT27:HT28"/>
    <mergeCell ref="FK47:FM47"/>
    <mergeCell ref="FN47:FP47"/>
    <mergeCell ref="FQ47:FS47"/>
    <mergeCell ref="FU47:FW47"/>
    <mergeCell ref="FX47:FZ47"/>
    <mergeCell ref="GB47:GD50"/>
    <mergeCell ref="FU48:FW48"/>
    <mergeCell ref="FX48:FZ48"/>
    <mergeCell ref="FU49:FW49"/>
    <mergeCell ref="FX49:FZ49"/>
    <mergeCell ref="FU50:FW50"/>
    <mergeCell ref="FX50:FZ50"/>
    <mergeCell ref="FK42:FM42"/>
    <mergeCell ref="FN42:FP42"/>
    <mergeCell ref="FQ42:FS42"/>
    <mergeCell ref="FQ32:FS32"/>
    <mergeCell ref="IA39:IA40"/>
    <mergeCell ref="IA35:IA36"/>
    <mergeCell ref="HS47:HS48"/>
    <mergeCell ref="HZ47:HZ48"/>
    <mergeCell ref="IA47:IA48"/>
    <mergeCell ref="IA3:IA4"/>
    <mergeCell ref="IA17:IA18"/>
    <mergeCell ref="HS19:HS20"/>
    <mergeCell ref="HZ19:HZ20"/>
    <mergeCell ref="IA19:IA20"/>
    <mergeCell ref="HS21:HS22"/>
    <mergeCell ref="HZ21:HZ22"/>
    <mergeCell ref="IA21:IA22"/>
    <mergeCell ref="HS23:HS24"/>
    <mergeCell ref="HZ23:HZ24"/>
    <mergeCell ref="IA23:IA24"/>
    <mergeCell ref="HS25:HS26"/>
    <mergeCell ref="HZ25:HZ26"/>
    <mergeCell ref="IA25:IA26"/>
    <mergeCell ref="HS27:HS28"/>
    <mergeCell ref="HZ27:HZ28"/>
    <mergeCell ref="IA27:IA28"/>
    <mergeCell ref="HT7:HT8"/>
    <mergeCell ref="HT9:HT10"/>
    <mergeCell ref="HT11:HT12"/>
    <mergeCell ref="HT3:HT4"/>
    <mergeCell ref="HZ3:HZ4"/>
    <mergeCell ref="HT5:HT6"/>
    <mergeCell ref="IA9:IA10"/>
    <mergeCell ref="HZ5:HZ6"/>
    <mergeCell ref="HZ17:HZ18"/>
    <mergeCell ref="HT17:HT18"/>
    <mergeCell ref="HT19:HT20"/>
    <mergeCell ref="HT21:HT22"/>
    <mergeCell ref="HT23:HT24"/>
    <mergeCell ref="IA11:IA12"/>
    <mergeCell ref="HZ13:HZ14"/>
    <mergeCell ref="HS39:HS40"/>
    <mergeCell ref="HZ39:HZ40"/>
    <mergeCell ref="HR33:HR34"/>
    <mergeCell ref="HR35:HR36"/>
    <mergeCell ref="HR37:HR38"/>
    <mergeCell ref="HR39:HR40"/>
    <mergeCell ref="HR41:HR42"/>
    <mergeCell ref="HR43:HR44"/>
    <mergeCell ref="HR45:HR46"/>
    <mergeCell ref="HS51:HS52"/>
    <mergeCell ref="HZ51:HZ52"/>
    <mergeCell ref="IA51:IA52"/>
    <mergeCell ref="HT41:HT42"/>
    <mergeCell ref="HT43:HT44"/>
    <mergeCell ref="HT45:HT46"/>
    <mergeCell ref="HS49:HS50"/>
    <mergeCell ref="HZ49:HZ50"/>
    <mergeCell ref="IA49:IA50"/>
    <mergeCell ref="HR47:HR48"/>
    <mergeCell ref="HR49:HR50"/>
    <mergeCell ref="HR51:HR52"/>
    <mergeCell ref="HR53:HR54"/>
    <mergeCell ref="HR55:HR56"/>
    <mergeCell ref="HS31:HS32"/>
    <mergeCell ref="HS29:HS30"/>
    <mergeCell ref="HS17:HS18"/>
    <mergeCell ref="HS15:HS16"/>
    <mergeCell ref="HS13:HS14"/>
    <mergeCell ref="HT29:HT30"/>
    <mergeCell ref="HT31:HT32"/>
    <mergeCell ref="HT33:HT34"/>
    <mergeCell ref="HT35:HT36"/>
    <mergeCell ref="HZ31:HZ32"/>
    <mergeCell ref="HR3:HR4"/>
    <mergeCell ref="HR5:HR6"/>
    <mergeCell ref="HR7:HR8"/>
    <mergeCell ref="HR9:HR10"/>
    <mergeCell ref="HR11:HR12"/>
    <mergeCell ref="HR13:HR14"/>
    <mergeCell ref="HR15:HR16"/>
    <mergeCell ref="HR17:HR18"/>
    <mergeCell ref="HR19:HR20"/>
    <mergeCell ref="HR21:HR22"/>
    <mergeCell ref="HR23:HR24"/>
    <mergeCell ref="HR25:HR26"/>
    <mergeCell ref="HR27:HR28"/>
    <mergeCell ref="HR29:HR30"/>
    <mergeCell ref="HR31:HR32"/>
    <mergeCell ref="HS41:HS42"/>
    <mergeCell ref="HZ41:HZ42"/>
    <mergeCell ref="HS43:HS44"/>
    <mergeCell ref="HZ43:HZ44"/>
    <mergeCell ref="HS45:HS46"/>
  </mergeCells>
  <dataValidations count="2">
    <dataValidation type="list" allowBlank="1" showInputMessage="1" showErrorMessage="1" sqref="F9:F10">
      <formula1>$ER$42:$ER$44</formula1>
    </dataValidation>
    <dataValidation type="list" allowBlank="1" showInputMessage="1" showErrorMessage="1" sqref="F2:I2">
      <formula1>$EE$45:$EE$70</formula1>
    </dataValidation>
  </dataValidations>
  <printOptions horizontalCentered="1" verticalCentered="1"/>
  <pageMargins left="0.70866141732283472" right="0.70866141732283472" top="0.70866141732283472" bottom="0.70866141732283472" header="0.31496062992125984" footer="0.31496062992125984"/>
  <pageSetup paperSize="9" scale="93" orientation="landscape" horizontalDpi="1200" verticalDpi="1200" r:id="rId1"/>
  <headerFooter>
    <oddHeader>&amp;L&amp;8พัฒนาโดย ว่าที่ร้อยตรีรณฤทธิ์ เพชรสง&amp;R&amp;8วิเคราะห์โครงสร้างคาน : SDM Plus 2015</oddHeader>
    <oddFooter>&amp;C&amp;8 Three Moment Equation Method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B1:AV84"/>
  <sheetViews>
    <sheetView showGridLines="0" showRowColHeaders="0" tabSelected="1" zoomScaleNormal="100" workbookViewId="0">
      <selection activeCell="AZ42" sqref="AZ42"/>
    </sheetView>
  </sheetViews>
  <sheetFormatPr defaultColWidth="2.625" defaultRowHeight="14.25" x14ac:dyDescent="0.2"/>
  <cols>
    <col min="1" max="8" width="2.625" style="85"/>
    <col min="9" max="9" width="2.625" style="85" customWidth="1"/>
    <col min="10" max="16384" width="2.625" style="85"/>
  </cols>
  <sheetData>
    <row r="1" spans="2:45" ht="15.95" customHeight="1" x14ac:dyDescent="0.2">
      <c r="B1" s="279" t="s">
        <v>185</v>
      </c>
      <c r="C1" s="280"/>
      <c r="D1" s="280"/>
      <c r="E1" s="280"/>
      <c r="F1" s="281"/>
      <c r="G1" s="273" t="s">
        <v>183</v>
      </c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9" t="s">
        <v>188</v>
      </c>
      <c r="AE1" s="280"/>
      <c r="AF1" s="280"/>
      <c r="AG1" s="280"/>
      <c r="AH1" s="281"/>
      <c r="AI1" s="273" t="s">
        <v>184</v>
      </c>
      <c r="AJ1" s="273"/>
      <c r="AK1" s="273"/>
      <c r="AL1" s="273"/>
      <c r="AM1" s="273"/>
      <c r="AN1" s="273"/>
      <c r="AO1" s="273"/>
      <c r="AP1" s="273"/>
      <c r="AQ1" s="273"/>
      <c r="AR1" s="273"/>
      <c r="AS1" s="273"/>
    </row>
    <row r="2" spans="2:45" ht="15.95" customHeight="1" x14ac:dyDescent="0.2">
      <c r="B2" s="148" t="s">
        <v>186</v>
      </c>
      <c r="C2" s="149"/>
      <c r="D2" s="149"/>
      <c r="E2" s="149"/>
      <c r="F2" s="149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151" t="s">
        <v>189</v>
      </c>
      <c r="AE2" s="152"/>
      <c r="AF2" s="152"/>
      <c r="AG2" s="149"/>
      <c r="AH2" s="149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</row>
    <row r="3" spans="2:45" ht="15.95" customHeight="1" x14ac:dyDescent="0.2">
      <c r="B3" s="150" t="s">
        <v>187</v>
      </c>
      <c r="C3" s="149"/>
      <c r="D3" s="149"/>
      <c r="E3" s="149"/>
      <c r="F3" s="149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82" t="s">
        <v>190</v>
      </c>
      <c r="AE3" s="283"/>
      <c r="AF3" s="283"/>
      <c r="AG3" s="283"/>
      <c r="AH3" s="284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</row>
    <row r="4" spans="2:45" x14ac:dyDescent="0.2"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1"/>
    </row>
    <row r="5" spans="2:45" x14ac:dyDescent="0.2">
      <c r="B5" s="14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4"/>
    </row>
    <row r="6" spans="2:45" x14ac:dyDescent="0.2">
      <c r="B6" s="14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4"/>
    </row>
    <row r="7" spans="2:45" x14ac:dyDescent="0.2">
      <c r="B7" s="14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4"/>
    </row>
    <row r="8" spans="2:45" x14ac:dyDescent="0.2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4"/>
    </row>
    <row r="9" spans="2:45" x14ac:dyDescent="0.2"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4"/>
    </row>
    <row r="10" spans="2:45" x14ac:dyDescent="0.2">
      <c r="B10" s="14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4"/>
    </row>
    <row r="11" spans="2:45" x14ac:dyDescent="0.2"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4"/>
    </row>
    <row r="12" spans="2:45" x14ac:dyDescent="0.2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4"/>
    </row>
    <row r="13" spans="2:45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4"/>
    </row>
    <row r="14" spans="2:45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4"/>
    </row>
    <row r="15" spans="2:45" x14ac:dyDescent="0.2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4"/>
    </row>
    <row r="16" spans="2:45" x14ac:dyDescent="0.2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4"/>
    </row>
    <row r="17" spans="2:47" x14ac:dyDescent="0.2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4"/>
    </row>
    <row r="18" spans="2:47" x14ac:dyDescent="0.2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4"/>
    </row>
    <row r="19" spans="2:47" x14ac:dyDescent="0.2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4"/>
    </row>
    <row r="20" spans="2:47" x14ac:dyDescent="0.2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4"/>
    </row>
    <row r="21" spans="2:47" x14ac:dyDescent="0.2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4"/>
    </row>
    <row r="22" spans="2:47" x14ac:dyDescent="0.2"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4"/>
    </row>
    <row r="23" spans="2:47" x14ac:dyDescent="0.2"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4"/>
    </row>
    <row r="24" spans="2:47" x14ac:dyDescent="0.2"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4"/>
    </row>
    <row r="25" spans="2:47" x14ac:dyDescent="0.2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4"/>
    </row>
    <row r="26" spans="2:47" x14ac:dyDescent="0.2"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7"/>
    </row>
    <row r="27" spans="2:47" x14ac:dyDescent="0.2">
      <c r="B27" s="278" t="s">
        <v>193</v>
      </c>
      <c r="C27" s="274"/>
      <c r="D27" s="274"/>
      <c r="E27" s="274"/>
      <c r="F27" s="274"/>
      <c r="G27" s="274" t="s">
        <v>191</v>
      </c>
      <c r="H27" s="274"/>
      <c r="I27" s="274"/>
      <c r="J27" s="274"/>
      <c r="K27" s="274"/>
      <c r="L27" s="130"/>
      <c r="M27" s="274" t="s">
        <v>194</v>
      </c>
      <c r="N27" s="274"/>
      <c r="O27" s="274"/>
      <c r="P27" s="274"/>
      <c r="Q27" s="274"/>
      <c r="R27" s="130"/>
      <c r="S27" s="274" t="s">
        <v>196</v>
      </c>
      <c r="T27" s="274"/>
      <c r="U27" s="274"/>
      <c r="V27" s="274"/>
      <c r="W27" s="274"/>
      <c r="X27" s="274" t="s">
        <v>197</v>
      </c>
      <c r="Y27" s="274"/>
      <c r="Z27" s="274"/>
      <c r="AA27" s="274"/>
      <c r="AB27" s="274"/>
      <c r="AC27" s="130"/>
      <c r="AD27" s="274" t="s">
        <v>199</v>
      </c>
      <c r="AE27" s="274"/>
      <c r="AF27" s="274"/>
      <c r="AG27" s="274"/>
      <c r="AH27" s="274"/>
      <c r="AI27" s="130"/>
      <c r="AJ27" s="274" t="s">
        <v>200</v>
      </c>
      <c r="AK27" s="274"/>
      <c r="AL27" s="274"/>
      <c r="AM27" s="274"/>
      <c r="AN27" s="274"/>
      <c r="AO27" s="274" t="s">
        <v>201</v>
      </c>
      <c r="AP27" s="274"/>
      <c r="AQ27" s="274"/>
      <c r="AR27" s="274"/>
      <c r="AS27" s="277"/>
      <c r="AT27" s="16"/>
      <c r="AU27" s="16"/>
    </row>
    <row r="28" spans="2:47" x14ac:dyDescent="0.2">
      <c r="B28" s="133"/>
      <c r="C28" s="129"/>
      <c r="D28" s="132" t="s">
        <v>143</v>
      </c>
      <c r="E28" s="129"/>
      <c r="F28" s="129"/>
      <c r="G28" s="257" t="s">
        <v>192</v>
      </c>
      <c r="H28" s="257"/>
      <c r="I28" s="257"/>
      <c r="J28" s="257"/>
      <c r="K28" s="257"/>
      <c r="L28" s="131"/>
      <c r="M28" s="257" t="s">
        <v>195</v>
      </c>
      <c r="N28" s="257"/>
      <c r="O28" s="257"/>
      <c r="P28" s="257"/>
      <c r="Q28" s="257"/>
      <c r="R28" s="131"/>
      <c r="S28" s="257" t="s">
        <v>195</v>
      </c>
      <c r="T28" s="257"/>
      <c r="U28" s="257"/>
      <c r="V28" s="257"/>
      <c r="W28" s="257"/>
      <c r="X28" s="257" t="s">
        <v>195</v>
      </c>
      <c r="Y28" s="257"/>
      <c r="Z28" s="257"/>
      <c r="AA28" s="257"/>
      <c r="AB28" s="257"/>
      <c r="AC28" s="131"/>
      <c r="AD28" s="257" t="s">
        <v>198</v>
      </c>
      <c r="AE28" s="257"/>
      <c r="AF28" s="257"/>
      <c r="AG28" s="257"/>
      <c r="AH28" s="257"/>
      <c r="AI28" s="131"/>
      <c r="AJ28" s="257" t="s">
        <v>198</v>
      </c>
      <c r="AK28" s="257"/>
      <c r="AL28" s="257"/>
      <c r="AM28" s="257"/>
      <c r="AN28" s="257"/>
      <c r="AO28" s="257" t="s">
        <v>192</v>
      </c>
      <c r="AP28" s="257"/>
      <c r="AQ28" s="257"/>
      <c r="AR28" s="257"/>
      <c r="AS28" s="259"/>
      <c r="AT28" s="16"/>
      <c r="AU28" s="16"/>
    </row>
    <row r="29" spans="2:47" ht="12" customHeight="1" x14ac:dyDescent="0.2">
      <c r="B29" s="267">
        <f>IF(Analysis!$HR$3="",Analysis!HS5,Analysis!HS3)</f>
        <v>1</v>
      </c>
      <c r="C29" s="268"/>
      <c r="D29" s="268"/>
      <c r="E29" s="268"/>
      <c r="F29" s="268"/>
      <c r="G29" s="258">
        <f>IF(Analysis!$HR$3="",Analysis!HT5,Analysis!HT3)</f>
        <v>4</v>
      </c>
      <c r="H29" s="258"/>
      <c r="I29" s="258"/>
      <c r="J29" s="258"/>
      <c r="K29" s="258"/>
      <c r="L29" s="134" t="str">
        <f>IF('Analysis Report'!G29="","","L")</f>
        <v>L</v>
      </c>
      <c r="M29" s="135"/>
      <c r="N29" s="270">
        <f>IF(Analysis!$HR$3="",Analysis!HY5,Analysis!HY3)</f>
        <v>2927.2959237370465</v>
      </c>
      <c r="O29" s="270"/>
      <c r="P29" s="270"/>
      <c r="Q29" s="270"/>
      <c r="R29" s="135"/>
      <c r="S29" s="258">
        <f>IF(Analysis!$HR$3="",Analysis!HV5,Analysis!HV3)</f>
        <v>2927.2959237370465</v>
      </c>
      <c r="T29" s="258"/>
      <c r="U29" s="258"/>
      <c r="V29" s="258"/>
      <c r="W29" s="258"/>
      <c r="X29" s="258">
        <f>IF(Analysis!$HR$3="",Analysis!HW6,Analysis!HW4)</f>
        <v>-2800.7040762629535</v>
      </c>
      <c r="Y29" s="258"/>
      <c r="Z29" s="258"/>
      <c r="AA29" s="258"/>
      <c r="AB29" s="258"/>
      <c r="AC29" s="134" t="str">
        <f>IF(G29="","","M1")</f>
        <v>M1</v>
      </c>
      <c r="AD29" s="135"/>
      <c r="AE29" s="270">
        <f>IF(Analysis!$HR$3="",Analysis!HU5,Analysis!HU3)</f>
        <v>-1993.7278983160613</v>
      </c>
      <c r="AF29" s="270"/>
      <c r="AG29" s="270"/>
      <c r="AH29" s="270"/>
      <c r="AI29" s="135"/>
      <c r="AJ29" s="258">
        <f>IF(Analysis!$HR$3="",Analysis!HZ5,"")</f>
        <v>998.26</v>
      </c>
      <c r="AK29" s="258"/>
      <c r="AL29" s="258"/>
      <c r="AM29" s="258"/>
      <c r="AN29" s="258"/>
      <c r="AO29" s="265">
        <f>IF(Analysis!$HR$3="",Analysis!IA5,Analysis!IA3)</f>
        <v>2.0442010640621833</v>
      </c>
      <c r="AP29" s="265"/>
      <c r="AQ29" s="265"/>
      <c r="AR29" s="265"/>
      <c r="AS29" s="266"/>
      <c r="AT29" s="16"/>
      <c r="AU29" s="16"/>
    </row>
    <row r="30" spans="2:47" ht="12" customHeight="1" x14ac:dyDescent="0.2">
      <c r="B30" s="269"/>
      <c r="C30" s="227"/>
      <c r="D30" s="227"/>
      <c r="E30" s="227"/>
      <c r="F30" s="227"/>
      <c r="G30" s="255"/>
      <c r="H30" s="255"/>
      <c r="I30" s="255"/>
      <c r="J30" s="255"/>
      <c r="K30" s="255"/>
      <c r="L30" s="128" t="str">
        <f>IF('Analysis Report'!G29="","","R")</f>
        <v>R</v>
      </c>
      <c r="M30" s="136"/>
      <c r="N30" s="262">
        <f>IF(Analysis!$HR$3="",Analysis!HY6,Analysis!HY4)</f>
        <v>5474.8163050518142</v>
      </c>
      <c r="O30" s="262"/>
      <c r="P30" s="262"/>
      <c r="Q30" s="262"/>
      <c r="R30" s="136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128" t="str">
        <f>IF(G29="","","M2")</f>
        <v>M2</v>
      </c>
      <c r="AD30" s="136"/>
      <c r="AE30" s="262">
        <f>IF(Analysis!$HR$3="",Analysis!HU6,Analysis!HU4)</f>
        <v>-1740.5442033678758</v>
      </c>
      <c r="AF30" s="262"/>
      <c r="AG30" s="262"/>
      <c r="AH30" s="262"/>
      <c r="AI30" s="136"/>
      <c r="AJ30" s="255"/>
      <c r="AK30" s="255"/>
      <c r="AL30" s="255"/>
      <c r="AM30" s="255"/>
      <c r="AN30" s="255"/>
      <c r="AO30" s="263"/>
      <c r="AP30" s="263"/>
      <c r="AQ30" s="263"/>
      <c r="AR30" s="263"/>
      <c r="AS30" s="264"/>
      <c r="AT30" s="16"/>
      <c r="AU30" s="16"/>
    </row>
    <row r="31" spans="2:47" ht="12" customHeight="1" x14ac:dyDescent="0.2">
      <c r="B31" s="269">
        <f>IF(Analysis!HR5="","",IF(Analysis!$HR$3="",IF(Analysis!HS7="-","",Analysis!HS7),Analysis!HS5))</f>
        <v>2</v>
      </c>
      <c r="C31" s="227"/>
      <c r="D31" s="227"/>
      <c r="E31" s="227"/>
      <c r="F31" s="227"/>
      <c r="G31" s="255">
        <f>IF(Analysis!HR5="","",IF(Analysis!$HR$3="",IF(Analysis!HT7=0,"",Analysis!HT7),Analysis!HT5))</f>
        <v>4</v>
      </c>
      <c r="H31" s="255"/>
      <c r="I31" s="255"/>
      <c r="J31" s="255"/>
      <c r="K31" s="255"/>
      <c r="L31" s="128" t="str">
        <f>IF('Analysis Report'!G31="","","L")</f>
        <v>L</v>
      </c>
      <c r="M31" s="136"/>
      <c r="N31" s="262">
        <f>IF('Analysis Report'!G31="","",IF(Analysis!HR5="","",IF(Analysis!$HR$3="",Analysis!HY7,Analysis!HY5)))</f>
        <v>5474.8163050518142</v>
      </c>
      <c r="O31" s="262"/>
      <c r="P31" s="262"/>
      <c r="Q31" s="262"/>
      <c r="R31" s="136"/>
      <c r="S31" s="255">
        <f>IF('Analysis Report'!G31="","",IF(Analysis!HR5="","",IF(Analysis!$HR$3="",Analysis!HV7,Analysis!HV5)))</f>
        <v>2674.1122287888602</v>
      </c>
      <c r="T31" s="255"/>
      <c r="U31" s="255"/>
      <c r="V31" s="255"/>
      <c r="W31" s="255"/>
      <c r="X31" s="255">
        <f>IF('Analysis Report'!G31="","",IF(Analysis!HR5="","",IF(Analysis!$HR$3="",Analysis!HW8,Analysis!HW6)))</f>
        <v>-3053.8877712111398</v>
      </c>
      <c r="Y31" s="255"/>
      <c r="Z31" s="255"/>
      <c r="AA31" s="255"/>
      <c r="AB31" s="255"/>
      <c r="AC31" s="128" t="str">
        <f>IF(G31="","","M2")</f>
        <v>M2</v>
      </c>
      <c r="AD31" s="136"/>
      <c r="AE31" s="262">
        <f>IF('Analysis Report'!G31="","",IF(Analysis!HR5="","",IF(Analysis!$HR$3="",Analysis!HU7,Analysis!HU5)))</f>
        <v>-1740.5442033678758</v>
      </c>
      <c r="AF31" s="262"/>
      <c r="AG31" s="262"/>
      <c r="AH31" s="262"/>
      <c r="AI31" s="136"/>
      <c r="AJ31" s="255">
        <f>IF(Analysis!HR5="","",IF(Analysis!$HR$3="",IF(Analysis!HZ7="","",Analysis!HZ7),Analysis!HZ5))</f>
        <v>756.27</v>
      </c>
      <c r="AK31" s="255"/>
      <c r="AL31" s="255"/>
      <c r="AM31" s="255"/>
      <c r="AN31" s="255"/>
      <c r="AO31" s="263">
        <f>IF(Analysis!HR5="","",IF(Analysis!$HR$3="",IF(Analysis!IA7="","",Analysis!IA7),Analysis!IA5))</f>
        <v>1.86739680781345</v>
      </c>
      <c r="AP31" s="263"/>
      <c r="AQ31" s="263"/>
      <c r="AR31" s="263"/>
      <c r="AS31" s="264"/>
      <c r="AT31" s="16"/>
      <c r="AU31" s="16"/>
    </row>
    <row r="32" spans="2:47" ht="12" customHeight="1" x14ac:dyDescent="0.2">
      <c r="B32" s="269"/>
      <c r="C32" s="227"/>
      <c r="D32" s="227"/>
      <c r="E32" s="227"/>
      <c r="F32" s="227"/>
      <c r="G32" s="255"/>
      <c r="H32" s="255"/>
      <c r="I32" s="255"/>
      <c r="J32" s="255"/>
      <c r="K32" s="255"/>
      <c r="L32" s="128" t="str">
        <f>IF('Analysis Report'!G31="","","R")</f>
        <v>R</v>
      </c>
      <c r="M32" s="136"/>
      <c r="N32" s="261">
        <f>IF('Analysis Report'!G31="","",IF(Analysis!HR5="","",IF(Analysis!$HR$3="",Analysis!HY8,Analysis!HY6)))</f>
        <v>6855.803088568653</v>
      </c>
      <c r="O32" s="261"/>
      <c r="P32" s="261"/>
      <c r="Q32" s="261"/>
      <c r="R32" s="136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128" t="str">
        <f>IF(G31="","","M3")</f>
        <v>M3</v>
      </c>
      <c r="AD32" s="136"/>
      <c r="AE32" s="261">
        <f>IF('Analysis Report'!G31="","",IF(Analysis!HR5="","",IF(Analysis!$HR$3="",Analysis!HU8,Analysis!HU6)))</f>
        <v>-2500.0952882124352</v>
      </c>
      <c r="AF32" s="261"/>
      <c r="AG32" s="261"/>
      <c r="AH32" s="261"/>
      <c r="AI32" s="136"/>
      <c r="AJ32" s="255"/>
      <c r="AK32" s="255"/>
      <c r="AL32" s="255"/>
      <c r="AM32" s="255"/>
      <c r="AN32" s="255"/>
      <c r="AO32" s="263"/>
      <c r="AP32" s="263"/>
      <c r="AQ32" s="263"/>
      <c r="AR32" s="263"/>
      <c r="AS32" s="264"/>
      <c r="AT32" s="16"/>
      <c r="AU32" s="16"/>
    </row>
    <row r="33" spans="2:47" ht="12" customHeight="1" x14ac:dyDescent="0.2">
      <c r="B33" s="269">
        <f>IF(Analysis!HR7="","",IF(Analysis!$HR$3="",IF(Analysis!HS9="-","",Analysis!HS9),Analysis!HS7))</f>
        <v>3</v>
      </c>
      <c r="C33" s="227"/>
      <c r="D33" s="227"/>
      <c r="E33" s="227"/>
      <c r="F33" s="227"/>
      <c r="G33" s="255">
        <f>IF(Analysis!HR7="","",IF(Analysis!$HR$3="",IF(Analysis!HT9=0,"",Analysis!HT9),Analysis!HT7))</f>
        <v>4</v>
      </c>
      <c r="H33" s="255"/>
      <c r="I33" s="255"/>
      <c r="J33" s="255"/>
      <c r="K33" s="255"/>
      <c r="L33" s="128" t="str">
        <f>IF('Analysis Report'!G33="","","L")</f>
        <v>L</v>
      </c>
      <c r="M33" s="136"/>
      <c r="N33" s="261">
        <f>IF('Analysis Report'!G33="","",IF(Analysis!HR7="","",IF(Analysis!$HR$3="",Analysis!HY9,Analysis!HY7)))</f>
        <v>6855.803088568653</v>
      </c>
      <c r="O33" s="261"/>
      <c r="P33" s="261"/>
      <c r="Q33" s="261"/>
      <c r="R33" s="136"/>
      <c r="S33" s="255">
        <f>IF('Analysis Report'!G33="","",IF(Analysis!HR7="","",IF(Analysis!$HR$3="",Analysis!HV9,Analysis!HV7)))</f>
        <v>3801.9153173575132</v>
      </c>
      <c r="T33" s="255"/>
      <c r="U33" s="255"/>
      <c r="V33" s="255"/>
      <c r="W33" s="255"/>
      <c r="X33" s="255">
        <f>IF('Analysis Report'!G33="","",IF(Analysis!HR7="","",IF(Analysis!$HR$3="",Analysis!HW10,Analysis!HW8)))</f>
        <v>-4336.0846826424868</v>
      </c>
      <c r="Y33" s="255"/>
      <c r="Z33" s="255"/>
      <c r="AA33" s="255"/>
      <c r="AB33" s="255"/>
      <c r="AC33" s="128" t="str">
        <f>IF(G33="","","M3")</f>
        <v>M3</v>
      </c>
      <c r="AD33" s="136"/>
      <c r="AE33" s="261">
        <f>IF('Analysis Report'!G33="","",IF(Analysis!HR7="","",IF(Analysis!$HR$3="",Analysis!HU9,Analysis!HU7)))</f>
        <v>-2500.0952882124352</v>
      </c>
      <c r="AF33" s="261"/>
      <c r="AG33" s="261"/>
      <c r="AH33" s="261"/>
      <c r="AI33" s="136"/>
      <c r="AJ33" s="255">
        <f>IF(Analysis!HR7="","",IF(Analysis!$HR$3="",IF(Analysis!HZ9="","",Analysis!HZ9),Analysis!HZ7))</f>
        <v>1725.63</v>
      </c>
      <c r="AK33" s="255"/>
      <c r="AL33" s="255"/>
      <c r="AM33" s="255"/>
      <c r="AN33" s="255"/>
      <c r="AO33" s="263">
        <f>IF(Analysis!HR7="","",IF(Analysis!$HR$3="",IF(Analysis!IA9="","",Analysis!IA9),Analysis!IA7))</f>
        <v>2.3682256351414743</v>
      </c>
      <c r="AP33" s="263"/>
      <c r="AQ33" s="263"/>
      <c r="AR33" s="263"/>
      <c r="AS33" s="264"/>
      <c r="AT33" s="16"/>
      <c r="AU33" s="16"/>
    </row>
    <row r="34" spans="2:47" ht="12" customHeight="1" x14ac:dyDescent="0.2">
      <c r="B34" s="269"/>
      <c r="C34" s="227"/>
      <c r="D34" s="227"/>
      <c r="E34" s="227"/>
      <c r="F34" s="227"/>
      <c r="G34" s="255"/>
      <c r="H34" s="255"/>
      <c r="I34" s="255"/>
      <c r="J34" s="255"/>
      <c r="K34" s="255"/>
      <c r="L34" s="128" t="str">
        <f>IF('Analysis Report'!G33="","","R")</f>
        <v>R</v>
      </c>
      <c r="M34" s="136"/>
      <c r="N34" s="262">
        <f>IF('Analysis Report'!G33="","",IF(Analysis!HR7="","",IF(Analysis!$HR$3="",Analysis!HY10,Analysis!HY8)))</f>
        <v>6567.6471219235755</v>
      </c>
      <c r="O34" s="262"/>
      <c r="P34" s="262"/>
      <c r="Q34" s="262"/>
      <c r="R34" s="136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128" t="str">
        <f>IF(G33="","","M4")</f>
        <v>M4</v>
      </c>
      <c r="AD34" s="136"/>
      <c r="AE34" s="262">
        <f>IF('Analysis Report'!G33="","",IF(Analysis!HR7="","",IF(Analysis!$HR$3="",Analysis!HU10,Analysis!HU8)))</f>
        <v>-2193.4340187823832</v>
      </c>
      <c r="AF34" s="262"/>
      <c r="AG34" s="262"/>
      <c r="AH34" s="262"/>
      <c r="AI34" s="136"/>
      <c r="AJ34" s="255"/>
      <c r="AK34" s="255"/>
      <c r="AL34" s="255"/>
      <c r="AM34" s="255"/>
      <c r="AN34" s="255"/>
      <c r="AO34" s="263"/>
      <c r="AP34" s="263"/>
      <c r="AQ34" s="263"/>
      <c r="AR34" s="263"/>
      <c r="AS34" s="264"/>
      <c r="AT34" s="16"/>
      <c r="AU34" s="16"/>
    </row>
    <row r="35" spans="2:47" ht="12" customHeight="1" x14ac:dyDescent="0.2">
      <c r="B35" s="269">
        <f>IF(Analysis!HR9="","",IF(Analysis!$HR$3="",IF(Analysis!HS11="-","",Analysis!HS11),Analysis!HS9))</f>
        <v>4</v>
      </c>
      <c r="C35" s="227"/>
      <c r="D35" s="227"/>
      <c r="E35" s="227"/>
      <c r="F35" s="227"/>
      <c r="G35" s="255">
        <f>IF(Analysis!HR9="","",IF(Analysis!$HR$3="",IF(Analysis!HT11=0,"",Analysis!HT11),Analysis!HT9))</f>
        <v>4</v>
      </c>
      <c r="H35" s="255"/>
      <c r="I35" s="255"/>
      <c r="J35" s="255"/>
      <c r="K35" s="255"/>
      <c r="L35" s="128" t="str">
        <f>IF('Analysis Report'!G35="","","L")</f>
        <v>L</v>
      </c>
      <c r="M35" s="136"/>
      <c r="N35" s="262">
        <f>IF('Analysis Report'!G35="","",IF(Analysis!HR9="","",IF(Analysis!$HR$3="",Analysis!HY11,Analysis!HY9)))</f>
        <v>6567.6471219235755</v>
      </c>
      <c r="O35" s="262"/>
      <c r="P35" s="262"/>
      <c r="Q35" s="262"/>
      <c r="R35" s="136"/>
      <c r="S35" s="255">
        <f>IF('Analysis Report'!G35="","",IF(Analysis!HR9="","",IF(Analysis!$HR$3="",Analysis!HV11,Analysis!HV9)))</f>
        <v>2231.5624392810882</v>
      </c>
      <c r="T35" s="255"/>
      <c r="U35" s="255"/>
      <c r="V35" s="255"/>
      <c r="W35" s="255"/>
      <c r="X35" s="255">
        <f>IF('Analysis Report'!G35="","",IF(Analysis!HR9="","",IF(Analysis!$HR$3="",Analysis!HW12,Analysis!HW10)))</f>
        <v>-1656.4375607189118</v>
      </c>
      <c r="Y35" s="255"/>
      <c r="Z35" s="255"/>
      <c r="AA35" s="255"/>
      <c r="AB35" s="255"/>
      <c r="AC35" s="128" t="str">
        <f>IF(G35="","","M4")</f>
        <v>M4</v>
      </c>
      <c r="AD35" s="136"/>
      <c r="AE35" s="262">
        <f>IF('Analysis Report'!G35="","",IF(Analysis!HR9="","",IF(Analysis!$HR$3="",Analysis!HU11,Analysis!HU9)))</f>
        <v>-2193.4340187823832</v>
      </c>
      <c r="AF35" s="262"/>
      <c r="AG35" s="262"/>
      <c r="AH35" s="262"/>
      <c r="AI35" s="136"/>
      <c r="AJ35" s="255">
        <f>IF(Analysis!HR9="","",IF(Analysis!$HR$3="",IF(Analysis!HZ11="","",Analysis!HZ11),Analysis!HZ9))</f>
        <v>368.23</v>
      </c>
      <c r="AK35" s="255"/>
      <c r="AL35" s="255"/>
      <c r="AM35" s="255"/>
      <c r="AN35" s="255"/>
      <c r="AO35" s="263">
        <f>IF(Analysis!HR9="","",IF(Analysis!$HR$3="",IF(Analysis!IA11="","",Analysis!IA11),Analysis!IA9))</f>
        <v>2.2958461309476217</v>
      </c>
      <c r="AP35" s="263"/>
      <c r="AQ35" s="263"/>
      <c r="AR35" s="263"/>
      <c r="AS35" s="264"/>
      <c r="AT35" s="16"/>
      <c r="AU35" s="16"/>
    </row>
    <row r="36" spans="2:47" ht="12" customHeight="1" x14ac:dyDescent="0.2">
      <c r="B36" s="269"/>
      <c r="C36" s="227"/>
      <c r="D36" s="227"/>
      <c r="E36" s="227"/>
      <c r="F36" s="227"/>
      <c r="G36" s="255"/>
      <c r="H36" s="255"/>
      <c r="I36" s="255"/>
      <c r="J36" s="255"/>
      <c r="K36" s="255"/>
      <c r="L36" s="128" t="str">
        <f>IF('Analysis Report'!G35="","","R")</f>
        <v>R</v>
      </c>
      <c r="M36" s="136"/>
      <c r="N36" s="261">
        <f>IF('Analysis Report'!G35="","",IF(Analysis!HR9="","",IF(Analysis!$HR$3="",Analysis!HY12,Analysis!HY10)))</f>
        <v>3508.7763924870465</v>
      </c>
      <c r="O36" s="261"/>
      <c r="P36" s="261"/>
      <c r="Q36" s="261"/>
      <c r="R36" s="136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128" t="str">
        <f>IF(G35="","","M5")</f>
        <v>M5</v>
      </c>
      <c r="AD36" s="136"/>
      <c r="AE36" s="261">
        <f>IF('Analysis Report'!G35="","",IF(Analysis!HR9="","",IF(Analysis!$HR$3="",Analysis!HU12,Analysis!HU10)))</f>
        <v>-1043.1842616580311</v>
      </c>
      <c r="AF36" s="261"/>
      <c r="AG36" s="261"/>
      <c r="AH36" s="261"/>
      <c r="AI36" s="136"/>
      <c r="AJ36" s="255"/>
      <c r="AK36" s="255"/>
      <c r="AL36" s="255"/>
      <c r="AM36" s="255"/>
      <c r="AN36" s="255"/>
      <c r="AO36" s="263"/>
      <c r="AP36" s="263"/>
      <c r="AQ36" s="263"/>
      <c r="AR36" s="263"/>
      <c r="AS36" s="264"/>
      <c r="AT36" s="16"/>
      <c r="AU36" s="16"/>
    </row>
    <row r="37" spans="2:47" ht="12" customHeight="1" x14ac:dyDescent="0.2">
      <c r="B37" s="269">
        <f>IF(Analysis!HR11="","",IF(Analysis!$HR$3="",IF(Analysis!HS13="-","",Analysis!HS13),Analysis!HS11))</f>
        <v>5</v>
      </c>
      <c r="C37" s="227"/>
      <c r="D37" s="227"/>
      <c r="E37" s="227"/>
      <c r="F37" s="227"/>
      <c r="G37" s="255">
        <f>IF(Analysis!HR11="","",IF(Analysis!$HR$3="",IF(Analysis!HT13=0,"",Analysis!HT13),Analysis!HT11))</f>
        <v>4</v>
      </c>
      <c r="H37" s="255"/>
      <c r="I37" s="255"/>
      <c r="J37" s="255"/>
      <c r="K37" s="255"/>
      <c r="L37" s="128" t="str">
        <f>IF('Analysis Report'!G37="","","L")</f>
        <v>L</v>
      </c>
      <c r="M37" s="136"/>
      <c r="N37" s="261">
        <f>IF('Analysis Report'!G37="","",IF(Analysis!HR11="","",IF(Analysis!$HR$3="",Analysis!HY13,Analysis!HY11)))</f>
        <v>3508.7763924870465</v>
      </c>
      <c r="O37" s="261"/>
      <c r="P37" s="261"/>
      <c r="Q37" s="261"/>
      <c r="R37" s="136"/>
      <c r="S37" s="255">
        <f>IF('Analysis Report'!G37="","",IF(Analysis!HR11="","",IF(Analysis!$HR$3="",Analysis!HV13,Analysis!HV11)))</f>
        <v>1852.3388317681347</v>
      </c>
      <c r="T37" s="255"/>
      <c r="U37" s="255"/>
      <c r="V37" s="255"/>
      <c r="W37" s="255"/>
      <c r="X37" s="255">
        <f>IF('Analysis Report'!G37="","",IF(Analysis!HR11="","",IF(Analysis!$HR$3="",Analysis!HW14,Analysis!HW12)))</f>
        <v>-2035.6611682318653</v>
      </c>
      <c r="Y37" s="255"/>
      <c r="Z37" s="255"/>
      <c r="AA37" s="255"/>
      <c r="AB37" s="255"/>
      <c r="AC37" s="128" t="str">
        <f>IF(G37="","","M5")</f>
        <v>M5</v>
      </c>
      <c r="AD37" s="136"/>
      <c r="AE37" s="261">
        <f>IF('Analysis Report'!G37="","",IF(Analysis!HR11="","",IF(Analysis!$HR$3="",Analysis!HU13,Analysis!HU11)))</f>
        <v>-1043.1842616580311</v>
      </c>
      <c r="AF37" s="261"/>
      <c r="AG37" s="261"/>
      <c r="AH37" s="261"/>
      <c r="AI37" s="136"/>
      <c r="AJ37" s="255">
        <f>IF(Analysis!HR11="","",IF(Analysis!$HR$3="",IF(Analysis!HZ13="","",Analysis!HZ13),Analysis!HZ11))</f>
        <v>721.82</v>
      </c>
      <c r="AK37" s="255"/>
      <c r="AL37" s="255"/>
      <c r="AM37" s="255"/>
      <c r="AN37" s="255"/>
      <c r="AO37" s="263">
        <f>IF(Analysis!HR11="","",IF(Analysis!$HR$3="",IF(Analysis!IA13="","",Analysis!IA13),Analysis!IA11))</f>
        <v>1.9056983865927313</v>
      </c>
      <c r="AP37" s="263"/>
      <c r="AQ37" s="263"/>
      <c r="AR37" s="263"/>
      <c r="AS37" s="264"/>
      <c r="AT37" s="16"/>
      <c r="AU37" s="16"/>
    </row>
    <row r="38" spans="2:47" ht="12" customHeight="1" x14ac:dyDescent="0.2">
      <c r="B38" s="269"/>
      <c r="C38" s="227"/>
      <c r="D38" s="227"/>
      <c r="E38" s="227"/>
      <c r="F38" s="227"/>
      <c r="G38" s="255"/>
      <c r="H38" s="255"/>
      <c r="I38" s="255"/>
      <c r="J38" s="255"/>
      <c r="K38" s="255"/>
      <c r="L38" s="128" t="str">
        <f>IF('Analysis Report'!G37="","","R")</f>
        <v>R</v>
      </c>
      <c r="M38" s="136"/>
      <c r="N38" s="262">
        <f>IF('Analysis Report'!G37="","",IF(Analysis!HR11="","",IF(Analysis!$HR$3="",Analysis!HY14,Analysis!HY12)))</f>
        <v>4058.7434018782383</v>
      </c>
      <c r="O38" s="262"/>
      <c r="P38" s="262"/>
      <c r="Q38" s="262"/>
      <c r="R38" s="136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128" t="str">
        <f>IF(G37="","","M6")</f>
        <v>M6</v>
      </c>
      <c r="AD38" s="136"/>
      <c r="AE38" s="262">
        <f>IF('Analysis Report'!G37="","",IF(Analysis!HR11="","",IF(Analysis!$HR$3="",Analysis!HU14,Analysis!HU12)))</f>
        <v>-1409.8289345854923</v>
      </c>
      <c r="AF38" s="262"/>
      <c r="AG38" s="262"/>
      <c r="AH38" s="262"/>
      <c r="AI38" s="136"/>
      <c r="AJ38" s="255"/>
      <c r="AK38" s="255"/>
      <c r="AL38" s="255"/>
      <c r="AM38" s="255"/>
      <c r="AN38" s="255"/>
      <c r="AO38" s="263"/>
      <c r="AP38" s="263"/>
      <c r="AQ38" s="263"/>
      <c r="AR38" s="263"/>
      <c r="AS38" s="264"/>
      <c r="AT38" s="16"/>
      <c r="AU38" s="16"/>
    </row>
    <row r="39" spans="2:47" ht="12" customHeight="1" x14ac:dyDescent="0.2">
      <c r="B39" s="269">
        <f>IF(Analysis!HR13="","",IF(Analysis!$HR$3="",IF(Analysis!HS15="-","",Analysis!HS15),Analysis!HS13))</f>
        <v>6</v>
      </c>
      <c r="C39" s="227"/>
      <c r="D39" s="227"/>
      <c r="E39" s="227"/>
      <c r="F39" s="227"/>
      <c r="G39" s="255">
        <f>IF(Analysis!HR13="","",IF(Analysis!$HR$3="",IF(Analysis!HT15=0,"",Analysis!HT15),Analysis!HT13))</f>
        <v>4</v>
      </c>
      <c r="H39" s="255"/>
      <c r="I39" s="255"/>
      <c r="J39" s="255"/>
      <c r="K39" s="255"/>
      <c r="L39" s="128" t="str">
        <f>IF('Analysis Report'!G39="","","L")</f>
        <v>L</v>
      </c>
      <c r="M39" s="136"/>
      <c r="N39" s="262">
        <f>IF('Analysis Report'!G39="","",IF(Analysis!HR13="","",IF(Analysis!$HR$3="",Analysis!HY15,Analysis!HY13)))</f>
        <v>4058.7434018782383</v>
      </c>
      <c r="O39" s="262"/>
      <c r="P39" s="262"/>
      <c r="Q39" s="262"/>
      <c r="R39" s="136"/>
      <c r="S39" s="255">
        <f>IF('Analysis Report'!G39="","",IF(Analysis!HR13="","",IF(Analysis!$HR$3="",Analysis!HV15,Analysis!HV13)))</f>
        <v>2023.082233646373</v>
      </c>
      <c r="T39" s="255"/>
      <c r="U39" s="255"/>
      <c r="V39" s="255"/>
      <c r="W39" s="255"/>
      <c r="X39" s="255">
        <f>IF('Analysis Report'!G39="","",IF(Analysis!HR13="","",IF(Analysis!$HR$3="",Analysis!HW16,Analysis!HW14)))</f>
        <v>-1864.917766353627</v>
      </c>
      <c r="Y39" s="255"/>
      <c r="Z39" s="255"/>
      <c r="AA39" s="255"/>
      <c r="AB39" s="255"/>
      <c r="AC39" s="128" t="str">
        <f>IF(G39="","","M6")</f>
        <v>M6</v>
      </c>
      <c r="AD39" s="136"/>
      <c r="AE39" s="262">
        <f>IF('Analysis Report'!G39="","",IF(Analysis!HR13="","",IF(Analysis!$HR$3="",Analysis!HU15,Analysis!HU13)))</f>
        <v>-1409.8289345854923</v>
      </c>
      <c r="AF39" s="262"/>
      <c r="AG39" s="262"/>
      <c r="AH39" s="262"/>
      <c r="AI39" s="136"/>
      <c r="AJ39" s="255">
        <f>IF(Analysis!HR13="","",IF(Analysis!$HR$3="",IF(Analysis!HZ15="","",Analysis!HZ15),Analysis!HZ13))</f>
        <v>695.55</v>
      </c>
      <c r="AK39" s="255"/>
      <c r="AL39" s="255"/>
      <c r="AM39" s="255"/>
      <c r="AN39" s="255"/>
      <c r="AO39" s="263">
        <f>IF(Analysis!HR13="","",IF(Analysis!$HR$3="",IF(Analysis!IA15="","",Analysis!IA15),Analysis!IA13))</f>
        <v>2.0813603226814537</v>
      </c>
      <c r="AP39" s="263"/>
      <c r="AQ39" s="263"/>
      <c r="AR39" s="263"/>
      <c r="AS39" s="264"/>
      <c r="AT39" s="16"/>
      <c r="AU39" s="16"/>
    </row>
    <row r="40" spans="2:47" ht="12" customHeight="1" x14ac:dyDescent="0.2">
      <c r="B40" s="269"/>
      <c r="C40" s="227"/>
      <c r="D40" s="227"/>
      <c r="E40" s="227"/>
      <c r="F40" s="227"/>
      <c r="G40" s="255"/>
      <c r="H40" s="255"/>
      <c r="I40" s="255"/>
      <c r="J40" s="255"/>
      <c r="K40" s="255"/>
      <c r="L40" s="128" t="str">
        <f>IF('Analysis Report'!G39="","","R")</f>
        <v>R</v>
      </c>
      <c r="M40" s="136"/>
      <c r="N40" s="261">
        <f>IF('Analysis Report'!G39="","",IF(Analysis!HR13="","",IF(Analysis!$HR$3="",Analysis!HY16,Analysis!HY14)))</f>
        <v>3322.917766353627</v>
      </c>
      <c r="O40" s="261"/>
      <c r="P40" s="261"/>
      <c r="Q40" s="261"/>
      <c r="R40" s="136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128" t="str">
        <f>IF(G39="","","M7")</f>
        <v>M7</v>
      </c>
      <c r="AD40" s="136"/>
      <c r="AE40" s="261">
        <f>IF('Analysis Report'!G39="","",IF(Analysis!HR13="","",IF(Analysis!$HR$3="",Analysis!HU16,Analysis!HU14)))</f>
        <v>-1093.5</v>
      </c>
      <c r="AF40" s="261"/>
      <c r="AG40" s="261"/>
      <c r="AH40" s="261"/>
      <c r="AI40" s="136"/>
      <c r="AJ40" s="255"/>
      <c r="AK40" s="255"/>
      <c r="AL40" s="255"/>
      <c r="AM40" s="255"/>
      <c r="AN40" s="255"/>
      <c r="AO40" s="263"/>
      <c r="AP40" s="263"/>
      <c r="AQ40" s="263"/>
      <c r="AR40" s="263"/>
      <c r="AS40" s="264"/>
      <c r="AT40" s="16"/>
      <c r="AU40" s="16"/>
    </row>
    <row r="41" spans="2:47" ht="12" customHeight="1" x14ac:dyDescent="0.2">
      <c r="B41" s="269" t="str">
        <f>IF(Analysis!HR15="","",IF(Analysis!$HR$3="",IF(Analysis!HS17="-","",Analysis!HS17),Analysis!HS15))</f>
        <v>R0</v>
      </c>
      <c r="C41" s="227"/>
      <c r="D41" s="227"/>
      <c r="E41" s="227"/>
      <c r="F41" s="227"/>
      <c r="G41" s="255">
        <f>IF(Analysis!HR15="","",IF(Analysis!$HR$3="",IF(Analysis!HT17=0,"",Analysis!HT17),Analysis!HT15))</f>
        <v>1.5</v>
      </c>
      <c r="H41" s="255"/>
      <c r="I41" s="255"/>
      <c r="J41" s="255"/>
      <c r="K41" s="255"/>
      <c r="L41" s="128" t="str">
        <f>IF('Analysis Report'!G41="","","L")</f>
        <v>L</v>
      </c>
      <c r="M41" s="136"/>
      <c r="N41" s="261">
        <f>IF('Analysis Report'!G41="","",IF(Analysis!HR15="","",IF(Analysis!$HR$3="",Analysis!HY17,Analysis!HY15)))</f>
        <v>3322.917766353627</v>
      </c>
      <c r="O41" s="261"/>
      <c r="P41" s="261"/>
      <c r="Q41" s="261"/>
      <c r="R41" s="136"/>
      <c r="S41" s="255">
        <f>IF('Analysis Report'!G41="","",IF(Analysis!HR15="","",IF(Analysis!$HR$3="",Analysis!HV17,Analysis!HV15)))</f>
        <v>1458</v>
      </c>
      <c r="T41" s="255"/>
      <c r="U41" s="255"/>
      <c r="V41" s="255"/>
      <c r="W41" s="255"/>
      <c r="X41" s="255">
        <f>IF('Analysis Report'!G41="","",IF(Analysis!HR15="","",IF(Analysis!$HR$3="",Analysis!HW18,Analysis!HW16)))</f>
        <v>0</v>
      </c>
      <c r="Y41" s="255"/>
      <c r="Z41" s="255"/>
      <c r="AA41" s="255"/>
      <c r="AB41" s="255"/>
      <c r="AC41" s="128" t="str">
        <f>IF(G41="","","M7")</f>
        <v>M7</v>
      </c>
      <c r="AD41" s="136"/>
      <c r="AE41" s="261">
        <f>IF('Analysis Report'!G41="","",IF(Analysis!HR15="","",IF(Analysis!$HR$3="",Analysis!HU17,Analysis!HU15)))</f>
        <v>-1093.5</v>
      </c>
      <c r="AF41" s="261"/>
      <c r="AG41" s="261"/>
      <c r="AH41" s="261"/>
      <c r="AI41" s="136"/>
      <c r="AJ41" s="255" t="str">
        <f>IF(Analysis!HR15="","",IF(Analysis!$HR$3="",IF(Analysis!HZ17="","",Analysis!HZ17),Analysis!HZ15))</f>
        <v/>
      </c>
      <c r="AK41" s="255"/>
      <c r="AL41" s="255"/>
      <c r="AM41" s="255"/>
      <c r="AN41" s="255"/>
      <c r="AO41" s="263" t="str">
        <f>IF(Analysis!HR15="","",IF(Analysis!$HR$3="",IF(Analysis!IA17="","",Analysis!IA17),Analysis!IA15))</f>
        <v/>
      </c>
      <c r="AP41" s="263"/>
      <c r="AQ41" s="263"/>
      <c r="AR41" s="263"/>
      <c r="AS41" s="264"/>
      <c r="AT41" s="16"/>
      <c r="AU41" s="16"/>
    </row>
    <row r="42" spans="2:47" ht="12" customHeight="1" x14ac:dyDescent="0.2">
      <c r="B42" s="269"/>
      <c r="C42" s="227"/>
      <c r="D42" s="227"/>
      <c r="E42" s="227"/>
      <c r="F42" s="227"/>
      <c r="G42" s="255"/>
      <c r="H42" s="255"/>
      <c r="I42" s="255"/>
      <c r="J42" s="255"/>
      <c r="K42" s="255"/>
      <c r="L42" s="128" t="str">
        <f>IF('Analysis Report'!G41="","","R")</f>
        <v>R</v>
      </c>
      <c r="M42" s="136"/>
      <c r="N42" s="262">
        <f>IF('Analysis Report'!G41="","",IF(Analysis!HR15="","",IF(Analysis!$HR$3="",Analysis!HY18,Analysis!HY16)))</f>
        <v>0</v>
      </c>
      <c r="O42" s="262"/>
      <c r="P42" s="262"/>
      <c r="Q42" s="262"/>
      <c r="R42" s="136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128" t="str">
        <f>IF(G41="","","M8")</f>
        <v>M8</v>
      </c>
      <c r="AD42" s="136"/>
      <c r="AE42" s="262">
        <f>IF('Analysis Report'!G41="","",IF(Analysis!HR15="","",IF(Analysis!$HR$3="",Analysis!HU18,Analysis!HU16)))</f>
        <v>0</v>
      </c>
      <c r="AF42" s="262"/>
      <c r="AG42" s="262"/>
      <c r="AH42" s="262"/>
      <c r="AI42" s="136"/>
      <c r="AJ42" s="255"/>
      <c r="AK42" s="255"/>
      <c r="AL42" s="255"/>
      <c r="AM42" s="255"/>
      <c r="AN42" s="255"/>
      <c r="AO42" s="263"/>
      <c r="AP42" s="263"/>
      <c r="AQ42" s="263"/>
      <c r="AR42" s="263"/>
      <c r="AS42" s="264"/>
      <c r="AT42" s="16"/>
      <c r="AU42" s="16"/>
    </row>
    <row r="43" spans="2:47" ht="12" customHeight="1" x14ac:dyDescent="0.2">
      <c r="B43" s="269" t="str">
        <f>IF(Analysis!HR17="","",IF(Analysis!$HR$3="",IF(Analysis!HS19="-","",Analysis!HS19),Analysis!HS17))</f>
        <v/>
      </c>
      <c r="C43" s="227"/>
      <c r="D43" s="227"/>
      <c r="E43" s="227"/>
      <c r="F43" s="227"/>
      <c r="G43" s="255" t="str">
        <f>IF(Analysis!HR17="","",IF(Analysis!$HR$3="",IF(Analysis!HT19=0,"",Analysis!HT19),Analysis!HT17))</f>
        <v/>
      </c>
      <c r="H43" s="255"/>
      <c r="I43" s="255"/>
      <c r="J43" s="255"/>
      <c r="K43" s="255"/>
      <c r="L43" s="128" t="str">
        <f>IF('Analysis Report'!G43="","","L")</f>
        <v/>
      </c>
      <c r="M43" s="136"/>
      <c r="N43" s="262" t="str">
        <f>IF('Analysis Report'!G43="","",IF(Analysis!HR17="","",IF(Analysis!$HR$3="",Analysis!HY19,Analysis!HY17)))</f>
        <v/>
      </c>
      <c r="O43" s="262"/>
      <c r="P43" s="262"/>
      <c r="Q43" s="262"/>
      <c r="R43" s="136"/>
      <c r="S43" s="255" t="str">
        <f>IF('Analysis Report'!G43="","",IF(Analysis!HR17="","",IF(Analysis!$HR$3="",Analysis!HV19,Analysis!HV17)))</f>
        <v/>
      </c>
      <c r="T43" s="255"/>
      <c r="U43" s="255"/>
      <c r="V43" s="255"/>
      <c r="W43" s="255"/>
      <c r="X43" s="255" t="str">
        <f>IF('Analysis Report'!G43="","",IF(Analysis!HR17="","",IF(Analysis!$HR$3="",Analysis!HW20,Analysis!HW18)))</f>
        <v/>
      </c>
      <c r="Y43" s="255"/>
      <c r="Z43" s="255"/>
      <c r="AA43" s="255"/>
      <c r="AB43" s="255"/>
      <c r="AC43" s="128" t="str">
        <f>IF(G43="","","M8")</f>
        <v/>
      </c>
      <c r="AD43" s="136"/>
      <c r="AE43" s="262" t="str">
        <f>IF('Analysis Report'!G43="","",IF(Analysis!HR17="","",IF(Analysis!$HR$3="",Analysis!HU19,Analysis!HU17)))</f>
        <v/>
      </c>
      <c r="AF43" s="262"/>
      <c r="AG43" s="262"/>
      <c r="AH43" s="262"/>
      <c r="AI43" s="136"/>
      <c r="AJ43" s="255" t="str">
        <f>IF(Analysis!HR17="","",IF(Analysis!$HR$3="",IF(Analysis!HZ19="","",Analysis!HZ19),Analysis!HZ17))</f>
        <v/>
      </c>
      <c r="AK43" s="255"/>
      <c r="AL43" s="255"/>
      <c r="AM43" s="255"/>
      <c r="AN43" s="255"/>
      <c r="AO43" s="263" t="str">
        <f>IF(Analysis!HR17="","",IF(Analysis!$HR$3="",IF(Analysis!IA19="","",Analysis!IA19),Analysis!IA17))</f>
        <v/>
      </c>
      <c r="AP43" s="263"/>
      <c r="AQ43" s="263"/>
      <c r="AR43" s="263"/>
      <c r="AS43" s="264"/>
      <c r="AT43" s="16"/>
      <c r="AU43" s="16"/>
    </row>
    <row r="44" spans="2:47" ht="12" customHeight="1" x14ac:dyDescent="0.2">
      <c r="B44" s="269"/>
      <c r="C44" s="227"/>
      <c r="D44" s="227"/>
      <c r="E44" s="227"/>
      <c r="F44" s="227"/>
      <c r="G44" s="255"/>
      <c r="H44" s="255"/>
      <c r="I44" s="255"/>
      <c r="J44" s="255"/>
      <c r="K44" s="255"/>
      <c r="L44" s="128" t="str">
        <f>IF('Analysis Report'!G43="","","R")</f>
        <v/>
      </c>
      <c r="M44" s="136"/>
      <c r="N44" s="261" t="str">
        <f>IF('Analysis Report'!G43="","",IF(Analysis!HR17="","",IF(Analysis!$HR$3="",Analysis!HY20,Analysis!HY18)))</f>
        <v/>
      </c>
      <c r="O44" s="261"/>
      <c r="P44" s="261"/>
      <c r="Q44" s="261"/>
      <c r="R44" s="136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128" t="str">
        <f>IF(G43="","","M9")</f>
        <v/>
      </c>
      <c r="AD44" s="136"/>
      <c r="AE44" s="261" t="str">
        <f>IF('Analysis Report'!G43="","",IF(Analysis!HR17="","",IF(Analysis!$HR$3="",Analysis!HU20,Analysis!HU18)))</f>
        <v/>
      </c>
      <c r="AF44" s="261"/>
      <c r="AG44" s="261"/>
      <c r="AH44" s="261"/>
      <c r="AI44" s="136"/>
      <c r="AJ44" s="255"/>
      <c r="AK44" s="255"/>
      <c r="AL44" s="255"/>
      <c r="AM44" s="255"/>
      <c r="AN44" s="255"/>
      <c r="AO44" s="263"/>
      <c r="AP44" s="263"/>
      <c r="AQ44" s="263"/>
      <c r="AR44" s="263"/>
      <c r="AS44" s="264"/>
      <c r="AT44" s="16"/>
      <c r="AU44" s="16"/>
    </row>
    <row r="45" spans="2:47" ht="12" customHeight="1" x14ac:dyDescent="0.2">
      <c r="B45" s="269" t="str">
        <f>IF(Analysis!HR19="","",IF(Analysis!$HR$3="",IF(Analysis!HS21="-","",Analysis!HS21),Analysis!HS19))</f>
        <v/>
      </c>
      <c r="C45" s="227"/>
      <c r="D45" s="227"/>
      <c r="E45" s="227"/>
      <c r="F45" s="227"/>
      <c r="G45" s="255" t="str">
        <f>IF(Analysis!HR19="","",IF(Analysis!$HR$3="",IF(Analysis!HT21=0,"",Analysis!HT21),Analysis!HT19))</f>
        <v/>
      </c>
      <c r="H45" s="255"/>
      <c r="I45" s="255"/>
      <c r="J45" s="255"/>
      <c r="K45" s="255"/>
      <c r="L45" s="128" t="str">
        <f>IF('Analysis Report'!G45="","","L")</f>
        <v/>
      </c>
      <c r="M45" s="136"/>
      <c r="N45" s="261" t="str">
        <f>IF('Analysis Report'!G45="","",IF(Analysis!HR19="","",IF(Analysis!$HR$3="",Analysis!HY21,Analysis!HY19)))</f>
        <v/>
      </c>
      <c r="O45" s="261"/>
      <c r="P45" s="261"/>
      <c r="Q45" s="261"/>
      <c r="R45" s="136"/>
      <c r="S45" s="255" t="str">
        <f>IF('Analysis Report'!G45="","",IF(Analysis!HR19="","",IF(Analysis!$HR$3="",Analysis!HV21,Analysis!HV19)))</f>
        <v/>
      </c>
      <c r="T45" s="255"/>
      <c r="U45" s="255"/>
      <c r="V45" s="255"/>
      <c r="W45" s="255"/>
      <c r="X45" s="255" t="str">
        <f>IF('Analysis Report'!G45="","",IF(Analysis!HR19="","",IF(Analysis!$HR$3="",Analysis!HW22,Analysis!HW20)))</f>
        <v/>
      </c>
      <c r="Y45" s="255"/>
      <c r="Z45" s="255"/>
      <c r="AA45" s="255"/>
      <c r="AB45" s="255"/>
      <c r="AC45" s="128" t="str">
        <f>IF(G45="","","M9")</f>
        <v/>
      </c>
      <c r="AD45" s="136"/>
      <c r="AE45" s="261" t="str">
        <f>IF('Analysis Report'!G45="","",IF(Analysis!HR19="","",IF(Analysis!$HR$3="",Analysis!HU21,Analysis!HU19)))</f>
        <v/>
      </c>
      <c r="AF45" s="261"/>
      <c r="AG45" s="261"/>
      <c r="AH45" s="261"/>
      <c r="AI45" s="136"/>
      <c r="AJ45" s="255" t="str">
        <f>IF(Analysis!HR19="","",IF(Analysis!$HR$3="",IF(Analysis!HZ21="","",Analysis!HZ21),Analysis!HZ19))</f>
        <v/>
      </c>
      <c r="AK45" s="255"/>
      <c r="AL45" s="255"/>
      <c r="AM45" s="255"/>
      <c r="AN45" s="255"/>
      <c r="AO45" s="263" t="str">
        <f>IF(Analysis!HR19="","",IF(Analysis!$HR$3="",IF(Analysis!IA21="","",Analysis!IA21),Analysis!IA19))</f>
        <v/>
      </c>
      <c r="AP45" s="263"/>
      <c r="AQ45" s="263"/>
      <c r="AR45" s="263"/>
      <c r="AS45" s="264"/>
      <c r="AT45" s="16"/>
      <c r="AU45" s="16"/>
    </row>
    <row r="46" spans="2:47" ht="12" customHeight="1" x14ac:dyDescent="0.2">
      <c r="B46" s="269"/>
      <c r="C46" s="227"/>
      <c r="D46" s="227"/>
      <c r="E46" s="227"/>
      <c r="F46" s="227"/>
      <c r="G46" s="255"/>
      <c r="H46" s="255"/>
      <c r="I46" s="255"/>
      <c r="J46" s="255"/>
      <c r="K46" s="255"/>
      <c r="L46" s="128" t="str">
        <f>IF('Analysis Report'!G45="","","R")</f>
        <v/>
      </c>
      <c r="M46" s="136"/>
      <c r="N46" s="262" t="str">
        <f>IF('Analysis Report'!G45="","",IF(Analysis!HR19="","",IF(Analysis!$HR$3="",Analysis!HY22,Analysis!HY20)))</f>
        <v/>
      </c>
      <c r="O46" s="262"/>
      <c r="P46" s="262"/>
      <c r="Q46" s="262"/>
      <c r="R46" s="136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128" t="str">
        <f>IF(G45="","","M10")</f>
        <v/>
      </c>
      <c r="AD46" s="136"/>
      <c r="AE46" s="262" t="str">
        <f>IF('Analysis Report'!G45="","",IF(Analysis!HR19="","",IF(Analysis!$HR$3="",Analysis!HU22,Analysis!HU20)))</f>
        <v/>
      </c>
      <c r="AF46" s="262"/>
      <c r="AG46" s="262"/>
      <c r="AH46" s="262"/>
      <c r="AI46" s="136"/>
      <c r="AJ46" s="255"/>
      <c r="AK46" s="255"/>
      <c r="AL46" s="255"/>
      <c r="AM46" s="255"/>
      <c r="AN46" s="255"/>
      <c r="AO46" s="263"/>
      <c r="AP46" s="263"/>
      <c r="AQ46" s="263"/>
      <c r="AR46" s="263"/>
      <c r="AS46" s="264"/>
      <c r="AT46" s="16"/>
      <c r="AU46" s="16"/>
    </row>
    <row r="47" spans="2:47" ht="12" customHeight="1" x14ac:dyDescent="0.2">
      <c r="B47" s="269" t="str">
        <f>IF(Analysis!HR21="","",IF(Analysis!$HR$3="",IF(Analysis!HS23="-","",Analysis!HS23),Analysis!HS21))</f>
        <v/>
      </c>
      <c r="C47" s="227"/>
      <c r="D47" s="227"/>
      <c r="E47" s="227"/>
      <c r="F47" s="227"/>
      <c r="G47" s="255" t="str">
        <f>IF(Analysis!HR21="","",IF(Analysis!$HR$3="",IF(Analysis!HT23=0,"",Analysis!HT23),Analysis!HT21))</f>
        <v/>
      </c>
      <c r="H47" s="255"/>
      <c r="I47" s="255"/>
      <c r="J47" s="255"/>
      <c r="K47" s="255"/>
      <c r="L47" s="128" t="str">
        <f>IF('Analysis Report'!G47="","","L")</f>
        <v/>
      </c>
      <c r="M47" s="136"/>
      <c r="N47" s="262" t="str">
        <f>IF('Analysis Report'!G47="","",IF(Analysis!HR21="","",IF(Analysis!$HR$3="",Analysis!HY23,Analysis!HY21)))</f>
        <v/>
      </c>
      <c r="O47" s="262"/>
      <c r="P47" s="262"/>
      <c r="Q47" s="262"/>
      <c r="R47" s="136"/>
      <c r="S47" s="255" t="str">
        <f>IF('Analysis Report'!G47="","",IF(Analysis!HR21="","",IF(Analysis!$HR$3="",Analysis!HV23,Analysis!HV21)))</f>
        <v/>
      </c>
      <c r="T47" s="255"/>
      <c r="U47" s="255"/>
      <c r="V47" s="255"/>
      <c r="W47" s="255"/>
      <c r="X47" s="255" t="str">
        <f>IF('Analysis Report'!G47="","",IF(Analysis!HR21="","",IF(Analysis!$HR$3="",Analysis!HW24,Analysis!HW22)))</f>
        <v/>
      </c>
      <c r="Y47" s="255"/>
      <c r="Z47" s="255"/>
      <c r="AA47" s="255"/>
      <c r="AB47" s="255"/>
      <c r="AC47" s="128" t="str">
        <f>IF(G47="","","M10")</f>
        <v/>
      </c>
      <c r="AD47" s="136"/>
      <c r="AE47" s="262" t="str">
        <f>IF('Analysis Report'!G47="","",IF(Analysis!HR21="","",IF(Analysis!$HR$3="",Analysis!HU23,Analysis!HU21)))</f>
        <v/>
      </c>
      <c r="AF47" s="262"/>
      <c r="AG47" s="262"/>
      <c r="AH47" s="262"/>
      <c r="AI47" s="136"/>
      <c r="AJ47" s="255" t="str">
        <f>IF(Analysis!HR21="","",IF(Analysis!$HR$3="",IF(Analysis!HZ23="","",Analysis!HZ23),Analysis!HZ21))</f>
        <v/>
      </c>
      <c r="AK47" s="255"/>
      <c r="AL47" s="255"/>
      <c r="AM47" s="255"/>
      <c r="AN47" s="255"/>
      <c r="AO47" s="263" t="str">
        <f>IF(Analysis!HR21="","",IF(Analysis!$HR$3="",IF(Analysis!IA23="","",Analysis!IA23),Analysis!IA21))</f>
        <v/>
      </c>
      <c r="AP47" s="263"/>
      <c r="AQ47" s="263"/>
      <c r="AR47" s="263"/>
      <c r="AS47" s="264"/>
      <c r="AT47" s="16"/>
      <c r="AU47" s="16"/>
    </row>
    <row r="48" spans="2:47" ht="12" customHeight="1" x14ac:dyDescent="0.2">
      <c r="B48" s="269"/>
      <c r="C48" s="227"/>
      <c r="D48" s="227"/>
      <c r="E48" s="227"/>
      <c r="F48" s="227"/>
      <c r="G48" s="255"/>
      <c r="H48" s="255"/>
      <c r="I48" s="255"/>
      <c r="J48" s="255"/>
      <c r="K48" s="255"/>
      <c r="L48" s="128" t="str">
        <f>IF('Analysis Report'!G47="","","R")</f>
        <v/>
      </c>
      <c r="M48" s="136"/>
      <c r="N48" s="261" t="str">
        <f>IF('Analysis Report'!G47="","",IF(Analysis!HR21="","",IF(Analysis!$HR$3="",Analysis!HY24,Analysis!HY22)))</f>
        <v/>
      </c>
      <c r="O48" s="261"/>
      <c r="P48" s="261"/>
      <c r="Q48" s="261"/>
      <c r="R48" s="136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128" t="str">
        <f>IF(G47="","","M11")</f>
        <v/>
      </c>
      <c r="AD48" s="136"/>
      <c r="AE48" s="261" t="str">
        <f>IF('Analysis Report'!G47="","",IF(Analysis!HR21="","",IF(Analysis!$HR$3="",Analysis!HU24,Analysis!HU22)))</f>
        <v/>
      </c>
      <c r="AF48" s="261"/>
      <c r="AG48" s="261"/>
      <c r="AH48" s="261"/>
      <c r="AI48" s="136"/>
      <c r="AJ48" s="255"/>
      <c r="AK48" s="255"/>
      <c r="AL48" s="255"/>
      <c r="AM48" s="255"/>
      <c r="AN48" s="255"/>
      <c r="AO48" s="263"/>
      <c r="AP48" s="263"/>
      <c r="AQ48" s="263"/>
      <c r="AR48" s="263"/>
      <c r="AS48" s="264"/>
      <c r="AT48" s="16"/>
      <c r="AU48" s="16"/>
    </row>
    <row r="49" spans="2:47" ht="12" customHeight="1" x14ac:dyDescent="0.2">
      <c r="B49" s="269" t="str">
        <f>IF(Analysis!HR23="","",IF(Analysis!$HR$3="",IF(Analysis!HS25="-","",Analysis!HS25),Analysis!HS23))</f>
        <v/>
      </c>
      <c r="C49" s="227"/>
      <c r="D49" s="227"/>
      <c r="E49" s="227"/>
      <c r="F49" s="227"/>
      <c r="G49" s="255" t="str">
        <f>IF(Analysis!HR23="","",IF(Analysis!$HR$3="",IF(Analysis!HT25=0,"",Analysis!HT25),Analysis!HT23))</f>
        <v/>
      </c>
      <c r="H49" s="255"/>
      <c r="I49" s="255"/>
      <c r="J49" s="255"/>
      <c r="K49" s="255"/>
      <c r="L49" s="128" t="str">
        <f>IF('Analysis Report'!G49="","","L")</f>
        <v/>
      </c>
      <c r="M49" s="136"/>
      <c r="N49" s="261" t="str">
        <f>IF('Analysis Report'!G49="","",IF(Analysis!HR23="","",IF(Analysis!$HR$3="",Analysis!HY25,Analysis!HY23)))</f>
        <v/>
      </c>
      <c r="O49" s="261"/>
      <c r="P49" s="261"/>
      <c r="Q49" s="261"/>
      <c r="R49" s="136"/>
      <c r="S49" s="255" t="str">
        <f>IF('Analysis Report'!G49="","",IF(Analysis!HR23="","",IF(Analysis!$HR$3="",Analysis!HV25,Analysis!HV23)))</f>
        <v/>
      </c>
      <c r="T49" s="255"/>
      <c r="U49" s="255"/>
      <c r="V49" s="255"/>
      <c r="W49" s="255"/>
      <c r="X49" s="255" t="str">
        <f>IF('Analysis Report'!G49="","",IF(Analysis!HR23="","",IF(Analysis!$HR$3="",Analysis!HW26,Analysis!HW24)))</f>
        <v/>
      </c>
      <c r="Y49" s="255"/>
      <c r="Z49" s="255"/>
      <c r="AA49" s="255"/>
      <c r="AB49" s="255"/>
      <c r="AC49" s="128" t="str">
        <f>IF(G49="","","M11")</f>
        <v/>
      </c>
      <c r="AD49" s="136"/>
      <c r="AE49" s="261" t="str">
        <f>IF('Analysis Report'!G49="","",IF(Analysis!HR23="","",IF(Analysis!$HR$3="",Analysis!HU25,Analysis!HU23)))</f>
        <v/>
      </c>
      <c r="AF49" s="261"/>
      <c r="AG49" s="261"/>
      <c r="AH49" s="261"/>
      <c r="AI49" s="136"/>
      <c r="AJ49" s="255" t="str">
        <f>IF(Analysis!HR23="","",IF(Analysis!$HR$3="",IF(Analysis!HZ25="","",Analysis!HZ25),Analysis!HZ23))</f>
        <v/>
      </c>
      <c r="AK49" s="255"/>
      <c r="AL49" s="255"/>
      <c r="AM49" s="255"/>
      <c r="AN49" s="255"/>
      <c r="AO49" s="263" t="str">
        <f>IF(Analysis!HR23="","",IF(Analysis!$HR$3="",IF(Analysis!IA25="","",Analysis!IA25),Analysis!IA23))</f>
        <v/>
      </c>
      <c r="AP49" s="263"/>
      <c r="AQ49" s="263"/>
      <c r="AR49" s="263"/>
      <c r="AS49" s="264"/>
      <c r="AT49" s="16"/>
      <c r="AU49" s="16"/>
    </row>
    <row r="50" spans="2:47" ht="12" customHeight="1" x14ac:dyDescent="0.2">
      <c r="B50" s="269"/>
      <c r="C50" s="227"/>
      <c r="D50" s="227"/>
      <c r="E50" s="227"/>
      <c r="F50" s="227"/>
      <c r="G50" s="255"/>
      <c r="H50" s="255"/>
      <c r="I50" s="255"/>
      <c r="J50" s="255"/>
      <c r="K50" s="255"/>
      <c r="L50" s="128" t="str">
        <f>IF('Analysis Report'!G49="","","R")</f>
        <v/>
      </c>
      <c r="M50" s="136"/>
      <c r="N50" s="262" t="str">
        <f>IF('Analysis Report'!G49="","",IF(Analysis!HR23="","",IF(Analysis!$HR$3="",Analysis!HY26,Analysis!HY24)))</f>
        <v/>
      </c>
      <c r="O50" s="262"/>
      <c r="P50" s="262"/>
      <c r="Q50" s="262"/>
      <c r="R50" s="136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128" t="str">
        <f>IF(G49="","","M12")</f>
        <v/>
      </c>
      <c r="AD50" s="136"/>
      <c r="AE50" s="262" t="str">
        <f>IF('Analysis Report'!G49="","",IF(Analysis!HR23="","",IF(Analysis!$HR$3="",Analysis!HU26,Analysis!HU24)))</f>
        <v/>
      </c>
      <c r="AF50" s="262"/>
      <c r="AG50" s="262"/>
      <c r="AH50" s="262"/>
      <c r="AI50" s="136"/>
      <c r="AJ50" s="255"/>
      <c r="AK50" s="255"/>
      <c r="AL50" s="255"/>
      <c r="AM50" s="255"/>
      <c r="AN50" s="255"/>
      <c r="AO50" s="263"/>
      <c r="AP50" s="263"/>
      <c r="AQ50" s="263"/>
      <c r="AR50" s="263"/>
      <c r="AS50" s="264"/>
      <c r="AT50" s="16"/>
      <c r="AU50" s="16"/>
    </row>
    <row r="51" spans="2:47" ht="12" customHeight="1" x14ac:dyDescent="0.2">
      <c r="B51" s="269" t="str">
        <f>IF(Analysis!HR25="","",IF(Analysis!$HR$3="",IF(Analysis!HS27="-","",Analysis!HS27),Analysis!HS25))</f>
        <v/>
      </c>
      <c r="C51" s="227"/>
      <c r="D51" s="227"/>
      <c r="E51" s="227"/>
      <c r="F51" s="227"/>
      <c r="G51" s="255" t="str">
        <f>IF(Analysis!HR25="","",IF(Analysis!$HR$3="",IF(Analysis!HT27=0,"",Analysis!HT27),Analysis!HT25))</f>
        <v/>
      </c>
      <c r="H51" s="255"/>
      <c r="I51" s="255"/>
      <c r="J51" s="255"/>
      <c r="K51" s="255"/>
      <c r="L51" s="128" t="str">
        <f>IF('Analysis Report'!G51="","","L")</f>
        <v/>
      </c>
      <c r="M51" s="136"/>
      <c r="N51" s="262" t="str">
        <f>IF('Analysis Report'!G51="","",IF(Analysis!HR25="","",IF(Analysis!$HR$3="",Analysis!HY27,Analysis!HY25)))</f>
        <v/>
      </c>
      <c r="O51" s="262"/>
      <c r="P51" s="262"/>
      <c r="Q51" s="262"/>
      <c r="R51" s="136"/>
      <c r="S51" s="255" t="str">
        <f>IF('Analysis Report'!G51="","",IF(Analysis!HR25="","",IF(Analysis!$HR$3="",Analysis!HV27,Analysis!HV25)))</f>
        <v/>
      </c>
      <c r="T51" s="255"/>
      <c r="U51" s="255"/>
      <c r="V51" s="255"/>
      <c r="W51" s="255"/>
      <c r="X51" s="255" t="str">
        <f>IF('Analysis Report'!G51="","",IF(Analysis!HR25="","",IF(Analysis!$HR$3="",Analysis!HW28,Analysis!HW26)))</f>
        <v/>
      </c>
      <c r="Y51" s="255"/>
      <c r="Z51" s="255"/>
      <c r="AA51" s="255"/>
      <c r="AB51" s="255"/>
      <c r="AC51" s="128" t="str">
        <f>IF(G51="","","M12")</f>
        <v/>
      </c>
      <c r="AD51" s="136"/>
      <c r="AE51" s="262" t="str">
        <f>IF('Analysis Report'!G51="","",IF(Analysis!HR25="","",IF(Analysis!$HR$3="",Analysis!HU27,Analysis!HU25)))</f>
        <v/>
      </c>
      <c r="AF51" s="262"/>
      <c r="AG51" s="262"/>
      <c r="AH51" s="262"/>
      <c r="AI51" s="136"/>
      <c r="AJ51" s="255" t="str">
        <f>IF(Analysis!HR25="","",IF(Analysis!$HR$3="",IF(Analysis!HZ27="","",Analysis!HZ27),Analysis!HZ25))</f>
        <v/>
      </c>
      <c r="AK51" s="255"/>
      <c r="AL51" s="255"/>
      <c r="AM51" s="255"/>
      <c r="AN51" s="255"/>
      <c r="AO51" s="263" t="str">
        <f>IF(Analysis!HR25="","",IF(Analysis!$HR$3="",IF(Analysis!IA27="","",Analysis!IA27),Analysis!IA25))</f>
        <v/>
      </c>
      <c r="AP51" s="263"/>
      <c r="AQ51" s="263"/>
      <c r="AR51" s="263"/>
      <c r="AS51" s="264"/>
      <c r="AT51" s="16"/>
      <c r="AU51" s="16"/>
    </row>
    <row r="52" spans="2:47" ht="12" customHeight="1" x14ac:dyDescent="0.2">
      <c r="B52" s="269"/>
      <c r="C52" s="227"/>
      <c r="D52" s="227"/>
      <c r="E52" s="227"/>
      <c r="F52" s="227"/>
      <c r="G52" s="255"/>
      <c r="H52" s="255"/>
      <c r="I52" s="255"/>
      <c r="J52" s="255"/>
      <c r="K52" s="255"/>
      <c r="L52" s="128" t="str">
        <f>IF('Analysis Report'!G51="","","R")</f>
        <v/>
      </c>
      <c r="M52" s="136"/>
      <c r="N52" s="261" t="str">
        <f>IF('Analysis Report'!G51="","",IF(Analysis!HR25="","",IF(Analysis!$HR$3="",Analysis!HY28,Analysis!HY26)))</f>
        <v/>
      </c>
      <c r="O52" s="261"/>
      <c r="P52" s="261"/>
      <c r="Q52" s="261"/>
      <c r="R52" s="136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128" t="str">
        <f>IF(G51="","","M13")</f>
        <v/>
      </c>
      <c r="AD52" s="136"/>
      <c r="AE52" s="261" t="str">
        <f>IF('Analysis Report'!G51="","",IF(Analysis!HR25="","",IF(Analysis!$HR$3="",Analysis!HU28,Analysis!HU26)))</f>
        <v/>
      </c>
      <c r="AF52" s="261"/>
      <c r="AG52" s="261"/>
      <c r="AH52" s="261"/>
      <c r="AI52" s="136"/>
      <c r="AJ52" s="255"/>
      <c r="AK52" s="255"/>
      <c r="AL52" s="255"/>
      <c r="AM52" s="255"/>
      <c r="AN52" s="255"/>
      <c r="AO52" s="263"/>
      <c r="AP52" s="263"/>
      <c r="AQ52" s="263"/>
      <c r="AR52" s="263"/>
      <c r="AS52" s="264"/>
      <c r="AT52" s="16"/>
      <c r="AU52" s="16"/>
    </row>
    <row r="53" spans="2:47" ht="12" customHeight="1" x14ac:dyDescent="0.2">
      <c r="B53" s="269" t="str">
        <f>IF(Analysis!HR27="","",IF(Analysis!$HR$3="",IF(Analysis!HS29="-","",Analysis!HS29),Analysis!HS27))</f>
        <v/>
      </c>
      <c r="C53" s="227"/>
      <c r="D53" s="227"/>
      <c r="E53" s="227"/>
      <c r="F53" s="227"/>
      <c r="G53" s="255" t="str">
        <f>IF(Analysis!HR27="","",IF(Analysis!$HR$3="",IF(Analysis!HT29=0,"",Analysis!HT29),Analysis!HT27))</f>
        <v/>
      </c>
      <c r="H53" s="255"/>
      <c r="I53" s="255"/>
      <c r="J53" s="255"/>
      <c r="K53" s="255"/>
      <c r="L53" s="128" t="str">
        <f>IF('Analysis Report'!G53="","","L")</f>
        <v/>
      </c>
      <c r="M53" s="136"/>
      <c r="N53" s="261" t="str">
        <f>IF('Analysis Report'!G53="","",IF(Analysis!HR27="","",IF(Analysis!$HR$3="",Analysis!HY29,Analysis!HY27)))</f>
        <v/>
      </c>
      <c r="O53" s="261"/>
      <c r="P53" s="261"/>
      <c r="Q53" s="261"/>
      <c r="R53" s="136"/>
      <c r="S53" s="255" t="str">
        <f>IF('Analysis Report'!G53="","",IF(Analysis!HR27="","",IF(Analysis!$HR$3="",Analysis!HV29,Analysis!HV27)))</f>
        <v/>
      </c>
      <c r="T53" s="255"/>
      <c r="U53" s="255"/>
      <c r="V53" s="255"/>
      <c r="W53" s="255"/>
      <c r="X53" s="255" t="str">
        <f>IF('Analysis Report'!G53="","",IF(Analysis!HR27="","",IF(Analysis!$HR$3="",Analysis!HW30,Analysis!HW28)))</f>
        <v/>
      </c>
      <c r="Y53" s="255"/>
      <c r="Z53" s="255"/>
      <c r="AA53" s="255"/>
      <c r="AB53" s="255"/>
      <c r="AC53" s="128" t="str">
        <f>IF(G53="","","M13")</f>
        <v/>
      </c>
      <c r="AD53" s="136"/>
      <c r="AE53" s="261" t="str">
        <f>IF('Analysis Report'!G53="","",IF(Analysis!HR27="","",IF(Analysis!$HR$3="",Analysis!HU29,Analysis!HU27)))</f>
        <v/>
      </c>
      <c r="AF53" s="261"/>
      <c r="AG53" s="261"/>
      <c r="AH53" s="261"/>
      <c r="AI53" s="136"/>
      <c r="AJ53" s="255" t="str">
        <f>IF(Analysis!HR27="","",IF(Analysis!$HR$3="",IF(Analysis!HZ29="","",Analysis!HZ29),Analysis!HZ27))</f>
        <v/>
      </c>
      <c r="AK53" s="255"/>
      <c r="AL53" s="255"/>
      <c r="AM53" s="255"/>
      <c r="AN53" s="255"/>
      <c r="AO53" s="263" t="str">
        <f>IF(Analysis!HR27="","",IF(Analysis!$HR$3="",IF(Analysis!IA29="","",Analysis!IA29),Analysis!IA27))</f>
        <v/>
      </c>
      <c r="AP53" s="263"/>
      <c r="AQ53" s="263"/>
      <c r="AR53" s="263"/>
      <c r="AS53" s="264"/>
      <c r="AT53" s="16"/>
      <c r="AU53" s="16"/>
    </row>
    <row r="54" spans="2:47" ht="12" customHeight="1" x14ac:dyDescent="0.2">
      <c r="B54" s="269"/>
      <c r="C54" s="227"/>
      <c r="D54" s="227"/>
      <c r="E54" s="227"/>
      <c r="F54" s="227"/>
      <c r="G54" s="255"/>
      <c r="H54" s="255"/>
      <c r="I54" s="255"/>
      <c r="J54" s="255"/>
      <c r="K54" s="255"/>
      <c r="L54" s="128" t="str">
        <f>IF('Analysis Report'!G53="","","R")</f>
        <v/>
      </c>
      <c r="M54" s="136"/>
      <c r="N54" s="262" t="str">
        <f>IF('Analysis Report'!G53="","",IF(Analysis!HR27="","",IF(Analysis!$HR$3="",Analysis!HY30,Analysis!HY28)))</f>
        <v/>
      </c>
      <c r="O54" s="262"/>
      <c r="P54" s="262"/>
      <c r="Q54" s="262"/>
      <c r="R54" s="136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128" t="str">
        <f>IF(G53="","","M14")</f>
        <v/>
      </c>
      <c r="AD54" s="136"/>
      <c r="AE54" s="262" t="str">
        <f>IF('Analysis Report'!G53="","",IF(Analysis!HR27="","",IF(Analysis!$HR$3="",Analysis!HU30,Analysis!HU28)))</f>
        <v/>
      </c>
      <c r="AF54" s="262"/>
      <c r="AG54" s="262"/>
      <c r="AH54" s="262"/>
      <c r="AI54" s="136"/>
      <c r="AJ54" s="255"/>
      <c r="AK54" s="255"/>
      <c r="AL54" s="255"/>
      <c r="AM54" s="255"/>
      <c r="AN54" s="255"/>
      <c r="AO54" s="263"/>
      <c r="AP54" s="263"/>
      <c r="AQ54" s="263"/>
      <c r="AR54" s="263"/>
      <c r="AS54" s="264"/>
      <c r="AT54" s="16"/>
      <c r="AU54" s="16"/>
    </row>
    <row r="55" spans="2:47" ht="12" customHeight="1" x14ac:dyDescent="0.2">
      <c r="B55" s="269" t="str">
        <f>IF(Analysis!HR29="","",IF(Analysis!$HR$3="",IF(Analysis!HS31="-","",Analysis!HS31),Analysis!HS29))</f>
        <v/>
      </c>
      <c r="C55" s="227"/>
      <c r="D55" s="227"/>
      <c r="E55" s="227"/>
      <c r="F55" s="227"/>
      <c r="G55" s="255" t="str">
        <f>IF(Analysis!HR29="","",IF(Analysis!$HR$3="",IF(Analysis!HT31=0,"",Analysis!HT31),Analysis!HT29))</f>
        <v/>
      </c>
      <c r="H55" s="255"/>
      <c r="I55" s="255"/>
      <c r="J55" s="255"/>
      <c r="K55" s="255"/>
      <c r="L55" s="128" t="str">
        <f>IF('Analysis Report'!G55="","","L")</f>
        <v/>
      </c>
      <c r="M55" s="136"/>
      <c r="N55" s="262" t="str">
        <f>IF('Analysis Report'!G55="","",IF(Analysis!HR29="","",IF(Analysis!$HR$3="",Analysis!HY31,Analysis!HY29)))</f>
        <v/>
      </c>
      <c r="O55" s="262"/>
      <c r="P55" s="262"/>
      <c r="Q55" s="262"/>
      <c r="R55" s="136"/>
      <c r="S55" s="255" t="str">
        <f>IF('Analysis Report'!G55="","",IF(Analysis!HR29="","",IF(Analysis!$HR$3="",Analysis!HV31,Analysis!HV29)))</f>
        <v/>
      </c>
      <c r="T55" s="255"/>
      <c r="U55" s="255"/>
      <c r="V55" s="255"/>
      <c r="W55" s="255"/>
      <c r="X55" s="255" t="str">
        <f>IF('Analysis Report'!G55="","",IF(Analysis!HR29="","",IF(Analysis!$HR$3="",Analysis!HW32,Analysis!HW30)))</f>
        <v/>
      </c>
      <c r="Y55" s="255"/>
      <c r="Z55" s="255"/>
      <c r="AA55" s="255"/>
      <c r="AB55" s="255"/>
      <c r="AC55" s="128" t="str">
        <f>IF(G55="","","M14")</f>
        <v/>
      </c>
      <c r="AD55" s="136"/>
      <c r="AE55" s="262" t="str">
        <f>IF('Analysis Report'!G55="","",IF(Analysis!HR29="","",IF(Analysis!$HR$3="",Analysis!HU31,Analysis!HU29)))</f>
        <v/>
      </c>
      <c r="AF55" s="262"/>
      <c r="AG55" s="262"/>
      <c r="AH55" s="262"/>
      <c r="AI55" s="136"/>
      <c r="AJ55" s="255" t="str">
        <f>IF(Analysis!HR29="","",IF(Analysis!$HR$3="",IF(Analysis!HZ31="","",Analysis!HZ31),Analysis!HZ29))</f>
        <v/>
      </c>
      <c r="AK55" s="255"/>
      <c r="AL55" s="255"/>
      <c r="AM55" s="255"/>
      <c r="AN55" s="255"/>
      <c r="AO55" s="263" t="str">
        <f>IF(Analysis!HR29="","",IF(Analysis!$HR$3="",IF(Analysis!IA31="","",Analysis!IA31),Analysis!IA29))</f>
        <v/>
      </c>
      <c r="AP55" s="263"/>
      <c r="AQ55" s="263"/>
      <c r="AR55" s="263"/>
      <c r="AS55" s="264"/>
      <c r="AT55" s="16"/>
      <c r="AU55" s="16"/>
    </row>
    <row r="56" spans="2:47" ht="12" customHeight="1" x14ac:dyDescent="0.2">
      <c r="B56" s="269"/>
      <c r="C56" s="227"/>
      <c r="D56" s="227"/>
      <c r="E56" s="227"/>
      <c r="F56" s="227"/>
      <c r="G56" s="255"/>
      <c r="H56" s="255"/>
      <c r="I56" s="255"/>
      <c r="J56" s="255"/>
      <c r="K56" s="255"/>
      <c r="L56" s="128" t="str">
        <f>IF('Analysis Report'!G55="","","R")</f>
        <v/>
      </c>
      <c r="M56" s="136"/>
      <c r="N56" s="261" t="str">
        <f>IF('Analysis Report'!G55="","",IF(Analysis!HR29="","",IF(Analysis!$HR$3="",Analysis!HY32,Analysis!HY30)))</f>
        <v/>
      </c>
      <c r="O56" s="261"/>
      <c r="P56" s="261"/>
      <c r="Q56" s="261"/>
      <c r="R56" s="13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128" t="str">
        <f>IF(G55="","","M15")</f>
        <v/>
      </c>
      <c r="AD56" s="136"/>
      <c r="AE56" s="261" t="str">
        <f>IF('Analysis Report'!G55="","",IF(Analysis!HR29="","",IF(Analysis!$HR$3="",Analysis!HU32,Analysis!HU30)))</f>
        <v/>
      </c>
      <c r="AF56" s="261"/>
      <c r="AG56" s="261"/>
      <c r="AH56" s="261"/>
      <c r="AI56" s="136"/>
      <c r="AJ56" s="255"/>
      <c r="AK56" s="255"/>
      <c r="AL56" s="255"/>
      <c r="AM56" s="255"/>
      <c r="AN56" s="255"/>
      <c r="AO56" s="263"/>
      <c r="AP56" s="263"/>
      <c r="AQ56" s="263"/>
      <c r="AR56" s="263"/>
      <c r="AS56" s="264"/>
      <c r="AT56" s="16"/>
      <c r="AU56" s="16"/>
    </row>
    <row r="57" spans="2:47" ht="12" customHeight="1" x14ac:dyDescent="0.2">
      <c r="B57" s="269" t="str">
        <f>IF(Analysis!HR31="","",IF(Analysis!$HR$3="",IF(Analysis!HS33="-","",Analysis!HS33),Analysis!HS31))</f>
        <v/>
      </c>
      <c r="C57" s="227"/>
      <c r="D57" s="227"/>
      <c r="E57" s="227"/>
      <c r="F57" s="227"/>
      <c r="G57" s="255" t="str">
        <f>IF(Analysis!HR31="","",IF(Analysis!$HR$3="",IF(Analysis!HT33=0,"",Analysis!HT33),Analysis!HT31))</f>
        <v/>
      </c>
      <c r="H57" s="255"/>
      <c r="I57" s="255"/>
      <c r="J57" s="255"/>
      <c r="K57" s="255"/>
      <c r="L57" s="128" t="str">
        <f>IF('Analysis Report'!G57="","","L")</f>
        <v/>
      </c>
      <c r="M57" s="136"/>
      <c r="N57" s="261" t="str">
        <f>IF('Analysis Report'!G57="","",IF(Analysis!HR31="","",IF(Analysis!$HR$3="",Analysis!HY33,Analysis!HY31)))</f>
        <v/>
      </c>
      <c r="O57" s="261"/>
      <c r="P57" s="261"/>
      <c r="Q57" s="261"/>
      <c r="R57" s="136"/>
      <c r="S57" s="255" t="str">
        <f>IF('Analysis Report'!G57="","",IF(Analysis!HR31="","",IF(Analysis!$HR$3="",Analysis!HV33,Analysis!HV31)))</f>
        <v/>
      </c>
      <c r="T57" s="255"/>
      <c r="U57" s="255"/>
      <c r="V57" s="255"/>
      <c r="W57" s="255"/>
      <c r="X57" s="255" t="str">
        <f>IF('Analysis Report'!G57="","",IF(Analysis!HR31="","",IF(Analysis!$HR$3="",Analysis!HW34,Analysis!HW32)))</f>
        <v/>
      </c>
      <c r="Y57" s="255"/>
      <c r="Z57" s="255"/>
      <c r="AA57" s="255"/>
      <c r="AB57" s="255"/>
      <c r="AC57" s="128" t="str">
        <f>IF(G57="","","M15")</f>
        <v/>
      </c>
      <c r="AD57" s="136"/>
      <c r="AE57" s="261" t="str">
        <f>IF('Analysis Report'!G57="","",IF(Analysis!HR31="","",IF(Analysis!$HR$3="",Analysis!HU33,Analysis!HU31)))</f>
        <v/>
      </c>
      <c r="AF57" s="261"/>
      <c r="AG57" s="261"/>
      <c r="AH57" s="261"/>
      <c r="AI57" s="136"/>
      <c r="AJ57" s="255" t="str">
        <f>IF(Analysis!HR31="","",IF(Analysis!$HR$3="",IF(Analysis!HZ33="","",Analysis!HZ33),Analysis!HZ31))</f>
        <v/>
      </c>
      <c r="AK57" s="255"/>
      <c r="AL57" s="255"/>
      <c r="AM57" s="255"/>
      <c r="AN57" s="255"/>
      <c r="AO57" s="263" t="str">
        <f>IF(Analysis!HR31="","",IF(Analysis!$HR$3="",IF(Analysis!IA33="","",Analysis!IA33),Analysis!IA31))</f>
        <v/>
      </c>
      <c r="AP57" s="263"/>
      <c r="AQ57" s="263"/>
      <c r="AR57" s="263"/>
      <c r="AS57" s="264"/>
      <c r="AT57" s="16"/>
      <c r="AU57" s="16"/>
    </row>
    <row r="58" spans="2:47" ht="12" customHeight="1" x14ac:dyDescent="0.2">
      <c r="B58" s="269"/>
      <c r="C58" s="227"/>
      <c r="D58" s="227"/>
      <c r="E58" s="227"/>
      <c r="F58" s="227"/>
      <c r="G58" s="255"/>
      <c r="H58" s="255"/>
      <c r="I58" s="255"/>
      <c r="J58" s="255"/>
      <c r="K58" s="255"/>
      <c r="L58" s="128" t="str">
        <f>IF('Analysis Report'!G57="","","R")</f>
        <v/>
      </c>
      <c r="M58" s="136"/>
      <c r="N58" s="262" t="str">
        <f>IF('Analysis Report'!G57="","",IF(Analysis!HR31="","",IF(Analysis!$HR$3="",Analysis!HY34,Analysis!HY32)))</f>
        <v/>
      </c>
      <c r="O58" s="262"/>
      <c r="P58" s="262"/>
      <c r="Q58" s="262"/>
      <c r="R58" s="136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128" t="str">
        <f>IF(G57="","","M16")</f>
        <v/>
      </c>
      <c r="AD58" s="136"/>
      <c r="AE58" s="262" t="str">
        <f>IF('Analysis Report'!G57="","",IF(Analysis!HR31="","",IF(Analysis!$HR$3="",Analysis!HU34,Analysis!HU32)))</f>
        <v/>
      </c>
      <c r="AF58" s="262"/>
      <c r="AG58" s="262"/>
      <c r="AH58" s="262"/>
      <c r="AI58" s="136"/>
      <c r="AJ58" s="255"/>
      <c r="AK58" s="255"/>
      <c r="AL58" s="255"/>
      <c r="AM58" s="255"/>
      <c r="AN58" s="255"/>
      <c r="AO58" s="263"/>
      <c r="AP58" s="263"/>
      <c r="AQ58" s="263"/>
      <c r="AR58" s="263"/>
      <c r="AS58" s="264"/>
      <c r="AT58" s="16"/>
      <c r="AU58" s="16"/>
    </row>
    <row r="59" spans="2:47" ht="12" customHeight="1" x14ac:dyDescent="0.2">
      <c r="B59" s="269" t="str">
        <f>IF(Analysis!HR33="","",IF(Analysis!$HR$3="",IF(Analysis!HS35="-","",Analysis!HS35),Analysis!HS33))</f>
        <v/>
      </c>
      <c r="C59" s="227"/>
      <c r="D59" s="227"/>
      <c r="E59" s="227"/>
      <c r="F59" s="227"/>
      <c r="G59" s="255" t="str">
        <f>IF(Analysis!HR33="","",IF(Analysis!$HR$3="",IF(Analysis!HT35=0,"",Analysis!HT35),Analysis!HT33))</f>
        <v/>
      </c>
      <c r="H59" s="255"/>
      <c r="I59" s="255"/>
      <c r="J59" s="255"/>
      <c r="K59" s="255"/>
      <c r="L59" s="128" t="str">
        <f>IF('Analysis Report'!G59="","","L")</f>
        <v/>
      </c>
      <c r="M59" s="136"/>
      <c r="N59" s="262" t="str">
        <f>IF('Analysis Report'!G59="","",IF(Analysis!HR33="","",IF(Analysis!$HR$3="",Analysis!HY35,Analysis!HY33)))</f>
        <v/>
      </c>
      <c r="O59" s="262"/>
      <c r="P59" s="262"/>
      <c r="Q59" s="262"/>
      <c r="R59" s="136"/>
      <c r="S59" s="255" t="str">
        <f>IF('Analysis Report'!G59="","",IF(Analysis!HR33="","",IF(Analysis!$HR$3="",Analysis!HV35,Analysis!HV33)))</f>
        <v/>
      </c>
      <c r="T59" s="255"/>
      <c r="U59" s="255"/>
      <c r="V59" s="255"/>
      <c r="W59" s="255"/>
      <c r="X59" s="255" t="str">
        <f>IF('Analysis Report'!G59="","",IF(Analysis!HR33="","",IF(Analysis!$HR$3="",Analysis!HW36,Analysis!HW34)))</f>
        <v/>
      </c>
      <c r="Y59" s="255"/>
      <c r="Z59" s="255"/>
      <c r="AA59" s="255"/>
      <c r="AB59" s="255"/>
      <c r="AC59" s="128" t="str">
        <f>IF(G59="","","M16")</f>
        <v/>
      </c>
      <c r="AD59" s="136"/>
      <c r="AE59" s="262" t="str">
        <f>IF('Analysis Report'!G59="","",IF(Analysis!HR33="","",IF(Analysis!$HR$3="",Analysis!HU35,Analysis!HU33)))</f>
        <v/>
      </c>
      <c r="AF59" s="262"/>
      <c r="AG59" s="262"/>
      <c r="AH59" s="262"/>
      <c r="AI59" s="136"/>
      <c r="AJ59" s="255" t="str">
        <f>IF(Analysis!HR33="","",IF(Analysis!$HR$3="",IF(Analysis!HZ35="","",Analysis!HZ35),Analysis!HZ33))</f>
        <v/>
      </c>
      <c r="AK59" s="255"/>
      <c r="AL59" s="255"/>
      <c r="AM59" s="255"/>
      <c r="AN59" s="255"/>
      <c r="AO59" s="263" t="str">
        <f>IF(Analysis!HR33="","",IF(Analysis!$HR$3="",IF(Analysis!IA35="","",Analysis!IA35),Analysis!IA33))</f>
        <v/>
      </c>
      <c r="AP59" s="263"/>
      <c r="AQ59" s="263"/>
      <c r="AR59" s="263"/>
      <c r="AS59" s="264"/>
      <c r="AT59" s="16"/>
      <c r="AU59" s="16"/>
    </row>
    <row r="60" spans="2:47" ht="12" customHeight="1" x14ac:dyDescent="0.2">
      <c r="B60" s="269"/>
      <c r="C60" s="227"/>
      <c r="D60" s="227"/>
      <c r="E60" s="227"/>
      <c r="F60" s="227"/>
      <c r="G60" s="255"/>
      <c r="H60" s="255"/>
      <c r="I60" s="255"/>
      <c r="J60" s="255"/>
      <c r="K60" s="255"/>
      <c r="L60" s="128" t="str">
        <f>IF('Analysis Report'!G59="","","R")</f>
        <v/>
      </c>
      <c r="M60" s="136"/>
      <c r="N60" s="261" t="str">
        <f>IF('Analysis Report'!G59="","",IF(Analysis!HR33="","",IF(Analysis!$HR$3="",Analysis!HY36,Analysis!HY34)))</f>
        <v/>
      </c>
      <c r="O60" s="261"/>
      <c r="P60" s="261"/>
      <c r="Q60" s="261"/>
      <c r="R60" s="136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128" t="str">
        <f>IF(G59="","","M17")</f>
        <v/>
      </c>
      <c r="AD60" s="136"/>
      <c r="AE60" s="261" t="str">
        <f>IF('Analysis Report'!G59="","",IF(Analysis!HR33="","",IF(Analysis!$HR$3="",Analysis!HU36,Analysis!HU34)))</f>
        <v/>
      </c>
      <c r="AF60" s="261"/>
      <c r="AG60" s="261"/>
      <c r="AH60" s="261"/>
      <c r="AI60" s="136"/>
      <c r="AJ60" s="255"/>
      <c r="AK60" s="255"/>
      <c r="AL60" s="255"/>
      <c r="AM60" s="255"/>
      <c r="AN60" s="255"/>
      <c r="AO60" s="263"/>
      <c r="AP60" s="263"/>
      <c r="AQ60" s="263"/>
      <c r="AR60" s="263"/>
      <c r="AS60" s="264"/>
      <c r="AT60" s="16"/>
      <c r="AU60" s="16"/>
    </row>
    <row r="61" spans="2:47" ht="12" customHeight="1" x14ac:dyDescent="0.2">
      <c r="B61" s="269" t="str">
        <f>IF(Analysis!HR35="","",IF(Analysis!$HR$3="",IF(Analysis!HS37="-","",Analysis!HS37),Analysis!HS35))</f>
        <v/>
      </c>
      <c r="C61" s="227"/>
      <c r="D61" s="227"/>
      <c r="E61" s="227"/>
      <c r="F61" s="227"/>
      <c r="G61" s="255" t="str">
        <f>IF(Analysis!HR35="","",IF(Analysis!$HR$3="",IF(Analysis!HT37=0,"",Analysis!HT37),Analysis!HT35))</f>
        <v/>
      </c>
      <c r="H61" s="255"/>
      <c r="I61" s="255"/>
      <c r="J61" s="255"/>
      <c r="K61" s="255"/>
      <c r="L61" s="128" t="str">
        <f>IF('Analysis Report'!G61="","","L")</f>
        <v/>
      </c>
      <c r="M61" s="136"/>
      <c r="N61" s="261" t="str">
        <f>IF('Analysis Report'!G61="","",IF(Analysis!HR35="","",IF(Analysis!$HR$3="",Analysis!HY37,Analysis!HY35)))</f>
        <v/>
      </c>
      <c r="O61" s="261"/>
      <c r="P61" s="261"/>
      <c r="Q61" s="261"/>
      <c r="R61" s="136"/>
      <c r="S61" s="255" t="str">
        <f>IF('Analysis Report'!G61="","",IF(Analysis!HR35="","",IF(Analysis!$HR$3="",Analysis!HV37,Analysis!HV35)))</f>
        <v/>
      </c>
      <c r="T61" s="255"/>
      <c r="U61" s="255"/>
      <c r="V61" s="255"/>
      <c r="W61" s="255"/>
      <c r="X61" s="255" t="str">
        <f>IF('Analysis Report'!G61="","",IF(Analysis!HR35="","",IF(Analysis!$HR$3="",Analysis!HW38,Analysis!HW36)))</f>
        <v/>
      </c>
      <c r="Y61" s="255"/>
      <c r="Z61" s="255"/>
      <c r="AA61" s="255"/>
      <c r="AB61" s="255"/>
      <c r="AC61" s="128" t="str">
        <f>IF(G61="","","M17")</f>
        <v/>
      </c>
      <c r="AD61" s="136"/>
      <c r="AE61" s="261" t="str">
        <f>IF('Analysis Report'!G61="","",IF(Analysis!HR35="","",IF(Analysis!$HR$3="",Analysis!HU37,Analysis!HU35)))</f>
        <v/>
      </c>
      <c r="AF61" s="261"/>
      <c r="AG61" s="261"/>
      <c r="AH61" s="261"/>
      <c r="AI61" s="136"/>
      <c r="AJ61" s="255" t="str">
        <f>IF(Analysis!HR35="","",IF(Analysis!$HR$3="",IF(Analysis!HZ37="","",Analysis!HZ37),Analysis!HZ35))</f>
        <v/>
      </c>
      <c r="AK61" s="255"/>
      <c r="AL61" s="255"/>
      <c r="AM61" s="255"/>
      <c r="AN61" s="255"/>
      <c r="AO61" s="263" t="str">
        <f>IF(Analysis!HR35="","",IF(Analysis!$HR$3="",IF(Analysis!IA37="","",Analysis!IA37),Analysis!IA35))</f>
        <v/>
      </c>
      <c r="AP61" s="263"/>
      <c r="AQ61" s="263"/>
      <c r="AR61" s="263"/>
      <c r="AS61" s="264"/>
      <c r="AT61" s="16"/>
      <c r="AU61" s="16"/>
    </row>
    <row r="62" spans="2:47" ht="12" customHeight="1" x14ac:dyDescent="0.2">
      <c r="B62" s="269"/>
      <c r="C62" s="227"/>
      <c r="D62" s="227"/>
      <c r="E62" s="227"/>
      <c r="F62" s="227"/>
      <c r="G62" s="255"/>
      <c r="H62" s="255"/>
      <c r="I62" s="255"/>
      <c r="J62" s="255"/>
      <c r="K62" s="255"/>
      <c r="L62" s="128" t="str">
        <f>IF('Analysis Report'!G61="","","R")</f>
        <v/>
      </c>
      <c r="M62" s="136"/>
      <c r="N62" s="262" t="str">
        <f>IF('Analysis Report'!G61="","",IF(Analysis!HR35="","",IF(Analysis!$HR$3="",Analysis!HY38,Analysis!HY36)))</f>
        <v/>
      </c>
      <c r="O62" s="262"/>
      <c r="P62" s="262"/>
      <c r="Q62" s="262"/>
      <c r="R62" s="136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128" t="str">
        <f>IF(G61="","","M18")</f>
        <v/>
      </c>
      <c r="AD62" s="136"/>
      <c r="AE62" s="262" t="str">
        <f>IF('Analysis Report'!G61="","",IF(Analysis!HR35="","",IF(Analysis!$HR$3="",Analysis!HU38,Analysis!HU36)))</f>
        <v/>
      </c>
      <c r="AF62" s="262"/>
      <c r="AG62" s="262"/>
      <c r="AH62" s="262"/>
      <c r="AI62" s="136"/>
      <c r="AJ62" s="255"/>
      <c r="AK62" s="255"/>
      <c r="AL62" s="255"/>
      <c r="AM62" s="255"/>
      <c r="AN62" s="255"/>
      <c r="AO62" s="263"/>
      <c r="AP62" s="263"/>
      <c r="AQ62" s="263"/>
      <c r="AR62" s="263"/>
      <c r="AS62" s="264"/>
      <c r="AT62" s="16"/>
      <c r="AU62" s="16"/>
    </row>
    <row r="63" spans="2:47" ht="12" customHeight="1" x14ac:dyDescent="0.2">
      <c r="B63" s="269" t="str">
        <f>IF(Analysis!HR37="","",IF(Analysis!$HR$3="",IF(Analysis!HS39="-","",Analysis!HS39),Analysis!HS37))</f>
        <v/>
      </c>
      <c r="C63" s="227"/>
      <c r="D63" s="227"/>
      <c r="E63" s="227"/>
      <c r="F63" s="227"/>
      <c r="G63" s="255" t="str">
        <f>IF(Analysis!HR37="","",IF(Analysis!$HR$3="",IF(Analysis!HT39=0,"",Analysis!HT39),Analysis!HT37))</f>
        <v/>
      </c>
      <c r="H63" s="255"/>
      <c r="I63" s="255"/>
      <c r="J63" s="255"/>
      <c r="K63" s="255"/>
      <c r="L63" s="128" t="str">
        <f>IF('Analysis Report'!G63="","","L")</f>
        <v/>
      </c>
      <c r="M63" s="136"/>
      <c r="N63" s="262" t="str">
        <f>IF('Analysis Report'!G63="","",IF(Analysis!HR37="","",IF(Analysis!$HR$3="",Analysis!HY39,Analysis!HY37)))</f>
        <v/>
      </c>
      <c r="O63" s="262"/>
      <c r="P63" s="262"/>
      <c r="Q63" s="262"/>
      <c r="R63" s="136"/>
      <c r="S63" s="255" t="str">
        <f>IF('Analysis Report'!G63="","",IF(Analysis!HR37="","",IF(Analysis!$HR$3="",Analysis!HV39,Analysis!HV37)))</f>
        <v/>
      </c>
      <c r="T63" s="255"/>
      <c r="U63" s="255"/>
      <c r="V63" s="255"/>
      <c r="W63" s="255"/>
      <c r="X63" s="255" t="str">
        <f>IF('Analysis Report'!G63="","",IF(Analysis!HR37="","",IF(Analysis!$HR$3="",Analysis!HW40,Analysis!HW38)))</f>
        <v/>
      </c>
      <c r="Y63" s="255"/>
      <c r="Z63" s="255"/>
      <c r="AA63" s="255"/>
      <c r="AB63" s="255"/>
      <c r="AC63" s="128" t="str">
        <f>IF(G63="","","M18")</f>
        <v/>
      </c>
      <c r="AD63" s="136"/>
      <c r="AE63" s="262" t="str">
        <f>IF('Analysis Report'!G63="","",IF(Analysis!HR37="","",IF(Analysis!$HR$3="",Analysis!HU39,Analysis!HU37)))</f>
        <v/>
      </c>
      <c r="AF63" s="262"/>
      <c r="AG63" s="262"/>
      <c r="AH63" s="262"/>
      <c r="AI63" s="136"/>
      <c r="AJ63" s="255" t="str">
        <f>IF(Analysis!HR37="","",IF(Analysis!$HR$3="",IF(Analysis!HZ39="","",Analysis!HZ39),Analysis!HZ37))</f>
        <v/>
      </c>
      <c r="AK63" s="255"/>
      <c r="AL63" s="255"/>
      <c r="AM63" s="255"/>
      <c r="AN63" s="255"/>
      <c r="AO63" s="263" t="str">
        <f>IF(Analysis!HR37="","",IF(Analysis!$HR$3="",IF(Analysis!IA39="","",Analysis!IA39),Analysis!IA37))</f>
        <v/>
      </c>
      <c r="AP63" s="263"/>
      <c r="AQ63" s="263"/>
      <c r="AR63" s="263"/>
      <c r="AS63" s="264"/>
      <c r="AT63" s="16"/>
      <c r="AU63" s="16"/>
    </row>
    <row r="64" spans="2:47" ht="12" customHeight="1" x14ac:dyDescent="0.2">
      <c r="B64" s="269"/>
      <c r="C64" s="227"/>
      <c r="D64" s="227"/>
      <c r="E64" s="227"/>
      <c r="F64" s="227"/>
      <c r="G64" s="255"/>
      <c r="H64" s="255"/>
      <c r="I64" s="255"/>
      <c r="J64" s="255"/>
      <c r="K64" s="255"/>
      <c r="L64" s="128" t="str">
        <f>IF('Analysis Report'!G63="","","R")</f>
        <v/>
      </c>
      <c r="M64" s="136"/>
      <c r="N64" s="261" t="str">
        <f>IF('Analysis Report'!G63="","",IF(Analysis!HR37="","",IF(Analysis!$HR$3="",Analysis!HY40,Analysis!HY38)))</f>
        <v/>
      </c>
      <c r="O64" s="261"/>
      <c r="P64" s="261"/>
      <c r="Q64" s="261"/>
      <c r="R64" s="136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128" t="str">
        <f>IF(G63="","","M19")</f>
        <v/>
      </c>
      <c r="AD64" s="136"/>
      <c r="AE64" s="261" t="str">
        <f>IF('Analysis Report'!G63="","",IF(Analysis!HR37="","",IF(Analysis!$HR$3="",Analysis!HU40,Analysis!HU38)))</f>
        <v/>
      </c>
      <c r="AF64" s="261"/>
      <c r="AG64" s="261"/>
      <c r="AH64" s="261"/>
      <c r="AI64" s="136"/>
      <c r="AJ64" s="255"/>
      <c r="AK64" s="255"/>
      <c r="AL64" s="255"/>
      <c r="AM64" s="255"/>
      <c r="AN64" s="255"/>
      <c r="AO64" s="263"/>
      <c r="AP64" s="263"/>
      <c r="AQ64" s="263"/>
      <c r="AR64" s="263"/>
      <c r="AS64" s="264"/>
      <c r="AT64" s="16"/>
      <c r="AU64" s="16"/>
    </row>
    <row r="65" spans="2:47" ht="12" customHeight="1" x14ac:dyDescent="0.2">
      <c r="B65" s="269" t="str">
        <f>IF(Analysis!HR39="","",IF(Analysis!$HR$3="",IF(Analysis!HS41="-","",Analysis!HS41),Analysis!HS39))</f>
        <v/>
      </c>
      <c r="C65" s="227"/>
      <c r="D65" s="227"/>
      <c r="E65" s="227"/>
      <c r="F65" s="227"/>
      <c r="G65" s="255" t="str">
        <f>IF(Analysis!HR39="","",IF(Analysis!$HR$3="",IF(Analysis!HT41=0,"",Analysis!HT41),Analysis!HT39))</f>
        <v/>
      </c>
      <c r="H65" s="255"/>
      <c r="I65" s="255"/>
      <c r="J65" s="255"/>
      <c r="K65" s="255"/>
      <c r="L65" s="128" t="str">
        <f>IF('Analysis Report'!G65="","","L")</f>
        <v/>
      </c>
      <c r="M65" s="136"/>
      <c r="N65" s="261" t="str">
        <f>IF('Analysis Report'!G65="","",IF(Analysis!HR39="","",IF(Analysis!$HR$3="",Analysis!HY41,Analysis!HY39)))</f>
        <v/>
      </c>
      <c r="O65" s="261"/>
      <c r="P65" s="261"/>
      <c r="Q65" s="261"/>
      <c r="R65" s="136"/>
      <c r="S65" s="255" t="str">
        <f>IF('Analysis Report'!G65="","",IF(Analysis!HR39="","",IF(Analysis!$HR$3="",Analysis!HV41,Analysis!HV39)))</f>
        <v/>
      </c>
      <c r="T65" s="255"/>
      <c r="U65" s="255"/>
      <c r="V65" s="255"/>
      <c r="W65" s="255"/>
      <c r="X65" s="255" t="str">
        <f>IF('Analysis Report'!G65="","",IF(Analysis!HR39="","",IF(Analysis!$HR$3="",Analysis!HW42,Analysis!HW40)))</f>
        <v/>
      </c>
      <c r="Y65" s="255"/>
      <c r="Z65" s="255"/>
      <c r="AA65" s="255"/>
      <c r="AB65" s="255"/>
      <c r="AC65" s="128" t="str">
        <f>IF(G65="","","M19")</f>
        <v/>
      </c>
      <c r="AD65" s="136"/>
      <c r="AE65" s="261" t="str">
        <f>IF('Analysis Report'!G65="","",IF(Analysis!HR39="","",IF(Analysis!$HR$3="",Analysis!HU41,Analysis!HU39)))</f>
        <v/>
      </c>
      <c r="AF65" s="261"/>
      <c r="AG65" s="261"/>
      <c r="AH65" s="261"/>
      <c r="AI65" s="136"/>
      <c r="AJ65" s="255" t="str">
        <f>IF(Analysis!HR39="","",IF(Analysis!$HR$3="",IF(Analysis!HZ41="","",Analysis!HZ41),Analysis!HZ39))</f>
        <v/>
      </c>
      <c r="AK65" s="255"/>
      <c r="AL65" s="255"/>
      <c r="AM65" s="255"/>
      <c r="AN65" s="255"/>
      <c r="AO65" s="263" t="str">
        <f>IF(Analysis!HR39="","",IF(Analysis!$HR$3="",IF(Analysis!IA41="","",Analysis!IA41),Analysis!IA39))</f>
        <v/>
      </c>
      <c r="AP65" s="263"/>
      <c r="AQ65" s="263"/>
      <c r="AR65" s="263"/>
      <c r="AS65" s="264"/>
      <c r="AT65" s="16"/>
      <c r="AU65" s="16"/>
    </row>
    <row r="66" spans="2:47" ht="12" customHeight="1" x14ac:dyDescent="0.2">
      <c r="B66" s="269"/>
      <c r="C66" s="227"/>
      <c r="D66" s="227"/>
      <c r="E66" s="227"/>
      <c r="F66" s="227"/>
      <c r="G66" s="255"/>
      <c r="H66" s="255"/>
      <c r="I66" s="255"/>
      <c r="J66" s="255"/>
      <c r="K66" s="255"/>
      <c r="L66" s="128" t="str">
        <f>IF('Analysis Report'!G65="","","R")</f>
        <v/>
      </c>
      <c r="M66" s="136"/>
      <c r="N66" s="262" t="str">
        <f>IF('Analysis Report'!G65="","",IF(Analysis!HR39="","",IF(Analysis!$HR$3="",Analysis!HY42,Analysis!HY40)))</f>
        <v/>
      </c>
      <c r="O66" s="262"/>
      <c r="P66" s="262"/>
      <c r="Q66" s="262"/>
      <c r="R66" s="136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128" t="str">
        <f>IF(G65="","","M20")</f>
        <v/>
      </c>
      <c r="AD66" s="136"/>
      <c r="AE66" s="262" t="str">
        <f>IF('Analysis Report'!G65="","",IF(Analysis!HR39="","",IF(Analysis!$HR$3="",Analysis!HU42,Analysis!HU40)))</f>
        <v/>
      </c>
      <c r="AF66" s="262"/>
      <c r="AG66" s="262"/>
      <c r="AH66" s="262"/>
      <c r="AI66" s="136"/>
      <c r="AJ66" s="255"/>
      <c r="AK66" s="255"/>
      <c r="AL66" s="255"/>
      <c r="AM66" s="255"/>
      <c r="AN66" s="255"/>
      <c r="AO66" s="263"/>
      <c r="AP66" s="263"/>
      <c r="AQ66" s="263"/>
      <c r="AR66" s="263"/>
      <c r="AS66" s="264"/>
      <c r="AT66" s="16"/>
      <c r="AU66" s="16"/>
    </row>
    <row r="67" spans="2:47" ht="12" customHeight="1" x14ac:dyDescent="0.2">
      <c r="B67" s="269" t="str">
        <f>IF(Analysis!HR41="","",IF(Analysis!$HR$3="",IF(Analysis!HS43="-","",Analysis!HS43),Analysis!HS41))</f>
        <v/>
      </c>
      <c r="C67" s="227"/>
      <c r="D67" s="227"/>
      <c r="E67" s="227"/>
      <c r="F67" s="227"/>
      <c r="G67" s="255" t="str">
        <f>IF(Analysis!HR41="","",IF(Analysis!$HR$3="",IF(Analysis!HT43=0,"",Analysis!HT43),Analysis!HT41))</f>
        <v/>
      </c>
      <c r="H67" s="255"/>
      <c r="I67" s="255"/>
      <c r="J67" s="255"/>
      <c r="K67" s="255"/>
      <c r="L67" s="128" t="str">
        <f>IF('Analysis Report'!G67="","","L")</f>
        <v/>
      </c>
      <c r="M67" s="136"/>
      <c r="N67" s="262" t="str">
        <f>IF('Analysis Report'!G67="","",IF(Analysis!HR41="","",IF(Analysis!$HR$3="",Analysis!HY43,Analysis!HY41)))</f>
        <v/>
      </c>
      <c r="O67" s="262"/>
      <c r="P67" s="262"/>
      <c r="Q67" s="262"/>
      <c r="R67" s="136"/>
      <c r="S67" s="255" t="str">
        <f>IF('Analysis Report'!G67="","",IF(Analysis!HR41="","",IF(Analysis!$HR$3="",Analysis!HV43,Analysis!HV41)))</f>
        <v/>
      </c>
      <c r="T67" s="255"/>
      <c r="U67" s="255"/>
      <c r="V67" s="255"/>
      <c r="W67" s="255"/>
      <c r="X67" s="255" t="str">
        <f>IF('Analysis Report'!G67="","",IF(Analysis!HR41="","",IF(Analysis!$HR$3="",Analysis!HW44,Analysis!HW42)))</f>
        <v/>
      </c>
      <c r="Y67" s="255"/>
      <c r="Z67" s="255"/>
      <c r="AA67" s="255"/>
      <c r="AB67" s="255"/>
      <c r="AC67" s="128" t="str">
        <f>IF(G67="","","M20")</f>
        <v/>
      </c>
      <c r="AD67" s="136"/>
      <c r="AE67" s="262" t="str">
        <f>IF('Analysis Report'!G67="","",IF(Analysis!HR41="","",IF(Analysis!$HR$3="",Analysis!HU43,Analysis!HU41)))</f>
        <v/>
      </c>
      <c r="AF67" s="262"/>
      <c r="AG67" s="262"/>
      <c r="AH67" s="262"/>
      <c r="AI67" s="136"/>
      <c r="AJ67" s="255" t="str">
        <f>IF(Analysis!HR41="","",IF(Analysis!$HR$3="",IF(Analysis!HZ43="","",Analysis!HZ43),Analysis!HZ41))</f>
        <v/>
      </c>
      <c r="AK67" s="255"/>
      <c r="AL67" s="255"/>
      <c r="AM67" s="255"/>
      <c r="AN67" s="255"/>
      <c r="AO67" s="263" t="str">
        <f>IF(Analysis!HR41="","",IF(Analysis!$HR$3="",IF(Analysis!IA43="","",Analysis!IA43),Analysis!IA41))</f>
        <v/>
      </c>
      <c r="AP67" s="263"/>
      <c r="AQ67" s="263"/>
      <c r="AR67" s="263"/>
      <c r="AS67" s="264"/>
      <c r="AT67" s="16"/>
      <c r="AU67" s="16"/>
    </row>
    <row r="68" spans="2:47" ht="12" customHeight="1" x14ac:dyDescent="0.2">
      <c r="B68" s="269"/>
      <c r="C68" s="227"/>
      <c r="D68" s="227"/>
      <c r="E68" s="227"/>
      <c r="F68" s="227"/>
      <c r="G68" s="255"/>
      <c r="H68" s="255"/>
      <c r="I68" s="255"/>
      <c r="J68" s="255"/>
      <c r="K68" s="255"/>
      <c r="L68" s="128" t="str">
        <f>IF('Analysis Report'!G67="","","R")</f>
        <v/>
      </c>
      <c r="M68" s="136"/>
      <c r="N68" s="261" t="str">
        <f>IF('Analysis Report'!G67="","",IF(Analysis!HR41="","",IF(Analysis!$HR$3="",Analysis!HY44,Analysis!HY42)))</f>
        <v/>
      </c>
      <c r="O68" s="261"/>
      <c r="P68" s="261"/>
      <c r="Q68" s="261"/>
      <c r="R68" s="136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128" t="str">
        <f>IF(G67="","","M21")</f>
        <v/>
      </c>
      <c r="AD68" s="136"/>
      <c r="AE68" s="261" t="str">
        <f>IF('Analysis Report'!G67="","",IF(Analysis!HR41="","",IF(Analysis!$HR$3="",Analysis!HU44,Analysis!HU42)))</f>
        <v/>
      </c>
      <c r="AF68" s="261"/>
      <c r="AG68" s="261"/>
      <c r="AH68" s="261"/>
      <c r="AI68" s="136"/>
      <c r="AJ68" s="255"/>
      <c r="AK68" s="255"/>
      <c r="AL68" s="255"/>
      <c r="AM68" s="255"/>
      <c r="AN68" s="255"/>
      <c r="AO68" s="263"/>
      <c r="AP68" s="263"/>
      <c r="AQ68" s="263"/>
      <c r="AR68" s="263"/>
      <c r="AS68" s="264"/>
      <c r="AT68" s="16"/>
      <c r="AU68" s="16"/>
    </row>
    <row r="69" spans="2:47" ht="12" customHeight="1" x14ac:dyDescent="0.2">
      <c r="B69" s="269" t="str">
        <f>IF(Analysis!HR43="","",IF(Analysis!$HR$3="",IF(Analysis!HS45="-","",Analysis!HS45),Analysis!HS43))</f>
        <v/>
      </c>
      <c r="C69" s="227"/>
      <c r="D69" s="227"/>
      <c r="E69" s="227"/>
      <c r="F69" s="227"/>
      <c r="G69" s="255" t="str">
        <f>IF(Analysis!HR43="","",IF(Analysis!$HR$3="",IF(Analysis!HT45=0,"",Analysis!HT45),Analysis!HT43))</f>
        <v/>
      </c>
      <c r="H69" s="255"/>
      <c r="I69" s="255"/>
      <c r="J69" s="255"/>
      <c r="K69" s="255"/>
      <c r="L69" s="128" t="str">
        <f>IF('Analysis Report'!G69="","","L")</f>
        <v/>
      </c>
      <c r="M69" s="136"/>
      <c r="N69" s="261" t="str">
        <f>IF('Analysis Report'!G69="","",IF(Analysis!HR43="","",IF(Analysis!$HR$3="",Analysis!HY45,Analysis!HY43)))</f>
        <v/>
      </c>
      <c r="O69" s="261"/>
      <c r="P69" s="261"/>
      <c r="Q69" s="261"/>
      <c r="R69" s="136"/>
      <c r="S69" s="255" t="str">
        <f>IF('Analysis Report'!G69="","",IF(Analysis!HR43="","",IF(Analysis!$HR$3="",Analysis!HV45,Analysis!HV43)))</f>
        <v/>
      </c>
      <c r="T69" s="255"/>
      <c r="U69" s="255"/>
      <c r="V69" s="255"/>
      <c r="W69" s="255"/>
      <c r="X69" s="255" t="str">
        <f>IF('Analysis Report'!G69="","",IF(Analysis!HR43="","",IF(Analysis!$HR$3="",Analysis!HW46,Analysis!HW44)))</f>
        <v/>
      </c>
      <c r="Y69" s="255"/>
      <c r="Z69" s="255"/>
      <c r="AA69" s="255"/>
      <c r="AB69" s="255"/>
      <c r="AC69" s="128" t="str">
        <f>IF(G69="","","M21")</f>
        <v/>
      </c>
      <c r="AD69" s="136"/>
      <c r="AE69" s="261" t="str">
        <f>IF('Analysis Report'!G69="","",IF(Analysis!HR43="","",IF(Analysis!$HR$3="",Analysis!HU45,Analysis!HU43)))</f>
        <v/>
      </c>
      <c r="AF69" s="261"/>
      <c r="AG69" s="261"/>
      <c r="AH69" s="261"/>
      <c r="AI69" s="136"/>
      <c r="AJ69" s="255" t="str">
        <f>IF(Analysis!HR43="","",IF(Analysis!$HR$3="",IF(Analysis!HZ45="","",Analysis!HZ45),Analysis!HZ43))</f>
        <v/>
      </c>
      <c r="AK69" s="255"/>
      <c r="AL69" s="255"/>
      <c r="AM69" s="255"/>
      <c r="AN69" s="255"/>
      <c r="AO69" s="263" t="str">
        <f>IF(Analysis!HR43="","",IF(Analysis!$HR$3="",IF(Analysis!IA45="","",Analysis!IA45),Analysis!IA43))</f>
        <v/>
      </c>
      <c r="AP69" s="263"/>
      <c r="AQ69" s="263"/>
      <c r="AR69" s="263"/>
      <c r="AS69" s="264"/>
      <c r="AT69" s="16"/>
      <c r="AU69" s="16"/>
    </row>
    <row r="70" spans="2:47" ht="12" customHeight="1" x14ac:dyDescent="0.2">
      <c r="B70" s="269"/>
      <c r="C70" s="227"/>
      <c r="D70" s="227"/>
      <c r="E70" s="227"/>
      <c r="F70" s="227"/>
      <c r="G70" s="255"/>
      <c r="H70" s="255"/>
      <c r="I70" s="255"/>
      <c r="J70" s="255"/>
      <c r="K70" s="255"/>
      <c r="L70" s="128" t="str">
        <f>IF('Analysis Report'!G69="","","R")</f>
        <v/>
      </c>
      <c r="M70" s="136"/>
      <c r="N70" s="262" t="str">
        <f>IF('Analysis Report'!G69="","",IF(Analysis!HR43="","",IF(Analysis!$HR$3="",Analysis!HY46,Analysis!HY44)))</f>
        <v/>
      </c>
      <c r="O70" s="262"/>
      <c r="P70" s="262"/>
      <c r="Q70" s="262"/>
      <c r="R70" s="136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128" t="str">
        <f>IF(G69="","","M22")</f>
        <v/>
      </c>
      <c r="AD70" s="136"/>
      <c r="AE70" s="262" t="str">
        <f>IF('Analysis Report'!G69="","",IF(Analysis!HR43="","",IF(Analysis!$HR$3="",Analysis!HU46,Analysis!HU44)))</f>
        <v/>
      </c>
      <c r="AF70" s="262"/>
      <c r="AG70" s="262"/>
      <c r="AH70" s="262"/>
      <c r="AI70" s="136"/>
      <c r="AJ70" s="255"/>
      <c r="AK70" s="255"/>
      <c r="AL70" s="255"/>
      <c r="AM70" s="255"/>
      <c r="AN70" s="255"/>
      <c r="AO70" s="263"/>
      <c r="AP70" s="263"/>
      <c r="AQ70" s="263"/>
      <c r="AR70" s="263"/>
      <c r="AS70" s="264"/>
      <c r="AT70" s="16"/>
      <c r="AU70" s="16"/>
    </row>
    <row r="71" spans="2:47" ht="12" customHeight="1" x14ac:dyDescent="0.2">
      <c r="B71" s="269" t="str">
        <f>IF(Analysis!HR45="","",IF(Analysis!$HR$3="",IF(Analysis!HS47="-","",Analysis!HS47),Analysis!HS45))</f>
        <v/>
      </c>
      <c r="C71" s="227"/>
      <c r="D71" s="227"/>
      <c r="E71" s="227"/>
      <c r="F71" s="227"/>
      <c r="G71" s="255" t="str">
        <f>IF(Analysis!HR45="","",IF(Analysis!$HR$3="",IF(Analysis!HT47=0,"",Analysis!HT47),Analysis!HT45))</f>
        <v/>
      </c>
      <c r="H71" s="255"/>
      <c r="I71" s="255"/>
      <c r="J71" s="255"/>
      <c r="K71" s="255"/>
      <c r="L71" s="128" t="str">
        <f>IF('Analysis Report'!G71="","","L")</f>
        <v/>
      </c>
      <c r="M71" s="136"/>
      <c r="N71" s="262" t="str">
        <f>IF('Analysis Report'!G71="","",IF(Analysis!HR45="","",IF(Analysis!$HR$3="",Analysis!HY47,Analysis!HY45)))</f>
        <v/>
      </c>
      <c r="O71" s="262"/>
      <c r="P71" s="262"/>
      <c r="Q71" s="262"/>
      <c r="R71" s="136"/>
      <c r="S71" s="255" t="str">
        <f>IF('Analysis Report'!G71="","",IF(Analysis!HR45="","",IF(Analysis!$HR$3="",Analysis!HV47,Analysis!HV45)))</f>
        <v/>
      </c>
      <c r="T71" s="255"/>
      <c r="U71" s="255"/>
      <c r="V71" s="255"/>
      <c r="W71" s="255"/>
      <c r="X71" s="255" t="str">
        <f>IF('Analysis Report'!G71="","",IF(Analysis!HR45="","",IF(Analysis!$HR$3="",Analysis!HW48,Analysis!HW46)))</f>
        <v/>
      </c>
      <c r="Y71" s="255"/>
      <c r="Z71" s="255"/>
      <c r="AA71" s="255"/>
      <c r="AB71" s="255"/>
      <c r="AC71" s="128" t="str">
        <f>IF(G71="","","M22")</f>
        <v/>
      </c>
      <c r="AD71" s="136"/>
      <c r="AE71" s="262" t="str">
        <f>IF('Analysis Report'!G71="","",IF(Analysis!HR45="","",IF(Analysis!$HR$3="",Analysis!HU47,Analysis!HU45)))</f>
        <v/>
      </c>
      <c r="AF71" s="262"/>
      <c r="AG71" s="262"/>
      <c r="AH71" s="262"/>
      <c r="AI71" s="136"/>
      <c r="AJ71" s="255" t="str">
        <f>IF(Analysis!HR45="","",IF(Analysis!$HR$3="",IF(Analysis!HZ47="","",Analysis!HZ47),Analysis!HZ45))</f>
        <v/>
      </c>
      <c r="AK71" s="255"/>
      <c r="AL71" s="255"/>
      <c r="AM71" s="255"/>
      <c r="AN71" s="255"/>
      <c r="AO71" s="263" t="str">
        <f>IF(Analysis!HR45="","",IF(Analysis!$HR$3="",IF(Analysis!IA47="","",Analysis!IA47),Analysis!IA45))</f>
        <v/>
      </c>
      <c r="AP71" s="263"/>
      <c r="AQ71" s="263"/>
      <c r="AR71" s="263"/>
      <c r="AS71" s="264"/>
      <c r="AT71" s="16"/>
      <c r="AU71" s="16"/>
    </row>
    <row r="72" spans="2:47" ht="12" customHeight="1" x14ac:dyDescent="0.2">
      <c r="B72" s="269"/>
      <c r="C72" s="227"/>
      <c r="D72" s="227"/>
      <c r="E72" s="227"/>
      <c r="F72" s="227"/>
      <c r="G72" s="255"/>
      <c r="H72" s="255"/>
      <c r="I72" s="255"/>
      <c r="J72" s="255"/>
      <c r="K72" s="255"/>
      <c r="L72" s="128" t="str">
        <f>IF('Analysis Report'!G71="","","R")</f>
        <v/>
      </c>
      <c r="M72" s="136"/>
      <c r="N72" s="261" t="str">
        <f>IF('Analysis Report'!G71="","",IF(Analysis!HR45="","",IF(Analysis!$HR$3="",Analysis!HY48,Analysis!HY46)))</f>
        <v/>
      </c>
      <c r="O72" s="261"/>
      <c r="P72" s="261"/>
      <c r="Q72" s="261"/>
      <c r="R72" s="136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128" t="str">
        <f>IF(G71="","","M23")</f>
        <v/>
      </c>
      <c r="AD72" s="136"/>
      <c r="AE72" s="261" t="str">
        <f>IF('Analysis Report'!G71="","",IF(Analysis!HR45="","",IF(Analysis!$HR$3="",Analysis!HU48,Analysis!HU46)))</f>
        <v/>
      </c>
      <c r="AF72" s="261"/>
      <c r="AG72" s="261"/>
      <c r="AH72" s="261"/>
      <c r="AI72" s="136"/>
      <c r="AJ72" s="255"/>
      <c r="AK72" s="255"/>
      <c r="AL72" s="255"/>
      <c r="AM72" s="255"/>
      <c r="AN72" s="255"/>
      <c r="AO72" s="263"/>
      <c r="AP72" s="263"/>
      <c r="AQ72" s="263"/>
      <c r="AR72" s="263"/>
      <c r="AS72" s="264"/>
      <c r="AT72" s="16"/>
      <c r="AU72" s="16"/>
    </row>
    <row r="73" spans="2:47" ht="12" customHeight="1" x14ac:dyDescent="0.2">
      <c r="B73" s="269" t="str">
        <f>IF(Analysis!HR47="","",IF(Analysis!$HR$3="",IF(Analysis!HS49="-","",Analysis!HS49),Analysis!HS47))</f>
        <v/>
      </c>
      <c r="C73" s="227"/>
      <c r="D73" s="227"/>
      <c r="E73" s="227"/>
      <c r="F73" s="227"/>
      <c r="G73" s="255" t="str">
        <f>IF(Analysis!HR47="","",IF(Analysis!$HR$3="",IF(Analysis!HT49=0,"",Analysis!HT49),Analysis!HT47))</f>
        <v/>
      </c>
      <c r="H73" s="255"/>
      <c r="I73" s="255"/>
      <c r="J73" s="255"/>
      <c r="K73" s="255"/>
      <c r="L73" s="128" t="str">
        <f>IF('Analysis Report'!G73="","","L")</f>
        <v/>
      </c>
      <c r="M73" s="136"/>
      <c r="N73" s="261" t="str">
        <f>IF('Analysis Report'!G73="","",IF(Analysis!HR47="","",IF(Analysis!$HR$3="",Analysis!HY49,Analysis!HY47)))</f>
        <v/>
      </c>
      <c r="O73" s="261"/>
      <c r="P73" s="261"/>
      <c r="Q73" s="261"/>
      <c r="R73" s="136"/>
      <c r="S73" s="255" t="str">
        <f>IF('Analysis Report'!G73="","",IF(Analysis!HR47="","",IF(Analysis!$HR$3="",Analysis!HV49,Analysis!HV47)))</f>
        <v/>
      </c>
      <c r="T73" s="255"/>
      <c r="U73" s="255"/>
      <c r="V73" s="255"/>
      <c r="W73" s="255"/>
      <c r="X73" s="255" t="str">
        <f>IF('Analysis Report'!G73="","",IF(Analysis!HR47="","",IF(Analysis!$HR$3="",Analysis!HW50,Analysis!HW48)))</f>
        <v/>
      </c>
      <c r="Y73" s="255"/>
      <c r="Z73" s="255"/>
      <c r="AA73" s="255"/>
      <c r="AB73" s="255"/>
      <c r="AC73" s="128" t="str">
        <f>IF(G73="","","M23")</f>
        <v/>
      </c>
      <c r="AD73" s="136"/>
      <c r="AE73" s="261" t="str">
        <f>IF('Analysis Report'!G73="","",IF(Analysis!HR47="","",IF(Analysis!$HR$3="",Analysis!HU49,Analysis!HU47)))</f>
        <v/>
      </c>
      <c r="AF73" s="261"/>
      <c r="AG73" s="261"/>
      <c r="AH73" s="261"/>
      <c r="AI73" s="136"/>
      <c r="AJ73" s="255" t="str">
        <f>IF(Analysis!HR47="","",IF(Analysis!$HR$3="",IF(Analysis!HZ49="","",Analysis!HZ49),Analysis!HZ47))</f>
        <v/>
      </c>
      <c r="AK73" s="255"/>
      <c r="AL73" s="255"/>
      <c r="AM73" s="255"/>
      <c r="AN73" s="255"/>
      <c r="AO73" s="263" t="str">
        <f>IF(Analysis!HR47="","",IF(Analysis!$HR$3="",IF(Analysis!IA49="","",Analysis!IA49),Analysis!IA47))</f>
        <v/>
      </c>
      <c r="AP73" s="263"/>
      <c r="AQ73" s="263"/>
      <c r="AR73" s="263"/>
      <c r="AS73" s="264"/>
      <c r="AT73" s="16"/>
      <c r="AU73" s="16"/>
    </row>
    <row r="74" spans="2:47" ht="12" customHeight="1" x14ac:dyDescent="0.2">
      <c r="B74" s="269"/>
      <c r="C74" s="227"/>
      <c r="D74" s="227"/>
      <c r="E74" s="227"/>
      <c r="F74" s="227"/>
      <c r="G74" s="255"/>
      <c r="H74" s="255"/>
      <c r="I74" s="255"/>
      <c r="J74" s="255"/>
      <c r="K74" s="255"/>
      <c r="L74" s="128" t="str">
        <f>IF('Analysis Report'!G73="","","R")</f>
        <v/>
      </c>
      <c r="M74" s="136"/>
      <c r="N74" s="262" t="str">
        <f>IF('Analysis Report'!G73="","",IF(Analysis!HR47="","",IF(Analysis!$HR$3="",Analysis!HY50,Analysis!HY48)))</f>
        <v/>
      </c>
      <c r="O74" s="262"/>
      <c r="P74" s="262"/>
      <c r="Q74" s="262"/>
      <c r="R74" s="136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128" t="str">
        <f>IF(G73="","","M24")</f>
        <v/>
      </c>
      <c r="AD74" s="136"/>
      <c r="AE74" s="262" t="str">
        <f>IF('Analysis Report'!G73="","",IF(Analysis!HR47="","",IF(Analysis!$HR$3="",Analysis!HU50,Analysis!HU48)))</f>
        <v/>
      </c>
      <c r="AF74" s="262"/>
      <c r="AG74" s="262"/>
      <c r="AH74" s="262"/>
      <c r="AI74" s="136"/>
      <c r="AJ74" s="255"/>
      <c r="AK74" s="255"/>
      <c r="AL74" s="255"/>
      <c r="AM74" s="255"/>
      <c r="AN74" s="255"/>
      <c r="AO74" s="263"/>
      <c r="AP74" s="263"/>
      <c r="AQ74" s="263"/>
      <c r="AR74" s="263"/>
      <c r="AS74" s="264"/>
      <c r="AT74" s="16"/>
      <c r="AU74" s="16"/>
    </row>
    <row r="75" spans="2:47" ht="12" customHeight="1" x14ac:dyDescent="0.2">
      <c r="B75" s="269" t="str">
        <f>IF(Analysis!HR49="","",IF(Analysis!$HR$3="",IF(Analysis!HS51="-","",Analysis!HS51),Analysis!HS49))</f>
        <v/>
      </c>
      <c r="C75" s="227"/>
      <c r="D75" s="227"/>
      <c r="E75" s="227"/>
      <c r="F75" s="227"/>
      <c r="G75" s="255" t="str">
        <f>IF(Analysis!HR49="","",IF(Analysis!$HR$3="",IF(Analysis!HT51=0,"",Analysis!HT51),Analysis!HT49))</f>
        <v/>
      </c>
      <c r="H75" s="255"/>
      <c r="I75" s="255"/>
      <c r="J75" s="255"/>
      <c r="K75" s="255"/>
      <c r="L75" s="128" t="str">
        <f>IF('Analysis Report'!G75="","","L")</f>
        <v/>
      </c>
      <c r="M75" s="136"/>
      <c r="N75" s="262" t="str">
        <f>IF('Analysis Report'!G75="","",IF(Analysis!HR49="","",IF(Analysis!$HR$3="",Analysis!HY51,Analysis!HY49)))</f>
        <v/>
      </c>
      <c r="O75" s="262"/>
      <c r="P75" s="262"/>
      <c r="Q75" s="262"/>
      <c r="R75" s="136"/>
      <c r="S75" s="255" t="str">
        <f>IF('Analysis Report'!G75="","",IF(Analysis!HR49="","",IF(Analysis!$HR$3="",Analysis!HV51,Analysis!HV49)))</f>
        <v/>
      </c>
      <c r="T75" s="255"/>
      <c r="U75" s="255"/>
      <c r="V75" s="255"/>
      <c r="W75" s="255"/>
      <c r="X75" s="255" t="str">
        <f>IF('Analysis Report'!G75="","",IF(Analysis!HR49="","",IF(Analysis!$HR$3="",Analysis!HW52,Analysis!HW50)))</f>
        <v/>
      </c>
      <c r="Y75" s="255"/>
      <c r="Z75" s="255"/>
      <c r="AA75" s="255"/>
      <c r="AB75" s="255"/>
      <c r="AC75" s="128" t="str">
        <f>IF(G75="","","M24")</f>
        <v/>
      </c>
      <c r="AD75" s="136"/>
      <c r="AE75" s="262" t="str">
        <f>IF('Analysis Report'!G75="","",IF(Analysis!HR49="","",IF(Analysis!$HR$3="",Analysis!HU51,Analysis!HU49)))</f>
        <v/>
      </c>
      <c r="AF75" s="262"/>
      <c r="AG75" s="262"/>
      <c r="AH75" s="262"/>
      <c r="AI75" s="136"/>
      <c r="AJ75" s="255" t="str">
        <f>IF(Analysis!HR49="","",IF(Analysis!$HR$3="",IF(Analysis!HZ51="","",Analysis!HZ51),Analysis!HZ49))</f>
        <v/>
      </c>
      <c r="AK75" s="255"/>
      <c r="AL75" s="255"/>
      <c r="AM75" s="255"/>
      <c r="AN75" s="255"/>
      <c r="AO75" s="263" t="str">
        <f>IF(Analysis!HR49="","",IF(Analysis!$HR$3="",IF(Analysis!IA51="","",Analysis!IA51),Analysis!IA49))</f>
        <v/>
      </c>
      <c r="AP75" s="263"/>
      <c r="AQ75" s="263"/>
      <c r="AR75" s="263"/>
      <c r="AS75" s="264"/>
      <c r="AT75" s="16"/>
      <c r="AU75" s="16"/>
    </row>
    <row r="76" spans="2:47" ht="12" customHeight="1" x14ac:dyDescent="0.2">
      <c r="B76" s="269"/>
      <c r="C76" s="227"/>
      <c r="D76" s="227"/>
      <c r="E76" s="227"/>
      <c r="F76" s="227"/>
      <c r="G76" s="255"/>
      <c r="H76" s="255"/>
      <c r="I76" s="255"/>
      <c r="J76" s="255"/>
      <c r="K76" s="255"/>
      <c r="L76" s="128" t="str">
        <f>IF('Analysis Report'!G75="","","R")</f>
        <v/>
      </c>
      <c r="M76" s="136"/>
      <c r="N76" s="261" t="str">
        <f>IF('Analysis Report'!G75="","",IF(Analysis!HR49="","",IF(Analysis!$HR$3="",Analysis!HY52,Analysis!HY50)))</f>
        <v/>
      </c>
      <c r="O76" s="261"/>
      <c r="P76" s="261"/>
      <c r="Q76" s="261"/>
      <c r="R76" s="136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128" t="str">
        <f>IF(G75="","","M25")</f>
        <v/>
      </c>
      <c r="AD76" s="136"/>
      <c r="AE76" s="261" t="str">
        <f>IF('Analysis Report'!G75="","",IF(Analysis!HR49="","",IF(Analysis!$HR$3="",Analysis!HU52,Analysis!HU50)))</f>
        <v/>
      </c>
      <c r="AF76" s="261"/>
      <c r="AG76" s="261"/>
      <c r="AH76" s="261"/>
      <c r="AI76" s="136"/>
      <c r="AJ76" s="255"/>
      <c r="AK76" s="255"/>
      <c r="AL76" s="255"/>
      <c r="AM76" s="255"/>
      <c r="AN76" s="255"/>
      <c r="AO76" s="263"/>
      <c r="AP76" s="263"/>
      <c r="AQ76" s="263"/>
      <c r="AR76" s="263"/>
      <c r="AS76" s="264"/>
      <c r="AT76" s="16"/>
      <c r="AU76" s="16"/>
    </row>
    <row r="77" spans="2:47" ht="12" customHeight="1" x14ac:dyDescent="0.2">
      <c r="B77" s="269" t="str">
        <f>IF(Analysis!HR51="","",IF(Analysis!$HR$3="",IF(Analysis!HS53="-","",Analysis!HS53),Analysis!HS51))</f>
        <v/>
      </c>
      <c r="C77" s="227"/>
      <c r="D77" s="227"/>
      <c r="E77" s="227"/>
      <c r="F77" s="227"/>
      <c r="G77" s="255" t="str">
        <f>IF(Analysis!HR51="","",IF(Analysis!$HR$3="",IF(Analysis!HT53=0,"",Analysis!HT53),Analysis!HT51))</f>
        <v/>
      </c>
      <c r="H77" s="255"/>
      <c r="I77" s="255"/>
      <c r="J77" s="255"/>
      <c r="K77" s="255"/>
      <c r="L77" s="128" t="str">
        <f>IF('Analysis Report'!G77="","","L")</f>
        <v/>
      </c>
      <c r="M77" s="136"/>
      <c r="N77" s="261" t="str">
        <f>IF('Analysis Report'!G77="","",IF(Analysis!HR51="","",IF(Analysis!$HR$3="",Analysis!HY53,Analysis!HY51)))</f>
        <v/>
      </c>
      <c r="O77" s="261"/>
      <c r="P77" s="261"/>
      <c r="Q77" s="261"/>
      <c r="R77" s="136"/>
      <c r="S77" s="255" t="str">
        <f>IF('Analysis Report'!G77="","",IF(Analysis!HR51="","",IF(Analysis!$HR$3="",Analysis!HV53,Analysis!HV51)))</f>
        <v/>
      </c>
      <c r="T77" s="255"/>
      <c r="U77" s="255"/>
      <c r="V77" s="255"/>
      <c r="W77" s="255"/>
      <c r="X77" s="255" t="str">
        <f>IF('Analysis Report'!G77="","",IF(Analysis!HR51="","",IF(Analysis!$HR$3="",Analysis!HW54,Analysis!HW52)))</f>
        <v/>
      </c>
      <c r="Y77" s="255"/>
      <c r="Z77" s="255"/>
      <c r="AA77" s="255"/>
      <c r="AB77" s="255"/>
      <c r="AC77" s="128" t="str">
        <f>IF(G77="","","M25")</f>
        <v/>
      </c>
      <c r="AD77" s="136"/>
      <c r="AE77" s="261" t="str">
        <f>IF('Analysis Report'!G77="","",IF(Analysis!HR51="","",IF(Analysis!$HR$3="",Analysis!HU53,Analysis!HU51)))</f>
        <v/>
      </c>
      <c r="AF77" s="261"/>
      <c r="AG77" s="261"/>
      <c r="AH77" s="261"/>
      <c r="AI77" s="136"/>
      <c r="AJ77" s="255" t="str">
        <f>IF(Analysis!HR51="","",IF(Analysis!$HR$3="",IF(Analysis!HZ53="","",Analysis!HZ53),Analysis!HZ51))</f>
        <v/>
      </c>
      <c r="AK77" s="255"/>
      <c r="AL77" s="255"/>
      <c r="AM77" s="255"/>
      <c r="AN77" s="255"/>
      <c r="AO77" s="263" t="str">
        <f>IF(Analysis!HR51="","",IF(Analysis!$HR$3="",IF(Analysis!IA53="","",Analysis!IA53),Analysis!IA51))</f>
        <v/>
      </c>
      <c r="AP77" s="263"/>
      <c r="AQ77" s="263"/>
      <c r="AR77" s="263"/>
      <c r="AS77" s="264"/>
      <c r="AT77" s="16"/>
      <c r="AU77" s="16"/>
    </row>
    <row r="78" spans="2:47" ht="12" customHeight="1" x14ac:dyDescent="0.2">
      <c r="B78" s="269"/>
      <c r="C78" s="227"/>
      <c r="D78" s="227"/>
      <c r="E78" s="227"/>
      <c r="F78" s="227"/>
      <c r="G78" s="255"/>
      <c r="H78" s="255"/>
      <c r="I78" s="255"/>
      <c r="J78" s="255"/>
      <c r="K78" s="255"/>
      <c r="L78" s="128" t="str">
        <f>IF('Analysis Report'!G77="","","R")</f>
        <v/>
      </c>
      <c r="M78" s="136"/>
      <c r="N78" s="262" t="str">
        <f>IF('Analysis Report'!G77="","",IF(Analysis!HR51="","",IF(Analysis!$HR$3="",Analysis!HY54,Analysis!HY52)))</f>
        <v/>
      </c>
      <c r="O78" s="262"/>
      <c r="P78" s="262"/>
      <c r="Q78" s="262"/>
      <c r="R78" s="136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128" t="str">
        <f>IF(G77="","","M26")</f>
        <v/>
      </c>
      <c r="AD78" s="136"/>
      <c r="AE78" s="262" t="str">
        <f>IF('Analysis Report'!G77="","",IF(Analysis!HR51="","",IF(Analysis!$HR$3="",Analysis!HU54,Analysis!HU52)))</f>
        <v/>
      </c>
      <c r="AF78" s="262"/>
      <c r="AG78" s="262"/>
      <c r="AH78" s="262"/>
      <c r="AI78" s="136"/>
      <c r="AJ78" s="255"/>
      <c r="AK78" s="255"/>
      <c r="AL78" s="255"/>
      <c r="AM78" s="255"/>
      <c r="AN78" s="255"/>
      <c r="AO78" s="263"/>
      <c r="AP78" s="263"/>
      <c r="AQ78" s="263"/>
      <c r="AR78" s="263"/>
      <c r="AS78" s="264"/>
      <c r="AT78" s="16"/>
      <c r="AU78" s="16"/>
    </row>
    <row r="79" spans="2:47" ht="12" customHeight="1" x14ac:dyDescent="0.2">
      <c r="B79" s="269" t="str">
        <f>IF(Analysis!HR53="","",IF(Analysis!$HR$3="",IF(Analysis!HS55="-","",Analysis!HS55),Analysis!HS53))</f>
        <v/>
      </c>
      <c r="C79" s="227"/>
      <c r="D79" s="227"/>
      <c r="E79" s="227"/>
      <c r="F79" s="227"/>
      <c r="G79" s="255" t="str">
        <f>IF(Analysis!HR53="","",IF(Analysis!$HR$3="",IF(Analysis!HT55=0,"",Analysis!HT55),Analysis!HT53))</f>
        <v/>
      </c>
      <c r="H79" s="255"/>
      <c r="I79" s="255"/>
      <c r="J79" s="255"/>
      <c r="K79" s="255"/>
      <c r="L79" s="128" t="str">
        <f>IF('Analysis Report'!G79="","","L")</f>
        <v/>
      </c>
      <c r="M79" s="136"/>
      <c r="N79" s="262" t="str">
        <f>IF('Analysis Report'!G79="","",IF(Analysis!HR53="","",IF(Analysis!$HR$3="",Analysis!HY55,Analysis!HY53)))</f>
        <v/>
      </c>
      <c r="O79" s="262"/>
      <c r="P79" s="262"/>
      <c r="Q79" s="262"/>
      <c r="R79" s="136"/>
      <c r="S79" s="255" t="str">
        <f>IF('Analysis Report'!G79="","",IF(Analysis!HR53="","",IF(Analysis!$HR$3="",Analysis!HV55,Analysis!HV53)))</f>
        <v/>
      </c>
      <c r="T79" s="255"/>
      <c r="U79" s="255"/>
      <c r="V79" s="255"/>
      <c r="W79" s="255"/>
      <c r="X79" s="255" t="str">
        <f>IF('Analysis Report'!G79="","",IF(Analysis!HR53="","",IF(Analysis!$HR$3="",Analysis!HW56,Analysis!HW54)))</f>
        <v/>
      </c>
      <c r="Y79" s="255"/>
      <c r="Z79" s="255"/>
      <c r="AA79" s="255"/>
      <c r="AB79" s="255"/>
      <c r="AC79" s="128" t="str">
        <f>IF(G79="","","M26")</f>
        <v/>
      </c>
      <c r="AD79" s="136"/>
      <c r="AE79" s="262" t="str">
        <f>IF('Analysis Report'!G79="","",IF(Analysis!HR53="","",IF(Analysis!$HR$3="",Analysis!HU55,Analysis!HU53)))</f>
        <v/>
      </c>
      <c r="AF79" s="262"/>
      <c r="AG79" s="262"/>
      <c r="AH79" s="262"/>
      <c r="AI79" s="136"/>
      <c r="AJ79" s="255" t="str">
        <f>IF(Analysis!HR53="","",IF(Analysis!$HR$3="",IF(Analysis!HZ55="","",Analysis!HZ55),Analysis!HZ53))</f>
        <v/>
      </c>
      <c r="AK79" s="255"/>
      <c r="AL79" s="255"/>
      <c r="AM79" s="255"/>
      <c r="AN79" s="255"/>
      <c r="AO79" s="263" t="str">
        <f>IF(Analysis!HR53="","",IF(Analysis!$HR$3="",IF(Analysis!IA55="","",Analysis!IA55),Analysis!IA53))</f>
        <v/>
      </c>
      <c r="AP79" s="263"/>
      <c r="AQ79" s="263"/>
      <c r="AR79" s="263"/>
      <c r="AS79" s="264"/>
      <c r="AT79" s="16"/>
      <c r="AU79" s="16"/>
    </row>
    <row r="80" spans="2:47" ht="12" customHeight="1" x14ac:dyDescent="0.2">
      <c r="B80" s="269"/>
      <c r="C80" s="227"/>
      <c r="D80" s="227"/>
      <c r="E80" s="227"/>
      <c r="F80" s="227"/>
      <c r="G80" s="255"/>
      <c r="H80" s="255"/>
      <c r="I80" s="255"/>
      <c r="J80" s="255"/>
      <c r="K80" s="255"/>
      <c r="L80" s="128" t="str">
        <f>IF('Analysis Report'!G79="","","R")</f>
        <v/>
      </c>
      <c r="M80" s="136"/>
      <c r="N80" s="261" t="str">
        <f>IF('Analysis Report'!G79="","",IF(Analysis!HR53="","",IF(Analysis!$HR$3="",Analysis!HY56,Analysis!HY54)))</f>
        <v/>
      </c>
      <c r="O80" s="261"/>
      <c r="P80" s="261"/>
      <c r="Q80" s="261"/>
      <c r="R80" s="136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128" t="str">
        <f>IF(G79="","","M27")</f>
        <v/>
      </c>
      <c r="AD80" s="136"/>
      <c r="AE80" s="261" t="str">
        <f>IF('Analysis Report'!G79="","",IF(Analysis!HR53="","",IF(Analysis!$HR$3="",Analysis!HU56,Analysis!HU54)))</f>
        <v/>
      </c>
      <c r="AF80" s="261"/>
      <c r="AG80" s="261"/>
      <c r="AH80" s="261"/>
      <c r="AI80" s="136"/>
      <c r="AJ80" s="255"/>
      <c r="AK80" s="255"/>
      <c r="AL80" s="255"/>
      <c r="AM80" s="255"/>
      <c r="AN80" s="255"/>
      <c r="AO80" s="263"/>
      <c r="AP80" s="263"/>
      <c r="AQ80" s="263"/>
      <c r="AR80" s="263"/>
      <c r="AS80" s="264"/>
      <c r="AT80" s="16"/>
      <c r="AU80" s="16"/>
    </row>
    <row r="81" spans="2:48" ht="12" customHeight="1" x14ac:dyDescent="0.2">
      <c r="B81" s="269" t="str">
        <f>IF(Analysis!HQ56=TRUE,IF(Analysis!$HR$3="","",Analysis!HS55),"")</f>
        <v/>
      </c>
      <c r="C81" s="227"/>
      <c r="D81" s="227"/>
      <c r="E81" s="227"/>
      <c r="F81" s="227"/>
      <c r="G81" s="255" t="str">
        <f>IF(Analysis!HQ56=TRUE,IF(Analysis!$HR$3="","",Analysis!HT55),"")</f>
        <v/>
      </c>
      <c r="H81" s="255"/>
      <c r="I81" s="255"/>
      <c r="J81" s="255"/>
      <c r="K81" s="255"/>
      <c r="L81" s="128" t="str">
        <f>IF('Analysis Report'!G81="","","L")</f>
        <v/>
      </c>
      <c r="M81" s="136"/>
      <c r="N81" s="261" t="str">
        <f>IF('Analysis Report'!G81="","",IF(Analysis!HR55="","",IF(Analysis!$HR$3="","",Analysis!HY55)))</f>
        <v/>
      </c>
      <c r="O81" s="261"/>
      <c r="P81" s="261"/>
      <c r="Q81" s="261"/>
      <c r="R81" s="136"/>
      <c r="S81" s="255" t="str">
        <f>IF('Analysis Report'!G81="","",IF(Analysis!HR55="","",IF(Analysis!$HR$3="","",Analysis!HV55)))</f>
        <v/>
      </c>
      <c r="T81" s="255"/>
      <c r="U81" s="255"/>
      <c r="V81" s="255"/>
      <c r="W81" s="255"/>
      <c r="X81" s="255" t="str">
        <f>IF('Analysis Report'!G81="","",IF(Analysis!HR55="","",IF(Analysis!$HR$3="","",Analysis!HW56)))</f>
        <v/>
      </c>
      <c r="Y81" s="255"/>
      <c r="Z81" s="255"/>
      <c r="AA81" s="255"/>
      <c r="AB81" s="255"/>
      <c r="AC81" s="128" t="str">
        <f>IF(G81="","","M27")</f>
        <v/>
      </c>
      <c r="AD81" s="136"/>
      <c r="AE81" s="261" t="str">
        <f>IF('Analysis Report'!G81="","",IF(Analysis!HR55="","",IF(Analysis!$HR$3="","",Analysis!HU55)))</f>
        <v/>
      </c>
      <c r="AF81" s="261"/>
      <c r="AG81" s="261"/>
      <c r="AH81" s="261"/>
      <c r="AI81" s="136"/>
      <c r="AJ81" s="255" t="str">
        <f>IF(Analysis!HQ56=TRUE,IF(Analysis!$HR$3="","",""),"")</f>
        <v/>
      </c>
      <c r="AK81" s="255"/>
      <c r="AL81" s="255"/>
      <c r="AM81" s="255"/>
      <c r="AN81" s="255"/>
      <c r="AO81" s="263" t="str">
        <f>IF(Analysis!HQ56=TRUE,IF(Analysis!$HR$3="","",Analysis!IA55),"")</f>
        <v/>
      </c>
      <c r="AP81" s="263"/>
      <c r="AQ81" s="263"/>
      <c r="AR81" s="263"/>
      <c r="AS81" s="264"/>
      <c r="AT81" s="16"/>
      <c r="AU81" s="16"/>
    </row>
    <row r="82" spans="2:48" ht="12" customHeight="1" x14ac:dyDescent="0.2">
      <c r="B82" s="271"/>
      <c r="C82" s="272"/>
      <c r="D82" s="272"/>
      <c r="E82" s="272"/>
      <c r="F82" s="272"/>
      <c r="G82" s="256"/>
      <c r="H82" s="256"/>
      <c r="I82" s="256"/>
      <c r="J82" s="256"/>
      <c r="K82" s="256"/>
      <c r="L82" s="137" t="str">
        <f>IF('Analysis Report'!G81="","","R")</f>
        <v/>
      </c>
      <c r="M82" s="138"/>
      <c r="N82" s="260" t="str">
        <f>IF('Analysis Report'!G81="","",IF(Analysis!HR55="","",IF(Analysis!$HR$3="","",Analysis!HY56)))</f>
        <v/>
      </c>
      <c r="O82" s="260"/>
      <c r="P82" s="260"/>
      <c r="Q82" s="260"/>
      <c r="R82" s="138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137" t="str">
        <f>IF(G81="","","M28")</f>
        <v/>
      </c>
      <c r="AD82" s="138"/>
      <c r="AE82" s="260" t="str">
        <f>IF('Analysis Report'!G81="","",IF(Analysis!HR55="","",IF(Analysis!$HR$3="","",Analysis!HU56)))</f>
        <v/>
      </c>
      <c r="AF82" s="260"/>
      <c r="AG82" s="260"/>
      <c r="AH82" s="260"/>
      <c r="AI82" s="138"/>
      <c r="AJ82" s="256"/>
      <c r="AK82" s="256"/>
      <c r="AL82" s="256"/>
      <c r="AM82" s="256"/>
      <c r="AN82" s="256"/>
      <c r="AO82" s="275"/>
      <c r="AP82" s="275"/>
      <c r="AQ82" s="275"/>
      <c r="AR82" s="275"/>
      <c r="AS82" s="276"/>
      <c r="AT82" s="16"/>
      <c r="AU82" s="16"/>
    </row>
    <row r="83" spans="2:48" x14ac:dyDescent="0.2">
      <c r="B83" s="16"/>
      <c r="C83" s="16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6"/>
      <c r="AS83" s="16"/>
      <c r="AT83" s="16"/>
      <c r="AU83" s="16"/>
      <c r="AV83" s="16"/>
    </row>
    <row r="84" spans="2:48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</sheetData>
  <sheetProtection password="CA20" sheet="1" objects="1" scenarios="1"/>
  <mergeCells count="294">
    <mergeCell ref="AE50:AH50"/>
    <mergeCell ref="AE49:AH49"/>
    <mergeCell ref="X59:AB60"/>
    <mergeCell ref="B27:F27"/>
    <mergeCell ref="B1:F1"/>
    <mergeCell ref="AD1:AH1"/>
    <mergeCell ref="AD3:AH3"/>
    <mergeCell ref="AE52:AH52"/>
    <mergeCell ref="AE55:AH55"/>
    <mergeCell ref="AE54:AH54"/>
    <mergeCell ref="AE53:AH53"/>
    <mergeCell ref="S59:W60"/>
    <mergeCell ref="G27:K27"/>
    <mergeCell ref="B47:F48"/>
    <mergeCell ref="B49:F50"/>
    <mergeCell ref="B51:F52"/>
    <mergeCell ref="B53:F54"/>
    <mergeCell ref="B55:F56"/>
    <mergeCell ref="B57:F58"/>
    <mergeCell ref="B59:F60"/>
    <mergeCell ref="B43:F44"/>
    <mergeCell ref="B45:F46"/>
    <mergeCell ref="G28:K28"/>
    <mergeCell ref="M28:Q28"/>
    <mergeCell ref="N39:Q39"/>
    <mergeCell ref="N40:Q40"/>
    <mergeCell ref="N41:Q41"/>
    <mergeCell ref="N42:Q42"/>
    <mergeCell ref="N43:Q43"/>
    <mergeCell ref="N44:Q44"/>
    <mergeCell ref="N45:Q45"/>
    <mergeCell ref="N46:Q46"/>
    <mergeCell ref="N47:Q47"/>
    <mergeCell ref="M27:Q27"/>
    <mergeCell ref="S27:W27"/>
    <mergeCell ref="N29:Q29"/>
    <mergeCell ref="N30:Q30"/>
    <mergeCell ref="N31:Q31"/>
    <mergeCell ref="N32:Q32"/>
    <mergeCell ref="N33:Q33"/>
    <mergeCell ref="N34:Q34"/>
    <mergeCell ref="N35:Q35"/>
    <mergeCell ref="S29:W30"/>
    <mergeCell ref="S28:W28"/>
    <mergeCell ref="N51:Q51"/>
    <mergeCell ref="N52:Q52"/>
    <mergeCell ref="N53:Q53"/>
    <mergeCell ref="N54:Q54"/>
    <mergeCell ref="N55:Q55"/>
    <mergeCell ref="N56:Q56"/>
    <mergeCell ref="AJ69:AN70"/>
    <mergeCell ref="AE64:AH64"/>
    <mergeCell ref="AE63:AH63"/>
    <mergeCell ref="AE56:AH56"/>
    <mergeCell ref="AE51:AH51"/>
    <mergeCell ref="X27:AB27"/>
    <mergeCell ref="AD27:AH27"/>
    <mergeCell ref="G77:K78"/>
    <mergeCell ref="G63:K64"/>
    <mergeCell ref="G65:K66"/>
    <mergeCell ref="G67:K68"/>
    <mergeCell ref="G71:K72"/>
    <mergeCell ref="G73:K74"/>
    <mergeCell ref="G75:K76"/>
    <mergeCell ref="N75:Q75"/>
    <mergeCell ref="N76:Q76"/>
    <mergeCell ref="N77:Q77"/>
    <mergeCell ref="N78:Q78"/>
    <mergeCell ref="N72:Q72"/>
    <mergeCell ref="N73:Q73"/>
    <mergeCell ref="N74:Q74"/>
    <mergeCell ref="G51:K52"/>
    <mergeCell ref="S61:W62"/>
    <mergeCell ref="S71:W72"/>
    <mergeCell ref="S49:W50"/>
    <mergeCell ref="X49:AB50"/>
    <mergeCell ref="S51:W52"/>
    <mergeCell ref="X51:AB52"/>
    <mergeCell ref="S53:W54"/>
    <mergeCell ref="G29:K30"/>
    <mergeCell ref="G31:K32"/>
    <mergeCell ref="G33:K34"/>
    <mergeCell ref="G35:K36"/>
    <mergeCell ref="G37:K38"/>
    <mergeCell ref="G39:K40"/>
    <mergeCell ref="AO61:AS62"/>
    <mergeCell ref="G81:K82"/>
    <mergeCell ref="G59:K60"/>
    <mergeCell ref="N79:Q79"/>
    <mergeCell ref="N80:Q80"/>
    <mergeCell ref="G79:K80"/>
    <mergeCell ref="N81:Q81"/>
    <mergeCell ref="N82:Q82"/>
    <mergeCell ref="X53:AB54"/>
    <mergeCell ref="S55:W56"/>
    <mergeCell ref="X55:AB56"/>
    <mergeCell ref="S57:W58"/>
    <mergeCell ref="X57:AB58"/>
    <mergeCell ref="S69:W70"/>
    <mergeCell ref="X69:AB70"/>
    <mergeCell ref="N71:Q71"/>
    <mergeCell ref="N49:Q49"/>
    <mergeCell ref="N50:Q50"/>
    <mergeCell ref="G43:K44"/>
    <mergeCell ref="G45:K46"/>
    <mergeCell ref="G47:K48"/>
    <mergeCell ref="G49:K50"/>
    <mergeCell ref="G53:K54"/>
    <mergeCell ref="G55:K56"/>
    <mergeCell ref="G57:K58"/>
    <mergeCell ref="AO27:AS27"/>
    <mergeCell ref="G61:K62"/>
    <mergeCell ref="N48:Q48"/>
    <mergeCell ref="AE48:AH48"/>
    <mergeCell ref="AE47:AH47"/>
    <mergeCell ref="AE46:AH46"/>
    <mergeCell ref="AE45:AH45"/>
    <mergeCell ref="AE44:AH44"/>
    <mergeCell ref="AE43:AH43"/>
    <mergeCell ref="AE42:AH42"/>
    <mergeCell ref="AE41:AH41"/>
    <mergeCell ref="AE62:AH62"/>
    <mergeCell ref="AE61:AH61"/>
    <mergeCell ref="AE60:AH60"/>
    <mergeCell ref="AE59:AH59"/>
    <mergeCell ref="AE58:AH58"/>
    <mergeCell ref="AE57:AH57"/>
    <mergeCell ref="G69:K70"/>
    <mergeCell ref="N57:Q57"/>
    <mergeCell ref="N58:Q58"/>
    <mergeCell ref="N59:Q59"/>
    <mergeCell ref="N60:Q60"/>
    <mergeCell ref="N61:Q61"/>
    <mergeCell ref="N62:Q62"/>
    <mergeCell ref="N63:Q63"/>
    <mergeCell ref="N64:Q64"/>
    <mergeCell ref="N65:Q65"/>
    <mergeCell ref="N67:Q67"/>
    <mergeCell ref="N68:Q68"/>
    <mergeCell ref="N69:Q69"/>
    <mergeCell ref="N70:Q70"/>
    <mergeCell ref="N66:Q66"/>
    <mergeCell ref="AJ49:AN50"/>
    <mergeCell ref="AO49:AS50"/>
    <mergeCell ref="AE73:AH73"/>
    <mergeCell ref="AE72:AH72"/>
    <mergeCell ref="AE71:AH71"/>
    <mergeCell ref="AE70:AH70"/>
    <mergeCell ref="AE69:AH69"/>
    <mergeCell ref="AE68:AH68"/>
    <mergeCell ref="AE67:AH67"/>
    <mergeCell ref="AE66:AH66"/>
    <mergeCell ref="AE65:AH65"/>
    <mergeCell ref="AJ63:AN64"/>
    <mergeCell ref="AO51:AS52"/>
    <mergeCell ref="AJ53:AN54"/>
    <mergeCell ref="AO53:AS54"/>
    <mergeCell ref="AJ55:AN56"/>
    <mergeCell ref="AO55:AS56"/>
    <mergeCell ref="AJ57:AN58"/>
    <mergeCell ref="AO57:AS58"/>
    <mergeCell ref="AJ59:AN60"/>
    <mergeCell ref="AO59:AS60"/>
    <mergeCell ref="AJ61:AN62"/>
    <mergeCell ref="AJ51:AN52"/>
    <mergeCell ref="AO69:AS70"/>
    <mergeCell ref="AO39:AS40"/>
    <mergeCell ref="AJ41:AN42"/>
    <mergeCell ref="AO41:AS42"/>
    <mergeCell ref="AJ43:AN44"/>
    <mergeCell ref="AO43:AS44"/>
    <mergeCell ref="AJ45:AN46"/>
    <mergeCell ref="AO45:AS46"/>
    <mergeCell ref="AJ47:AN48"/>
    <mergeCell ref="AO47:AS48"/>
    <mergeCell ref="B81:F82"/>
    <mergeCell ref="B69:F70"/>
    <mergeCell ref="G1:AC1"/>
    <mergeCell ref="G2:AC2"/>
    <mergeCell ref="G3:AC3"/>
    <mergeCell ref="AI1:AS1"/>
    <mergeCell ref="AI2:AS2"/>
    <mergeCell ref="AI3:AS3"/>
    <mergeCell ref="AJ73:AN74"/>
    <mergeCell ref="AO73:AS74"/>
    <mergeCell ref="AJ75:AN76"/>
    <mergeCell ref="AO75:AS76"/>
    <mergeCell ref="AJ27:AN27"/>
    <mergeCell ref="AJ77:AN78"/>
    <mergeCell ref="AO77:AS78"/>
    <mergeCell ref="AJ79:AN80"/>
    <mergeCell ref="AO79:AS80"/>
    <mergeCell ref="AJ81:AN82"/>
    <mergeCell ref="AO81:AS82"/>
    <mergeCell ref="AO63:AS64"/>
    <mergeCell ref="AJ65:AN66"/>
    <mergeCell ref="AO65:AS66"/>
    <mergeCell ref="AJ67:AN68"/>
    <mergeCell ref="AO67:AS68"/>
    <mergeCell ref="B63:F64"/>
    <mergeCell ref="B65:F66"/>
    <mergeCell ref="B67:F68"/>
    <mergeCell ref="B71:F72"/>
    <mergeCell ref="B73:F74"/>
    <mergeCell ref="B75:F76"/>
    <mergeCell ref="B77:F78"/>
    <mergeCell ref="B61:F62"/>
    <mergeCell ref="B79:F80"/>
    <mergeCell ref="B29:F30"/>
    <mergeCell ref="B31:F32"/>
    <mergeCell ref="B33:F34"/>
    <mergeCell ref="B35:F36"/>
    <mergeCell ref="B37:F38"/>
    <mergeCell ref="B39:F40"/>
    <mergeCell ref="B41:F42"/>
    <mergeCell ref="AE29:AH29"/>
    <mergeCell ref="AE30:AH30"/>
    <mergeCell ref="AE31:AH31"/>
    <mergeCell ref="AE32:AH32"/>
    <mergeCell ref="AE40:AH40"/>
    <mergeCell ref="AE39:AH39"/>
    <mergeCell ref="AE38:AH38"/>
    <mergeCell ref="AE37:AH37"/>
    <mergeCell ref="AE36:AH36"/>
    <mergeCell ref="AE35:AH35"/>
    <mergeCell ref="AE34:AH34"/>
    <mergeCell ref="AE33:AH33"/>
    <mergeCell ref="N36:Q36"/>
    <mergeCell ref="N37:Q37"/>
    <mergeCell ref="N38:Q38"/>
    <mergeCell ref="S39:W40"/>
    <mergeCell ref="G41:K42"/>
    <mergeCell ref="AO28:AS28"/>
    <mergeCell ref="AE82:AH82"/>
    <mergeCell ref="AE81:AH81"/>
    <mergeCell ref="AE80:AH80"/>
    <mergeCell ref="AE79:AH79"/>
    <mergeCell ref="AE78:AH78"/>
    <mergeCell ref="AE77:AH77"/>
    <mergeCell ref="AE76:AH76"/>
    <mergeCell ref="AE75:AH75"/>
    <mergeCell ref="AE74:AH74"/>
    <mergeCell ref="AJ28:AN28"/>
    <mergeCell ref="AJ71:AN72"/>
    <mergeCell ref="AO71:AS72"/>
    <mergeCell ref="AJ29:AN30"/>
    <mergeCell ref="AO29:AS30"/>
    <mergeCell ref="AJ31:AN32"/>
    <mergeCell ref="AO31:AS32"/>
    <mergeCell ref="AJ33:AN34"/>
    <mergeCell ref="AO33:AS34"/>
    <mergeCell ref="AJ35:AN36"/>
    <mergeCell ref="AO35:AS36"/>
    <mergeCell ref="AJ37:AN38"/>
    <mergeCell ref="AO37:AS38"/>
    <mergeCell ref="AJ39:AN40"/>
    <mergeCell ref="X28:AB28"/>
    <mergeCell ref="AD28:AH28"/>
    <mergeCell ref="X29:AB30"/>
    <mergeCell ref="S31:W32"/>
    <mergeCell ref="X31:AB32"/>
    <mergeCell ref="S33:W34"/>
    <mergeCell ref="X33:AB34"/>
    <mergeCell ref="S35:W36"/>
    <mergeCell ref="X35:AB36"/>
    <mergeCell ref="S37:W38"/>
    <mergeCell ref="X37:AB38"/>
    <mergeCell ref="X39:AB40"/>
    <mergeCell ref="S41:W42"/>
    <mergeCell ref="X41:AB42"/>
    <mergeCell ref="S43:W44"/>
    <mergeCell ref="X43:AB44"/>
    <mergeCell ref="S45:W46"/>
    <mergeCell ref="X45:AB46"/>
    <mergeCell ref="S47:W48"/>
    <mergeCell ref="X47:AB48"/>
    <mergeCell ref="X61:AB62"/>
    <mergeCell ref="S63:W64"/>
    <mergeCell ref="X63:AB64"/>
    <mergeCell ref="S65:W66"/>
    <mergeCell ref="X65:AB66"/>
    <mergeCell ref="S67:W68"/>
    <mergeCell ref="X67:AB68"/>
    <mergeCell ref="S81:W82"/>
    <mergeCell ref="X81:AB82"/>
    <mergeCell ref="X71:AB72"/>
    <mergeCell ref="S73:W74"/>
    <mergeCell ref="X73:AB74"/>
    <mergeCell ref="S75:W76"/>
    <mergeCell ref="X75:AB76"/>
    <mergeCell ref="S77:W78"/>
    <mergeCell ref="X77:AB78"/>
    <mergeCell ref="S79:W80"/>
    <mergeCell ref="X79:AB80"/>
  </mergeCells>
  <printOptions horizontalCentered="1"/>
  <pageMargins left="0.70866141732283472" right="0.39370078740157483" top="0.39370078740157483" bottom="0.39370078740157483" header="0.27559055118110237" footer="0.19685039370078741"/>
  <pageSetup paperSize="9" scale="74" orientation="portrait" r:id="rId1"/>
  <headerFooter>
    <oddHeader>&amp;L&amp;8พัฒนาโดย ว่าที่ร้อยตรีรณฤทธิ์ เพชรสง&amp;R&amp;8วิเคราะห์โครงสร้างคาน : SDM Plus 2015</oddHeader>
    <oddFooter>&amp;C&amp;8 Three Moment Equation Method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Analysis</vt:lpstr>
      <vt:lpstr>Analysis Report</vt:lpstr>
      <vt:lpstr>Analysis!Print_Area</vt:lpstr>
      <vt:lpstr>'Analysis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Ronnarith Phetchsong</dc:creator>
  <cp:lastModifiedBy>Administrator</cp:lastModifiedBy>
  <cp:lastPrinted>2015-09-13T06:22:46Z</cp:lastPrinted>
  <dcterms:created xsi:type="dcterms:W3CDTF">2015-01-07T03:54:22Z</dcterms:created>
  <dcterms:modified xsi:type="dcterms:W3CDTF">2015-09-13T06:23:20Z</dcterms:modified>
</cp:coreProperties>
</file>