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เปรทชีทคุณอังคาร\"/>
    </mc:Choice>
  </mc:AlternateContent>
  <xr:revisionPtr revIDLastSave="0" documentId="13_ncr:1_{29BE3557-8A63-4886-BA39-5734D517BB1B}" xr6:coauthVersionLast="47" xr6:coauthVersionMax="47" xr10:uidLastSave="{00000000-0000-0000-0000-000000000000}"/>
  <bookViews>
    <workbookView xWindow="-120" yWindow="-120" windowWidth="29040" windowHeight="15720" xr2:uid="{8A09BD99-5484-4059-83DC-0AE31A91851C}"/>
  </bookViews>
  <sheets>
    <sheet name="แรงบิดในคา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P39" i="1"/>
  <c r="F44" i="1"/>
  <c r="R39" i="1" s="1"/>
  <c r="O42" i="1"/>
  <c r="Q42" i="1"/>
  <c r="O43" i="1"/>
  <c r="O37" i="1"/>
  <c r="M40" i="1"/>
  <c r="L40" i="1"/>
  <c r="N36" i="1"/>
  <c r="I49" i="1"/>
  <c r="H48" i="1"/>
  <c r="Q43" i="1" s="1"/>
  <c r="H47" i="1"/>
  <c r="Q37" i="1" s="1"/>
  <c r="L46" i="1"/>
  <c r="F43" i="1"/>
  <c r="E33" i="1"/>
  <c r="G41" i="1" s="1"/>
  <c r="G40" i="1"/>
  <c r="G39" i="1"/>
  <c r="E30" i="1"/>
  <c r="I31" i="1"/>
  <c r="E29" i="1"/>
  <c r="N37" i="1" l="1"/>
  <c r="E28" i="1"/>
  <c r="E23" i="1"/>
  <c r="E22" i="1"/>
  <c r="E21" i="1"/>
  <c r="L29" i="1"/>
  <c r="G34" i="1" l="1"/>
  <c r="J34" i="1" s="1"/>
  <c r="I32" i="1"/>
  <c r="I33" i="1" s="1"/>
  <c r="E24" i="1"/>
  <c r="E25" i="1" s="1"/>
  <c r="E26" i="1" s="1"/>
  <c r="G51" i="1" s="1"/>
  <c r="H44" i="1" l="1"/>
  <c r="T39" i="1" s="1"/>
  <c r="G36" i="1"/>
  <c r="I36" i="1" s="1"/>
  <c r="G50" i="1"/>
  <c r="G52" i="1" s="1"/>
  <c r="I54" i="1" s="1"/>
  <c r="G35" i="1"/>
  <c r="H42" i="1"/>
  <c r="H43" i="1" s="1"/>
  <c r="G46" i="1"/>
  <c r="N46" i="1" s="1"/>
  <c r="I51" i="1" l="1"/>
  <c r="I35" i="1"/>
  <c r="G37" i="1"/>
  <c r="I37" i="1" s="1"/>
</calcChain>
</file>

<file path=xl/sharedStrings.xml><?xml version="1.0" encoding="utf-8"?>
<sst xmlns="http://schemas.openxmlformats.org/spreadsheetml/2006/main" count="130" uniqueCount="84">
  <si>
    <t>ความหนาของบันได</t>
  </si>
  <si>
    <t>เมตร</t>
  </si>
  <si>
    <t>ช่วงบันได 1 เมตร มีจำนวนขั้น</t>
  </si>
  <si>
    <t>ขั้น</t>
  </si>
  <si>
    <t>ความสูงลูกขั้น</t>
  </si>
  <si>
    <t>ความยาวลูกนอน</t>
  </si>
  <si>
    <t>น้ำหนักบรรทุกจรบันได</t>
  </si>
  <si>
    <r>
      <t>Kg./m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</si>
  <si>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t>น้ำหนักผิวปูนทรายขัดเรียบของบันได</t>
  </si>
  <si>
    <t>น้ำหนัก Topping</t>
  </si>
  <si>
    <t>แรงสั่นสะเทือนจากทางหลวง</t>
  </si>
  <si>
    <t>%</t>
  </si>
  <si>
    <t>ความกว้างของบันได</t>
  </si>
  <si>
    <t>ksc.</t>
  </si>
  <si>
    <r>
      <rPr>
        <sz val="14"/>
        <color theme="1"/>
        <rFont val="TH Sarabun New"/>
        <family val="2"/>
      </rPr>
      <t>ƒ</t>
    </r>
    <r>
      <rPr>
        <vertAlign val="subscript"/>
        <sz val="14"/>
        <color theme="1"/>
        <rFont val="TH SarabunPSK"/>
        <family val="2"/>
      </rPr>
      <t>y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</si>
  <si>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TH Sarabun New"/>
        <family val="2"/>
      </rPr>
      <t>ƒ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</si>
  <si>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TH Sarabun New"/>
        <family val="2"/>
      </rPr>
      <t>ƒ</t>
    </r>
    <r>
      <rPr>
        <vertAlign val="subscript"/>
        <sz val="14"/>
        <color theme="1"/>
        <rFont val="TH SarabunPSK"/>
        <family val="2"/>
      </rPr>
      <t xml:space="preserve">s </t>
    </r>
    <r>
      <rPr>
        <sz val="14"/>
        <color theme="1"/>
        <rFont val="TH SarabunPSK"/>
        <family val="2"/>
      </rPr>
      <t>=</t>
    </r>
  </si>
  <si>
    <t>n =</t>
  </si>
  <si>
    <t>k =</t>
  </si>
  <si>
    <t>j =</t>
  </si>
  <si>
    <t>R =</t>
  </si>
  <si>
    <t>ของน้ำหนักรวมบันได</t>
  </si>
  <si>
    <t>Effective Depth =</t>
  </si>
  <si>
    <t>ความยาวของบันได</t>
  </si>
  <si>
    <t>Kg.-m.</t>
  </si>
  <si>
    <t>หรือ =</t>
  </si>
  <si>
    <t>Kg.-cm.</t>
  </si>
  <si>
    <r>
      <t>หน่วยแรงบิดที่ยอมให้ , V</t>
    </r>
    <r>
      <rPr>
        <vertAlign val="subscript"/>
        <sz val="14"/>
        <color theme="1"/>
        <rFont val="TH SarabunPSK"/>
        <family val="2"/>
      </rPr>
      <t>a</t>
    </r>
    <r>
      <rPr>
        <sz val="14"/>
        <color theme="1"/>
        <rFont val="TH SarabunPSK"/>
        <family val="2"/>
      </rPr>
      <t xml:space="preserve"> =</t>
    </r>
  </si>
  <si>
    <r>
      <t>โมเมนต์บิดสูงสุดที่เกิดขึ้นที่ระยะ d , M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=</t>
    </r>
  </si>
  <si>
    <r>
      <t>หน่วยแรงบิดที่เกิดขึ้น , Vt = 3.5Mt/</t>
    </r>
    <r>
      <rPr>
        <sz val="14"/>
        <color theme="1"/>
        <rFont val="TH Sarabun New"/>
        <family val="2"/>
      </rPr>
      <t>∑</t>
    </r>
    <r>
      <rPr>
        <sz val="14"/>
        <color theme="1"/>
        <rFont val="TH SarabunPSK"/>
        <family val="2"/>
      </rPr>
      <t>x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y =</t>
    </r>
  </si>
  <si>
    <t>cm.</t>
  </si>
  <si>
    <t>ความกว้างคาน =</t>
  </si>
  <si>
    <t>ความสูงคาน =</t>
  </si>
  <si>
    <r>
      <t>หน่วยแรงเฉือนที่ยอมให้ , V</t>
    </r>
    <r>
      <rPr>
        <vertAlign val="subscript"/>
        <sz val="14"/>
        <color theme="1"/>
        <rFont val="TH SarabunPSK"/>
        <family val="2"/>
      </rPr>
      <t xml:space="preserve">c </t>
    </r>
    <r>
      <rPr>
        <sz val="14"/>
        <color theme="1"/>
        <rFont val="TH SarabunPSK"/>
        <family val="2"/>
      </rPr>
      <t>=</t>
    </r>
  </si>
  <si>
    <t>หน่วยแรงเฉือนที่เกิดขึ้น , V =v/bd =</t>
  </si>
  <si>
    <t>น้ำหนักคาน =</t>
  </si>
  <si>
    <t>Kg./m.</t>
  </si>
  <si>
    <t>น้ำหนักบันได =</t>
  </si>
  <si>
    <t>รวม w =</t>
  </si>
  <si>
    <r>
      <t>รวมน้ำหนักรวมของบันไดทั้งหมด , W</t>
    </r>
    <r>
      <rPr>
        <vertAlign val="subscript"/>
        <sz val="14"/>
        <color theme="1"/>
        <rFont val="TH SarabunPSK"/>
        <family val="2"/>
      </rPr>
      <t xml:space="preserve">t </t>
    </r>
    <r>
      <rPr>
        <sz val="14"/>
        <color theme="1"/>
        <rFont val="TH SarabunPSK"/>
        <family val="2"/>
      </rPr>
      <t>=</t>
    </r>
  </si>
  <si>
    <r>
      <t>หน่วยแรงเฉือนและหน่วยแรงบิดรวมที่ยอมให้ , V</t>
    </r>
    <r>
      <rPr>
        <vertAlign val="subscript"/>
        <sz val="14"/>
        <color theme="1"/>
        <rFont val="TH SarabunPSK"/>
        <family val="2"/>
      </rPr>
      <t>T</t>
    </r>
    <r>
      <rPr>
        <sz val="14"/>
        <color theme="1"/>
        <rFont val="TH SarabunPSK"/>
        <family val="2"/>
      </rPr>
      <t xml:space="preserve"> =</t>
    </r>
  </si>
  <si>
    <t>หน่วยแรงเฉือนและหน่วยแรงบิดรวม =</t>
  </si>
  <si>
    <t>mm.</t>
  </si>
  <si>
    <r>
      <t>A</t>
    </r>
    <r>
      <rPr>
        <vertAlign val="subscript"/>
        <sz val="14"/>
        <color theme="1"/>
        <rFont val="TH SarabunPSK"/>
        <family val="2"/>
      </rPr>
      <t>v</t>
    </r>
    <r>
      <rPr>
        <sz val="14"/>
        <color theme="1"/>
        <rFont val="TH SarabunPSK"/>
        <family val="2"/>
      </rPr>
      <t xml:space="preserve">  =</t>
    </r>
  </si>
  <si>
    <r>
      <t>cm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</si>
  <si>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t>(หนึ่งขา)</t>
  </si>
  <si>
    <r>
      <t>A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 xml:space="preserve">  =</t>
    </r>
  </si>
  <si>
    <r>
      <rPr>
        <sz val="14"/>
        <color theme="1"/>
        <rFont val="TH Sarabun New"/>
        <family val="2"/>
      </rPr>
      <t>ƒ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>' =</t>
    </r>
  </si>
  <si>
    <r>
      <t>f</t>
    </r>
    <r>
      <rPr>
        <vertAlign val="subscript"/>
        <sz val="14"/>
        <color theme="1"/>
        <rFont val="TH SarabunPSK"/>
        <family val="2"/>
      </rPr>
      <t xml:space="preserve">v  </t>
    </r>
    <r>
      <rPr>
        <sz val="14"/>
        <color theme="1"/>
        <rFont val="TH SarabunPSK"/>
        <family val="2"/>
      </rPr>
      <t>=</t>
    </r>
  </si>
  <si>
    <t>b =</t>
  </si>
  <si>
    <r>
      <t>ระยะเรียงของเหล็กปลอก , s = (2A</t>
    </r>
    <r>
      <rPr>
        <vertAlign val="subscript"/>
        <sz val="14"/>
        <color theme="1"/>
        <rFont val="TH SarabunPSK"/>
        <family val="2"/>
      </rPr>
      <t>v</t>
    </r>
    <r>
      <rPr>
        <sz val="14"/>
        <color theme="1"/>
        <rFont val="TH SarabunPSK"/>
        <family val="2"/>
      </rPr>
      <t>.A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>.f</t>
    </r>
    <r>
      <rPr>
        <vertAlign val="subscript"/>
        <sz val="14"/>
        <color theme="1"/>
        <rFont val="TH SarabunPSK"/>
        <family val="2"/>
      </rPr>
      <t>v</t>
    </r>
    <r>
      <rPr>
        <sz val="14"/>
        <color theme="1"/>
        <rFont val="TH SarabunPSK"/>
        <family val="2"/>
      </rPr>
      <t>)/M</t>
    </r>
    <r>
      <rPr>
        <vertAlign val="subscript"/>
        <sz val="14"/>
        <color theme="1"/>
        <rFont val="TH SarabunPSK"/>
        <family val="2"/>
      </rPr>
      <t xml:space="preserve">t  </t>
    </r>
    <r>
      <rPr>
        <sz val="14"/>
        <color theme="1"/>
        <rFont val="TH SarabunPSK"/>
        <family val="2"/>
      </rPr>
      <t>=</t>
    </r>
  </si>
  <si>
    <r>
      <t xml:space="preserve">ใช้เหล็กปลอกขนาด </t>
    </r>
    <r>
      <rPr>
        <sz val="14"/>
        <color theme="1"/>
        <rFont val="TH Sarabun New"/>
        <family val="2"/>
      </rPr>
      <t>Ø</t>
    </r>
  </si>
  <si>
    <t>mm. @</t>
  </si>
  <si>
    <t>m.</t>
  </si>
  <si>
    <r>
      <rPr>
        <b/>
        <sz val="14"/>
        <color theme="1"/>
        <rFont val="TH SarabunPSK"/>
        <family val="2"/>
      </rPr>
      <t>คำนวณหาเหล็กปลอก</t>
    </r>
    <r>
      <rPr>
        <sz val="14"/>
        <color theme="1"/>
        <rFont val="TH SarabunPSK"/>
        <family val="2"/>
      </rPr>
      <t xml:space="preserve"> เลือกใช้เหล็ปลอกขนาด</t>
    </r>
  </si>
  <si>
    <r>
      <t>A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 xml:space="preserve"> =</t>
    </r>
  </si>
  <si>
    <t>mm. =</t>
  </si>
  <si>
    <t>(ใช้ 1-DB =</t>
  </si>
  <si>
    <r>
      <t>cm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.)</t>
    </r>
  </si>
  <si>
    <r>
      <t>คำนวณหาเหล็กเสริมรับโมเมนต์บิดที่มุมคานแต่ละมุม , A</t>
    </r>
    <r>
      <rPr>
        <b/>
        <vertAlign val="subscript"/>
        <sz val="14"/>
        <color theme="1"/>
        <rFont val="TH SarabunPSK"/>
        <family val="2"/>
      </rPr>
      <t>s</t>
    </r>
    <r>
      <rPr>
        <b/>
        <sz val="14"/>
        <color theme="1"/>
        <rFont val="TH SarabunPSK"/>
        <family val="2"/>
      </rPr>
      <t xml:space="preserve"> =M</t>
    </r>
    <r>
      <rPr>
        <b/>
        <vertAlign val="subscript"/>
        <sz val="14"/>
        <color theme="1"/>
        <rFont val="TH SarabunPSK"/>
        <family val="2"/>
      </rPr>
      <t>t</t>
    </r>
    <r>
      <rPr>
        <b/>
        <sz val="14"/>
        <color theme="1"/>
        <rFont val="TH SarabunPSK"/>
        <family val="2"/>
      </rPr>
      <t>.z/2A</t>
    </r>
    <r>
      <rPr>
        <b/>
        <vertAlign val="subscript"/>
        <sz val="14"/>
        <color theme="1"/>
        <rFont val="TH SarabunPSK"/>
        <family val="2"/>
      </rPr>
      <t>c</t>
    </r>
    <r>
      <rPr>
        <b/>
        <sz val="14"/>
        <color theme="1"/>
        <rFont val="TH SarabunPSK"/>
        <family val="2"/>
      </rPr>
      <t>f</t>
    </r>
    <r>
      <rPr>
        <b/>
        <vertAlign val="subscript"/>
        <sz val="14"/>
        <color theme="1"/>
        <rFont val="TH SarabunPSK"/>
        <family val="2"/>
      </rPr>
      <t>s</t>
    </r>
  </si>
  <si>
    <t>คำนวณหาเหล็กเสริมรับโมเมนต์ดัด</t>
  </si>
  <si>
    <t>z  =</t>
  </si>
  <si>
    <r>
      <t>M</t>
    </r>
    <r>
      <rPr>
        <vertAlign val="superscript"/>
        <sz val="14"/>
        <color theme="1"/>
        <rFont val="TH SarabunPSK"/>
        <family val="2"/>
      </rPr>
      <t>+</t>
    </r>
    <r>
      <rPr>
        <vertAlign val="subscript"/>
        <sz val="14"/>
        <color theme="1"/>
        <rFont val="TH SarabunPSK"/>
        <family val="2"/>
      </rPr>
      <t xml:space="preserve">max. </t>
    </r>
    <r>
      <rPr>
        <sz val="14"/>
        <color theme="1"/>
        <rFont val="TH SarabunPSK"/>
        <family val="2"/>
      </rPr>
      <t xml:space="preserve"> =</t>
    </r>
  </si>
  <si>
    <r>
      <t>M</t>
    </r>
    <r>
      <rPr>
        <vertAlign val="subscript"/>
        <sz val="14"/>
        <color theme="1"/>
        <rFont val="TH SarabunPSK"/>
        <family val="2"/>
      </rPr>
      <t xml:space="preserve">c </t>
    </r>
    <r>
      <rPr>
        <sz val="14"/>
        <color theme="1"/>
        <rFont val="TH SarabunPSK"/>
        <family val="2"/>
      </rPr>
      <t xml:space="preserve"> =</t>
    </r>
  </si>
  <si>
    <r>
      <t>A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 xml:space="preserve">  =</t>
    </r>
  </si>
  <si>
    <t xml:space="preserve">เสริมเหล็กรับแรงดึงที่ท้องคาน </t>
  </si>
  <si>
    <t xml:space="preserve"> -DB</t>
  </si>
  <si>
    <r>
      <t>A</t>
    </r>
    <r>
      <rPr>
        <vertAlign val="subscript"/>
        <sz val="14"/>
        <color theme="1"/>
        <rFont val="TH SarabunPSK"/>
        <family val="2"/>
      </rPr>
      <t>q</t>
    </r>
    <r>
      <rPr>
        <sz val="14"/>
        <color theme="1"/>
        <rFont val="TH SarabunPSK"/>
        <family val="2"/>
      </rPr>
      <t xml:space="preserve">  =</t>
    </r>
  </si>
  <si>
    <t>แนวหน้าตัดวิกฤษแรงบิด =</t>
  </si>
  <si>
    <t>เลือกใช้เหล็กมุมบน</t>
  </si>
  <si>
    <t>และเลือกใช้เหล็กมุมล่าง</t>
  </si>
  <si>
    <t xml:space="preserve"> +</t>
  </si>
  <si>
    <t>ป.</t>
  </si>
  <si>
    <t>หรือ</t>
  </si>
  <si>
    <t xml:space="preserve"> - Ø</t>
  </si>
  <si>
    <t xml:space="preserve"> mm. @</t>
  </si>
  <si>
    <t>เสริมพิเศษกลางคาน 2-DB 25 mm.</t>
  </si>
  <si>
    <t>แรงบิดในคานและการเสริมเหล็กต้านทาน</t>
  </si>
  <si>
    <t>Date :</t>
  </si>
  <si>
    <t>Project :</t>
  </si>
  <si>
    <t>Engineer :</t>
  </si>
  <si>
    <t>Owner :</t>
  </si>
  <si>
    <t>License :</t>
  </si>
  <si>
    <t>Location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</si>
</sst>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41E]d\ mmmm\ yyyy;@"/>
  </numFmts>
  <fonts count="26">
    <font>
      <sz val="11"/>
      <color theme="1"/>
      <name val="Aptos Narrow"/>
      <family val="2"/>
      <charset val="222"/>
      <scheme val="minor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vertAlign val="subscript"/>
      <sz val="14"/>
      <color theme="1"/>
      <name val="TH SarabunPSK"/>
      <family val="2"/>
    </font>
    <font>
      <sz val="14"/>
      <color theme="1"/>
      <name val="TH Sarabun New"/>
      <family val="2"/>
    </font>
    <font>
      <sz val="14"/>
      <color theme="1"/>
      <name val="PSL Display Pro (พีเอสแอล ดิสเพ"/>
    </font>
    <font>
      <b/>
      <sz val="14"/>
      <color theme="1"/>
      <name val="TH SarabunPSK"/>
      <family val="2"/>
    </font>
    <font>
      <b/>
      <vertAlign val="subscript"/>
      <sz val="14"/>
      <color theme="1"/>
      <name val="TH SarabunPSK"/>
      <family val="2"/>
    </font>
    <font>
      <sz val="12"/>
      <color theme="1"/>
      <name val="TH SarabunPSK"/>
      <family val="2"/>
    </font>
    <font>
      <sz val="22"/>
      <color theme="1"/>
      <name val="TH SarabunPSK"/>
      <family val="2"/>
    </font>
    <font>
      <sz val="26"/>
      <color theme="1"/>
      <name val="TH SarabunPSK"/>
      <family val="2"/>
    </font>
    <font>
      <b/>
      <sz val="14"/>
      <color rgb="FF3333FF"/>
      <name val="TH SarabunPSK"/>
      <family val="2"/>
    </font>
    <font>
      <b/>
      <sz val="12"/>
      <color rgb="FF3333FF"/>
      <name val="TH SarabunPSK"/>
      <family val="2"/>
    </font>
    <font>
      <b/>
      <sz val="14"/>
      <color rgb="FF008000"/>
      <name val="TH SarabunPSK"/>
      <family val="2"/>
    </font>
    <font>
      <b/>
      <sz val="12"/>
      <color rgb="FF008000"/>
      <name val="TH SarabunPSK"/>
      <family val="2"/>
    </font>
    <font>
      <b/>
      <sz val="16"/>
      <color rgb="FF3333FF"/>
      <name val="TH SarabunPSK"/>
      <family val="2"/>
    </font>
    <font>
      <b/>
      <sz val="26"/>
      <color rgb="FF3333FF"/>
      <name val="TH SarabunPSK"/>
      <family val="2"/>
    </font>
    <font>
      <b/>
      <sz val="22"/>
      <color rgb="FF3333FF"/>
      <name val="TH SarabunPSK"/>
      <family val="2"/>
    </font>
    <font>
      <b/>
      <sz val="16"/>
      <color theme="1"/>
      <name val="TH SarabunPSK"/>
      <family val="2"/>
    </font>
    <font>
      <b/>
      <sz val="26"/>
      <color theme="1"/>
      <name val="TH SarabunPSK"/>
      <family val="2"/>
    </font>
    <font>
      <b/>
      <sz val="14"/>
      <color rgb="FFC00000"/>
      <name val="TH SarabunPSK"/>
      <family val="2"/>
    </font>
    <font>
      <sz val="12"/>
      <color theme="1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sz val="12"/>
      <color theme="1"/>
      <name val="AngsanaUPC"/>
      <family val="2"/>
      <charset val="222"/>
    </font>
    <font>
      <b/>
      <sz val="12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3" fillId="0" borderId="4" xfId="0" applyFont="1" applyBorder="1" applyProtection="1">
      <protection locked="0"/>
    </xf>
    <xf numFmtId="0" fontId="21" fillId="0" borderId="5" xfId="0" applyFont="1" applyBorder="1" applyProtection="1">
      <protection locked="0"/>
    </xf>
    <xf numFmtId="0" fontId="23" fillId="0" borderId="6" xfId="0" applyFont="1" applyBorder="1" applyProtection="1">
      <protection locked="0"/>
    </xf>
    <xf numFmtId="0" fontId="21" fillId="0" borderId="7" xfId="0" applyFont="1" applyBorder="1" applyProtection="1">
      <protection locked="0"/>
    </xf>
    <xf numFmtId="0" fontId="23" fillId="0" borderId="9" xfId="0" applyFont="1" applyBorder="1" applyProtection="1">
      <protection locked="0"/>
    </xf>
    <xf numFmtId="0" fontId="24" fillId="0" borderId="0" xfId="0" applyFont="1" applyProtection="1">
      <protection locked="0"/>
    </xf>
    <xf numFmtId="0" fontId="22" fillId="0" borderId="8" xfId="0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1" fillId="0" borderId="0" xfId="0" applyFont="1"/>
    <xf numFmtId="0" fontId="21" fillId="0" borderId="2" xfId="0" applyFont="1" applyBorder="1" applyAlignment="1">
      <alignment horizontal="left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2" fillId="0" borderId="0" xfId="0" applyFont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" fontId="11" fillId="2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3333FF"/>
      <color rgb="FF00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</xdr:colOff>
      <xdr:row>37</xdr:row>
      <xdr:rowOff>0</xdr:rowOff>
    </xdr:from>
    <xdr:to>
      <xdr:col>14</xdr:col>
      <xdr:colOff>0</xdr:colOff>
      <xdr:row>42</xdr:row>
      <xdr:rowOff>15240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1E7CAD6-39EB-0390-AF87-CDF544DFBCB7}"/>
            </a:ext>
          </a:extLst>
        </xdr:cNvPr>
        <xdr:cNvSpPr/>
      </xdr:nvSpPr>
      <xdr:spPr>
        <a:xfrm>
          <a:off x="7391400" y="5692140"/>
          <a:ext cx="655320" cy="124968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83820</xdr:colOff>
      <xdr:row>37</xdr:row>
      <xdr:rowOff>83820</xdr:rowOff>
    </xdr:from>
    <xdr:to>
      <xdr:col>13</xdr:col>
      <xdr:colOff>617220</xdr:colOff>
      <xdr:row>41</xdr:row>
      <xdr:rowOff>190500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9FEF7F88-7827-0B37-5C68-DEBF4CA0069B}"/>
            </a:ext>
          </a:extLst>
        </xdr:cNvPr>
        <xdr:cNvSpPr/>
      </xdr:nvSpPr>
      <xdr:spPr>
        <a:xfrm>
          <a:off x="7459980" y="5775960"/>
          <a:ext cx="533400" cy="1082040"/>
        </a:xfrm>
        <a:prstGeom prst="rect">
          <a:avLst/>
        </a:prstGeom>
        <a:pattFill prst="wdUpDiag">
          <a:fgClr>
            <a:schemeClr val="accent1"/>
          </a:fgClr>
          <a:bgClr>
            <a:schemeClr val="bg1"/>
          </a:bgClr>
        </a:patt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2876</xdr:colOff>
      <xdr:row>35</xdr:row>
      <xdr:rowOff>50618</xdr:rowOff>
    </xdr:from>
    <xdr:to>
      <xdr:col>13</xdr:col>
      <xdr:colOff>4559</xdr:colOff>
      <xdr:row>36</xdr:row>
      <xdr:rowOff>83489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BB939B08-15FA-C587-CFFA-55EB689FE6AC}"/>
            </a:ext>
          </a:extLst>
        </xdr:cNvPr>
        <xdr:cNvCxnSpPr/>
      </xdr:nvCxnSpPr>
      <xdr:spPr>
        <a:xfrm flipH="1">
          <a:off x="7402159" y="5316301"/>
          <a:ext cx="1683" cy="264098"/>
        </a:xfrm>
        <a:prstGeom prst="line">
          <a:avLst/>
        </a:prstGeom>
        <a:ln w="635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3717</xdr:colOff>
      <xdr:row>35</xdr:row>
      <xdr:rowOff>53962</xdr:rowOff>
    </xdr:from>
    <xdr:to>
      <xdr:col>14</xdr:col>
      <xdr:colOff>3717</xdr:colOff>
      <xdr:row>36</xdr:row>
      <xdr:rowOff>113436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AAC10E39-9A71-4336-9C1B-878BA6AD9059}"/>
            </a:ext>
          </a:extLst>
        </xdr:cNvPr>
        <xdr:cNvCxnSpPr/>
      </xdr:nvCxnSpPr>
      <xdr:spPr>
        <a:xfrm>
          <a:off x="8075662" y="5319645"/>
          <a:ext cx="0" cy="290701"/>
        </a:xfrm>
        <a:prstGeom prst="line">
          <a:avLst/>
        </a:prstGeom>
        <a:ln w="635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35</xdr:row>
      <xdr:rowOff>202576</xdr:rowOff>
    </xdr:from>
    <xdr:to>
      <xdr:col>14</xdr:col>
      <xdr:colOff>11502</xdr:colOff>
      <xdr:row>35</xdr:row>
      <xdr:rowOff>205451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3D595B59-43B7-A5D1-5D50-A69992AE4EA4}"/>
            </a:ext>
          </a:extLst>
        </xdr:cNvPr>
        <xdr:cNvCxnSpPr/>
      </xdr:nvCxnSpPr>
      <xdr:spPr>
        <a:xfrm>
          <a:off x="7399283" y="5468259"/>
          <a:ext cx="684164" cy="2875"/>
        </a:xfrm>
        <a:prstGeom prst="straightConnector1">
          <a:avLst/>
        </a:prstGeom>
        <a:ln w="3175">
          <a:solidFill>
            <a:sysClr val="windowText" lastClr="000000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557501</xdr:colOff>
      <xdr:row>36</xdr:row>
      <xdr:rowOff>228600</xdr:rowOff>
    </xdr:from>
    <xdr:to>
      <xdr:col>12</xdr:col>
      <xdr:colOff>247877</xdr:colOff>
      <xdr:row>36</xdr:row>
      <xdr:rowOff>228600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D007AE30-1FCD-4FE9-8738-4293B506471C}"/>
            </a:ext>
          </a:extLst>
        </xdr:cNvPr>
        <xdr:cNvCxnSpPr/>
      </xdr:nvCxnSpPr>
      <xdr:spPr>
        <a:xfrm>
          <a:off x="6579160" y="5722434"/>
          <a:ext cx="35944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535731</xdr:colOff>
      <xdr:row>42</xdr:row>
      <xdr:rowOff>8627</xdr:rowOff>
    </xdr:from>
    <xdr:to>
      <xdr:col>12</xdr:col>
      <xdr:colOff>204109</xdr:colOff>
      <xdr:row>42</xdr:row>
      <xdr:rowOff>8627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DF37489B-7797-4347-A64D-A2203228A444}"/>
            </a:ext>
          </a:extLst>
        </xdr:cNvPr>
        <xdr:cNvCxnSpPr/>
      </xdr:nvCxnSpPr>
      <xdr:spPr>
        <a:xfrm>
          <a:off x="6560974" y="6931941"/>
          <a:ext cx="33784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24329</xdr:colOff>
      <xdr:row>37</xdr:row>
      <xdr:rowOff>5751</xdr:rowOff>
    </xdr:from>
    <xdr:to>
      <xdr:col>12</xdr:col>
      <xdr:colOff>24329</xdr:colOff>
      <xdr:row>42</xdr:row>
      <xdr:rowOff>8626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B73D7DF3-557A-4714-B7EB-94E398A8E4D3}"/>
            </a:ext>
          </a:extLst>
        </xdr:cNvPr>
        <xdr:cNvCxnSpPr/>
      </xdr:nvCxnSpPr>
      <xdr:spPr>
        <a:xfrm>
          <a:off x="6706483" y="5714889"/>
          <a:ext cx="0" cy="1233799"/>
        </a:xfrm>
        <a:prstGeom prst="straightConnector1">
          <a:avLst/>
        </a:prstGeom>
        <a:ln w="3175">
          <a:solidFill>
            <a:sysClr val="windowText" lastClr="000000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79321</xdr:colOff>
      <xdr:row>36</xdr:row>
      <xdr:rowOff>97170</xdr:rowOff>
    </xdr:from>
    <xdr:to>
      <xdr:col>13</xdr:col>
      <xdr:colOff>79321</xdr:colOff>
      <xdr:row>36</xdr:row>
      <xdr:rowOff>229442</xdr:rowOff>
    </xdr:to>
    <xdr:cxnSp macro="">
      <xdr:nvCxnSpPr>
        <xdr:cNvPr id="23" name="ตัวเชื่อมต่อตรง 22">
          <a:extLst>
            <a:ext uri="{FF2B5EF4-FFF2-40B4-BE49-F238E27FC236}">
              <a16:creationId xmlns:a16="http://schemas.microsoft.com/office/drawing/2014/main" id="{8E6E17CB-0D6B-4B70-8F4A-D142D1266543}"/>
            </a:ext>
          </a:extLst>
        </xdr:cNvPr>
        <xdr:cNvCxnSpPr/>
      </xdr:nvCxnSpPr>
      <xdr:spPr>
        <a:xfrm>
          <a:off x="7478604" y="5594080"/>
          <a:ext cx="0" cy="132272"/>
        </a:xfrm>
        <a:prstGeom prst="line">
          <a:avLst/>
        </a:prstGeom>
        <a:ln w="635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612475</xdr:colOff>
      <xdr:row>36</xdr:row>
      <xdr:rowOff>94294</xdr:rowOff>
    </xdr:from>
    <xdr:to>
      <xdr:col>13</xdr:col>
      <xdr:colOff>612475</xdr:colOff>
      <xdr:row>37</xdr:row>
      <xdr:rowOff>12591</xdr:rowOff>
    </xdr:to>
    <xdr:cxnSp macro="">
      <xdr:nvCxnSpPr>
        <xdr:cNvPr id="26" name="ตัวเชื่อมต่อตรง 25">
          <a:extLst>
            <a:ext uri="{FF2B5EF4-FFF2-40B4-BE49-F238E27FC236}">
              <a16:creationId xmlns:a16="http://schemas.microsoft.com/office/drawing/2014/main" id="{EAFBAC22-60B1-4AA1-BC5D-DED19944D509}"/>
            </a:ext>
          </a:extLst>
        </xdr:cNvPr>
        <xdr:cNvCxnSpPr/>
      </xdr:nvCxnSpPr>
      <xdr:spPr>
        <a:xfrm>
          <a:off x="8011758" y="5591204"/>
          <a:ext cx="0" cy="149525"/>
        </a:xfrm>
        <a:prstGeom prst="line">
          <a:avLst/>
        </a:prstGeom>
        <a:ln w="635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71888</xdr:colOff>
      <xdr:row>36</xdr:row>
      <xdr:rowOff>157555</xdr:rowOff>
    </xdr:from>
    <xdr:to>
      <xdr:col>13</xdr:col>
      <xdr:colOff>615351</xdr:colOff>
      <xdr:row>36</xdr:row>
      <xdr:rowOff>157555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D721B437-84CC-41F2-9527-2E565199B24E}"/>
            </a:ext>
          </a:extLst>
        </xdr:cNvPr>
        <xdr:cNvCxnSpPr/>
      </xdr:nvCxnSpPr>
      <xdr:spPr>
        <a:xfrm>
          <a:off x="7471171" y="5654465"/>
          <a:ext cx="543463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301083</xdr:colOff>
      <xdr:row>37</xdr:row>
      <xdr:rowOff>96644</xdr:rowOff>
    </xdr:from>
    <xdr:to>
      <xdr:col>12</xdr:col>
      <xdr:colOff>659675</xdr:colOff>
      <xdr:row>37</xdr:row>
      <xdr:rowOff>96644</xdr:rowOff>
    </xdr:to>
    <xdr:cxnSp macro="">
      <xdr:nvCxnSpPr>
        <xdr:cNvPr id="34" name="ตัวเชื่อมต่อตรง 33">
          <a:extLst>
            <a:ext uri="{FF2B5EF4-FFF2-40B4-BE49-F238E27FC236}">
              <a16:creationId xmlns:a16="http://schemas.microsoft.com/office/drawing/2014/main" id="{1A0F2F0E-B16D-40D7-8301-EFDA7DB622AD}"/>
            </a:ext>
          </a:extLst>
        </xdr:cNvPr>
        <xdr:cNvCxnSpPr/>
      </xdr:nvCxnSpPr>
      <xdr:spPr>
        <a:xfrm>
          <a:off x="6991815" y="5820937"/>
          <a:ext cx="358592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297366</xdr:colOff>
      <xdr:row>41</xdr:row>
      <xdr:rowOff>182137</xdr:rowOff>
    </xdr:from>
    <xdr:to>
      <xdr:col>12</xdr:col>
      <xdr:colOff>655958</xdr:colOff>
      <xdr:row>41</xdr:row>
      <xdr:rowOff>182137</xdr:rowOff>
    </xdr:to>
    <xdr:cxnSp macro="">
      <xdr:nvCxnSpPr>
        <xdr:cNvPr id="35" name="ตัวเชื่อมต่อตรง 34">
          <a:extLst>
            <a:ext uri="{FF2B5EF4-FFF2-40B4-BE49-F238E27FC236}">
              <a16:creationId xmlns:a16="http://schemas.microsoft.com/office/drawing/2014/main" id="{E46C3365-1DA1-4B83-B29A-9DC48B72CCA2}"/>
            </a:ext>
          </a:extLst>
        </xdr:cNvPr>
        <xdr:cNvCxnSpPr/>
      </xdr:nvCxnSpPr>
      <xdr:spPr>
        <a:xfrm>
          <a:off x="6988098" y="6887737"/>
          <a:ext cx="358592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456627</xdr:colOff>
      <xdr:row>37</xdr:row>
      <xdr:rowOff>92926</xdr:rowOff>
    </xdr:from>
    <xdr:to>
      <xdr:col>12</xdr:col>
      <xdr:colOff>460345</xdr:colOff>
      <xdr:row>41</xdr:row>
      <xdr:rowOff>182137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846B10E9-6681-4BC7-A50E-F9F4462FFE9F}"/>
            </a:ext>
          </a:extLst>
        </xdr:cNvPr>
        <xdr:cNvCxnSpPr/>
      </xdr:nvCxnSpPr>
      <xdr:spPr>
        <a:xfrm flipH="1">
          <a:off x="8475212" y="5802064"/>
          <a:ext cx="3718" cy="1062227"/>
        </a:xfrm>
        <a:prstGeom prst="straightConnector1">
          <a:avLst/>
        </a:prstGeom>
        <a:ln w="3175">
          <a:solidFill>
            <a:sysClr val="windowText" lastClr="000000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502022</xdr:colOff>
      <xdr:row>7</xdr:row>
      <xdr:rowOff>35606</xdr:rowOff>
    </xdr:from>
    <xdr:to>
      <xdr:col>11</xdr:col>
      <xdr:colOff>161364</xdr:colOff>
      <xdr:row>17</xdr:row>
      <xdr:rowOff>146599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6E83603A-F1CC-7ACB-85E4-1632AAC3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3787" y="923112"/>
          <a:ext cx="3693459" cy="2441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FA86-5095-4CB3-BEA6-D0E0F0F3F9A6}">
  <dimension ref="A1:U54"/>
  <sheetViews>
    <sheetView showRowColHeaders="0" tabSelected="1" view="pageBreakPreview" zoomScale="85" zoomScaleNormal="85" zoomScaleSheetLayoutView="85" workbookViewId="0">
      <selection activeCell="Q13" sqref="Q13"/>
    </sheetView>
  </sheetViews>
  <sheetFormatPr defaultColWidth="8.75" defaultRowHeight="18.75"/>
  <cols>
    <col min="1" max="12" width="8.75" style="11"/>
    <col min="13" max="13" width="7.75" style="11" customWidth="1"/>
    <col min="14" max="14" width="8.875" style="11" customWidth="1"/>
    <col min="15" max="15" width="2.5" style="11" customWidth="1"/>
    <col min="16" max="16" width="3.625" style="11" bestFit="1" customWidth="1"/>
    <col min="17" max="18" width="3.5" style="11" bestFit="1" customWidth="1"/>
    <col min="19" max="19" width="5.5" style="11" bestFit="1" customWidth="1"/>
    <col min="20" max="21" width="4.25" style="11" customWidth="1"/>
    <col min="22" max="16384" width="8.75" style="11"/>
  </cols>
  <sheetData>
    <row r="1" spans="1:21" ht="34.5" thickBot="1">
      <c r="A1" s="67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18.600000000000001" customHeight="1" thickTop="1">
      <c r="A2" s="12"/>
      <c r="B2" s="12"/>
      <c r="C2" s="13"/>
      <c r="D2" s="14"/>
      <c r="E2" s="15"/>
      <c r="F2" s="14"/>
      <c r="G2" s="14"/>
      <c r="H2" s="14"/>
      <c r="I2" s="14"/>
      <c r="J2" s="14"/>
      <c r="K2" s="14"/>
      <c r="L2" s="16"/>
      <c r="M2" s="16"/>
      <c r="N2" s="16"/>
      <c r="O2" s="16"/>
      <c r="P2" s="16"/>
      <c r="Q2" s="16"/>
      <c r="R2" s="10"/>
      <c r="S2" s="10"/>
      <c r="T2" s="10"/>
      <c r="U2" s="10"/>
    </row>
    <row r="3" spans="1:21" ht="18.600000000000001" customHeight="1">
      <c r="C3" s="17" t="s">
        <v>79</v>
      </c>
      <c r="D3" s="3"/>
      <c r="E3" s="4"/>
      <c r="F3" s="55"/>
      <c r="G3" s="55"/>
      <c r="H3" s="56"/>
      <c r="I3" s="56"/>
      <c r="J3" s="56"/>
      <c r="K3" s="17" t="s">
        <v>80</v>
      </c>
      <c r="L3" s="5"/>
      <c r="M3" s="6"/>
      <c r="N3" s="6"/>
      <c r="O3" s="6"/>
      <c r="P3" s="56"/>
      <c r="Q3" s="56"/>
      <c r="R3" s="10"/>
      <c r="S3" s="10"/>
      <c r="T3" s="10"/>
      <c r="U3" s="10"/>
    </row>
    <row r="4" spans="1:21" ht="18.600000000000001" customHeight="1">
      <c r="C4" s="17" t="s">
        <v>81</v>
      </c>
      <c r="D4" s="1"/>
      <c r="E4" s="2"/>
      <c r="F4" s="57"/>
      <c r="G4" s="57"/>
      <c r="H4" s="56"/>
      <c r="I4" s="56"/>
      <c r="J4" s="56"/>
      <c r="K4" s="17" t="s">
        <v>82</v>
      </c>
      <c r="L4" s="7"/>
      <c r="M4" s="8"/>
      <c r="N4" s="8"/>
      <c r="O4" s="8"/>
      <c r="P4" s="57"/>
      <c r="Q4" s="57"/>
      <c r="R4" s="10"/>
      <c r="S4" s="10"/>
      <c r="T4" s="10"/>
      <c r="U4" s="10"/>
    </row>
    <row r="5" spans="1:21" ht="18.600000000000001" customHeight="1">
      <c r="C5" s="17" t="s">
        <v>83</v>
      </c>
      <c r="D5" s="1"/>
      <c r="E5" s="2"/>
      <c r="F5" s="57"/>
      <c r="G5" s="57"/>
      <c r="H5" s="56"/>
      <c r="I5" s="56"/>
      <c r="J5" s="56"/>
      <c r="K5" s="17" t="s">
        <v>78</v>
      </c>
      <c r="L5" s="9"/>
      <c r="M5" s="8"/>
      <c r="N5" s="8"/>
      <c r="O5" s="8"/>
      <c r="P5" s="57"/>
      <c r="Q5" s="57"/>
      <c r="R5" s="10"/>
      <c r="S5" s="10"/>
      <c r="T5" s="10"/>
      <c r="U5" s="10"/>
    </row>
    <row r="6" spans="1:21" ht="18.600000000000001" customHeight="1" thickBot="1">
      <c r="A6" s="12"/>
      <c r="B6" s="12"/>
      <c r="C6" s="18"/>
      <c r="D6" s="19"/>
      <c r="E6" s="20"/>
      <c r="F6" s="19"/>
      <c r="G6" s="19"/>
      <c r="H6" s="19"/>
      <c r="I6" s="19"/>
      <c r="J6" s="19"/>
      <c r="K6" s="19"/>
      <c r="L6" s="21"/>
      <c r="M6" s="21"/>
      <c r="N6" s="21"/>
      <c r="O6" s="21"/>
      <c r="P6" s="21"/>
      <c r="Q6" s="21"/>
      <c r="R6" s="10"/>
      <c r="S6" s="10"/>
      <c r="T6" s="10"/>
      <c r="U6" s="10"/>
    </row>
    <row r="7" spans="1:21" ht="18.600000000000001" customHeight="1" thickTop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8.600000000000001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4"/>
      <c r="O8" s="25"/>
      <c r="P8" s="25"/>
      <c r="Q8" s="25"/>
      <c r="R8" s="25"/>
      <c r="S8" s="25"/>
      <c r="T8" s="26"/>
      <c r="U8" s="22"/>
    </row>
    <row r="9" spans="1:21" ht="18.600000000000001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  <c r="M9" s="28"/>
      <c r="N9" s="28"/>
      <c r="O9" s="29"/>
      <c r="P9" s="30"/>
      <c r="Q9" s="31"/>
      <c r="R9" s="32"/>
      <c r="S9" s="32"/>
      <c r="T9" s="32"/>
      <c r="U9" s="27"/>
    </row>
    <row r="10" spans="1:21" ht="18.600000000000001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4"/>
      <c r="M10" s="24"/>
      <c r="N10" s="24"/>
      <c r="O10" s="29"/>
      <c r="P10" s="30"/>
      <c r="Q10" s="31"/>
      <c r="R10" s="32"/>
      <c r="S10" s="32"/>
      <c r="T10" s="32"/>
      <c r="U10" s="27"/>
    </row>
    <row r="11" spans="1:21" ht="18.60000000000000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4"/>
      <c r="M11" s="24"/>
      <c r="N11" s="24"/>
      <c r="O11" s="29"/>
      <c r="P11" s="30"/>
      <c r="Q11" s="31"/>
      <c r="R11" s="32"/>
      <c r="S11" s="32"/>
      <c r="T11" s="32"/>
      <c r="U11" s="27"/>
    </row>
    <row r="12" spans="1:21" ht="18.600000000000001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4"/>
      <c r="M12" s="24"/>
      <c r="N12" s="24"/>
      <c r="O12" s="29"/>
      <c r="P12" s="30"/>
      <c r="Q12" s="31"/>
      <c r="R12" s="32"/>
      <c r="S12" s="32"/>
      <c r="T12" s="32"/>
      <c r="U12" s="27"/>
    </row>
    <row r="13" spans="1:21" ht="18.600000000000001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4"/>
      <c r="M13" s="24"/>
      <c r="N13" s="24"/>
      <c r="O13" s="29"/>
      <c r="P13" s="30"/>
      <c r="Q13" s="31"/>
      <c r="R13" s="32"/>
      <c r="S13" s="32"/>
      <c r="T13" s="32"/>
      <c r="U13" s="27"/>
    </row>
    <row r="14" spans="1:21" ht="18.600000000000001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4"/>
      <c r="M14" s="24"/>
      <c r="N14" s="24"/>
      <c r="O14" s="29"/>
      <c r="P14" s="30"/>
      <c r="Q14" s="31"/>
      <c r="R14" s="32"/>
      <c r="S14" s="32"/>
      <c r="T14" s="32"/>
      <c r="U14" s="27"/>
    </row>
    <row r="15" spans="1:21" ht="18.600000000000001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4"/>
      <c r="M15" s="24"/>
      <c r="N15" s="24"/>
      <c r="O15" s="29"/>
      <c r="P15" s="30"/>
      <c r="Q15" s="31"/>
      <c r="R15" s="32"/>
      <c r="S15" s="32"/>
      <c r="T15" s="32"/>
      <c r="U15" s="27"/>
    </row>
    <row r="16" spans="1:21" ht="18.600000000000001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4"/>
      <c r="M16" s="24"/>
      <c r="N16" s="24"/>
      <c r="O16" s="29"/>
      <c r="P16" s="30"/>
      <c r="Q16" s="31"/>
      <c r="R16" s="32"/>
      <c r="S16" s="32"/>
      <c r="T16" s="32"/>
      <c r="U16" s="27"/>
    </row>
    <row r="17" spans="1:21" ht="18.600000000000001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4"/>
      <c r="M17" s="24"/>
      <c r="N17" s="24"/>
      <c r="O17" s="29"/>
      <c r="P17" s="30"/>
      <c r="Q17" s="31"/>
      <c r="R17" s="32"/>
      <c r="S17" s="32"/>
      <c r="T17" s="32"/>
      <c r="U17" s="27"/>
    </row>
    <row r="18" spans="1:21" ht="21">
      <c r="L18" s="28"/>
      <c r="M18" s="28"/>
      <c r="O18" s="30"/>
      <c r="P18" s="30"/>
      <c r="Q18" s="33"/>
      <c r="R18" s="33"/>
      <c r="S18" s="33"/>
      <c r="T18" s="33"/>
    </row>
    <row r="19" spans="1:21" ht="21.75">
      <c r="D19" s="34" t="s">
        <v>47</v>
      </c>
      <c r="E19" s="58">
        <v>210</v>
      </c>
      <c r="F19" s="35" t="s">
        <v>13</v>
      </c>
      <c r="G19" s="35"/>
      <c r="I19" s="11" t="s">
        <v>0</v>
      </c>
      <c r="L19" s="59">
        <v>0.15</v>
      </c>
      <c r="M19" s="35" t="s">
        <v>1</v>
      </c>
    </row>
    <row r="20" spans="1:21" ht="21.75">
      <c r="D20" s="34" t="s">
        <v>14</v>
      </c>
      <c r="E20" s="59">
        <v>4000</v>
      </c>
      <c r="F20" s="35" t="s">
        <v>13</v>
      </c>
      <c r="G20" s="35"/>
      <c r="I20" s="11" t="s">
        <v>2</v>
      </c>
      <c r="L20" s="58">
        <v>5</v>
      </c>
      <c r="M20" s="35" t="s">
        <v>3</v>
      </c>
    </row>
    <row r="21" spans="1:21" ht="21.75">
      <c r="D21" s="34" t="s">
        <v>15</v>
      </c>
      <c r="E21" s="35">
        <f>0.375*E19</f>
        <v>78.75</v>
      </c>
      <c r="F21" s="35" t="s">
        <v>13</v>
      </c>
      <c r="G21" s="36"/>
      <c r="I21" s="11" t="s">
        <v>4</v>
      </c>
      <c r="L21" s="59">
        <v>0.18</v>
      </c>
      <c r="M21" s="35" t="s">
        <v>1</v>
      </c>
    </row>
    <row r="22" spans="1:21" ht="21.75">
      <c r="D22" s="34" t="s">
        <v>16</v>
      </c>
      <c r="E22" s="37">
        <f>0.5*E20</f>
        <v>2000</v>
      </c>
      <c r="F22" s="35" t="s">
        <v>13</v>
      </c>
      <c r="G22" s="36"/>
      <c r="I22" s="11" t="s">
        <v>5</v>
      </c>
      <c r="L22" s="59">
        <v>0.22</v>
      </c>
      <c r="M22" s="35" t="s">
        <v>1</v>
      </c>
    </row>
    <row r="23" spans="1:21" ht="21.75">
      <c r="D23" s="38" t="s">
        <v>17</v>
      </c>
      <c r="E23" s="39">
        <f>(2.039*10^6)/((2.323^1.5)*4270*SQRT(E19))</f>
        <v>9.306918025135257</v>
      </c>
      <c r="F23" s="35" t="s">
        <v>48</v>
      </c>
      <c r="G23" s="40">
        <v>1200</v>
      </c>
      <c r="H23" s="35" t="s">
        <v>13</v>
      </c>
      <c r="I23" s="11" t="s">
        <v>6</v>
      </c>
      <c r="L23" s="58">
        <v>500</v>
      </c>
      <c r="M23" s="35" t="s">
        <v>7</v>
      </c>
    </row>
    <row r="24" spans="1:21">
      <c r="D24" s="34" t="s">
        <v>18</v>
      </c>
      <c r="E24" s="39">
        <f>1/((1+(E22/(E23*E21))))</f>
        <v>0.26818196273448142</v>
      </c>
      <c r="F24" s="35"/>
      <c r="G24" s="35"/>
      <c r="I24" s="11" t="s">
        <v>8</v>
      </c>
      <c r="L24" s="59">
        <v>0.03</v>
      </c>
      <c r="M24" s="35" t="s">
        <v>1</v>
      </c>
    </row>
    <row r="25" spans="1:21" ht="21.75">
      <c r="D25" s="34" t="s">
        <v>19</v>
      </c>
      <c r="E25" s="39">
        <f>1-(E24/3)</f>
        <v>0.91060601242183958</v>
      </c>
      <c r="F25" s="35"/>
      <c r="G25" s="35"/>
      <c r="I25" s="11" t="s">
        <v>9</v>
      </c>
      <c r="L25" s="58">
        <v>50</v>
      </c>
      <c r="M25" s="35" t="s">
        <v>7</v>
      </c>
    </row>
    <row r="26" spans="1:21">
      <c r="D26" s="34" t="s">
        <v>20</v>
      </c>
      <c r="E26" s="39">
        <f>0.5*E21*E25*E24</f>
        <v>9.6156942402586481</v>
      </c>
      <c r="F26" s="35" t="s">
        <v>13</v>
      </c>
      <c r="G26" s="35"/>
      <c r="I26" s="11" t="s">
        <v>10</v>
      </c>
      <c r="L26" s="58">
        <v>30</v>
      </c>
      <c r="M26" s="35" t="s">
        <v>11</v>
      </c>
      <c r="N26" s="11" t="s">
        <v>21</v>
      </c>
    </row>
    <row r="27" spans="1:21">
      <c r="C27" s="66" t="s">
        <v>68</v>
      </c>
      <c r="D27" s="66"/>
      <c r="E27" s="41">
        <v>0.7</v>
      </c>
      <c r="F27" s="35" t="s">
        <v>1</v>
      </c>
      <c r="G27" s="35"/>
      <c r="I27" s="11" t="s">
        <v>12</v>
      </c>
      <c r="L27" s="59">
        <v>1.5</v>
      </c>
      <c r="M27" s="35" t="s">
        <v>1</v>
      </c>
    </row>
    <row r="28" spans="1:21" ht="21.75">
      <c r="B28" s="66" t="s">
        <v>27</v>
      </c>
      <c r="C28" s="66"/>
      <c r="D28" s="66"/>
      <c r="E28" s="39">
        <f>1.33*SQRT(E19)</f>
        <v>19.273531072431954</v>
      </c>
      <c r="F28" s="35" t="s">
        <v>13</v>
      </c>
      <c r="G28" s="35"/>
      <c r="I28" s="11" t="s">
        <v>23</v>
      </c>
      <c r="L28" s="59">
        <v>7.22</v>
      </c>
      <c r="M28" s="35" t="s">
        <v>1</v>
      </c>
    </row>
    <row r="29" spans="1:21" ht="22.5" thickBot="1">
      <c r="B29" s="66" t="s">
        <v>33</v>
      </c>
      <c r="C29" s="66"/>
      <c r="D29" s="66"/>
      <c r="E29" s="39">
        <f>0.293*SQRT(E19)</f>
        <v>4.245973386633505</v>
      </c>
      <c r="F29" s="35" t="s">
        <v>13</v>
      </c>
      <c r="G29" s="35"/>
      <c r="I29" s="71" t="s">
        <v>39</v>
      </c>
      <c r="J29" s="71"/>
      <c r="K29" s="71"/>
      <c r="L29" s="42">
        <f>(((L19*2400*1*1)+(L20*0.5*L21*L22*2400*1)+(L23*1*1)+(L24*2400*1*1)+L25)*(1+(L26/100)))*L27</f>
        <v>2378.2200000000003</v>
      </c>
      <c r="M29" s="35" t="s">
        <v>7</v>
      </c>
    </row>
    <row r="30" spans="1:21" ht="22.5" thickTop="1">
      <c r="A30" s="66" t="s">
        <v>40</v>
      </c>
      <c r="B30" s="66"/>
      <c r="C30" s="66"/>
      <c r="D30" s="66"/>
      <c r="E30" s="39">
        <f>1.66*SQRT(E19)</f>
        <v>24.055685398674466</v>
      </c>
      <c r="F30" s="35" t="s">
        <v>13</v>
      </c>
      <c r="I30" s="35"/>
      <c r="J30" s="35"/>
      <c r="K30" s="35"/>
      <c r="L30" s="37"/>
      <c r="M30" s="35"/>
    </row>
    <row r="31" spans="1:21">
      <c r="C31" s="66" t="s">
        <v>31</v>
      </c>
      <c r="D31" s="66"/>
      <c r="E31" s="43">
        <v>50</v>
      </c>
      <c r="F31" s="35" t="s">
        <v>30</v>
      </c>
      <c r="G31" s="66" t="s">
        <v>35</v>
      </c>
      <c r="H31" s="66"/>
      <c r="I31" s="37">
        <f>(E31/100)*(E32/100)*2400</f>
        <v>1080</v>
      </c>
      <c r="J31" s="35" t="s">
        <v>36</v>
      </c>
    </row>
    <row r="32" spans="1:21">
      <c r="C32" s="66" t="s">
        <v>32</v>
      </c>
      <c r="D32" s="66"/>
      <c r="E32" s="43">
        <v>90</v>
      </c>
      <c r="F32" s="35" t="s">
        <v>30</v>
      </c>
      <c r="G32" s="66" t="s">
        <v>37</v>
      </c>
      <c r="H32" s="66"/>
      <c r="I32" s="37">
        <f>L29*L27</f>
        <v>3567.3300000000004</v>
      </c>
      <c r="J32" s="35" t="s">
        <v>36</v>
      </c>
    </row>
    <row r="33" spans="3:21" ht="19.5" thickBot="1">
      <c r="D33" s="11" t="s">
        <v>49</v>
      </c>
      <c r="E33" s="35">
        <f>(E31-(2.5*2))</f>
        <v>45</v>
      </c>
      <c r="F33" s="35" t="s">
        <v>30</v>
      </c>
      <c r="G33" s="66" t="s">
        <v>38</v>
      </c>
      <c r="H33" s="66"/>
      <c r="I33" s="42">
        <f>SUM(I31:I32)</f>
        <v>4647.33</v>
      </c>
      <c r="J33" s="35" t="s">
        <v>36</v>
      </c>
    </row>
    <row r="34" spans="3:21" ht="22.5" thickTop="1">
      <c r="C34" s="66" t="s">
        <v>28</v>
      </c>
      <c r="D34" s="66"/>
      <c r="E34" s="66"/>
      <c r="F34" s="66"/>
      <c r="G34" s="37">
        <f>((L29*L27^2)/2)*((L28/2)-E27)</f>
        <v>7785.6977250000018</v>
      </c>
      <c r="H34" s="35" t="s">
        <v>24</v>
      </c>
      <c r="I34" s="35" t="s">
        <v>25</v>
      </c>
      <c r="J34" s="37">
        <f>G34*100</f>
        <v>778569.7725000002</v>
      </c>
      <c r="K34" s="35" t="s">
        <v>26</v>
      </c>
    </row>
    <row r="35" spans="3:21" ht="23.45" customHeight="1">
      <c r="C35" s="66" t="s">
        <v>29</v>
      </c>
      <c r="D35" s="66"/>
      <c r="E35" s="66"/>
      <c r="F35" s="66"/>
      <c r="G35" s="37">
        <f>(3.5*J34)/((E31^2)*E32)</f>
        <v>12.111085350000003</v>
      </c>
      <c r="H35" s="35" t="s">
        <v>13</v>
      </c>
      <c r="I35" s="68" t="str">
        <f>IF(G35&gt;E28,"Vt&gt;Va ใช้ไม่ได้","Vt&lt;Va ใช้ได้")</f>
        <v>Vt&lt;Va ใช้ได้</v>
      </c>
      <c r="J35" s="68"/>
    </row>
    <row r="36" spans="3:21">
      <c r="C36" s="66" t="s">
        <v>34</v>
      </c>
      <c r="D36" s="66"/>
      <c r="E36" s="66"/>
      <c r="F36" s="66"/>
      <c r="G36" s="37">
        <f>(I33*((L28/2)-E27))/((E31-(0.025*2))*(E27*100))</f>
        <v>3.8677907335907338</v>
      </c>
      <c r="H36" s="35" t="s">
        <v>13</v>
      </c>
      <c r="I36" s="68" t="str">
        <f>IF(G36&gt;E29,"V&gt;Vc ใช้ไม่ได้","V&lt;Vc ใช้ได้")</f>
        <v>V&lt;Vc ใช้ได้</v>
      </c>
      <c r="J36" s="68"/>
      <c r="N36" s="39">
        <f>E31/100</f>
        <v>0.5</v>
      </c>
    </row>
    <row r="37" spans="3:21">
      <c r="C37" s="66" t="s">
        <v>41</v>
      </c>
      <c r="D37" s="66"/>
      <c r="E37" s="66"/>
      <c r="F37" s="66"/>
      <c r="G37" s="37">
        <f>G35+G36</f>
        <v>15.978876083590738</v>
      </c>
      <c r="H37" s="35" t="s">
        <v>13</v>
      </c>
      <c r="I37" s="68" t="str">
        <f>IF(G37&gt;E30,"V&gt;Vt ใช้ไม่ได้","V&lt;Vt ใช้ได้")</f>
        <v>V&lt;Vt ใช้ได้</v>
      </c>
      <c r="J37" s="68"/>
      <c r="N37" s="45">
        <f>E33/100</f>
        <v>0.45</v>
      </c>
      <c r="O37" s="60">
        <f>F47</f>
        <v>2</v>
      </c>
      <c r="P37" s="63" t="s">
        <v>66</v>
      </c>
      <c r="Q37" s="62">
        <f>H47</f>
        <v>25</v>
      </c>
      <c r="R37" s="64" t="s">
        <v>42</v>
      </c>
    </row>
    <row r="38" spans="3:21">
      <c r="C38" s="35">
        <v>1</v>
      </c>
      <c r="D38" s="11" t="s">
        <v>54</v>
      </c>
      <c r="H38" s="58">
        <v>9</v>
      </c>
      <c r="I38" s="35" t="s">
        <v>42</v>
      </c>
    </row>
    <row r="39" spans="3:21" ht="21.75">
      <c r="C39" s="35"/>
      <c r="F39" s="34" t="s">
        <v>43</v>
      </c>
      <c r="G39" s="39">
        <f>(3.14/4)*(9/10)^2</f>
        <v>0.63585000000000003</v>
      </c>
      <c r="H39" s="35" t="s">
        <v>44</v>
      </c>
      <c r="I39" s="35" t="s">
        <v>45</v>
      </c>
      <c r="O39" s="34" t="s">
        <v>72</v>
      </c>
      <c r="P39" s="35">
        <f>E44</f>
        <v>2</v>
      </c>
      <c r="Q39" s="46" t="s">
        <v>74</v>
      </c>
      <c r="R39" s="35">
        <f>F44</f>
        <v>9</v>
      </c>
      <c r="S39" s="47" t="s">
        <v>75</v>
      </c>
      <c r="T39" s="37">
        <f>H44</f>
        <v>0.13706668428358484</v>
      </c>
      <c r="U39" s="35" t="s">
        <v>53</v>
      </c>
    </row>
    <row r="40" spans="3:21" ht="21.75">
      <c r="C40" s="35"/>
      <c r="F40" s="34" t="s">
        <v>46</v>
      </c>
      <c r="G40" s="37">
        <f>(E31-(0.025*2))*(E27*100)</f>
        <v>3496.5</v>
      </c>
      <c r="H40" s="35" t="s">
        <v>44</v>
      </c>
      <c r="L40" s="48">
        <f>E32/100</f>
        <v>0.9</v>
      </c>
      <c r="M40" s="39">
        <f>E27</f>
        <v>0.7</v>
      </c>
      <c r="O40" s="11" t="s">
        <v>76</v>
      </c>
    </row>
    <row r="41" spans="3:21">
      <c r="C41" s="35"/>
      <c r="F41" s="34" t="s">
        <v>61</v>
      </c>
      <c r="G41" s="37">
        <f>(((2*(E33/100))+(2*(E27)))/4)*100</f>
        <v>57.499999999999993</v>
      </c>
      <c r="H41" s="35" t="s">
        <v>30</v>
      </c>
    </row>
    <row r="42" spans="3:21" ht="21.75">
      <c r="C42" s="35"/>
      <c r="D42" s="11" t="s">
        <v>50</v>
      </c>
      <c r="H42" s="37">
        <f>(2*G39*G40*G23)/J34</f>
        <v>6.8533342141792426</v>
      </c>
      <c r="I42" s="35" t="s">
        <v>30</v>
      </c>
      <c r="O42" s="49">
        <f>G53</f>
        <v>2</v>
      </c>
      <c r="P42" s="50" t="s">
        <v>66</v>
      </c>
      <c r="Q42" s="51">
        <f>I53</f>
        <v>16</v>
      </c>
      <c r="R42" s="52" t="s">
        <v>42</v>
      </c>
      <c r="S42" s="53" t="s">
        <v>71</v>
      </c>
    </row>
    <row r="43" spans="3:21">
      <c r="C43" s="35"/>
      <c r="D43" s="66" t="s">
        <v>51</v>
      </c>
      <c r="E43" s="66"/>
      <c r="F43" s="35">
        <f>H38</f>
        <v>9</v>
      </c>
      <c r="G43" s="35" t="s">
        <v>52</v>
      </c>
      <c r="H43" s="37">
        <f>H42/100</f>
        <v>6.8533342141792422E-2</v>
      </c>
      <c r="I43" s="35" t="s">
        <v>53</v>
      </c>
      <c r="O43" s="60">
        <f>F48</f>
        <v>2</v>
      </c>
      <c r="P43" s="63" t="s">
        <v>66</v>
      </c>
      <c r="Q43" s="62">
        <f>H48</f>
        <v>25</v>
      </c>
      <c r="R43" s="64" t="s">
        <v>42</v>
      </c>
    </row>
    <row r="44" spans="3:21">
      <c r="C44" s="35"/>
      <c r="D44" s="34" t="s">
        <v>73</v>
      </c>
      <c r="E44" s="58">
        <v>2</v>
      </c>
      <c r="F44" s="35">
        <f>H38</f>
        <v>9</v>
      </c>
      <c r="G44" s="35" t="s">
        <v>52</v>
      </c>
      <c r="H44" s="37">
        <f>((2*E44*G39*G40*G23)/J34)/100</f>
        <v>0.13706668428358484</v>
      </c>
      <c r="I44" s="35" t="s">
        <v>53</v>
      </c>
      <c r="J44" s="37"/>
    </row>
    <row r="45" spans="3:21" ht="21.75">
      <c r="C45" s="35">
        <v>2</v>
      </c>
      <c r="D45" s="53" t="s">
        <v>59</v>
      </c>
      <c r="M45" s="34"/>
      <c r="Q45" s="35"/>
    </row>
    <row r="46" spans="3:21" ht="21.75">
      <c r="C46" s="35"/>
      <c r="F46" s="34" t="s">
        <v>55</v>
      </c>
      <c r="G46" s="39">
        <f>(J34*G41)/(2*G40*E22)</f>
        <v>3.2008981780888033</v>
      </c>
      <c r="H46" s="35" t="s">
        <v>44</v>
      </c>
      <c r="I46" s="11" t="s">
        <v>57</v>
      </c>
      <c r="J46" s="43">
        <v>25</v>
      </c>
      <c r="K46" s="35" t="s">
        <v>56</v>
      </c>
      <c r="L46" s="37">
        <f>((3.14/4)*J46^2)/100</f>
        <v>4.90625</v>
      </c>
      <c r="M46" s="35" t="s">
        <v>58</v>
      </c>
      <c r="N46" s="44" t="str">
        <f>IF(L46&gt;G46,"A&gt;As OK","A&lt;As NO")</f>
        <v>A&gt;As OK</v>
      </c>
    </row>
    <row r="47" spans="3:21">
      <c r="D47" s="70" t="s">
        <v>69</v>
      </c>
      <c r="E47" s="70"/>
      <c r="F47" s="61">
        <v>2</v>
      </c>
      <c r="G47" s="61" t="s">
        <v>66</v>
      </c>
      <c r="H47" s="62">
        <f>J46</f>
        <v>25</v>
      </c>
      <c r="I47" s="61" t="s">
        <v>42</v>
      </c>
    </row>
    <row r="48" spans="3:21">
      <c r="C48" s="35"/>
      <c r="D48" s="70" t="s">
        <v>70</v>
      </c>
      <c r="E48" s="70"/>
      <c r="F48" s="61">
        <v>2</v>
      </c>
      <c r="G48" s="61" t="s">
        <v>66</v>
      </c>
      <c r="H48" s="62">
        <f>J46</f>
        <v>25</v>
      </c>
      <c r="I48" s="61" t="s">
        <v>42</v>
      </c>
    </row>
    <row r="49" spans="3:10">
      <c r="C49" s="35">
        <v>3</v>
      </c>
      <c r="D49" s="53" t="s">
        <v>60</v>
      </c>
      <c r="G49" s="66" t="s">
        <v>22</v>
      </c>
      <c r="H49" s="66"/>
      <c r="I49" s="35">
        <f>E32-(H38/10)-2.5-(I53/10)-(2.5/2)</f>
        <v>83.75</v>
      </c>
      <c r="J49" s="35" t="s">
        <v>53</v>
      </c>
    </row>
    <row r="50" spans="3:10" ht="21.75">
      <c r="F50" s="11" t="s">
        <v>62</v>
      </c>
      <c r="G50" s="37">
        <f>(I33*L28^2)/8</f>
        <v>30282.234646499997</v>
      </c>
      <c r="H50" s="35" t="s">
        <v>24</v>
      </c>
    </row>
    <row r="51" spans="3:10" ht="21.75">
      <c r="F51" s="11" t="s">
        <v>63</v>
      </c>
      <c r="G51" s="37">
        <f>(E26*E31*(I49)^2)/100</f>
        <v>33722.540191032087</v>
      </c>
      <c r="H51" s="35" t="s">
        <v>24</v>
      </c>
      <c r="I51" s="68" t="str">
        <f>IF(G51&gt;G50,"Mc&gt;M+max ใช้ได้","Mc&lt;M+max ใช้ไม่ได้")</f>
        <v>Mc&gt;M+max ใช้ได้</v>
      </c>
      <c r="J51" s="68"/>
    </row>
    <row r="52" spans="3:10" ht="21.75">
      <c r="F52" s="11" t="s">
        <v>67</v>
      </c>
      <c r="G52" s="37">
        <f>(G50*100)/(E22*E25*(E27*100))</f>
        <v>23.753596296948945</v>
      </c>
      <c r="H52" s="35" t="s">
        <v>44</v>
      </c>
    </row>
    <row r="53" spans="3:10">
      <c r="D53" s="69" t="s">
        <v>65</v>
      </c>
      <c r="E53" s="69"/>
      <c r="F53" s="69"/>
      <c r="G53" s="65">
        <v>2</v>
      </c>
      <c r="H53" s="54" t="s">
        <v>66</v>
      </c>
      <c r="I53" s="65">
        <v>16</v>
      </c>
      <c r="J53" s="54" t="s">
        <v>42</v>
      </c>
    </row>
    <row r="54" spans="3:10" ht="21.75">
      <c r="F54" s="11" t="s">
        <v>64</v>
      </c>
      <c r="G54" s="37">
        <f>((3.14/4)*(I53/10)^2)*G53*100</f>
        <v>401.92000000000007</v>
      </c>
      <c r="H54" s="35" t="s">
        <v>44</v>
      </c>
      <c r="I54" s="68" t="str">
        <f>IF(G54&gt;G52,"As&gt;Aq ใช้ได้","As&lt;Aq ใช้ไม่ได้")</f>
        <v>As&gt;Aq ใช้ได้</v>
      </c>
      <c r="J54" s="68"/>
    </row>
  </sheetData>
  <sheetProtection algorithmName="SHA-512" hashValue="/+drpC2vdEHjq5Mu94yQyacYvsRSE0XNC2qcJ8Z+PSXAtzyn/c5d2AITLUwccZI6LOPSjZSH5/Cc4YuFBmLQRQ==" saltValue="9/UOUU24pAIkctpz0RdGqA==" spinCount="100000" sheet="1" objects="1" scenarios="1"/>
  <mergeCells count="25">
    <mergeCell ref="A1:U1"/>
    <mergeCell ref="I51:J51"/>
    <mergeCell ref="D53:F53"/>
    <mergeCell ref="I54:J54"/>
    <mergeCell ref="G49:H49"/>
    <mergeCell ref="D47:E47"/>
    <mergeCell ref="D48:E48"/>
    <mergeCell ref="I37:J37"/>
    <mergeCell ref="C36:F36"/>
    <mergeCell ref="I29:K29"/>
    <mergeCell ref="G31:H31"/>
    <mergeCell ref="G32:H32"/>
    <mergeCell ref="G33:H33"/>
    <mergeCell ref="I35:J35"/>
    <mergeCell ref="I36:J36"/>
    <mergeCell ref="D43:E43"/>
    <mergeCell ref="C37:F37"/>
    <mergeCell ref="A30:D30"/>
    <mergeCell ref="C27:D27"/>
    <mergeCell ref="B28:D28"/>
    <mergeCell ref="C34:F34"/>
    <mergeCell ref="C35:F35"/>
    <mergeCell ref="C31:D31"/>
    <mergeCell ref="C32:D32"/>
    <mergeCell ref="B29:D29"/>
  </mergeCells>
  <pageMargins left="0.23" right="0.19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แรงบิดในคาน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angkarn wirakeat</dc:creator>
  <cp:lastModifiedBy>Arnon Saenseeda</cp:lastModifiedBy>
  <cp:lastPrinted>2025-04-18T04:58:06Z</cp:lastPrinted>
  <dcterms:created xsi:type="dcterms:W3CDTF">2025-02-28T13:49:49Z</dcterms:created>
  <dcterms:modified xsi:type="dcterms:W3CDTF">2025-04-18T05:32:46Z</dcterms:modified>
</cp:coreProperties>
</file>