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9465" activeTab="0"/>
  </bookViews>
  <sheets>
    <sheet name="BEAM" sheetId="1" r:id="rId1"/>
    <sheet name="DATA" sheetId="2" r:id="rId2"/>
    <sheet name="ชื่อโครงการ" sheetId="3" r:id="rId3"/>
  </sheets>
  <definedNames>
    <definedName name="bar">'DATA'!$C$6:$C$17</definedName>
    <definedName name="factor">'DATA'!$D$6:$D$7</definedName>
    <definedName name="_xlnm.Print_Area" localSheetId="0">'BEAM'!$A$1:$M$103</definedName>
    <definedName name="_xlnm.Print_Titles" localSheetId="0">'BEAM'!$1:$2</definedName>
    <definedName name="type">'DATA'!$B$6:$B$7</definedName>
  </definedNames>
  <calcPr fullCalcOnLoad="1"/>
</workbook>
</file>

<file path=xl/comments1.xml><?xml version="1.0" encoding="utf-8"?>
<comments xmlns="http://schemas.openxmlformats.org/spreadsheetml/2006/main">
  <authors>
    <author>ACER</author>
  </authors>
  <commentList>
    <comment ref="K9" authorId="0">
      <text>
        <r>
          <rPr>
            <b/>
            <sz val="8"/>
            <rFont val="Tahoma"/>
            <family val="0"/>
          </rPr>
          <t>ไม่ควรเกิน 0.75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<sst xmlns="http://schemas.openxmlformats.org/spreadsheetml/2006/main" count="173" uniqueCount="68">
  <si>
    <t>โครงการ :</t>
  </si>
  <si>
    <t>ที่ตั้ง :</t>
  </si>
  <si>
    <t>Constant</t>
  </si>
  <si>
    <t>Paramiter</t>
  </si>
  <si>
    <t>n</t>
  </si>
  <si>
    <t xml:space="preserve">Fc' </t>
  </si>
  <si>
    <t>=</t>
  </si>
  <si>
    <t>ksc</t>
  </si>
  <si>
    <t xml:space="preserve">Fy </t>
  </si>
  <si>
    <t>Ec</t>
  </si>
  <si>
    <t>เจ้าของ :</t>
  </si>
  <si>
    <t>type</t>
  </si>
  <si>
    <t>bar</t>
  </si>
  <si>
    <t>factor</t>
  </si>
  <si>
    <t>RB</t>
  </si>
  <si>
    <t>DB</t>
  </si>
  <si>
    <t>Input Data</t>
  </si>
  <si>
    <t>L</t>
  </si>
  <si>
    <t>Wu</t>
  </si>
  <si>
    <r>
      <t>kg/m</t>
    </r>
    <r>
      <rPr>
        <vertAlign val="superscript"/>
        <sz val="10"/>
        <rFont val="Arial"/>
        <family val="2"/>
      </rPr>
      <t>2</t>
    </r>
  </si>
  <si>
    <t>kg</t>
  </si>
  <si>
    <r>
      <t>cm</t>
    </r>
    <r>
      <rPr>
        <vertAlign val="superscript"/>
        <sz val="10"/>
        <rFont val="Arial"/>
        <family val="2"/>
      </rPr>
      <t>2</t>
    </r>
  </si>
  <si>
    <t>USE BAR</t>
  </si>
  <si>
    <r>
      <t>As</t>
    </r>
    <r>
      <rPr>
        <vertAlign val="subscript"/>
        <sz val="10"/>
        <rFont val="Arial"/>
        <family val="2"/>
      </rPr>
      <t>req</t>
    </r>
  </si>
  <si>
    <r>
      <t>As</t>
    </r>
    <r>
      <rPr>
        <vertAlign val="subscript"/>
        <sz val="10"/>
        <rFont val="Arial"/>
        <family val="2"/>
      </rPr>
      <t>real</t>
    </r>
  </si>
  <si>
    <r>
      <t>β</t>
    </r>
    <r>
      <rPr>
        <vertAlign val="subscript"/>
        <sz val="9"/>
        <rFont val="Arial"/>
        <family val="2"/>
      </rPr>
      <t>1</t>
    </r>
  </si>
  <si>
    <r>
      <t>ρ</t>
    </r>
    <r>
      <rPr>
        <vertAlign val="subscript"/>
        <sz val="10"/>
        <rFont val="Arial"/>
        <family val="2"/>
      </rPr>
      <t>b</t>
    </r>
  </si>
  <si>
    <r>
      <t>ρ</t>
    </r>
    <r>
      <rPr>
        <vertAlign val="subscript"/>
        <sz val="10"/>
        <rFont val="Arial"/>
        <family val="2"/>
      </rPr>
      <t>max</t>
    </r>
  </si>
  <si>
    <r>
      <t>ρ</t>
    </r>
    <r>
      <rPr>
        <vertAlign val="subscript"/>
        <sz val="10"/>
        <rFont val="Arial"/>
        <family val="2"/>
      </rPr>
      <t>min</t>
    </r>
  </si>
  <si>
    <t>Vu</t>
  </si>
  <si>
    <t>Ru</t>
  </si>
  <si>
    <t>ρ</t>
  </si>
  <si>
    <r>
      <t>Mu</t>
    </r>
    <r>
      <rPr>
        <vertAlign val="superscript"/>
        <sz val="14"/>
        <rFont val="Arial"/>
        <family val="2"/>
      </rPr>
      <t>-</t>
    </r>
  </si>
  <si>
    <r>
      <t>Mu</t>
    </r>
    <r>
      <rPr>
        <vertAlign val="superscript"/>
        <sz val="12"/>
        <rFont val="Arial"/>
        <family val="2"/>
      </rPr>
      <t>+</t>
    </r>
  </si>
  <si>
    <t>kg - m</t>
  </si>
  <si>
    <t>H</t>
  </si>
  <si>
    <t>B</t>
  </si>
  <si>
    <t>d</t>
  </si>
  <si>
    <t>d'</t>
  </si>
  <si>
    <t>m</t>
  </si>
  <si>
    <t>cm</t>
  </si>
  <si>
    <t>øMn</t>
  </si>
  <si>
    <t>Design for M+</t>
  </si>
  <si>
    <t>Design for M-</t>
  </si>
  <si>
    <t>dreq</t>
  </si>
  <si>
    <t>Cover</t>
  </si>
  <si>
    <r>
      <t>d</t>
    </r>
    <r>
      <rPr>
        <vertAlign val="subscript"/>
        <sz val="10"/>
        <rFont val="Arial"/>
        <family val="2"/>
      </rPr>
      <t xml:space="preserve">real </t>
    </r>
  </si>
  <si>
    <t>Bottom steel</t>
  </si>
  <si>
    <t>Top steel</t>
  </si>
  <si>
    <t>Design stirupt</t>
  </si>
  <si>
    <t>øVc</t>
  </si>
  <si>
    <t>øVs</t>
  </si>
  <si>
    <t>@</t>
  </si>
  <si>
    <t>@ 1</t>
  </si>
  <si>
    <t>@ 2</t>
  </si>
  <si>
    <t>@ 3</t>
  </si>
  <si>
    <t>Fy</t>
  </si>
  <si>
    <t>use stirupt</t>
  </si>
  <si>
    <t>มหาวิทยาลัยราชมงคล ธัญบุรี</t>
  </si>
  <si>
    <t>ภาควิชาวิศวกรรมโยธา</t>
  </si>
  <si>
    <t>As1  =</t>
  </si>
  <si>
    <t>M2  =</t>
  </si>
  <si>
    <t>As=</t>
  </si>
  <si>
    <t>As'  =</t>
  </si>
  <si>
    <t>MID SPAN</t>
  </si>
  <si>
    <t>JOINT / END SPAN</t>
  </si>
  <si>
    <t>B-1</t>
  </si>
  <si>
    <t>โรงงานพื้นที่ใช้สอยประมาณ 720 ตร.ม.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</si>
</sst>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"/>
    <numFmt numFmtId="192" formatCode="0.00000"/>
    <numFmt numFmtId="193" formatCode="0.0000"/>
    <numFmt numFmtId="194" formatCode="0.0"/>
    <numFmt numFmtId="195" formatCode="#,##0.0"/>
    <numFmt numFmtId="196" formatCode="0.000000"/>
    <numFmt numFmtId="197" formatCode="0.0000000"/>
    <numFmt numFmtId="198" formatCode="0.00000000"/>
  </numFmts>
  <fonts count="1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vertAlign val="subscript"/>
      <sz val="9"/>
      <name val="Arial"/>
      <family val="2"/>
    </font>
    <font>
      <vertAlign val="superscript"/>
      <sz val="14"/>
      <name val="Arial"/>
      <family val="2"/>
    </font>
    <font>
      <vertAlign val="superscript"/>
      <sz val="12"/>
      <name val="Arial"/>
      <family val="2"/>
    </font>
    <font>
      <sz val="12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91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2" borderId="2" xfId="0" applyFont="1" applyFill="1" applyBorder="1" applyAlignment="1">
      <alignment horizontal="right"/>
    </xf>
    <xf numFmtId="0" fontId="0" fillId="3" borderId="3" xfId="0" applyFill="1" applyBorder="1" applyAlignment="1">
      <alignment/>
    </xf>
    <xf numFmtId="0" fontId="0" fillId="4" borderId="2" xfId="0" applyFill="1" applyBorder="1" applyAlignment="1">
      <alignment/>
    </xf>
    <xf numFmtId="0" fontId="0" fillId="5" borderId="2" xfId="0" applyFill="1" applyBorder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7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191" fontId="0" fillId="0" borderId="2" xfId="0" applyNumberFormat="1" applyBorder="1" applyAlignment="1">
      <alignment horizontal="left"/>
    </xf>
    <xf numFmtId="192" fontId="0" fillId="0" borderId="2" xfId="0" applyNumberFormat="1" applyBorder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91" fontId="0" fillId="0" borderId="0" xfId="0" applyNumberFormat="1" applyBorder="1" applyAlignment="1">
      <alignment horizontal="left"/>
    </xf>
    <xf numFmtId="192" fontId="0" fillId="0" borderId="0" xfId="0" applyNumberFormat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/>
    </xf>
    <xf numFmtId="2" fontId="8" fillId="0" borderId="0" xfId="0" applyNumberFormat="1" applyFont="1" applyFill="1" applyBorder="1" applyAlignment="1">
      <alignment/>
    </xf>
    <xf numFmtId="0" fontId="0" fillId="0" borderId="0" xfId="0" applyFill="1" applyBorder="1" applyAlignment="1" quotePrefix="1">
      <alignment/>
    </xf>
    <xf numFmtId="1" fontId="0" fillId="0" borderId="0" xfId="0" applyNumberFormat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194" fontId="0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191" fontId="3" fillId="0" borderId="2" xfId="0" applyNumberFormat="1" applyFont="1" applyBorder="1" applyAlignment="1">
      <alignment horizontal="left"/>
    </xf>
    <xf numFmtId="0" fontId="0" fillId="0" borderId="0" xfId="0" applyAlignment="1">
      <alignment horizontal="right" vertical="center" textRotation="90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1" xfId="0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2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63</xdr:row>
      <xdr:rowOff>0</xdr:rowOff>
    </xdr:from>
    <xdr:to>
      <xdr:col>3</xdr:col>
      <xdr:colOff>361950</xdr:colOff>
      <xdr:row>71</xdr:row>
      <xdr:rowOff>152400</xdr:rowOff>
    </xdr:to>
    <xdr:sp>
      <xdr:nvSpPr>
        <xdr:cNvPr id="1" name="Rectangle 16"/>
        <xdr:cNvSpPr>
          <a:spLocks/>
        </xdr:cNvSpPr>
      </xdr:nvSpPr>
      <xdr:spPr>
        <a:xfrm>
          <a:off x="838200" y="11972925"/>
          <a:ext cx="1028700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63</xdr:row>
      <xdr:rowOff>123825</xdr:rowOff>
    </xdr:from>
    <xdr:to>
      <xdr:col>3</xdr:col>
      <xdr:colOff>200025</xdr:colOff>
      <xdr:row>71</xdr:row>
      <xdr:rowOff>38100</xdr:rowOff>
    </xdr:to>
    <xdr:sp>
      <xdr:nvSpPr>
        <xdr:cNvPr id="2" name="Rectangle 17"/>
        <xdr:cNvSpPr>
          <a:spLocks/>
        </xdr:cNvSpPr>
      </xdr:nvSpPr>
      <xdr:spPr>
        <a:xfrm>
          <a:off x="981075" y="12096750"/>
          <a:ext cx="72390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63</xdr:row>
      <xdr:rowOff>0</xdr:rowOff>
    </xdr:from>
    <xdr:to>
      <xdr:col>10</xdr:col>
      <xdr:colOff>257175</xdr:colOff>
      <xdr:row>72</xdr:row>
      <xdr:rowOff>0</xdr:rowOff>
    </xdr:to>
    <xdr:sp>
      <xdr:nvSpPr>
        <xdr:cNvPr id="3" name="Rectangle 18"/>
        <xdr:cNvSpPr>
          <a:spLocks/>
        </xdr:cNvSpPr>
      </xdr:nvSpPr>
      <xdr:spPr>
        <a:xfrm>
          <a:off x="3857625" y="11972925"/>
          <a:ext cx="102870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63</xdr:row>
      <xdr:rowOff>123825</xdr:rowOff>
    </xdr:from>
    <xdr:to>
      <xdr:col>10</xdr:col>
      <xdr:colOff>104775</xdr:colOff>
      <xdr:row>71</xdr:row>
      <xdr:rowOff>38100</xdr:rowOff>
    </xdr:to>
    <xdr:sp>
      <xdr:nvSpPr>
        <xdr:cNvPr id="4" name="Rectangle 19"/>
        <xdr:cNvSpPr>
          <a:spLocks/>
        </xdr:cNvSpPr>
      </xdr:nvSpPr>
      <xdr:spPr>
        <a:xfrm>
          <a:off x="4010025" y="12096750"/>
          <a:ext cx="72390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271</xdr:row>
      <xdr:rowOff>38100</xdr:rowOff>
    </xdr:from>
    <xdr:to>
      <xdr:col>10</xdr:col>
      <xdr:colOff>0</xdr:colOff>
      <xdr:row>279</xdr:row>
      <xdr:rowOff>142875</xdr:rowOff>
    </xdr:to>
    <xdr:sp>
      <xdr:nvSpPr>
        <xdr:cNvPr id="5" name="Line 22"/>
        <xdr:cNvSpPr>
          <a:spLocks/>
        </xdr:cNvSpPr>
      </xdr:nvSpPr>
      <xdr:spPr>
        <a:xfrm>
          <a:off x="4629150" y="45691425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270</xdr:row>
      <xdr:rowOff>76200</xdr:rowOff>
    </xdr:from>
    <xdr:to>
      <xdr:col>12</xdr:col>
      <xdr:colOff>666750</xdr:colOff>
      <xdr:row>270</xdr:row>
      <xdr:rowOff>76200</xdr:rowOff>
    </xdr:to>
    <xdr:sp>
      <xdr:nvSpPr>
        <xdr:cNvPr id="6" name="Line 23"/>
        <xdr:cNvSpPr>
          <a:spLocks/>
        </xdr:cNvSpPr>
      </xdr:nvSpPr>
      <xdr:spPr>
        <a:xfrm flipV="1">
          <a:off x="4810125" y="4556760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270</xdr:row>
      <xdr:rowOff>38100</xdr:rowOff>
    </xdr:from>
    <xdr:to>
      <xdr:col>10</xdr:col>
      <xdr:colOff>0</xdr:colOff>
      <xdr:row>278</xdr:row>
      <xdr:rowOff>142875</xdr:rowOff>
    </xdr:to>
    <xdr:sp>
      <xdr:nvSpPr>
        <xdr:cNvPr id="7" name="Line 24"/>
        <xdr:cNvSpPr>
          <a:spLocks/>
        </xdr:cNvSpPr>
      </xdr:nvSpPr>
      <xdr:spPr>
        <a:xfrm>
          <a:off x="4629150" y="45529500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269</xdr:row>
      <xdr:rowOff>76200</xdr:rowOff>
    </xdr:from>
    <xdr:to>
      <xdr:col>12</xdr:col>
      <xdr:colOff>666750</xdr:colOff>
      <xdr:row>269</xdr:row>
      <xdr:rowOff>76200</xdr:rowOff>
    </xdr:to>
    <xdr:sp>
      <xdr:nvSpPr>
        <xdr:cNvPr id="8" name="Line 25"/>
        <xdr:cNvSpPr>
          <a:spLocks/>
        </xdr:cNvSpPr>
      </xdr:nvSpPr>
      <xdr:spPr>
        <a:xfrm flipV="1">
          <a:off x="4810125" y="45405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19050</xdr:rowOff>
    </xdr:from>
    <xdr:to>
      <xdr:col>1</xdr:col>
      <xdr:colOff>0</xdr:colOff>
      <xdr:row>71</xdr:row>
      <xdr:rowOff>142875</xdr:rowOff>
    </xdr:to>
    <xdr:sp>
      <xdr:nvSpPr>
        <xdr:cNvPr id="9" name="Line 26"/>
        <xdr:cNvSpPr>
          <a:spLocks/>
        </xdr:cNvSpPr>
      </xdr:nvSpPr>
      <xdr:spPr>
        <a:xfrm>
          <a:off x="609600" y="11991975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184</xdr:row>
      <xdr:rowOff>85725</xdr:rowOff>
    </xdr:from>
    <xdr:to>
      <xdr:col>12</xdr:col>
      <xdr:colOff>57150</xdr:colOff>
      <xdr:row>184</xdr:row>
      <xdr:rowOff>85725</xdr:rowOff>
    </xdr:to>
    <xdr:sp>
      <xdr:nvSpPr>
        <xdr:cNvPr id="10" name="Line 27"/>
        <xdr:cNvSpPr>
          <a:spLocks/>
        </xdr:cNvSpPr>
      </xdr:nvSpPr>
      <xdr:spPr>
        <a:xfrm flipV="1">
          <a:off x="4200525" y="316515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186</xdr:row>
      <xdr:rowOff>38100</xdr:rowOff>
    </xdr:from>
    <xdr:to>
      <xdr:col>8</xdr:col>
      <xdr:colOff>257175</xdr:colOff>
      <xdr:row>194</xdr:row>
      <xdr:rowOff>142875</xdr:rowOff>
    </xdr:to>
    <xdr:sp>
      <xdr:nvSpPr>
        <xdr:cNvPr id="11" name="Line 28"/>
        <xdr:cNvSpPr>
          <a:spLocks/>
        </xdr:cNvSpPr>
      </xdr:nvSpPr>
      <xdr:spPr>
        <a:xfrm>
          <a:off x="4171950" y="31927800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185</xdr:row>
      <xdr:rowOff>76200</xdr:rowOff>
    </xdr:from>
    <xdr:to>
      <xdr:col>12</xdr:col>
      <xdr:colOff>209550</xdr:colOff>
      <xdr:row>185</xdr:row>
      <xdr:rowOff>76200</xdr:rowOff>
    </xdr:to>
    <xdr:sp>
      <xdr:nvSpPr>
        <xdr:cNvPr id="12" name="Line 29"/>
        <xdr:cNvSpPr>
          <a:spLocks/>
        </xdr:cNvSpPr>
      </xdr:nvSpPr>
      <xdr:spPr>
        <a:xfrm flipV="1">
          <a:off x="4352925" y="318039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187</xdr:row>
      <xdr:rowOff>28575</xdr:rowOff>
    </xdr:from>
    <xdr:to>
      <xdr:col>8</xdr:col>
      <xdr:colOff>409575</xdr:colOff>
      <xdr:row>195</xdr:row>
      <xdr:rowOff>133350</xdr:rowOff>
    </xdr:to>
    <xdr:sp>
      <xdr:nvSpPr>
        <xdr:cNvPr id="13" name="Line 30"/>
        <xdr:cNvSpPr>
          <a:spLocks/>
        </xdr:cNvSpPr>
      </xdr:nvSpPr>
      <xdr:spPr>
        <a:xfrm>
          <a:off x="4324350" y="32080200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186</xdr:row>
      <xdr:rowOff>66675</xdr:rowOff>
    </xdr:from>
    <xdr:to>
      <xdr:col>12</xdr:col>
      <xdr:colOff>361950</xdr:colOff>
      <xdr:row>186</xdr:row>
      <xdr:rowOff>66675</xdr:rowOff>
    </xdr:to>
    <xdr:sp>
      <xdr:nvSpPr>
        <xdr:cNvPr id="14" name="Line 31"/>
        <xdr:cNvSpPr>
          <a:spLocks/>
        </xdr:cNvSpPr>
      </xdr:nvSpPr>
      <xdr:spPr>
        <a:xfrm flipV="1">
          <a:off x="4505325" y="319563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188</xdr:row>
      <xdr:rowOff>19050</xdr:rowOff>
    </xdr:from>
    <xdr:to>
      <xdr:col>9</xdr:col>
      <xdr:colOff>142875</xdr:colOff>
      <xdr:row>196</xdr:row>
      <xdr:rowOff>123825</xdr:rowOff>
    </xdr:to>
    <xdr:sp>
      <xdr:nvSpPr>
        <xdr:cNvPr id="15" name="Line 32"/>
        <xdr:cNvSpPr>
          <a:spLocks/>
        </xdr:cNvSpPr>
      </xdr:nvSpPr>
      <xdr:spPr>
        <a:xfrm>
          <a:off x="4476750" y="32232600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187</xdr:row>
      <xdr:rowOff>57150</xdr:rowOff>
    </xdr:from>
    <xdr:to>
      <xdr:col>12</xdr:col>
      <xdr:colOff>514350</xdr:colOff>
      <xdr:row>187</xdr:row>
      <xdr:rowOff>57150</xdr:rowOff>
    </xdr:to>
    <xdr:sp>
      <xdr:nvSpPr>
        <xdr:cNvPr id="16" name="Line 33"/>
        <xdr:cNvSpPr>
          <a:spLocks/>
        </xdr:cNvSpPr>
      </xdr:nvSpPr>
      <xdr:spPr>
        <a:xfrm flipV="1">
          <a:off x="4657725" y="321087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189</xdr:row>
      <xdr:rowOff>9525</xdr:rowOff>
    </xdr:from>
    <xdr:to>
      <xdr:col>10</xdr:col>
      <xdr:colOff>0</xdr:colOff>
      <xdr:row>197</xdr:row>
      <xdr:rowOff>114300</xdr:rowOff>
    </xdr:to>
    <xdr:sp>
      <xdr:nvSpPr>
        <xdr:cNvPr id="17" name="Line 34"/>
        <xdr:cNvSpPr>
          <a:spLocks/>
        </xdr:cNvSpPr>
      </xdr:nvSpPr>
      <xdr:spPr>
        <a:xfrm>
          <a:off x="4629150" y="32385000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74</xdr:row>
      <xdr:rowOff>0</xdr:rowOff>
    </xdr:from>
    <xdr:to>
      <xdr:col>3</xdr:col>
      <xdr:colOff>371475</xdr:colOff>
      <xdr:row>74</xdr:row>
      <xdr:rowOff>0</xdr:rowOff>
    </xdr:to>
    <xdr:sp>
      <xdr:nvSpPr>
        <xdr:cNvPr id="18" name="Line 35"/>
        <xdr:cNvSpPr>
          <a:spLocks/>
        </xdr:cNvSpPr>
      </xdr:nvSpPr>
      <xdr:spPr>
        <a:xfrm flipV="1">
          <a:off x="847725" y="137541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74</xdr:row>
      <xdr:rowOff>0</xdr:rowOff>
    </xdr:from>
    <xdr:to>
      <xdr:col>10</xdr:col>
      <xdr:colOff>276225</xdr:colOff>
      <xdr:row>74</xdr:row>
      <xdr:rowOff>0</xdr:rowOff>
    </xdr:to>
    <xdr:sp>
      <xdr:nvSpPr>
        <xdr:cNvPr id="19" name="Line 36"/>
        <xdr:cNvSpPr>
          <a:spLocks/>
        </xdr:cNvSpPr>
      </xdr:nvSpPr>
      <xdr:spPr>
        <a:xfrm flipV="1">
          <a:off x="3876675" y="137541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63</xdr:row>
      <xdr:rowOff>9525</xdr:rowOff>
    </xdr:from>
    <xdr:to>
      <xdr:col>7</xdr:col>
      <xdr:colOff>95250</xdr:colOff>
      <xdr:row>71</xdr:row>
      <xdr:rowOff>142875</xdr:rowOff>
    </xdr:to>
    <xdr:sp>
      <xdr:nvSpPr>
        <xdr:cNvPr id="20" name="Line 37"/>
        <xdr:cNvSpPr>
          <a:spLocks/>
        </xdr:cNvSpPr>
      </xdr:nvSpPr>
      <xdr:spPr>
        <a:xfrm>
          <a:off x="3657600" y="11982450"/>
          <a:ext cx="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7"/>
  <sheetViews>
    <sheetView tabSelected="1" workbookViewId="0" topLeftCell="A1">
      <selection activeCell="I41" sqref="I41"/>
    </sheetView>
  </sheetViews>
  <sheetFormatPr defaultColWidth="9.140625" defaultRowHeight="12.75"/>
  <cols>
    <col min="3" max="3" width="4.28125" style="0" customWidth="1"/>
    <col min="4" max="4" width="9.28125" style="9" customWidth="1"/>
    <col min="6" max="6" width="6.7109375" style="0" customWidth="1"/>
    <col min="7" max="7" width="5.7109375" style="0" customWidth="1"/>
    <col min="8" max="8" width="5.28125" style="0" customWidth="1"/>
    <col min="9" max="9" width="6.28125" style="0" customWidth="1"/>
    <col min="10" max="10" width="4.421875" style="0" customWidth="1"/>
    <col min="11" max="11" width="8.140625" style="0" customWidth="1"/>
    <col min="12" max="12" width="2.8515625" style="0" customWidth="1"/>
    <col min="13" max="13" width="11.57421875" style="0" customWidth="1"/>
  </cols>
  <sheetData>
    <row r="1" spans="1:14" ht="12.75">
      <c r="A1" s="1" t="s">
        <v>0</v>
      </c>
      <c r="B1" s="3" t="str">
        <f>ชื่อโครงการ!C5</f>
        <v>โรงงานพื้นที่ใช้สอยประมาณ 720 ตร.ม.</v>
      </c>
      <c r="C1" s="3"/>
      <c r="D1" s="3"/>
      <c r="E1" s="3"/>
      <c r="F1" s="4"/>
      <c r="G1" s="74" t="str">
        <f>(""&amp;ชื่อโครงการ!B7&amp;" "&amp;ชื่อโครงการ!C7&amp;"")</f>
        <v>เจ้าของ : ภาควิชาวิศวกรรมโยธา</v>
      </c>
      <c r="H1" s="74"/>
      <c r="I1" s="74"/>
      <c r="J1" s="74"/>
      <c r="K1" s="74"/>
      <c r="L1" s="74"/>
      <c r="M1" s="74"/>
      <c r="N1" s="1"/>
    </row>
    <row r="2" spans="1:15" ht="13.5" thickBot="1">
      <c r="A2" s="6" t="s">
        <v>1</v>
      </c>
      <c r="B2" s="75" t="str">
        <f>ชื่อโครงการ!C6</f>
        <v>มหาวิทยาลัยราชมงคล ธัญบุรี</v>
      </c>
      <c r="C2" s="75"/>
      <c r="D2" s="75"/>
      <c r="E2" s="7"/>
      <c r="F2" s="7"/>
      <c r="G2" s="8"/>
      <c r="H2" s="8"/>
      <c r="I2" s="8"/>
      <c r="J2" s="8"/>
      <c r="K2" s="8"/>
      <c r="L2" s="8"/>
      <c r="M2" s="8"/>
      <c r="N2" s="3"/>
      <c r="O2" s="4"/>
    </row>
    <row r="3" spans="1:15" ht="7.5" customHeight="1">
      <c r="A3" s="5"/>
      <c r="B3" s="2"/>
      <c r="C3" s="2"/>
      <c r="D3" s="27"/>
      <c r="E3" s="4"/>
      <c r="F3" s="4"/>
      <c r="G3" s="3"/>
      <c r="H3" s="3"/>
      <c r="I3" s="3"/>
      <c r="J3" s="3"/>
      <c r="K3" s="3"/>
      <c r="L3" s="3"/>
      <c r="M3" s="3"/>
      <c r="N3" s="3"/>
      <c r="O3" s="4"/>
    </row>
    <row r="4" spans="1:15" ht="20.25">
      <c r="A4" s="73" t="s">
        <v>66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4"/>
      <c r="O4" s="4"/>
    </row>
    <row r="5" spans="3:12" ht="7.5" customHeight="1">
      <c r="C5" s="9"/>
      <c r="H5" s="4"/>
      <c r="I5" s="4"/>
      <c r="J5" s="10"/>
      <c r="K5" s="10"/>
      <c r="L5" s="10"/>
    </row>
    <row r="6" spans="2:17" ht="15.75" customHeight="1">
      <c r="B6" s="11" t="s">
        <v>2</v>
      </c>
      <c r="C6" s="9"/>
      <c r="E6" s="12"/>
      <c r="F6" s="12"/>
      <c r="I6" s="76" t="s">
        <v>3</v>
      </c>
      <c r="J6" s="77"/>
      <c r="K6" s="78"/>
      <c r="L6" s="13"/>
      <c r="N6" s="13"/>
      <c r="Q6" s="30"/>
    </row>
    <row r="7" spans="2:17" ht="15.75" customHeight="1">
      <c r="B7" t="s">
        <v>5</v>
      </c>
      <c r="C7" s="9" t="s">
        <v>6</v>
      </c>
      <c r="D7" s="24">
        <v>240</v>
      </c>
      <c r="E7" t="s">
        <v>7</v>
      </c>
      <c r="I7" s="28" t="s">
        <v>25</v>
      </c>
      <c r="J7" s="14" t="s">
        <v>6</v>
      </c>
      <c r="K7" s="31">
        <f>IF(D7&lt;=280,0.85,IF(D7&gt;=650,0.65,0.85-0.05*(D7-280)/70))</f>
        <v>0.85</v>
      </c>
      <c r="L7" s="44"/>
      <c r="N7" s="4"/>
      <c r="Q7" s="30"/>
    </row>
    <row r="8" spans="2:14" ht="15.75" customHeight="1">
      <c r="B8" t="s">
        <v>8</v>
      </c>
      <c r="C8" s="9" t="s">
        <v>6</v>
      </c>
      <c r="D8" s="25">
        <v>3000</v>
      </c>
      <c r="E8" t="s">
        <v>7</v>
      </c>
      <c r="I8" s="28" t="s">
        <v>26</v>
      </c>
      <c r="J8" s="14" t="s">
        <v>6</v>
      </c>
      <c r="K8" s="32">
        <f>(0.85*K7*D7/D8)*(6120/(6120+D8))</f>
        <v>0.03878684210526315</v>
      </c>
      <c r="L8" s="45"/>
      <c r="N8" s="15"/>
    </row>
    <row r="9" spans="2:14" ht="15.75" customHeight="1">
      <c r="B9" t="s">
        <v>9</v>
      </c>
      <c r="C9" s="9" t="s">
        <v>6</v>
      </c>
      <c r="D9" s="26">
        <f>((4270*2.4^1.5)*(D7^0.5))</f>
        <v>245951.99999999997</v>
      </c>
      <c r="E9" t="s">
        <v>7</v>
      </c>
      <c r="I9" s="14" t="s">
        <v>4</v>
      </c>
      <c r="J9" s="14" t="s">
        <v>6</v>
      </c>
      <c r="K9" s="66">
        <v>0.7</v>
      </c>
      <c r="L9" s="44"/>
      <c r="N9" s="15"/>
    </row>
    <row r="10" spans="2:14" ht="15.75" customHeight="1">
      <c r="B10" t="s">
        <v>30</v>
      </c>
      <c r="C10" s="9" t="s">
        <v>6</v>
      </c>
      <c r="D10" s="29">
        <f>K10*D8*(1-0.59*K10*D8/D7)</f>
        <v>65.142584630947</v>
      </c>
      <c r="E10" t="s">
        <v>7</v>
      </c>
      <c r="I10" s="14" t="s">
        <v>27</v>
      </c>
      <c r="J10" s="14" t="s">
        <v>6</v>
      </c>
      <c r="K10" s="32">
        <f>K9*K8</f>
        <v>0.0271507894736842</v>
      </c>
      <c r="L10" s="45"/>
      <c r="N10" s="16"/>
    </row>
    <row r="11" spans="9:12" ht="15.75" customHeight="1">
      <c r="I11" s="14" t="s">
        <v>28</v>
      </c>
      <c r="J11" s="14" t="s">
        <v>6</v>
      </c>
      <c r="K11" s="32">
        <f>14/D8</f>
        <v>0.004666666666666667</v>
      </c>
      <c r="L11" s="45"/>
    </row>
    <row r="12" ht="15.75" customHeight="1">
      <c r="B12" s="22" t="s">
        <v>16</v>
      </c>
    </row>
    <row r="13" spans="2:19" ht="15.75" customHeight="1">
      <c r="B13" s="36" t="s">
        <v>18</v>
      </c>
      <c r="C13" s="9" t="s">
        <v>6</v>
      </c>
      <c r="D13" s="60">
        <v>5050</v>
      </c>
      <c r="E13" s="41" t="s">
        <v>19</v>
      </c>
      <c r="F13" s="36"/>
      <c r="G13" s="36"/>
      <c r="H13" s="36"/>
      <c r="I13" s="53" t="s">
        <v>17</v>
      </c>
      <c r="J13" s="55" t="s">
        <v>6</v>
      </c>
      <c r="K13" s="61">
        <v>6</v>
      </c>
      <c r="L13" s="53"/>
      <c r="M13" s="41" t="s">
        <v>39</v>
      </c>
      <c r="N13" s="36"/>
      <c r="O13" s="36"/>
      <c r="P13" s="36"/>
      <c r="Q13" s="36"/>
      <c r="R13" s="36"/>
      <c r="S13" s="36"/>
    </row>
    <row r="14" spans="2:19" ht="15.75" customHeight="1">
      <c r="B14" s="36" t="s">
        <v>33</v>
      </c>
      <c r="C14" s="9" t="s">
        <v>6</v>
      </c>
      <c r="D14" s="60">
        <v>14018</v>
      </c>
      <c r="E14" s="47" t="s">
        <v>34</v>
      </c>
      <c r="F14" s="36"/>
      <c r="G14" s="36"/>
      <c r="H14" s="36"/>
      <c r="I14" s="53" t="s">
        <v>45</v>
      </c>
      <c r="J14" s="56" t="s">
        <v>6</v>
      </c>
      <c r="K14" s="62">
        <v>3</v>
      </c>
      <c r="L14" s="54"/>
      <c r="M14" s="36" t="s">
        <v>40</v>
      </c>
      <c r="N14" s="36"/>
      <c r="O14" s="36"/>
      <c r="P14" s="36"/>
      <c r="Q14" s="36"/>
      <c r="R14" s="36"/>
      <c r="S14" s="36"/>
    </row>
    <row r="15" spans="2:19" ht="15.75" customHeight="1">
      <c r="B15" s="36" t="s">
        <v>32</v>
      </c>
      <c r="C15" s="9" t="s">
        <v>6</v>
      </c>
      <c r="D15" s="60">
        <v>19463</v>
      </c>
      <c r="E15" s="47" t="s">
        <v>34</v>
      </c>
      <c r="F15" s="36"/>
      <c r="G15" s="36"/>
      <c r="H15" s="34"/>
      <c r="I15" s="53" t="s">
        <v>37</v>
      </c>
      <c r="J15" s="55" t="s">
        <v>6</v>
      </c>
      <c r="K15" s="61">
        <v>40</v>
      </c>
      <c r="L15" s="53"/>
      <c r="M15" s="41" t="s">
        <v>40</v>
      </c>
      <c r="N15" s="36"/>
      <c r="O15" s="36"/>
      <c r="P15" s="36"/>
      <c r="Q15" s="36"/>
      <c r="R15" s="36"/>
      <c r="S15" s="36"/>
    </row>
    <row r="16" spans="2:19" ht="15.75" customHeight="1">
      <c r="B16" s="36" t="s">
        <v>29</v>
      </c>
      <c r="C16" s="9" t="s">
        <v>6</v>
      </c>
      <c r="D16" s="35">
        <v>18382</v>
      </c>
      <c r="E16" s="41" t="s">
        <v>20</v>
      </c>
      <c r="F16" s="36"/>
      <c r="G16" s="36"/>
      <c r="H16" s="36"/>
      <c r="I16" s="53" t="s">
        <v>38</v>
      </c>
      <c r="J16" s="55" t="s">
        <v>6</v>
      </c>
      <c r="K16" s="61">
        <v>5</v>
      </c>
      <c r="L16" s="53"/>
      <c r="M16" s="41" t="s">
        <v>40</v>
      </c>
      <c r="N16" s="36"/>
      <c r="O16" s="36">
        <f>MAX(D14:D15)</f>
        <v>19463</v>
      </c>
      <c r="P16" s="36"/>
      <c r="Q16" s="36"/>
      <c r="R16" s="36"/>
      <c r="S16" s="36"/>
    </row>
    <row r="17" spans="2:19" ht="15.75" customHeight="1">
      <c r="B17" s="36" t="s">
        <v>35</v>
      </c>
      <c r="C17" s="9" t="s">
        <v>6</v>
      </c>
      <c r="D17" s="35">
        <v>45</v>
      </c>
      <c r="E17" s="41" t="s">
        <v>40</v>
      </c>
      <c r="F17" s="36"/>
      <c r="G17" s="36"/>
      <c r="H17" s="36"/>
      <c r="I17" s="53" t="s">
        <v>44</v>
      </c>
      <c r="J17" s="55" t="s">
        <v>6</v>
      </c>
      <c r="K17" s="57">
        <f>(MAX(D14:D15)*100/(0.9*D10*D18))^0.5</f>
        <v>33.265228908648844</v>
      </c>
      <c r="L17" s="57"/>
      <c r="M17" s="41" t="s">
        <v>40</v>
      </c>
      <c r="N17" s="36"/>
      <c r="O17" s="36"/>
      <c r="P17" s="36"/>
      <c r="Q17" s="36"/>
      <c r="R17" s="36"/>
      <c r="S17" s="36"/>
    </row>
    <row r="18" spans="2:19" ht="15.75" customHeight="1">
      <c r="B18" s="36" t="s">
        <v>36</v>
      </c>
      <c r="C18" s="9" t="s">
        <v>6</v>
      </c>
      <c r="D18" s="35">
        <v>30</v>
      </c>
      <c r="E18" s="41" t="s">
        <v>40</v>
      </c>
      <c r="F18" s="36"/>
      <c r="G18" s="36"/>
      <c r="H18" s="34"/>
      <c r="N18" s="36"/>
      <c r="O18" s="36"/>
      <c r="P18" s="36"/>
      <c r="Q18" s="36"/>
      <c r="R18" s="36"/>
      <c r="S18" s="36"/>
    </row>
    <row r="19" spans="6:19" ht="15.75" customHeight="1">
      <c r="F19" s="36"/>
      <c r="G19" s="36"/>
      <c r="H19" s="36"/>
      <c r="I19" s="30"/>
      <c r="J19" s="38"/>
      <c r="K19" s="36"/>
      <c r="L19" s="36"/>
      <c r="M19" s="36"/>
      <c r="N19" s="36"/>
      <c r="O19" s="36"/>
      <c r="P19" s="36"/>
      <c r="Q19" s="36"/>
      <c r="R19" s="36"/>
      <c r="S19" s="36"/>
    </row>
    <row r="20" spans="2:19" ht="18" customHeight="1">
      <c r="B20" s="22" t="s">
        <v>42</v>
      </c>
      <c r="M20" s="36"/>
      <c r="N20" s="36"/>
      <c r="O20" s="36"/>
      <c r="P20" s="36"/>
      <c r="Q20" s="36"/>
      <c r="R20" s="36"/>
      <c r="S20" s="36"/>
    </row>
    <row r="21" spans="2:19" ht="18" customHeight="1">
      <c r="B21" s="36" t="s">
        <v>41</v>
      </c>
      <c r="C21" s="9" t="s">
        <v>6</v>
      </c>
      <c r="D21" s="40">
        <f>(0.9*D10*D18*K15^2)/100</f>
        <v>28141.59656056911</v>
      </c>
      <c r="E21" s="47" t="s">
        <v>34</v>
      </c>
      <c r="F21" s="37" t="str">
        <f>IF(D21&gt;D14,"Singly section","Doubly section")</f>
        <v>Singly section</v>
      </c>
      <c r="G21" s="36"/>
      <c r="H21" s="34"/>
      <c r="I21" s="36"/>
      <c r="J21" s="30"/>
      <c r="K21" s="36"/>
      <c r="L21" s="36"/>
      <c r="M21" s="36"/>
      <c r="N21" s="36"/>
      <c r="O21" s="34" t="s">
        <v>30</v>
      </c>
      <c r="P21" s="9" t="s">
        <v>6</v>
      </c>
      <c r="Q21" s="42">
        <f>D14*100/(0.9*D18*K15^2)</f>
        <v>32.449074074074076</v>
      </c>
      <c r="R21" s="36"/>
      <c r="S21" s="36"/>
    </row>
    <row r="22" spans="2:19" ht="18" customHeight="1">
      <c r="B22" s="34" t="s">
        <v>47</v>
      </c>
      <c r="C22" s="36"/>
      <c r="D22" s="30"/>
      <c r="E22" s="47"/>
      <c r="F22" s="36"/>
      <c r="G22" s="36"/>
      <c r="H22" s="34"/>
      <c r="I22" s="36"/>
      <c r="J22" s="30"/>
      <c r="K22" s="36"/>
      <c r="L22" s="36"/>
      <c r="M22" s="36"/>
      <c r="N22" s="36"/>
      <c r="O22" s="43" t="s">
        <v>31</v>
      </c>
      <c r="P22" s="9" t="s">
        <v>6</v>
      </c>
      <c r="Q22" s="30">
        <f>(0.85*D7/D8)*(1-(1-2*Q21/(0.85*D7))^0.5)</f>
        <v>0.011848639298393004</v>
      </c>
      <c r="R22" s="36"/>
      <c r="S22" s="36"/>
    </row>
    <row r="23" spans="2:19" ht="15.75" customHeight="1">
      <c r="B23" s="34" t="s">
        <v>30</v>
      </c>
      <c r="C23" s="9" t="s">
        <v>6</v>
      </c>
      <c r="D23" s="42">
        <f>D14*100/(0.9*D18*K15^2)</f>
        <v>32.449074074074076</v>
      </c>
      <c r="E23" s="12" t="s">
        <v>7</v>
      </c>
      <c r="F23" s="48"/>
      <c r="G23" s="36"/>
      <c r="H23" s="36"/>
      <c r="I23" s="36"/>
      <c r="J23" s="36"/>
      <c r="K23" s="36"/>
      <c r="L23" s="36"/>
      <c r="M23" s="36"/>
      <c r="N23" s="36"/>
      <c r="O23" s="36" t="s">
        <v>60</v>
      </c>
      <c r="P23" s="36">
        <f>Q22*D18*K15</f>
        <v>14.218367158071604</v>
      </c>
      <c r="Q23" s="36"/>
      <c r="R23" s="36"/>
      <c r="S23" s="36"/>
    </row>
    <row r="24" spans="2:19" ht="15.75" customHeight="1">
      <c r="B24" s="43" t="s">
        <v>31</v>
      </c>
      <c r="C24" s="9" t="s">
        <v>6</v>
      </c>
      <c r="D24" s="30">
        <f>(0.85*D7/D8)*(1-(1-2*D23/(0.85*D7))^0.5)</f>
        <v>0.011848639298393004</v>
      </c>
      <c r="E24" s="49"/>
      <c r="F24" s="48"/>
      <c r="I24" s="70" t="s">
        <v>22</v>
      </c>
      <c r="J24" s="71"/>
      <c r="K24" s="72"/>
      <c r="L24" s="58"/>
      <c r="M24" s="36"/>
      <c r="N24" s="36"/>
      <c r="O24" s="36" t="s">
        <v>61</v>
      </c>
      <c r="P24" s="65">
        <f>D14-D21</f>
        <v>-14123.596560569109</v>
      </c>
      <c r="Q24" s="36"/>
      <c r="R24" s="36"/>
      <c r="S24" s="36"/>
    </row>
    <row r="25" spans="2:19" ht="15.75" customHeight="1">
      <c r="B25" s="36" t="s">
        <v>23</v>
      </c>
      <c r="C25" s="9" t="s">
        <v>6</v>
      </c>
      <c r="D25" s="40">
        <f>IF(D14&gt;D21,P26,D24*D18*K15)</f>
        <v>14.218367158071604</v>
      </c>
      <c r="E25" s="46" t="s">
        <v>21</v>
      </c>
      <c r="F25" s="48"/>
      <c r="I25" s="63">
        <v>5</v>
      </c>
      <c r="J25" s="63" t="s">
        <v>15</v>
      </c>
      <c r="K25" s="63">
        <v>20</v>
      </c>
      <c r="L25" s="30"/>
      <c r="M25" s="36"/>
      <c r="N25" s="36"/>
      <c r="O25" s="36" t="s">
        <v>63</v>
      </c>
      <c r="P25" s="36">
        <f>(P24*100)/(0.9*D8*(K15-K16))</f>
        <v>-14.945604825999059</v>
      </c>
      <c r="Q25" s="36"/>
      <c r="R25" s="36"/>
      <c r="S25" s="36"/>
    </row>
    <row r="26" spans="2:19" ht="15.75" customHeight="1">
      <c r="B26" s="36" t="s">
        <v>24</v>
      </c>
      <c r="C26" s="9" t="s">
        <v>6</v>
      </c>
      <c r="D26" s="40">
        <f>I25*(PI()*(K25/10)^2)/4</f>
        <v>15.707963267948966</v>
      </c>
      <c r="E26" s="46" t="s">
        <v>21</v>
      </c>
      <c r="F26" s="52" t="str">
        <f>IF(D26&gt;D25,"OK","Check Bar")</f>
        <v>OK</v>
      </c>
      <c r="G26" s="36"/>
      <c r="H26" s="36"/>
      <c r="I26" s="36"/>
      <c r="J26" s="36"/>
      <c r="K26" s="36"/>
      <c r="L26" s="36"/>
      <c r="M26" s="36"/>
      <c r="N26" s="36"/>
      <c r="O26" s="36" t="s">
        <v>62</v>
      </c>
      <c r="P26" s="36">
        <f>P23+P25</f>
        <v>-0.7272376679274544</v>
      </c>
      <c r="Q26" s="36"/>
      <c r="R26" s="36"/>
      <c r="S26" s="36"/>
    </row>
    <row r="27" spans="2:19" ht="15.75" customHeight="1">
      <c r="B27" s="34" t="s">
        <v>48</v>
      </c>
      <c r="C27" s="36"/>
      <c r="D27" s="30"/>
      <c r="E27" s="36"/>
      <c r="F27" s="36"/>
      <c r="G27" s="36"/>
      <c r="H27" s="36"/>
      <c r="I27" s="70" t="s">
        <v>22</v>
      </c>
      <c r="J27" s="71"/>
      <c r="K27" s="72"/>
      <c r="L27" s="58"/>
      <c r="M27" s="36"/>
      <c r="N27" s="36"/>
      <c r="O27" s="36"/>
      <c r="P27" s="36"/>
      <c r="Q27" s="36"/>
      <c r="R27" s="36"/>
      <c r="S27" s="36"/>
    </row>
    <row r="28" spans="2:19" ht="15.75" customHeight="1">
      <c r="B28" s="36" t="s">
        <v>23</v>
      </c>
      <c r="C28" s="9" t="s">
        <v>6</v>
      </c>
      <c r="D28" s="40">
        <f>IF(D14&gt;D21,P25,0.0025*D18*K15)</f>
        <v>3</v>
      </c>
      <c r="E28" s="46" t="s">
        <v>21</v>
      </c>
      <c r="F28" s="36"/>
      <c r="G28" s="36"/>
      <c r="H28" s="39"/>
      <c r="I28" s="63">
        <v>2</v>
      </c>
      <c r="J28" s="63" t="s">
        <v>15</v>
      </c>
      <c r="K28" s="63">
        <v>20</v>
      </c>
      <c r="L28" s="30"/>
      <c r="M28" s="36"/>
      <c r="N28" s="36"/>
      <c r="O28" s="36"/>
      <c r="P28" s="36"/>
      <c r="Q28" s="36"/>
      <c r="R28" s="36"/>
      <c r="S28" s="36"/>
    </row>
    <row r="29" spans="2:19" ht="15.75" customHeight="1">
      <c r="B29" s="36" t="s">
        <v>24</v>
      </c>
      <c r="C29" s="9" t="s">
        <v>6</v>
      </c>
      <c r="D29" s="40">
        <f>I28*(PI()*(K28/10)^2)/4</f>
        <v>6.283185307179586</v>
      </c>
      <c r="E29" s="46" t="s">
        <v>21</v>
      </c>
      <c r="F29" s="52" t="str">
        <f>IF(D29&gt;D28,"OK","Check Bar")</f>
        <v>OK</v>
      </c>
      <c r="L29" s="33"/>
      <c r="M29" s="36"/>
      <c r="N29" s="36"/>
      <c r="O29" s="36"/>
      <c r="P29" s="36"/>
      <c r="Q29" s="36"/>
      <c r="R29" s="36"/>
      <c r="S29" s="36"/>
    </row>
    <row r="30" spans="2:19" ht="15.75" customHeight="1">
      <c r="B30" s="36" t="s">
        <v>46</v>
      </c>
      <c r="C30" s="9" t="s">
        <v>6</v>
      </c>
      <c r="D30" s="40">
        <f>D17-K14-K25/10</f>
        <v>40</v>
      </c>
      <c r="E30" s="41" t="s">
        <v>40</v>
      </c>
      <c r="F30" s="52" t="str">
        <f>IF(D30&gt;K17,"OK","Check section")</f>
        <v>OK</v>
      </c>
      <c r="L30" s="33"/>
      <c r="M30" s="36"/>
      <c r="N30" s="36"/>
      <c r="O30" s="36"/>
      <c r="P30" s="36"/>
      <c r="Q30" s="36"/>
      <c r="R30" s="36"/>
      <c r="S30" s="36"/>
    </row>
    <row r="31" spans="12:19" ht="15.75" customHeight="1">
      <c r="L31" s="33"/>
      <c r="M31" s="36"/>
      <c r="N31" s="36"/>
      <c r="O31" s="36"/>
      <c r="P31" s="36"/>
      <c r="Q31" s="36"/>
      <c r="R31" s="36"/>
      <c r="S31" s="36"/>
    </row>
    <row r="32" spans="2:19" ht="15.75" customHeight="1">
      <c r="B32" s="22" t="s">
        <v>43</v>
      </c>
      <c r="L32" s="33"/>
      <c r="M32" s="36"/>
      <c r="N32" s="36"/>
      <c r="O32" s="34" t="s">
        <v>30</v>
      </c>
      <c r="P32" s="9" t="s">
        <v>6</v>
      </c>
      <c r="Q32" s="42">
        <f>D15*100/(0.9*D18*K15^2)</f>
        <v>45.05324074074074</v>
      </c>
      <c r="R32" s="36"/>
      <c r="S32" s="36"/>
    </row>
    <row r="33" spans="2:19" ht="15.75" customHeight="1">
      <c r="B33" s="36" t="s">
        <v>41</v>
      </c>
      <c r="C33" s="9" t="s">
        <v>6</v>
      </c>
      <c r="D33" s="40">
        <f>(0.9*D10*D18*K15^2)/100</f>
        <v>28141.59656056911</v>
      </c>
      <c r="E33" s="47" t="s">
        <v>34</v>
      </c>
      <c r="F33" s="37" t="str">
        <f>IF(D33&gt;D22,"Singly section","Doubly section")</f>
        <v>Singly section</v>
      </c>
      <c r="G33" s="36"/>
      <c r="L33" s="33"/>
      <c r="M33" s="36"/>
      <c r="N33" s="36"/>
      <c r="O33" s="43" t="s">
        <v>31</v>
      </c>
      <c r="P33" s="9" t="s">
        <v>6</v>
      </c>
      <c r="Q33" s="30">
        <f>(0.85*D7/D8)*(1-(1-2*Q32/(0.85*D7))^0.5)</f>
        <v>0.0171906856988496</v>
      </c>
      <c r="R33" s="30"/>
      <c r="S33" s="36"/>
    </row>
    <row r="34" spans="2:19" ht="18" customHeight="1">
      <c r="B34" s="34" t="s">
        <v>47</v>
      </c>
      <c r="C34" s="36"/>
      <c r="D34" s="30"/>
      <c r="E34" s="47"/>
      <c r="F34" s="36"/>
      <c r="G34" s="36"/>
      <c r="H34" s="34"/>
      <c r="I34" s="36"/>
      <c r="J34" s="30"/>
      <c r="K34" s="36"/>
      <c r="L34" s="36"/>
      <c r="M34" s="36"/>
      <c r="N34" s="36"/>
      <c r="O34" s="36" t="s">
        <v>60</v>
      </c>
      <c r="P34" s="36">
        <f>Q33*D18*K15</f>
        <v>20.62882283861952</v>
      </c>
      <c r="Q34" s="36"/>
      <c r="R34" s="30"/>
      <c r="S34" s="36"/>
    </row>
    <row r="35" spans="2:19" ht="18" customHeight="1">
      <c r="B35" s="34" t="s">
        <v>30</v>
      </c>
      <c r="C35" s="9" t="s">
        <v>6</v>
      </c>
      <c r="D35" s="42">
        <f>D15*100/(0.9*D18*K15^2)</f>
        <v>45.05324074074074</v>
      </c>
      <c r="E35" s="12" t="s">
        <v>7</v>
      </c>
      <c r="F35" s="48"/>
      <c r="G35" s="36"/>
      <c r="H35" s="36"/>
      <c r="I35" s="36"/>
      <c r="J35" s="36"/>
      <c r="K35" s="36"/>
      <c r="L35" s="36"/>
      <c r="M35" s="36"/>
      <c r="N35" s="36"/>
      <c r="O35" s="36" t="s">
        <v>61</v>
      </c>
      <c r="P35" s="65">
        <f>D15-D33</f>
        <v>-8678.596560569109</v>
      </c>
      <c r="Q35" s="36"/>
      <c r="R35" s="36"/>
      <c r="S35" s="36"/>
    </row>
    <row r="36" spans="2:19" ht="15.75" customHeight="1">
      <c r="B36" s="43" t="s">
        <v>31</v>
      </c>
      <c r="C36" s="9" t="s">
        <v>6</v>
      </c>
      <c r="D36" s="30">
        <f>(0.85*D7/D8)*(1-(1-2*D35/(0.85*D7))^0.5)</f>
        <v>0.0171906856988496</v>
      </c>
      <c r="E36" s="49"/>
      <c r="F36" s="48"/>
      <c r="I36" s="70" t="s">
        <v>22</v>
      </c>
      <c r="J36" s="71"/>
      <c r="K36" s="72"/>
      <c r="L36" s="58"/>
      <c r="M36" s="36"/>
      <c r="N36" s="36"/>
      <c r="O36" s="36" t="s">
        <v>63</v>
      </c>
      <c r="P36" s="36">
        <f>(P35*100)/(0.9*D8*(K15-K16))</f>
        <v>-9.183700064094294</v>
      </c>
      <c r="Q36" s="36"/>
      <c r="R36" s="30"/>
      <c r="S36" s="36"/>
    </row>
    <row r="37" spans="2:19" ht="18" customHeight="1">
      <c r="B37" s="36" t="s">
        <v>23</v>
      </c>
      <c r="C37" s="9" t="s">
        <v>6</v>
      </c>
      <c r="D37" s="40">
        <f>IF(D15&gt;D33,P36,0.0025*D18*K15)</f>
        <v>3</v>
      </c>
      <c r="E37" s="46" t="s">
        <v>21</v>
      </c>
      <c r="F37" s="48"/>
      <c r="I37" s="63">
        <v>2</v>
      </c>
      <c r="J37" s="63" t="s">
        <v>15</v>
      </c>
      <c r="K37" s="63">
        <v>20</v>
      </c>
      <c r="L37" s="30"/>
      <c r="M37" s="36"/>
      <c r="N37" s="36"/>
      <c r="O37" s="36" t="s">
        <v>62</v>
      </c>
      <c r="P37" s="36">
        <f>P34+P36</f>
        <v>11.445122774525226</v>
      </c>
      <c r="Q37" s="36"/>
      <c r="R37" s="30"/>
      <c r="S37" s="36"/>
    </row>
    <row r="38" spans="2:19" ht="18" customHeight="1">
      <c r="B38" s="36" t="s">
        <v>24</v>
      </c>
      <c r="C38" s="9" t="s">
        <v>6</v>
      </c>
      <c r="D38" s="40">
        <f>I37*(PI()*(K37/10)^2)/4</f>
        <v>6.283185307179586</v>
      </c>
      <c r="E38" s="46" t="s">
        <v>21</v>
      </c>
      <c r="F38" s="52" t="str">
        <f>IF(D38&gt;D37,"OK","Check Bar")</f>
        <v>OK</v>
      </c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</row>
    <row r="39" spans="2:19" ht="15.75" customHeight="1">
      <c r="B39" s="34" t="s">
        <v>48</v>
      </c>
      <c r="C39" s="36"/>
      <c r="E39" s="36"/>
      <c r="F39" s="36"/>
      <c r="G39" s="36"/>
      <c r="H39" s="36"/>
      <c r="I39" s="70" t="s">
        <v>22</v>
      </c>
      <c r="J39" s="71"/>
      <c r="K39" s="72"/>
      <c r="L39" s="58"/>
      <c r="M39" s="36"/>
      <c r="N39" s="36"/>
      <c r="O39" s="36"/>
      <c r="P39" s="36"/>
      <c r="Q39" s="36"/>
      <c r="R39" s="36"/>
      <c r="S39" s="36"/>
    </row>
    <row r="40" spans="2:19" ht="15.75" customHeight="1">
      <c r="B40" s="36" t="s">
        <v>23</v>
      </c>
      <c r="C40" s="9" t="s">
        <v>6</v>
      </c>
      <c r="D40" s="40">
        <f>IF(D15&gt;D33,P37,D36*D18*K15)</f>
        <v>20.62882283861952</v>
      </c>
      <c r="E40" s="46" t="s">
        <v>21</v>
      </c>
      <c r="F40" s="36"/>
      <c r="G40" s="36"/>
      <c r="H40" s="39"/>
      <c r="I40" s="63">
        <v>7</v>
      </c>
      <c r="J40" s="63" t="s">
        <v>15</v>
      </c>
      <c r="K40" s="63">
        <v>20</v>
      </c>
      <c r="L40" s="30"/>
      <c r="M40" s="36"/>
      <c r="N40" s="36"/>
      <c r="O40" s="36"/>
      <c r="P40" s="30"/>
      <c r="Q40" s="30"/>
      <c r="R40" s="36"/>
      <c r="S40" s="36"/>
    </row>
    <row r="41" spans="2:19" ht="15.75" customHeight="1">
      <c r="B41" s="36" t="s">
        <v>24</v>
      </c>
      <c r="C41" s="9" t="s">
        <v>6</v>
      </c>
      <c r="D41" s="40">
        <f>I40*(PI()*(K40/10)^2)/4</f>
        <v>21.991148575128552</v>
      </c>
      <c r="E41" s="46" t="s">
        <v>21</v>
      </c>
      <c r="F41" s="52" t="str">
        <f>IF(D41&gt;D40,"OK","Check Bar")</f>
        <v>OK</v>
      </c>
      <c r="L41" s="33"/>
      <c r="M41" s="36"/>
      <c r="N41" s="36"/>
      <c r="O41" s="36"/>
      <c r="P41" s="40"/>
      <c r="Q41" s="40"/>
      <c r="R41" s="36"/>
      <c r="S41" s="36"/>
    </row>
    <row r="42" spans="2:19" ht="15.75" customHeight="1">
      <c r="B42" s="36" t="s">
        <v>46</v>
      </c>
      <c r="C42" s="9" t="s">
        <v>6</v>
      </c>
      <c r="D42" s="42">
        <f>D17-K14-K37/10</f>
        <v>40</v>
      </c>
      <c r="E42" s="41" t="s">
        <v>40</v>
      </c>
      <c r="F42" s="37" t="str">
        <f>IF(D42&gt;K17,"OK","Check section")</f>
        <v>OK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ht="15.75" customHeight="1">
      <c r="L43" s="33"/>
    </row>
    <row r="44" ht="15.75" customHeight="1">
      <c r="L44" s="33"/>
    </row>
    <row r="45" ht="15.75" customHeight="1">
      <c r="L45" s="33"/>
    </row>
    <row r="46" ht="15.75" customHeight="1">
      <c r="L46" s="33"/>
    </row>
    <row r="47" ht="15.75" customHeight="1">
      <c r="L47" s="33"/>
    </row>
    <row r="48" ht="12.75">
      <c r="L48" s="33"/>
    </row>
    <row r="49" ht="12.75">
      <c r="L49" s="33"/>
    </row>
    <row r="50" spans="2:12" ht="12.75">
      <c r="B50" t="s">
        <v>49</v>
      </c>
      <c r="L50" s="33"/>
    </row>
    <row r="51" ht="12.75">
      <c r="L51" s="33"/>
    </row>
    <row r="52" spans="2:12" ht="12.75">
      <c r="B52" s="36" t="s">
        <v>50</v>
      </c>
      <c r="C52" s="9" t="s">
        <v>6</v>
      </c>
      <c r="D52" s="21">
        <f>0.85*0.53*(D7^0.5)*D18*K17</f>
        <v>6964.856729486882</v>
      </c>
      <c r="E52" t="s">
        <v>20</v>
      </c>
      <c r="F52" s="23" t="str">
        <f>IF(D52&gt;D16,"&gt;","&lt;")</f>
        <v>&lt;</v>
      </c>
      <c r="G52" s="36" t="s">
        <v>29</v>
      </c>
      <c r="I52" s="70" t="s">
        <v>22</v>
      </c>
      <c r="J52" s="71"/>
      <c r="K52" s="72"/>
      <c r="L52" s="58"/>
    </row>
    <row r="53" spans="2:12" ht="12.75">
      <c r="B53" s="36" t="s">
        <v>51</v>
      </c>
      <c r="C53" s="9" t="s">
        <v>6</v>
      </c>
      <c r="D53" s="21">
        <f>D16-D52</f>
        <v>11417.14327051312</v>
      </c>
      <c r="E53" t="s">
        <v>20</v>
      </c>
      <c r="I53" s="64">
        <v>2</v>
      </c>
      <c r="J53" s="63" t="s">
        <v>14</v>
      </c>
      <c r="K53" s="63">
        <v>9</v>
      </c>
      <c r="L53" s="30"/>
    </row>
    <row r="54" spans="2:12" ht="12.75">
      <c r="B54" s="36"/>
      <c r="D54" s="21"/>
      <c r="I54" s="79" t="s">
        <v>56</v>
      </c>
      <c r="J54" s="79"/>
      <c r="K54" s="79"/>
      <c r="L54" s="59"/>
    </row>
    <row r="55" spans="2:12" ht="12.75">
      <c r="B55" s="50" t="s">
        <v>53</v>
      </c>
      <c r="C55" s="9" t="s">
        <v>6</v>
      </c>
      <c r="D55" s="9">
        <f>D17/2</f>
        <v>22.5</v>
      </c>
      <c r="E55" s="41" t="s">
        <v>40</v>
      </c>
      <c r="I55" s="69">
        <f>IF(J53="DB",D8,2400)</f>
        <v>2400</v>
      </c>
      <c r="J55" s="69"/>
      <c r="K55" s="69"/>
      <c r="L55" s="30"/>
    </row>
    <row r="56" spans="2:16" ht="12.75">
      <c r="B56" s="50" t="s">
        <v>54</v>
      </c>
      <c r="C56" s="9" t="s">
        <v>6</v>
      </c>
      <c r="D56" s="51">
        <f>IF(D52&gt;D16,D55,0.85*(2*I53*PI()*(K53/10)^2)*0.25*I55*MAX(D42,D30)/D53)</f>
        <v>18.18727356850789</v>
      </c>
      <c r="E56" s="41" t="s">
        <v>40</v>
      </c>
      <c r="L56" s="33"/>
      <c r="P56" t="s">
        <v>52</v>
      </c>
    </row>
    <row r="57" spans="2:12" ht="12.75">
      <c r="B57" s="50" t="s">
        <v>55</v>
      </c>
      <c r="C57" s="9" t="s">
        <v>6</v>
      </c>
      <c r="D57" s="9">
        <v>50</v>
      </c>
      <c r="E57" s="41" t="s">
        <v>40</v>
      </c>
      <c r="L57" s="33"/>
    </row>
    <row r="58" ht="12.75">
      <c r="L58" s="33"/>
    </row>
    <row r="59" spans="2:12" ht="12.75">
      <c r="B59" s="36" t="s">
        <v>57</v>
      </c>
      <c r="C59" s="9" t="s">
        <v>6</v>
      </c>
      <c r="D59" s="68" t="str">
        <f>""&amp;I53&amp;" "&amp;J53&amp;" "&amp;K53&amp;" "&amp;P56&amp;" "&amp;INT(MIN(D55:D57))&amp;" "&amp;E55&amp;""</f>
        <v>2 RB 9 @ 18 cm</v>
      </c>
      <c r="E59" s="68"/>
      <c r="L59" s="33"/>
    </row>
    <row r="64" spans="1:7" ht="12.75">
      <c r="A64" s="67" t="str">
        <f>""&amp;D17&amp;" "&amp;E17&amp;""</f>
        <v>45 cm</v>
      </c>
      <c r="G64" s="67" t="str">
        <f>A64</f>
        <v>45 cm</v>
      </c>
    </row>
    <row r="65" spans="1:13" ht="12.75">
      <c r="A65" s="67"/>
      <c r="E65" t="str">
        <f>""&amp;I28&amp;" "&amp;J28&amp;" "&amp;K28&amp;""</f>
        <v>2 DB 20</v>
      </c>
      <c r="G65" s="67"/>
      <c r="L65" s="12" t="str">
        <f>""&amp;I40&amp;" "&amp;J40&amp;" "&amp;K40&amp;""</f>
        <v>7 DB 20</v>
      </c>
      <c r="M65" s="12"/>
    </row>
    <row r="66" spans="1:13" ht="12.75">
      <c r="A66" s="67"/>
      <c r="G66" s="67"/>
      <c r="L66" s="9"/>
      <c r="M66" s="9"/>
    </row>
    <row r="67" spans="1:13" ht="12.75">
      <c r="A67" s="67"/>
      <c r="G67" s="67"/>
      <c r="L67" s="9"/>
      <c r="M67" s="9"/>
    </row>
    <row r="68" spans="1:13" ht="12.75">
      <c r="A68" s="67"/>
      <c r="E68" t="str">
        <f>""&amp;D59&amp;""</f>
        <v>2 RB 9 @ 18 cm</v>
      </c>
      <c r="G68" s="67"/>
      <c r="L68" s="12" t="str">
        <f>""&amp;D59&amp;""</f>
        <v>2 RB 9 @ 18 cm</v>
      </c>
      <c r="M68" s="12"/>
    </row>
    <row r="69" spans="1:13" ht="12.75">
      <c r="A69" s="67"/>
      <c r="G69" s="67"/>
      <c r="L69" s="9"/>
      <c r="M69" s="9"/>
    </row>
    <row r="70" spans="1:13" ht="12.75">
      <c r="A70" s="67"/>
      <c r="G70" s="67"/>
      <c r="L70" s="9"/>
      <c r="M70" s="9"/>
    </row>
    <row r="71" spans="1:13" ht="12.75">
      <c r="A71" s="67"/>
      <c r="E71" t="str">
        <f>""&amp;I25&amp;" "&amp;J25&amp;" "&amp;K25&amp;""</f>
        <v>5 DB 20</v>
      </c>
      <c r="G71" s="67"/>
      <c r="L71" s="12" t="str">
        <f>""&amp;I37&amp;" "&amp;J37&amp;" "&amp;K37&amp;""</f>
        <v>2 DB 20</v>
      </c>
      <c r="M71" s="12"/>
    </row>
    <row r="72" spans="1:7" ht="12.75">
      <c r="A72" s="67"/>
      <c r="G72" s="67"/>
    </row>
    <row r="74" spans="2:12" ht="12.75">
      <c r="B74" s="68" t="str">
        <f>""&amp;D18&amp;" "&amp;E18&amp;""</f>
        <v>30 cm</v>
      </c>
      <c r="C74" s="68"/>
      <c r="D74" s="68"/>
      <c r="H74" s="68" t="str">
        <f>B74</f>
        <v>30 cm</v>
      </c>
      <c r="I74" s="68"/>
      <c r="J74" s="68"/>
      <c r="K74" s="68"/>
      <c r="L74" s="9"/>
    </row>
    <row r="77" spans="2:11" ht="12.75">
      <c r="B77" s="68" t="s">
        <v>64</v>
      </c>
      <c r="C77" s="68"/>
      <c r="D77" s="68"/>
      <c r="H77" s="68" t="s">
        <v>65</v>
      </c>
      <c r="I77" s="68"/>
      <c r="J77" s="68"/>
      <c r="K77" s="68"/>
    </row>
  </sheetData>
  <mergeCells count="18">
    <mergeCell ref="A4:M4"/>
    <mergeCell ref="G1:M1"/>
    <mergeCell ref="B2:D2"/>
    <mergeCell ref="D59:E59"/>
    <mergeCell ref="I39:K39"/>
    <mergeCell ref="I27:K27"/>
    <mergeCell ref="I36:K36"/>
    <mergeCell ref="I24:K24"/>
    <mergeCell ref="I6:K6"/>
    <mergeCell ref="I54:K54"/>
    <mergeCell ref="I52:K52"/>
    <mergeCell ref="B77:D77"/>
    <mergeCell ref="H77:K77"/>
    <mergeCell ref="B74:D74"/>
    <mergeCell ref="A64:A72"/>
    <mergeCell ref="G64:G72"/>
    <mergeCell ref="H74:K74"/>
    <mergeCell ref="I55:K55"/>
  </mergeCells>
  <dataValidations count="2">
    <dataValidation type="list" allowBlank="1" showInputMessage="1" showErrorMessage="1" sqref="J28 J37 J40 J25 J53">
      <formula1>type</formula1>
    </dataValidation>
    <dataValidation type="list" allowBlank="1" showInputMessage="1" showErrorMessage="1" sqref="K28:L28 K37:L37 K40:L40 K25:L25 K53:L53">
      <formula1>bar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5:D17"/>
  <sheetViews>
    <sheetView workbookViewId="0" topLeftCell="A1">
      <selection activeCell="C30" sqref="C30"/>
    </sheetView>
  </sheetViews>
  <sheetFormatPr defaultColWidth="9.140625" defaultRowHeight="12.75"/>
  <sheetData>
    <row r="5" spans="2:4" ht="12.75">
      <c r="B5" s="18" t="s">
        <v>11</v>
      </c>
      <c r="C5" s="19" t="s">
        <v>12</v>
      </c>
      <c r="D5" s="20" t="s">
        <v>13</v>
      </c>
    </row>
    <row r="6" spans="2:4" ht="12.75">
      <c r="B6" s="18" t="s">
        <v>14</v>
      </c>
      <c r="C6" s="19">
        <v>6</v>
      </c>
      <c r="D6" s="20">
        <v>0.375</v>
      </c>
    </row>
    <row r="7" spans="2:4" ht="12.75">
      <c r="B7" s="18" t="s">
        <v>15</v>
      </c>
      <c r="C7" s="19">
        <v>9</v>
      </c>
      <c r="D7" s="20">
        <v>0.45</v>
      </c>
    </row>
    <row r="8" ht="12.75">
      <c r="C8" s="19">
        <v>10</v>
      </c>
    </row>
    <row r="9" ht="12.75">
      <c r="C9" s="19">
        <v>12</v>
      </c>
    </row>
    <row r="10" ht="12.75">
      <c r="C10" s="19">
        <v>15</v>
      </c>
    </row>
    <row r="11" ht="12.75">
      <c r="C11" s="19">
        <v>16</v>
      </c>
    </row>
    <row r="12" ht="12.75">
      <c r="C12" s="19">
        <v>18</v>
      </c>
    </row>
    <row r="13" ht="12.75">
      <c r="C13" s="19">
        <v>20</v>
      </c>
    </row>
    <row r="14" ht="12.75">
      <c r="C14" s="19">
        <v>25</v>
      </c>
    </row>
    <row r="15" ht="12.75">
      <c r="C15" s="19">
        <v>28</v>
      </c>
    </row>
    <row r="16" ht="12.75">
      <c r="C16" s="19">
        <v>32</v>
      </c>
    </row>
    <row r="17" ht="12.75">
      <c r="C17" s="19">
        <v>40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F7"/>
  <sheetViews>
    <sheetView workbookViewId="0" topLeftCell="A1">
      <selection activeCell="C6" sqref="C6:F6"/>
    </sheetView>
  </sheetViews>
  <sheetFormatPr defaultColWidth="9.140625" defaultRowHeight="12.75"/>
  <sheetData>
    <row r="5" spans="2:6" ht="12.75">
      <c r="B5" s="17" t="s">
        <v>0</v>
      </c>
      <c r="C5" s="80" t="s">
        <v>67</v>
      </c>
      <c r="D5" s="80"/>
      <c r="E5" s="80"/>
      <c r="F5" s="80"/>
    </row>
    <row r="6" spans="2:6" ht="12.75">
      <c r="B6" s="17" t="s">
        <v>1</v>
      </c>
      <c r="C6" s="80" t="s">
        <v>58</v>
      </c>
      <c r="D6" s="80"/>
      <c r="E6" s="80"/>
      <c r="F6" s="80"/>
    </row>
    <row r="7" spans="2:6" ht="12.75">
      <c r="B7" s="17" t="s">
        <v>10</v>
      </c>
      <c r="C7" s="81" t="s">
        <v>59</v>
      </c>
      <c r="D7" s="81"/>
      <c r="E7" s="81"/>
      <c r="F7" s="81"/>
    </row>
  </sheetData>
  <mergeCells count="3">
    <mergeCell ref="C5:F5"/>
    <mergeCell ref="C6:F6"/>
    <mergeCell ref="C7:F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AOY</dc:creator>
  <cp:keywords/>
  <dc:description/>
  <cp:lastModifiedBy>ideapad</cp:lastModifiedBy>
  <cp:lastPrinted>2009-08-07T04:19:45Z</cp:lastPrinted>
  <dcterms:created xsi:type="dcterms:W3CDTF">2008-12-04T08:02:34Z</dcterms:created>
  <dcterms:modified xsi:type="dcterms:W3CDTF">2009-10-11T14:45:39Z</dcterms:modified>
  <cp:category/>
  <cp:version/>
  <cp:contentType/>
  <cp:contentStatus/>
</cp:coreProperties>
</file>