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3" sheetId="2" r:id="rId2"/>
  </sheets>
  <definedNames>
    <definedName name="_xlnm.Print_Area" localSheetId="0">'Sheet1'!$A$1:$K$262</definedName>
  </definedNames>
  <calcPr fullCalcOnLoad="1"/>
</workbook>
</file>

<file path=xl/sharedStrings.xml><?xml version="1.0" encoding="utf-8"?>
<sst xmlns="http://schemas.openxmlformats.org/spreadsheetml/2006/main" count="618" uniqueCount="145">
  <si>
    <t>=</t>
  </si>
  <si>
    <t>ksc.</t>
  </si>
  <si>
    <t>Allowable tensile stress of deformed steel bar</t>
  </si>
  <si>
    <t>Yeild stress of deformed steel bar</t>
  </si>
  <si>
    <t>Yeild stress of round steel bar</t>
  </si>
  <si>
    <t>Allowable tensile stress of round steel bar</t>
  </si>
  <si>
    <t>n</t>
  </si>
  <si>
    <t>For defdeformed bar</t>
  </si>
  <si>
    <t>=      1/(1+fs/nfc)</t>
  </si>
  <si>
    <t>=      1-k/3</t>
  </si>
  <si>
    <t>=      0.5fckj</t>
  </si>
  <si>
    <t>k</t>
  </si>
  <si>
    <t>j</t>
  </si>
  <si>
    <t>R</t>
  </si>
  <si>
    <t>For round bar</t>
  </si>
  <si>
    <t>พระราชบัญญัติควบคุมอาคาร พ.ศ. 2522</t>
  </si>
  <si>
    <t>Project    :</t>
  </si>
  <si>
    <t>Owner         :</t>
  </si>
  <si>
    <t>Building  :</t>
  </si>
  <si>
    <t>Engineer     :</t>
  </si>
  <si>
    <t>Location :</t>
  </si>
  <si>
    <t>Date            :</t>
  </si>
  <si>
    <t>ข้อกำหนดในการออกแบบ</t>
  </si>
  <si>
    <t>(Design Criteria)</t>
  </si>
  <si>
    <t xml:space="preserve">Reference : </t>
  </si>
  <si>
    <t>1.</t>
  </si>
  <si>
    <t>Concrete :</t>
  </si>
  <si>
    <t>Max Compressive Stress of Concrete (28 days cylinder test)</t>
  </si>
  <si>
    <t xml:space="preserve">fc'                </t>
  </si>
  <si>
    <t>Allowable compressive stress of concrete</t>
  </si>
  <si>
    <t>fc             =</t>
  </si>
  <si>
    <t>Allowable flexural shear stress of concrete</t>
  </si>
  <si>
    <r>
      <t>vc</t>
    </r>
    <r>
      <rPr>
        <sz val="12"/>
        <rFont val="AngsanaUPC"/>
        <family val="1"/>
      </rPr>
      <t xml:space="preserve">1          </t>
    </r>
    <r>
      <rPr>
        <sz val="16"/>
        <rFont val="AngsanaUPC"/>
        <family val="1"/>
      </rPr>
      <t>=</t>
    </r>
  </si>
  <si>
    <t>0.29√fc'</t>
  </si>
  <si>
    <t xml:space="preserve">Allowable punching shear stress of concrete </t>
  </si>
  <si>
    <r>
      <t>vc</t>
    </r>
    <r>
      <rPr>
        <sz val="12"/>
        <rFont val="AngsanaUPC"/>
        <family val="1"/>
      </rPr>
      <t xml:space="preserve">2         </t>
    </r>
    <r>
      <rPr>
        <sz val="16"/>
        <rFont val="AngsanaUPC"/>
        <family val="1"/>
      </rPr>
      <t xml:space="preserve"> =</t>
    </r>
  </si>
  <si>
    <t>0.53√fc'</t>
  </si>
  <si>
    <t xml:space="preserve">Allowable  actual shear stress of concrete </t>
  </si>
  <si>
    <r>
      <t>vc</t>
    </r>
    <r>
      <rPr>
        <sz val="12"/>
        <rFont val="AngsanaUPC"/>
        <family val="1"/>
      </rPr>
      <t xml:space="preserve">3          </t>
    </r>
    <r>
      <rPr>
        <sz val="16"/>
        <rFont val="AngsanaUPC"/>
        <family val="1"/>
      </rPr>
      <t>=</t>
    </r>
  </si>
  <si>
    <t>1.32√fc'</t>
  </si>
  <si>
    <t xml:space="preserve">Allowable  total shear stress of concrete </t>
  </si>
  <si>
    <r>
      <t>vc</t>
    </r>
    <r>
      <rPr>
        <sz val="12"/>
        <rFont val="AngsanaUPC"/>
        <family val="1"/>
      </rPr>
      <t xml:space="preserve">4          </t>
    </r>
    <r>
      <rPr>
        <sz val="16"/>
        <rFont val="AngsanaUPC"/>
        <family val="1"/>
      </rPr>
      <t>=</t>
    </r>
  </si>
  <si>
    <t>1.65√fc'</t>
  </si>
  <si>
    <t>Modulus of elasticity</t>
  </si>
  <si>
    <t>Ec           =</t>
  </si>
  <si>
    <t>Steel Reinf. :</t>
  </si>
  <si>
    <t>Es           =</t>
  </si>
  <si>
    <t>fy           =</t>
  </si>
  <si>
    <t>fs           =</t>
  </si>
  <si>
    <r>
      <t xml:space="preserve">0.5fy </t>
    </r>
    <r>
      <rPr>
        <sz val="12"/>
        <rFont val="AngsanaUPC"/>
        <family val="1"/>
      </rPr>
      <t>≤</t>
    </r>
    <r>
      <rPr>
        <sz val="16"/>
        <rFont val="AngsanaUPC"/>
        <family val="1"/>
      </rPr>
      <t xml:space="preserve"> 1,700</t>
    </r>
  </si>
  <si>
    <t>fy          =</t>
  </si>
  <si>
    <t xml:space="preserve"> </t>
  </si>
  <si>
    <t>=      Es/Ec</t>
  </si>
  <si>
    <t>m.</t>
  </si>
  <si>
    <t>H</t>
  </si>
  <si>
    <r>
      <t>kg/m</t>
    </r>
    <r>
      <rPr>
        <vertAlign val="superscript"/>
        <sz val="16"/>
        <rFont val="AngsanaUPC"/>
        <family val="1"/>
      </rPr>
      <t>2</t>
    </r>
  </si>
  <si>
    <t>USE</t>
  </si>
  <si>
    <t>DB 12 mm.</t>
  </si>
  <si>
    <t>d</t>
  </si>
  <si>
    <t>15,100√fc'</t>
  </si>
  <si>
    <t>วิศวกรรมสถานแห่งประเทศไทย (ว.ส.ท.) สำหรับอาคารคอนกรีตเสริมเหล็ก (วิธีหน่วยแรงใช้งาน)</t>
  </si>
  <si>
    <t>American Concrete Institute (ACI 318-99)</t>
  </si>
  <si>
    <t>ความสูงระหว่างชั้น</t>
  </si>
  <si>
    <t>จำนวนขั้น</t>
  </si>
  <si>
    <t>ขั้น</t>
  </si>
  <si>
    <t>ขนาดลูกตั้ง</t>
  </si>
  <si>
    <t>ระยะทางนอน</t>
  </si>
  <si>
    <t>ระยะทางดิ่ง</t>
  </si>
  <si>
    <t>ขนาดลูกนอน</t>
  </si>
  <si>
    <t>ความยาวบันได</t>
  </si>
  <si>
    <t>a</t>
  </si>
  <si>
    <t>มุมเอียงบันได</t>
  </si>
  <si>
    <t>องศา</t>
  </si>
  <si>
    <t>ความหนาบันได</t>
  </si>
  <si>
    <t>ชานพักหนาบันได</t>
  </si>
  <si>
    <t>น้ำหนักตายตัวของบันได</t>
  </si>
  <si>
    <t>น้ำหนักตายตัวของชานพัก</t>
  </si>
  <si>
    <t>ความกว้างของบันไดและชานพัก</t>
  </si>
  <si>
    <t>b</t>
  </si>
  <si>
    <t>b1</t>
  </si>
  <si>
    <t>ระยะห่างระหว่างแนวกึ่งกลางบันได</t>
  </si>
  <si>
    <t>hf</t>
  </si>
  <si>
    <t>hL</t>
  </si>
  <si>
    <t>น้ำหนักต่อหนึ่งหน่วยความยาวบนส่วนที่เป็นขั้นบันได</t>
  </si>
  <si>
    <t>nf</t>
  </si>
  <si>
    <t>nL</t>
  </si>
  <si>
    <t>น้ำหนักต่อหนึ่งหน่วยความยาวบนชานพัก</t>
  </si>
  <si>
    <t>น้ำหนักบรรทุกจร</t>
  </si>
  <si>
    <t>LL</t>
  </si>
  <si>
    <t>กรณีที่ 1 มีน้ำหนักจรทั้งบนบันไดและชานพัก</t>
  </si>
  <si>
    <t>กรณีที่ 2 มีน้ำหนักจรทั้งบนบันไดเท่านั้น</t>
  </si>
  <si>
    <t>กรณีที่ 3 มีน้ำหนักจรบนชานพักเท่านั้น</t>
  </si>
  <si>
    <t>ค่าคงที่</t>
  </si>
  <si>
    <t>K</t>
  </si>
  <si>
    <t>kg/m.</t>
  </si>
  <si>
    <t>แรงในแนวราบที่กึงกลางของชานพัก ตามแนวแกน X</t>
  </si>
  <si>
    <t>โมเมนต์ที่กึ่งกลางชานพัก เวกเตอร์ตามแนวราบหรือแกน X</t>
  </si>
  <si>
    <t>M0</t>
  </si>
  <si>
    <t>Mv</t>
  </si>
  <si>
    <t>Mh</t>
  </si>
  <si>
    <t>T</t>
  </si>
  <si>
    <t>kg/m./m.</t>
  </si>
  <si>
    <t xml:space="preserve">y      =  </t>
  </si>
  <si>
    <t>พิจาราณาช่วง OB ระยะ y  วัดจากจุด O</t>
  </si>
  <si>
    <t>พิจาราณาที่จุด O</t>
  </si>
  <si>
    <t xml:space="preserve">พิจาราณาที่จุด B </t>
  </si>
  <si>
    <t>พิจาราณาช่วง BC ระยะ y  วัดจากจุด O</t>
  </si>
  <si>
    <t>พิจาราณาที่จุด B</t>
  </si>
  <si>
    <t>พิจาราณาที่จุด C</t>
  </si>
  <si>
    <t>พิจาราณาช่วง AB ระยะ x  วัดจากจุด B</t>
  </si>
  <si>
    <t>x</t>
  </si>
  <si>
    <t>พิจาราณาที่จุด D</t>
  </si>
  <si>
    <t>พิจาราณาที่จุด A</t>
  </si>
  <si>
    <t>จุดที่พิจารณา</t>
  </si>
  <si>
    <t>ช่วง OB</t>
  </si>
  <si>
    <t>จุด O</t>
  </si>
  <si>
    <t>จุด B</t>
  </si>
  <si>
    <t>ค่าเฉลี่ยที่ B</t>
  </si>
  <si>
    <t>ช่วง BC</t>
  </si>
  <si>
    <t>จุด C</t>
  </si>
  <si>
    <t>จุด D</t>
  </si>
  <si>
    <t>ช่วง AB</t>
  </si>
  <si>
    <t>จุด A</t>
  </si>
  <si>
    <t>ในชานพักให้ออกแบบให้รับค่าโมเมนต์</t>
  </si>
  <si>
    <t>ออกแบบชานพัก</t>
  </si>
  <si>
    <t>d'</t>
  </si>
  <si>
    <t>Mc</t>
  </si>
  <si>
    <t>kg.-m.</t>
  </si>
  <si>
    <t>Ast</t>
  </si>
  <si>
    <r>
      <t>cm</t>
    </r>
    <r>
      <rPr>
        <vertAlign val="superscript"/>
        <sz val="16"/>
        <rFont val="AngsanaUPC"/>
        <family val="1"/>
      </rPr>
      <t xml:space="preserve">2   </t>
    </r>
    <r>
      <rPr>
        <sz val="16"/>
        <rFont val="AngsanaUPC"/>
        <family val="1"/>
      </rPr>
      <t>/</t>
    </r>
  </si>
  <si>
    <r>
      <t>cm</t>
    </r>
    <r>
      <rPr>
        <vertAlign val="superscript"/>
        <sz val="16"/>
        <rFont val="AngsanaUPC"/>
        <family val="1"/>
      </rPr>
      <t xml:space="preserve">2   </t>
    </r>
  </si>
  <si>
    <t>แต่ละมุมต้องการพื้นที่เหล็ก</t>
  </si>
  <si>
    <t>ผลของ T จะต้องพิจารณาแรงเฉือน</t>
  </si>
  <si>
    <t>vt</t>
  </si>
  <si>
    <t>As</t>
  </si>
  <si>
    <t>ใช้เหล็กปลอก</t>
  </si>
  <si>
    <t>ใช้เหล็กทางยาว</t>
  </si>
  <si>
    <t>ในบันไดให้ออกแบบให้รับค่าโมเมนต์</t>
  </si>
  <si>
    <t>ชานพักกว้าง</t>
  </si>
  <si>
    <t>ออกแบบบันได</t>
  </si>
  <si>
    <t>Design of Free-Standing Stair</t>
  </si>
  <si>
    <t>Made by:</t>
  </si>
  <si>
    <t>R.Jareon</t>
  </si>
  <si>
    <r>
      <t xml:space="preserve">0.375fc' </t>
    </r>
    <r>
      <rPr>
        <sz val="12"/>
        <rFont val="AngsanaUPC"/>
        <family val="1"/>
      </rPr>
      <t>≤</t>
    </r>
    <r>
      <rPr>
        <sz val="16"/>
        <rFont val="AngsanaUPC"/>
        <family val="1"/>
      </rPr>
      <t xml:space="preserve"> 65     </t>
    </r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</si>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</sst>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"/>
    <numFmt numFmtId="188" formatCode="0.000"/>
    <numFmt numFmtId="189" formatCode="[$-409]d\-mmm\-yyyy;@"/>
    <numFmt numFmtId="190" formatCode="0.0000"/>
    <numFmt numFmtId="191" formatCode="0.0000000"/>
    <numFmt numFmtId="192" formatCode="0.000000"/>
    <numFmt numFmtId="193" formatCode="0.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#\ ?/4"/>
    <numFmt numFmtId="198" formatCode="0.00000000"/>
    <numFmt numFmtId="199" formatCode="_-* #,##0.000_-;\-* #,##0.000_-;_-* &quot;-&quot;???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000_-;\-* #,##0.0000_-;_-* &quot;-&quot;??_-;_-@_-"/>
    <numFmt numFmtId="206" formatCode="0.000000000"/>
    <numFmt numFmtId="207" formatCode="0.0000000000"/>
    <numFmt numFmtId="208" formatCode="_-* #,##0.0000_-;\-* #,##0.0000_-;_-* &quot;-&quot;????_-;_-@_-"/>
    <numFmt numFmtId="209" formatCode="[$-41E]d\ mmmm\ yyyy"/>
    <numFmt numFmtId="210" formatCode="_-* #,##0.00000_-;\-* #,##0.00000_-;_-* &quot;-&quot;??_-;_-@_-"/>
    <numFmt numFmtId="211" formatCode="0.00\ &quot;m.&quot;"/>
    <numFmt numFmtId="212" formatCode="_-* #,##0.000000_-;\-* #,##0.000000_-;_-* &quot;-&quot;??_-;_-@_-"/>
    <numFmt numFmtId="213" formatCode="0.00\ &quot; m.&quot;"/>
    <numFmt numFmtId="214" formatCode="&quot;@&quot;\ 0.00\ &quot;m.&quot;"/>
    <numFmt numFmtId="215" formatCode="&quot;@&quot;\ 0.0\ &quot;m.&quot;"/>
    <numFmt numFmtId="216" formatCode="&quot;@&quot;\ 0.000\ &quot;m.&quot;"/>
    <numFmt numFmtId="217" formatCode="&quot;@&quot;\ 0.0000\ &quot;m.&quot;"/>
    <numFmt numFmtId="218" formatCode="&quot;@&quot;\ 0.00000\ &quot;m.&quot;"/>
  </numFmts>
  <fonts count="30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sz val="16"/>
      <color indexed="8"/>
      <name val="AngsanaUPC"/>
      <family val="1"/>
    </font>
    <font>
      <sz val="16"/>
      <color indexed="14"/>
      <name val="AngsanaUPC"/>
      <family val="1"/>
    </font>
    <font>
      <b/>
      <sz val="16"/>
      <name val="AngsanaUPC"/>
      <family val="1"/>
    </font>
    <font>
      <i/>
      <sz val="16"/>
      <color indexed="8"/>
      <name val="AngsanaUPC"/>
      <family val="1"/>
    </font>
    <font>
      <sz val="16"/>
      <color indexed="12"/>
      <name val="AngsanaUPC"/>
      <family val="1"/>
    </font>
    <font>
      <sz val="18"/>
      <name val="AngsanaUPC"/>
      <family val="1"/>
    </font>
    <font>
      <b/>
      <sz val="18"/>
      <color indexed="16"/>
      <name val="AngsanaUPC"/>
      <family val="1"/>
    </font>
    <font>
      <b/>
      <sz val="18"/>
      <name val="AngsanaUPC"/>
      <family val="1"/>
    </font>
    <font>
      <b/>
      <i/>
      <sz val="18"/>
      <name val="AngsanaUPC"/>
      <family val="1"/>
    </font>
    <font>
      <sz val="16"/>
      <color indexed="16"/>
      <name val="AngsanaUPC"/>
      <family val="1"/>
    </font>
    <font>
      <sz val="10"/>
      <name val="AngsanaUPC"/>
      <family val="1"/>
    </font>
    <font>
      <sz val="16"/>
      <color indexed="40"/>
      <name val="AngsanaUPC"/>
      <family val="1"/>
    </font>
    <font>
      <sz val="12"/>
      <name val="AngsanaUPC"/>
      <family val="1"/>
    </font>
    <font>
      <vertAlign val="superscript"/>
      <sz val="16"/>
      <name val="AngsanaUPC"/>
      <family val="1"/>
    </font>
    <font>
      <b/>
      <i/>
      <u val="single"/>
      <sz val="20"/>
      <name val="AngsanaUPC"/>
      <family val="1"/>
    </font>
    <font>
      <sz val="10"/>
      <name val="AIGDT"/>
      <family val="0"/>
    </font>
    <font>
      <b/>
      <sz val="16"/>
      <color indexed="60"/>
      <name val="AngsanaUPC"/>
      <family val="1"/>
    </font>
    <font>
      <b/>
      <sz val="16"/>
      <color indexed="10"/>
      <name val="AngsanaUPC"/>
      <family val="1"/>
    </font>
    <font>
      <b/>
      <sz val="16"/>
      <color indexed="12"/>
      <name val="AngsanaUPC"/>
      <family val="1"/>
    </font>
    <font>
      <b/>
      <sz val="16"/>
      <color indexed="14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b/>
      <sz val="10"/>
      <name val="Times New Roman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2" borderId="0" xfId="0" applyFont="1" applyFill="1" applyAlignment="1" applyProtection="1">
      <alignment/>
      <protection locked="0"/>
    </xf>
    <xf numFmtId="15" fontId="8" fillId="2" borderId="0" xfId="0" applyNumberFormat="1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 locked="0"/>
    </xf>
    <xf numFmtId="196" fontId="8" fillId="2" borderId="0" xfId="15" applyNumberFormat="1" applyFont="1" applyFill="1" applyBorder="1" applyAlignment="1" applyProtection="1">
      <alignment horizontal="center"/>
      <protection locked="0"/>
    </xf>
    <xf numFmtId="43" fontId="8" fillId="2" borderId="0" xfId="15" applyFont="1" applyFill="1" applyAlignment="1" applyProtection="1">
      <alignment horizontal="center"/>
      <protection locked="0"/>
    </xf>
    <xf numFmtId="216" fontId="2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 locked="0"/>
    </xf>
    <xf numFmtId="0" fontId="2" fillId="2" borderId="0" xfId="0" applyFont="1" applyFill="1" applyAlignment="1" applyProtection="1" quotePrefix="1">
      <alignment horizontal="left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3" fontId="15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Alignment="1" applyProtection="1">
      <alignment horizontal="center"/>
      <protection hidden="1"/>
    </xf>
    <xf numFmtId="43" fontId="2" fillId="2" borderId="0" xfId="15" applyFont="1" applyFill="1" applyAlignment="1" applyProtection="1">
      <alignment horizontal="center"/>
      <protection hidden="1"/>
    </xf>
    <xf numFmtId="196" fontId="2" fillId="2" borderId="0" xfId="15" applyNumberFormat="1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centerContinuous"/>
      <protection hidden="1"/>
    </xf>
    <xf numFmtId="196" fontId="2" fillId="2" borderId="0" xfId="15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 quotePrefix="1">
      <alignment/>
      <protection hidden="1"/>
    </xf>
    <xf numFmtId="43" fontId="2" fillId="2" borderId="0" xfId="15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 quotePrefix="1">
      <alignment horizontal="left"/>
      <protection hidden="1"/>
    </xf>
    <xf numFmtId="0" fontId="3" fillId="2" borderId="0" xfId="0" applyFont="1" applyFill="1" applyBorder="1" applyAlignment="1" applyProtection="1" quotePrefix="1">
      <alignment horizontal="center" vertical="center"/>
      <protection hidden="1"/>
    </xf>
    <xf numFmtId="194" fontId="2" fillId="2" borderId="0" xfId="0" applyNumberFormat="1" applyFont="1" applyFill="1" applyBorder="1" applyAlignment="1" applyProtection="1">
      <alignment horizontal="center"/>
      <protection hidden="1"/>
    </xf>
    <xf numFmtId="194" fontId="2" fillId="2" borderId="0" xfId="15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 quotePrefix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194" fontId="2" fillId="2" borderId="0" xfId="15" applyNumberFormat="1" applyFont="1" applyFill="1" applyAlignment="1" applyProtection="1">
      <alignment horizontal="center"/>
      <protection hidden="1"/>
    </xf>
    <xf numFmtId="43" fontId="2" fillId="2" borderId="0" xfId="0" applyNumberFormat="1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Alignment="1" applyProtection="1">
      <alignment/>
      <protection hidden="1"/>
    </xf>
    <xf numFmtId="43" fontId="2" fillId="2" borderId="0" xfId="0" applyNumberFormat="1" applyFont="1" applyFill="1" applyAlignment="1" applyProtection="1">
      <alignment/>
      <protection hidden="1"/>
    </xf>
    <xf numFmtId="211" fontId="2" fillId="2" borderId="0" xfId="0" applyNumberFormat="1" applyFont="1" applyFill="1" applyAlignment="1" applyProtection="1">
      <alignment horizontal="center"/>
      <protection hidden="1"/>
    </xf>
    <xf numFmtId="212" fontId="2" fillId="2" borderId="0" xfId="0" applyNumberFormat="1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43" fontId="2" fillId="2" borderId="1" xfId="0" applyNumberFormat="1" applyFont="1" applyFill="1" applyBorder="1" applyAlignment="1" applyProtection="1">
      <alignment/>
      <protection hidden="1"/>
    </xf>
    <xf numFmtId="43" fontId="6" fillId="2" borderId="1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/>
    </xf>
    <xf numFmtId="43" fontId="23" fillId="2" borderId="0" xfId="15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213" fontId="2" fillId="2" borderId="0" xfId="0" applyNumberFormat="1" applyFont="1" applyFill="1" applyAlignment="1" applyProtection="1">
      <alignment horizontal="center"/>
      <protection hidden="1"/>
    </xf>
    <xf numFmtId="43" fontId="23" fillId="2" borderId="0" xfId="0" applyNumberFormat="1" applyFont="1" applyFill="1" applyAlignment="1" applyProtection="1">
      <alignment horizontal="center"/>
      <protection hidden="1"/>
    </xf>
    <xf numFmtId="43" fontId="5" fillId="2" borderId="0" xfId="0" applyNumberFormat="1" applyFont="1" applyFill="1" applyAlignment="1" applyProtection="1">
      <alignment horizontal="center"/>
      <protection hidden="1"/>
    </xf>
    <xf numFmtId="214" fontId="6" fillId="2" borderId="0" xfId="0" applyNumberFormat="1" applyFont="1" applyFill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center"/>
      <protection hidden="1" locked="0"/>
    </xf>
    <xf numFmtId="214" fontId="22" fillId="2" borderId="0" xfId="0" applyNumberFormat="1" applyFont="1" applyFill="1" applyAlignment="1" applyProtection="1">
      <alignment horizontal="left"/>
      <protection hidden="1"/>
    </xf>
    <xf numFmtId="0" fontId="26" fillId="3" borderId="0" xfId="19" applyFont="1" applyFill="1" applyAlignment="1" applyProtection="1">
      <alignment horizontal="right" vertical="center"/>
      <protection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 applyProtection="1">
      <alignment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0" fontId="28" fillId="3" borderId="0" xfId="19" applyFont="1" applyFill="1" applyAlignment="1" applyProtection="1">
      <alignment horizontal="left" vertical="center"/>
      <protection/>
    </xf>
    <xf numFmtId="43" fontId="2" fillId="2" borderId="2" xfId="0" applyNumberFormat="1" applyFont="1" applyFill="1" applyBorder="1" applyAlignment="1" applyProtection="1">
      <alignment horizontal="center"/>
      <protection hidden="1"/>
    </xf>
    <xf numFmtId="43" fontId="2" fillId="2" borderId="4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43" fontId="2" fillId="2" borderId="1" xfId="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C-SLA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15</xdr:row>
      <xdr:rowOff>57150</xdr:rowOff>
    </xdr:from>
    <xdr:to>
      <xdr:col>7</xdr:col>
      <xdr:colOff>552450</xdr:colOff>
      <xdr:row>15</xdr:row>
      <xdr:rowOff>57150</xdr:rowOff>
    </xdr:to>
    <xdr:sp>
      <xdr:nvSpPr>
        <xdr:cNvPr id="1" name="Line 12"/>
        <xdr:cNvSpPr>
          <a:spLocks/>
        </xdr:cNvSpPr>
      </xdr:nvSpPr>
      <xdr:spPr>
        <a:xfrm>
          <a:off x="5629275" y="4772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13</xdr:row>
      <xdr:rowOff>57150</xdr:rowOff>
    </xdr:from>
    <xdr:to>
      <xdr:col>7</xdr:col>
      <xdr:colOff>552450</xdr:colOff>
      <xdr:row>13</xdr:row>
      <xdr:rowOff>57150</xdr:rowOff>
    </xdr:to>
    <xdr:sp>
      <xdr:nvSpPr>
        <xdr:cNvPr id="2" name="Line 13"/>
        <xdr:cNvSpPr>
          <a:spLocks/>
        </xdr:cNvSpPr>
      </xdr:nvSpPr>
      <xdr:spPr>
        <a:xfrm>
          <a:off x="5629275" y="4143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14</xdr:row>
      <xdr:rowOff>57150</xdr:rowOff>
    </xdr:from>
    <xdr:to>
      <xdr:col>7</xdr:col>
      <xdr:colOff>552450</xdr:colOff>
      <xdr:row>14</xdr:row>
      <xdr:rowOff>57150</xdr:rowOff>
    </xdr:to>
    <xdr:sp>
      <xdr:nvSpPr>
        <xdr:cNvPr id="3" name="Line 14"/>
        <xdr:cNvSpPr>
          <a:spLocks/>
        </xdr:cNvSpPr>
      </xdr:nvSpPr>
      <xdr:spPr>
        <a:xfrm>
          <a:off x="5629275" y="4457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16</xdr:row>
      <xdr:rowOff>57150</xdr:rowOff>
    </xdr:from>
    <xdr:to>
      <xdr:col>7</xdr:col>
      <xdr:colOff>685800</xdr:colOff>
      <xdr:row>16</xdr:row>
      <xdr:rowOff>57150</xdr:rowOff>
    </xdr:to>
    <xdr:sp>
      <xdr:nvSpPr>
        <xdr:cNvPr id="4" name="Line 15"/>
        <xdr:cNvSpPr>
          <a:spLocks/>
        </xdr:cNvSpPr>
      </xdr:nvSpPr>
      <xdr:spPr>
        <a:xfrm>
          <a:off x="5762625" y="5086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0</xdr:rowOff>
    </xdr:from>
    <xdr:to>
      <xdr:col>2</xdr:col>
      <xdr:colOff>609600</xdr:colOff>
      <xdr:row>23</xdr:row>
      <xdr:rowOff>0</xdr:rowOff>
    </xdr:to>
    <xdr:sp>
      <xdr:nvSpPr>
        <xdr:cNvPr id="5" name="Line 16"/>
        <xdr:cNvSpPr>
          <a:spLocks/>
        </xdr:cNvSpPr>
      </xdr:nvSpPr>
      <xdr:spPr>
        <a:xfrm>
          <a:off x="15906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13</xdr:row>
      <xdr:rowOff>57150</xdr:rowOff>
    </xdr:from>
    <xdr:to>
      <xdr:col>7</xdr:col>
      <xdr:colOff>542925</xdr:colOff>
      <xdr:row>13</xdr:row>
      <xdr:rowOff>57150</xdr:rowOff>
    </xdr:to>
    <xdr:sp>
      <xdr:nvSpPr>
        <xdr:cNvPr id="6" name="Line 19"/>
        <xdr:cNvSpPr>
          <a:spLocks/>
        </xdr:cNvSpPr>
      </xdr:nvSpPr>
      <xdr:spPr>
        <a:xfrm>
          <a:off x="5619750" y="4143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57150</xdr:rowOff>
    </xdr:from>
    <xdr:to>
      <xdr:col>7</xdr:col>
      <xdr:colOff>552450</xdr:colOff>
      <xdr:row>16</xdr:row>
      <xdr:rowOff>57150</xdr:rowOff>
    </xdr:to>
    <xdr:sp>
      <xdr:nvSpPr>
        <xdr:cNvPr id="7" name="Line 20"/>
        <xdr:cNvSpPr>
          <a:spLocks/>
        </xdr:cNvSpPr>
      </xdr:nvSpPr>
      <xdr:spPr>
        <a:xfrm>
          <a:off x="5629275" y="5086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14</xdr:row>
      <xdr:rowOff>57150</xdr:rowOff>
    </xdr:from>
    <xdr:to>
      <xdr:col>7</xdr:col>
      <xdr:colOff>552450</xdr:colOff>
      <xdr:row>14</xdr:row>
      <xdr:rowOff>57150</xdr:rowOff>
    </xdr:to>
    <xdr:sp>
      <xdr:nvSpPr>
        <xdr:cNvPr id="8" name="Line 21"/>
        <xdr:cNvSpPr>
          <a:spLocks/>
        </xdr:cNvSpPr>
      </xdr:nvSpPr>
      <xdr:spPr>
        <a:xfrm>
          <a:off x="5629275" y="4457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552450</xdr:colOff>
      <xdr:row>15</xdr:row>
      <xdr:rowOff>57150</xdr:rowOff>
    </xdr:to>
    <xdr:sp>
      <xdr:nvSpPr>
        <xdr:cNvPr id="9" name="Line 22"/>
        <xdr:cNvSpPr>
          <a:spLocks/>
        </xdr:cNvSpPr>
      </xdr:nvSpPr>
      <xdr:spPr>
        <a:xfrm>
          <a:off x="5629275" y="4772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17</xdr:row>
      <xdr:rowOff>57150</xdr:rowOff>
    </xdr:from>
    <xdr:to>
      <xdr:col>7</xdr:col>
      <xdr:colOff>685800</xdr:colOff>
      <xdr:row>17</xdr:row>
      <xdr:rowOff>57150</xdr:rowOff>
    </xdr:to>
    <xdr:sp>
      <xdr:nvSpPr>
        <xdr:cNvPr id="10" name="Line 23"/>
        <xdr:cNvSpPr>
          <a:spLocks/>
        </xdr:cNvSpPr>
      </xdr:nvSpPr>
      <xdr:spPr>
        <a:xfrm>
          <a:off x="5762625" y="5400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609600</xdr:colOff>
      <xdr:row>24</xdr:row>
      <xdr:rowOff>0</xdr:rowOff>
    </xdr:to>
    <xdr:sp>
      <xdr:nvSpPr>
        <xdr:cNvPr id="11" name="Line 24"/>
        <xdr:cNvSpPr>
          <a:spLocks/>
        </xdr:cNvSpPr>
      </xdr:nvSpPr>
      <xdr:spPr>
        <a:xfrm>
          <a:off x="15906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49</xdr:row>
      <xdr:rowOff>104775</xdr:rowOff>
    </xdr:from>
    <xdr:to>
      <xdr:col>9</xdr:col>
      <xdr:colOff>381000</xdr:colOff>
      <xdr:row>68</xdr:row>
      <xdr:rowOff>104775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97150"/>
          <a:ext cx="586740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249</xdr:row>
      <xdr:rowOff>0</xdr:rowOff>
    </xdr:from>
    <xdr:to>
      <xdr:col>9</xdr:col>
      <xdr:colOff>1123950</xdr:colOff>
      <xdr:row>260</xdr:row>
      <xdr:rowOff>200025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8510825"/>
          <a:ext cx="69342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248</xdr:row>
      <xdr:rowOff>200025</xdr:rowOff>
    </xdr:from>
    <xdr:to>
      <xdr:col>9</xdr:col>
      <xdr:colOff>352425</xdr:colOff>
      <xdr:row>249</xdr:row>
      <xdr:rowOff>142875</xdr:rowOff>
    </xdr:to>
    <xdr:sp textlink="$H$207">
      <xdr:nvSpPr>
        <xdr:cNvPr id="14" name="Rectangle 109"/>
        <xdr:cNvSpPr>
          <a:spLocks/>
        </xdr:cNvSpPr>
      </xdr:nvSpPr>
      <xdr:spPr>
        <a:xfrm>
          <a:off x="6457950" y="48396525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 1.10 </a:t>
          </a:r>
        </a:p>
      </xdr:txBody>
    </xdr:sp>
    <xdr:clientData/>
  </xdr:twoCellAnchor>
  <xdr:twoCellAnchor>
    <xdr:from>
      <xdr:col>9</xdr:col>
      <xdr:colOff>9525</xdr:colOff>
      <xdr:row>255</xdr:row>
      <xdr:rowOff>142875</xdr:rowOff>
    </xdr:from>
    <xdr:to>
      <xdr:col>9</xdr:col>
      <xdr:colOff>371475</xdr:colOff>
      <xdr:row>256</xdr:row>
      <xdr:rowOff>85725</xdr:rowOff>
    </xdr:to>
    <xdr:sp textlink="$H$207">
      <xdr:nvSpPr>
        <xdr:cNvPr id="15" name="Rectangle 110"/>
        <xdr:cNvSpPr>
          <a:spLocks/>
        </xdr:cNvSpPr>
      </xdr:nvSpPr>
      <xdr:spPr>
        <a:xfrm>
          <a:off x="6477000" y="505396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 1.10 </a:t>
          </a:r>
        </a:p>
      </xdr:txBody>
    </xdr:sp>
    <xdr:clientData/>
  </xdr:twoCellAnchor>
  <xdr:twoCellAnchor>
    <xdr:from>
      <xdr:col>7</xdr:col>
      <xdr:colOff>142875</xdr:colOff>
      <xdr:row>250</xdr:row>
      <xdr:rowOff>114300</xdr:rowOff>
    </xdr:from>
    <xdr:to>
      <xdr:col>7</xdr:col>
      <xdr:colOff>504825</xdr:colOff>
      <xdr:row>251</xdr:row>
      <xdr:rowOff>57150</xdr:rowOff>
    </xdr:to>
    <xdr:sp textlink="$J$36">
      <xdr:nvSpPr>
        <xdr:cNvPr id="16" name="Rectangle 112"/>
        <xdr:cNvSpPr>
          <a:spLocks/>
        </xdr:cNvSpPr>
      </xdr:nvSpPr>
      <xdr:spPr>
        <a:xfrm>
          <a:off x="5400675" y="489394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 0.15 </a:t>
          </a:r>
        </a:p>
      </xdr:txBody>
    </xdr:sp>
    <xdr:clientData/>
  </xdr:twoCellAnchor>
  <xdr:twoCellAnchor>
    <xdr:from>
      <xdr:col>9</xdr:col>
      <xdr:colOff>257175</xdr:colOff>
      <xdr:row>256</xdr:row>
      <xdr:rowOff>0</xdr:rowOff>
    </xdr:from>
    <xdr:to>
      <xdr:col>10</xdr:col>
      <xdr:colOff>400050</xdr:colOff>
      <xdr:row>257</xdr:row>
      <xdr:rowOff>66675</xdr:rowOff>
    </xdr:to>
    <xdr:grpSp>
      <xdr:nvGrpSpPr>
        <xdr:cNvPr id="17" name="Group 174"/>
        <xdr:cNvGrpSpPr>
          <a:grpSpLocks/>
        </xdr:cNvGrpSpPr>
      </xdr:nvGrpSpPr>
      <xdr:grpSpPr>
        <a:xfrm>
          <a:off x="6724650" y="50711100"/>
          <a:ext cx="1314450" cy="381000"/>
          <a:chOff x="969" y="5161"/>
          <a:chExt cx="138" cy="40"/>
        </a:xfrm>
        <a:solidFill>
          <a:srgbClr val="FFFFFF"/>
        </a:solidFill>
      </xdr:grpSpPr>
      <xdr:grpSp>
        <xdr:nvGrpSpPr>
          <xdr:cNvPr id="18" name="Group 114"/>
          <xdr:cNvGrpSpPr>
            <a:grpSpLocks/>
          </xdr:cNvGrpSpPr>
        </xdr:nvGrpSpPr>
        <xdr:grpSpPr>
          <a:xfrm>
            <a:off x="969" y="5174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5">
          <xdr:nvSpPr>
            <xdr:cNvPr id="19" name="Rectangle 111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0.090 m.</a:t>
              </a:r>
            </a:p>
          </xdr:txBody>
        </xdr:sp>
        <xdr:sp textlink="$E$244">
          <xdr:nvSpPr>
            <xdr:cNvPr id="20" name="Rectangle 113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21" name="Group 115"/>
          <xdr:cNvGrpSpPr>
            <a:grpSpLocks/>
          </xdr:cNvGrpSpPr>
        </xdr:nvGrpSpPr>
        <xdr:grpSpPr>
          <a:xfrm>
            <a:off x="969" y="5161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7">
          <xdr:nvSpPr>
            <xdr:cNvPr id="22" name="Rectangle 116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46">
          <xdr:nvSpPr>
            <xdr:cNvPr id="23" name="Rectangle 117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9</xdr:col>
      <xdr:colOff>257175</xdr:colOff>
      <xdr:row>258</xdr:row>
      <xdr:rowOff>114300</xdr:rowOff>
    </xdr:from>
    <xdr:to>
      <xdr:col>10</xdr:col>
      <xdr:colOff>400050</xdr:colOff>
      <xdr:row>259</xdr:row>
      <xdr:rowOff>238125</xdr:rowOff>
    </xdr:to>
    <xdr:grpSp>
      <xdr:nvGrpSpPr>
        <xdr:cNvPr id="24" name="Group 119"/>
        <xdr:cNvGrpSpPr>
          <a:grpSpLocks/>
        </xdr:cNvGrpSpPr>
      </xdr:nvGrpSpPr>
      <xdr:grpSpPr>
        <a:xfrm>
          <a:off x="6724650" y="51454050"/>
          <a:ext cx="1314450" cy="438150"/>
          <a:chOff x="971" y="5161"/>
          <a:chExt cx="138" cy="46"/>
        </a:xfrm>
        <a:solidFill>
          <a:srgbClr val="FFFFFF"/>
        </a:solidFill>
      </xdr:grpSpPr>
      <xdr:grpSp>
        <xdr:nvGrpSpPr>
          <xdr:cNvPr id="25" name="Group 120"/>
          <xdr:cNvGrpSpPr>
            <a:grpSpLocks/>
          </xdr:cNvGrpSpPr>
        </xdr:nvGrpSpPr>
        <xdr:grpSpPr>
          <a:xfrm>
            <a:off x="971" y="5161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5">
          <xdr:nvSpPr>
            <xdr:cNvPr id="26" name="Rectangle 121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0.090 m.</a:t>
              </a:r>
            </a:p>
          </xdr:txBody>
        </xdr:sp>
        <xdr:sp textlink="$E$244">
          <xdr:nvSpPr>
            <xdr:cNvPr id="27" name="Rectangle 122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28" name="Group 123"/>
          <xdr:cNvGrpSpPr>
            <a:grpSpLocks/>
          </xdr:cNvGrpSpPr>
        </xdr:nvGrpSpPr>
        <xdr:grpSpPr>
          <a:xfrm>
            <a:off x="971" y="5180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7">
          <xdr:nvSpPr>
            <xdr:cNvPr id="29" name="Rectangle 124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46">
          <xdr:nvSpPr>
            <xdr:cNvPr id="30" name="Rectangle 125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9</xdr:col>
      <xdr:colOff>257175</xdr:colOff>
      <xdr:row>249</xdr:row>
      <xdr:rowOff>57150</xdr:rowOff>
    </xdr:from>
    <xdr:to>
      <xdr:col>10</xdr:col>
      <xdr:colOff>400050</xdr:colOff>
      <xdr:row>250</xdr:row>
      <xdr:rowOff>142875</xdr:rowOff>
    </xdr:to>
    <xdr:grpSp>
      <xdr:nvGrpSpPr>
        <xdr:cNvPr id="31" name="Group 175"/>
        <xdr:cNvGrpSpPr>
          <a:grpSpLocks/>
        </xdr:cNvGrpSpPr>
      </xdr:nvGrpSpPr>
      <xdr:grpSpPr>
        <a:xfrm>
          <a:off x="6724650" y="48567975"/>
          <a:ext cx="1314450" cy="400050"/>
          <a:chOff x="995" y="5326"/>
          <a:chExt cx="138" cy="42"/>
        </a:xfrm>
        <a:solidFill>
          <a:srgbClr val="FFFFFF"/>
        </a:solidFill>
      </xdr:grpSpPr>
      <xdr:grpSp>
        <xdr:nvGrpSpPr>
          <xdr:cNvPr id="32" name="Group 127"/>
          <xdr:cNvGrpSpPr>
            <a:grpSpLocks/>
          </xdr:cNvGrpSpPr>
        </xdr:nvGrpSpPr>
        <xdr:grpSpPr>
          <a:xfrm>
            <a:off x="995" y="5341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4">
          <xdr:nvSpPr>
            <xdr:cNvPr id="33" name="Rectangle 128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0.100 m.</a:t>
              </a:r>
            </a:p>
          </xdr:txBody>
        </xdr:sp>
        <xdr:sp textlink="$E$223">
          <xdr:nvSpPr>
            <xdr:cNvPr id="34" name="Rectangle 129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35" name="Group 130"/>
          <xdr:cNvGrpSpPr>
            <a:grpSpLocks/>
          </xdr:cNvGrpSpPr>
        </xdr:nvGrpSpPr>
        <xdr:grpSpPr>
          <a:xfrm>
            <a:off x="995" y="5326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6">
          <xdr:nvSpPr>
            <xdr:cNvPr id="36" name="Rectangle 131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25">
          <xdr:nvSpPr>
            <xdr:cNvPr id="37" name="Rectangle 132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9</xdr:col>
      <xdr:colOff>257175</xdr:colOff>
      <xdr:row>251</xdr:row>
      <xdr:rowOff>247650</xdr:rowOff>
    </xdr:from>
    <xdr:to>
      <xdr:col>10</xdr:col>
      <xdr:colOff>400050</xdr:colOff>
      <xdr:row>253</xdr:row>
      <xdr:rowOff>38100</xdr:rowOff>
    </xdr:to>
    <xdr:grpSp>
      <xdr:nvGrpSpPr>
        <xdr:cNvPr id="38" name="Group 134"/>
        <xdr:cNvGrpSpPr>
          <a:grpSpLocks/>
        </xdr:cNvGrpSpPr>
      </xdr:nvGrpSpPr>
      <xdr:grpSpPr>
        <a:xfrm>
          <a:off x="6724650" y="49387125"/>
          <a:ext cx="1314450" cy="419100"/>
          <a:chOff x="902" y="4305"/>
          <a:chExt cx="138" cy="44"/>
        </a:xfrm>
        <a:solidFill>
          <a:srgbClr val="FFFFFF"/>
        </a:solidFill>
      </xdr:grpSpPr>
      <xdr:grpSp>
        <xdr:nvGrpSpPr>
          <xdr:cNvPr id="39" name="Group 135"/>
          <xdr:cNvGrpSpPr>
            <a:grpSpLocks/>
          </xdr:cNvGrpSpPr>
        </xdr:nvGrpSpPr>
        <xdr:grpSpPr>
          <a:xfrm>
            <a:off x="902" y="4305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4">
          <xdr:nvSpPr>
            <xdr:cNvPr id="40" name="Rectangle 136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0.100 m.</a:t>
              </a:r>
            </a:p>
          </xdr:txBody>
        </xdr:sp>
        <xdr:sp textlink="$E$223">
          <xdr:nvSpPr>
            <xdr:cNvPr id="41" name="Rectangle 137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42" name="Group 138"/>
          <xdr:cNvGrpSpPr>
            <a:grpSpLocks/>
          </xdr:cNvGrpSpPr>
        </xdr:nvGrpSpPr>
        <xdr:grpSpPr>
          <a:xfrm>
            <a:off x="902" y="4322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6">
          <xdr:nvSpPr>
            <xdr:cNvPr id="43" name="Rectangle 139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25">
          <xdr:nvSpPr>
            <xdr:cNvPr id="44" name="Rectangle 140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3</xdr:col>
      <xdr:colOff>1047750</xdr:colOff>
      <xdr:row>256</xdr:row>
      <xdr:rowOff>161925</xdr:rowOff>
    </xdr:from>
    <xdr:to>
      <xdr:col>5</xdr:col>
      <xdr:colOff>609600</xdr:colOff>
      <xdr:row>257</xdr:row>
      <xdr:rowOff>228600</xdr:rowOff>
    </xdr:to>
    <xdr:grpSp>
      <xdr:nvGrpSpPr>
        <xdr:cNvPr id="45" name="Group 176"/>
        <xdr:cNvGrpSpPr>
          <a:grpSpLocks/>
        </xdr:cNvGrpSpPr>
      </xdr:nvGrpSpPr>
      <xdr:grpSpPr>
        <a:xfrm>
          <a:off x="2762250" y="50873025"/>
          <a:ext cx="1314450" cy="381000"/>
          <a:chOff x="943" y="5353"/>
          <a:chExt cx="138" cy="40"/>
        </a:xfrm>
        <a:solidFill>
          <a:srgbClr val="FFFFFF"/>
        </a:solidFill>
      </xdr:grpSpPr>
      <xdr:grpSp>
        <xdr:nvGrpSpPr>
          <xdr:cNvPr id="46" name="Group 142"/>
          <xdr:cNvGrpSpPr>
            <a:grpSpLocks/>
          </xdr:cNvGrpSpPr>
        </xdr:nvGrpSpPr>
        <xdr:grpSpPr>
          <a:xfrm>
            <a:off x="943" y="5366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5">
          <xdr:nvSpPr>
            <xdr:cNvPr id="47" name="Rectangle 143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0.090 m.</a:t>
              </a:r>
            </a:p>
          </xdr:txBody>
        </xdr:sp>
        <xdr:sp textlink="$E$244">
          <xdr:nvSpPr>
            <xdr:cNvPr id="48" name="Rectangle 144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49" name="Group 145"/>
          <xdr:cNvGrpSpPr>
            <a:grpSpLocks/>
          </xdr:cNvGrpSpPr>
        </xdr:nvGrpSpPr>
        <xdr:grpSpPr>
          <a:xfrm>
            <a:off x="943" y="5353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7">
          <xdr:nvSpPr>
            <xdr:cNvPr id="50" name="Rectangle 146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46">
          <xdr:nvSpPr>
            <xdr:cNvPr id="51" name="Rectangle 147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2</xdr:col>
      <xdr:colOff>476250</xdr:colOff>
      <xdr:row>254</xdr:row>
      <xdr:rowOff>123825</xdr:rowOff>
    </xdr:from>
    <xdr:to>
      <xdr:col>3</xdr:col>
      <xdr:colOff>1047750</xdr:colOff>
      <xdr:row>255</xdr:row>
      <xdr:rowOff>247650</xdr:rowOff>
    </xdr:to>
    <xdr:grpSp>
      <xdr:nvGrpSpPr>
        <xdr:cNvPr id="52" name="Group 148"/>
        <xdr:cNvGrpSpPr>
          <a:grpSpLocks/>
        </xdr:cNvGrpSpPr>
      </xdr:nvGrpSpPr>
      <xdr:grpSpPr>
        <a:xfrm>
          <a:off x="1447800" y="50206275"/>
          <a:ext cx="1314450" cy="438150"/>
          <a:chOff x="971" y="5161"/>
          <a:chExt cx="138" cy="46"/>
        </a:xfrm>
        <a:solidFill>
          <a:srgbClr val="FFFFFF"/>
        </a:solidFill>
      </xdr:grpSpPr>
      <xdr:grpSp>
        <xdr:nvGrpSpPr>
          <xdr:cNvPr id="53" name="Group 149"/>
          <xdr:cNvGrpSpPr>
            <a:grpSpLocks/>
          </xdr:cNvGrpSpPr>
        </xdr:nvGrpSpPr>
        <xdr:grpSpPr>
          <a:xfrm>
            <a:off x="971" y="5161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5">
          <xdr:nvSpPr>
            <xdr:cNvPr id="54" name="Rectangle 150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0.090 m.</a:t>
              </a:r>
            </a:p>
          </xdr:txBody>
        </xdr:sp>
        <xdr:sp textlink="$E$244">
          <xdr:nvSpPr>
            <xdr:cNvPr id="55" name="Rectangle 151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56" name="Group 152"/>
          <xdr:cNvGrpSpPr>
            <a:grpSpLocks/>
          </xdr:cNvGrpSpPr>
        </xdr:nvGrpSpPr>
        <xdr:grpSpPr>
          <a:xfrm>
            <a:off x="971" y="5180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47">
          <xdr:nvSpPr>
            <xdr:cNvPr id="57" name="Rectangle 153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46">
          <xdr:nvSpPr>
            <xdr:cNvPr id="58" name="Rectangle 154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6</xdr:col>
      <xdr:colOff>285750</xdr:colOff>
      <xdr:row>252</xdr:row>
      <xdr:rowOff>66675</xdr:rowOff>
    </xdr:from>
    <xdr:to>
      <xdr:col>7</xdr:col>
      <xdr:colOff>733425</xdr:colOff>
      <xdr:row>253</xdr:row>
      <xdr:rowOff>171450</xdr:rowOff>
    </xdr:to>
    <xdr:grpSp>
      <xdr:nvGrpSpPr>
        <xdr:cNvPr id="59" name="Group 155"/>
        <xdr:cNvGrpSpPr>
          <a:grpSpLocks/>
        </xdr:cNvGrpSpPr>
      </xdr:nvGrpSpPr>
      <xdr:grpSpPr>
        <a:xfrm>
          <a:off x="4676775" y="49520475"/>
          <a:ext cx="1314450" cy="419100"/>
          <a:chOff x="902" y="4305"/>
          <a:chExt cx="138" cy="44"/>
        </a:xfrm>
        <a:solidFill>
          <a:srgbClr val="FFFFFF"/>
        </a:solidFill>
      </xdr:grpSpPr>
      <xdr:grpSp>
        <xdr:nvGrpSpPr>
          <xdr:cNvPr id="60" name="Group 156"/>
          <xdr:cNvGrpSpPr>
            <a:grpSpLocks/>
          </xdr:cNvGrpSpPr>
        </xdr:nvGrpSpPr>
        <xdr:grpSpPr>
          <a:xfrm>
            <a:off x="902" y="4305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4">
          <xdr:nvSpPr>
            <xdr:cNvPr id="61" name="Rectangle 157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0.100 m.</a:t>
              </a:r>
            </a:p>
          </xdr:txBody>
        </xdr:sp>
        <xdr:sp textlink="$E$223">
          <xdr:nvSpPr>
            <xdr:cNvPr id="62" name="Rectangle 158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63" name="Group 159"/>
          <xdr:cNvGrpSpPr>
            <a:grpSpLocks/>
          </xdr:cNvGrpSpPr>
        </xdr:nvGrpSpPr>
        <xdr:grpSpPr>
          <a:xfrm>
            <a:off x="902" y="4322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6">
          <xdr:nvSpPr>
            <xdr:cNvPr id="64" name="Rectangle 160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25">
          <xdr:nvSpPr>
            <xdr:cNvPr id="65" name="Rectangle 161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6</xdr:col>
      <xdr:colOff>276225</xdr:colOff>
      <xdr:row>254</xdr:row>
      <xdr:rowOff>285750</xdr:rowOff>
    </xdr:from>
    <xdr:to>
      <xdr:col>7</xdr:col>
      <xdr:colOff>733425</xdr:colOff>
      <xdr:row>256</xdr:row>
      <xdr:rowOff>47625</xdr:rowOff>
    </xdr:to>
    <xdr:grpSp>
      <xdr:nvGrpSpPr>
        <xdr:cNvPr id="66" name="Group 173"/>
        <xdr:cNvGrpSpPr>
          <a:grpSpLocks/>
        </xdr:cNvGrpSpPr>
      </xdr:nvGrpSpPr>
      <xdr:grpSpPr>
        <a:xfrm>
          <a:off x="4667250" y="50368200"/>
          <a:ext cx="1323975" cy="390525"/>
          <a:chOff x="944" y="5396"/>
          <a:chExt cx="139" cy="41"/>
        </a:xfrm>
        <a:solidFill>
          <a:srgbClr val="FFFFFF"/>
        </a:solidFill>
      </xdr:grpSpPr>
      <xdr:grpSp>
        <xdr:nvGrpSpPr>
          <xdr:cNvPr id="67" name="Group 163"/>
          <xdr:cNvGrpSpPr>
            <a:grpSpLocks/>
          </xdr:cNvGrpSpPr>
        </xdr:nvGrpSpPr>
        <xdr:grpSpPr>
          <a:xfrm>
            <a:off x="944" y="5410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4">
          <xdr:nvSpPr>
            <xdr:cNvPr id="68" name="Rectangle 164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0.100 m.</a:t>
              </a:r>
            </a:p>
          </xdr:txBody>
        </xdr:sp>
        <xdr:sp textlink="$E$223">
          <xdr:nvSpPr>
            <xdr:cNvPr id="69" name="Rectangle 165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  <xdr:grpSp>
        <xdr:nvGrpSpPr>
          <xdr:cNvPr id="70" name="Group 166"/>
          <xdr:cNvGrpSpPr>
            <a:grpSpLocks/>
          </xdr:cNvGrpSpPr>
        </xdr:nvGrpSpPr>
        <xdr:grpSpPr>
          <a:xfrm>
            <a:off x="945" y="5396"/>
            <a:ext cx="138" cy="27"/>
            <a:chOff x="971" y="5161"/>
            <a:chExt cx="138" cy="27"/>
          </a:xfrm>
          <a:solidFill>
            <a:srgbClr val="FFFFFF"/>
          </a:solidFill>
        </xdr:grpSpPr>
        <xdr:sp textlink="$G$226">
          <xdr:nvSpPr>
            <xdr:cNvPr id="71" name="Rectangle 167"/>
            <xdr:cNvSpPr>
              <a:spLocks/>
            </xdr:cNvSpPr>
          </xdr:nvSpPr>
          <xdr:spPr>
            <a:xfrm>
              <a:off x="1029" y="5161"/>
              <a:ext cx="8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</a:rPr>
                <a:t>@ 0.150 m.</a:t>
              </a:r>
            </a:p>
          </xdr:txBody>
        </xdr:sp>
        <xdr:sp textlink="$E$225">
          <xdr:nvSpPr>
            <xdr:cNvPr id="72" name="Rectangle 168"/>
            <xdr:cNvSpPr>
              <a:spLocks/>
            </xdr:cNvSpPr>
          </xdr:nvSpPr>
          <xdr:spPr>
            <a:xfrm>
              <a:off x="971" y="5161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FF"/>
                  </a:solidFill>
                </a:rPr>
                <a:t>DB 12 mm.</a:t>
              </a:r>
            </a:p>
          </xdr:txBody>
        </xdr:sp>
      </xdr:grpSp>
    </xdr:grpSp>
    <xdr:clientData/>
  </xdr:twoCellAnchor>
  <xdr:twoCellAnchor>
    <xdr:from>
      <xdr:col>7</xdr:col>
      <xdr:colOff>114300</xdr:colOff>
      <xdr:row>257</xdr:row>
      <xdr:rowOff>19050</xdr:rowOff>
    </xdr:from>
    <xdr:to>
      <xdr:col>7</xdr:col>
      <xdr:colOff>476250</xdr:colOff>
      <xdr:row>257</xdr:row>
      <xdr:rowOff>276225</xdr:rowOff>
    </xdr:to>
    <xdr:sp textlink="$J$35">
      <xdr:nvSpPr>
        <xdr:cNvPr id="73" name="Rectangle 169"/>
        <xdr:cNvSpPr>
          <a:spLocks/>
        </xdr:cNvSpPr>
      </xdr:nvSpPr>
      <xdr:spPr>
        <a:xfrm>
          <a:off x="5372100" y="51044475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 0.15 </a:t>
          </a:r>
        </a:p>
      </xdr:txBody>
    </xdr:sp>
    <xdr:clientData/>
  </xdr:twoCellAnchor>
  <xdr:twoCellAnchor>
    <xdr:from>
      <xdr:col>4</xdr:col>
      <xdr:colOff>238125</xdr:colOff>
      <xdr:row>255</xdr:row>
      <xdr:rowOff>180975</xdr:rowOff>
    </xdr:from>
    <xdr:to>
      <xdr:col>4</xdr:col>
      <xdr:colOff>600075</xdr:colOff>
      <xdr:row>256</xdr:row>
      <xdr:rowOff>123825</xdr:rowOff>
    </xdr:to>
    <xdr:sp textlink="$J$35">
      <xdr:nvSpPr>
        <xdr:cNvPr id="74" name="Rectangle 170"/>
        <xdr:cNvSpPr>
          <a:spLocks/>
        </xdr:cNvSpPr>
      </xdr:nvSpPr>
      <xdr:spPr>
        <a:xfrm>
          <a:off x="3095625" y="505777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 0.15 </a:t>
          </a:r>
        </a:p>
      </xdr:txBody>
    </xdr:sp>
    <xdr:clientData/>
  </xdr:twoCellAnchor>
  <xdr:twoCellAnchor>
    <xdr:from>
      <xdr:col>7</xdr:col>
      <xdr:colOff>57150</xdr:colOff>
      <xdr:row>253</xdr:row>
      <xdr:rowOff>161925</xdr:rowOff>
    </xdr:from>
    <xdr:to>
      <xdr:col>7</xdr:col>
      <xdr:colOff>419100</xdr:colOff>
      <xdr:row>254</xdr:row>
      <xdr:rowOff>104775</xdr:rowOff>
    </xdr:to>
    <xdr:sp textlink="$J$36">
      <xdr:nvSpPr>
        <xdr:cNvPr id="75" name="Rectangle 171"/>
        <xdr:cNvSpPr>
          <a:spLocks/>
        </xdr:cNvSpPr>
      </xdr:nvSpPr>
      <xdr:spPr>
        <a:xfrm>
          <a:off x="5314950" y="499300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 0.15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tabSelected="1" view="pageBreakPreview" zoomScaleSheetLayoutView="100" workbookViewId="0" topLeftCell="A1">
      <selection activeCell="M222" sqref="M222"/>
    </sheetView>
  </sheetViews>
  <sheetFormatPr defaultColWidth="9.140625" defaultRowHeight="24.75" customHeight="1"/>
  <cols>
    <col min="1" max="1" width="3.57421875" style="7" customWidth="1"/>
    <col min="2" max="2" width="11.00390625" style="7" customWidth="1"/>
    <col min="3" max="3" width="11.140625" style="7" customWidth="1"/>
    <col min="4" max="4" width="17.140625" style="7" customWidth="1"/>
    <col min="5" max="5" width="9.140625" style="7" customWidth="1"/>
    <col min="6" max="6" width="13.8515625" style="7" bestFit="1" customWidth="1"/>
    <col min="7" max="7" width="13.00390625" style="7" customWidth="1"/>
    <col min="8" max="8" width="11.8515625" style="7" customWidth="1"/>
    <col min="9" max="9" width="6.28125" style="7" customWidth="1"/>
    <col min="10" max="10" width="17.57421875" style="10" customWidth="1"/>
    <col min="11" max="11" width="10.57421875" style="7" customWidth="1"/>
    <col min="12" max="12" width="13.421875" style="7" bestFit="1" customWidth="1"/>
    <col min="13" max="13" width="12.28125" style="7" bestFit="1" customWidth="1"/>
    <col min="14" max="14" width="9.28125" style="7" bestFit="1" customWidth="1"/>
    <col min="15" max="16384" width="9.140625" style="7" customWidth="1"/>
  </cols>
  <sheetData>
    <row r="1" spans="1:11" ht="24.75" customHeight="1">
      <c r="A1" s="73" t="s">
        <v>140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s="8" customFormat="1" ht="24.75" customHeight="1">
      <c r="B2" s="9" t="s">
        <v>16</v>
      </c>
      <c r="C2" s="1" t="s">
        <v>144</v>
      </c>
      <c r="D2" s="7"/>
      <c r="E2" s="7"/>
      <c r="F2" s="7"/>
      <c r="G2" s="9" t="s">
        <v>17</v>
      </c>
      <c r="H2" s="1" t="s">
        <v>144</v>
      </c>
      <c r="I2" s="7"/>
      <c r="J2" s="10"/>
      <c r="K2" s="7"/>
    </row>
    <row r="3" spans="2:11" s="8" customFormat="1" ht="24.75" customHeight="1">
      <c r="B3" s="9" t="s">
        <v>18</v>
      </c>
      <c r="C3" s="1" t="s">
        <v>144</v>
      </c>
      <c r="D3" s="7"/>
      <c r="E3" s="7"/>
      <c r="F3" s="7"/>
      <c r="G3" s="9" t="s">
        <v>19</v>
      </c>
      <c r="H3" s="1" t="s">
        <v>144</v>
      </c>
      <c r="I3" s="7"/>
      <c r="J3" s="61" t="s">
        <v>141</v>
      </c>
      <c r="K3" s="66" t="s">
        <v>142</v>
      </c>
    </row>
    <row r="4" spans="2:11" s="8" customFormat="1" ht="24.75" customHeight="1">
      <c r="B4" s="9" t="s">
        <v>20</v>
      </c>
      <c r="C4" s="1" t="s">
        <v>144</v>
      </c>
      <c r="D4" s="7"/>
      <c r="E4" s="7"/>
      <c r="F4" s="7"/>
      <c r="G4" s="9" t="s">
        <v>21</v>
      </c>
      <c r="H4" s="2" t="s">
        <v>144</v>
      </c>
      <c r="I4" s="7"/>
      <c r="J4" s="10"/>
      <c r="K4" s="7"/>
    </row>
    <row r="5" spans="1:11" ht="24.7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4.75" customHeight="1">
      <c r="A6" s="74" t="s">
        <v>23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2" ht="24.75" customHeight="1">
      <c r="A7" s="11" t="s">
        <v>24</v>
      </c>
      <c r="L7" s="12"/>
    </row>
    <row r="8" spans="1:2" ht="24.75" customHeight="1">
      <c r="A8" s="13" t="s">
        <v>25</v>
      </c>
      <c r="B8" s="7" t="s">
        <v>60</v>
      </c>
    </row>
    <row r="9" spans="1:2" ht="24.75" customHeight="1">
      <c r="A9" s="13">
        <v>2</v>
      </c>
      <c r="B9" s="7" t="s">
        <v>15</v>
      </c>
    </row>
    <row r="10" spans="1:2" ht="24.75" customHeight="1">
      <c r="A10" s="13">
        <v>3</v>
      </c>
      <c r="B10" s="7" t="s">
        <v>61</v>
      </c>
    </row>
    <row r="11" spans="1:16" ht="24.75" customHeight="1">
      <c r="A11" s="11" t="s">
        <v>26</v>
      </c>
      <c r="M11" s="14"/>
      <c r="N11" s="15"/>
      <c r="O11" s="75"/>
      <c r="P11" s="75"/>
    </row>
    <row r="12" spans="2:16" ht="24.75" customHeight="1">
      <c r="B12" s="7" t="s">
        <v>27</v>
      </c>
      <c r="H12" s="7" t="s">
        <v>28</v>
      </c>
      <c r="I12" s="7" t="s">
        <v>0</v>
      </c>
      <c r="J12" s="3">
        <v>280</v>
      </c>
      <c r="K12" s="7" t="s">
        <v>1</v>
      </c>
      <c r="M12" s="14"/>
      <c r="N12" s="15"/>
      <c r="O12" s="16"/>
      <c r="P12" s="17"/>
    </row>
    <row r="13" spans="2:16" ht="24.75" customHeight="1">
      <c r="B13" s="7" t="s">
        <v>29</v>
      </c>
      <c r="G13" s="7" t="s">
        <v>30</v>
      </c>
      <c r="H13" s="64" t="s">
        <v>143</v>
      </c>
      <c r="I13" s="64" t="s">
        <v>0</v>
      </c>
      <c r="J13" s="65">
        <f>IF(0.375*J12&gt;65,65,0.375*J12)</f>
        <v>65</v>
      </c>
      <c r="K13" s="7" t="s">
        <v>1</v>
      </c>
      <c r="M13" s="62"/>
      <c r="N13" s="62"/>
      <c r="O13" s="63"/>
      <c r="P13" s="17"/>
    </row>
    <row r="14" spans="2:16" ht="24.75" customHeight="1">
      <c r="B14" s="7" t="s">
        <v>31</v>
      </c>
      <c r="G14" s="7" t="s">
        <v>32</v>
      </c>
      <c r="H14" s="7" t="s">
        <v>33</v>
      </c>
      <c r="I14" s="7" t="s">
        <v>0</v>
      </c>
      <c r="J14" s="18">
        <f>0.29*($J$12^0.5)</f>
        <v>4.852628153897638</v>
      </c>
      <c r="K14" s="7" t="s">
        <v>1</v>
      </c>
      <c r="M14" s="14"/>
      <c r="N14" s="15"/>
      <c r="O14" s="16"/>
      <c r="P14" s="17"/>
    </row>
    <row r="15" spans="2:16" ht="24.75" customHeight="1">
      <c r="B15" s="7" t="s">
        <v>34</v>
      </c>
      <c r="G15" s="7" t="s">
        <v>35</v>
      </c>
      <c r="H15" s="7" t="s">
        <v>36</v>
      </c>
      <c r="I15" s="7" t="s">
        <v>0</v>
      </c>
      <c r="J15" s="18">
        <f>0.53*($J$12^0.5)</f>
        <v>8.868596281261201</v>
      </c>
      <c r="K15" s="7" t="s">
        <v>1</v>
      </c>
      <c r="M15" s="14"/>
      <c r="N15" s="15"/>
      <c r="O15" s="16"/>
      <c r="P15" s="17"/>
    </row>
    <row r="16" spans="2:16" ht="24.75" customHeight="1">
      <c r="B16" s="7" t="s">
        <v>37</v>
      </c>
      <c r="G16" s="7" t="s">
        <v>38</v>
      </c>
      <c r="H16" s="7" t="s">
        <v>39</v>
      </c>
      <c r="I16" s="7" t="s">
        <v>0</v>
      </c>
      <c r="J16" s="18">
        <f>1.32*($J$12^0.5)</f>
        <v>22.087824700499596</v>
      </c>
      <c r="K16" s="7" t="s">
        <v>1</v>
      </c>
      <c r="M16" s="14"/>
      <c r="N16" s="15"/>
      <c r="O16" s="16"/>
      <c r="P16" s="17"/>
    </row>
    <row r="17" spans="2:11" ht="24.75" customHeight="1">
      <c r="B17" s="7" t="s">
        <v>40</v>
      </c>
      <c r="G17" s="7" t="s">
        <v>41</v>
      </c>
      <c r="H17" s="7" t="s">
        <v>42</v>
      </c>
      <c r="I17" s="7" t="s">
        <v>0</v>
      </c>
      <c r="J17" s="18">
        <f>1.65*($J$12^0.5)</f>
        <v>27.60978087562449</v>
      </c>
      <c r="K17" s="7" t="s">
        <v>1</v>
      </c>
    </row>
    <row r="18" spans="2:11" ht="24.75" customHeight="1">
      <c r="B18" s="7" t="s">
        <v>43</v>
      </c>
      <c r="G18" s="7" t="s">
        <v>44</v>
      </c>
      <c r="H18" s="7" t="s">
        <v>59</v>
      </c>
      <c r="I18" s="7" t="s">
        <v>0</v>
      </c>
      <c r="J18" s="19">
        <f>15100*($J$12^0.5)</f>
        <v>252671.32801329083</v>
      </c>
      <c r="K18" s="7" t="s">
        <v>1</v>
      </c>
    </row>
    <row r="19" ht="24.75" customHeight="1">
      <c r="A19" s="11" t="s">
        <v>45</v>
      </c>
    </row>
    <row r="20" spans="2:11" ht="24.75" customHeight="1">
      <c r="B20" s="7" t="s">
        <v>43</v>
      </c>
      <c r="G20" s="7" t="s">
        <v>46</v>
      </c>
      <c r="H20" s="20"/>
      <c r="I20" s="7" t="s">
        <v>0</v>
      </c>
      <c r="J20" s="20">
        <v>2040000</v>
      </c>
      <c r="K20" s="7" t="s">
        <v>1</v>
      </c>
    </row>
    <row r="21" spans="2:11" ht="24.75" customHeight="1">
      <c r="B21" s="21" t="s">
        <v>3</v>
      </c>
      <c r="C21" s="22"/>
      <c r="D21" s="22"/>
      <c r="E21" s="22"/>
      <c r="F21" s="21"/>
      <c r="G21" s="23" t="s">
        <v>47</v>
      </c>
      <c r="H21" s="24"/>
      <c r="I21" s="7" t="s">
        <v>0</v>
      </c>
      <c r="J21" s="4">
        <v>4000</v>
      </c>
      <c r="K21" s="25" t="s">
        <v>1</v>
      </c>
    </row>
    <row r="22" spans="2:11" ht="24.75" customHeight="1">
      <c r="B22" s="25" t="s">
        <v>2</v>
      </c>
      <c r="C22" s="21"/>
      <c r="D22" s="21"/>
      <c r="E22" s="21"/>
      <c r="F22" s="26" t="str">
        <f>IF(J21&lt;3000,"SR-24",IF(J21=3000,"SD-30",IF(J21&gt;4000,"SD-50","SD-40")))</f>
        <v>SD-40</v>
      </c>
      <c r="G22" s="21" t="s">
        <v>48</v>
      </c>
      <c r="H22" s="24" t="s">
        <v>49</v>
      </c>
      <c r="I22" s="7" t="s">
        <v>0</v>
      </c>
      <c r="J22" s="27">
        <f>IF(J21*0.5&gt;1700,1700,J21*0.5)</f>
        <v>1700</v>
      </c>
      <c r="K22" s="25" t="s">
        <v>1</v>
      </c>
    </row>
    <row r="23" spans="2:11" ht="24.75" customHeight="1">
      <c r="B23" s="21" t="s">
        <v>4</v>
      </c>
      <c r="C23" s="22"/>
      <c r="D23" s="22"/>
      <c r="E23" s="22"/>
      <c r="F23" s="21"/>
      <c r="G23" s="23" t="s">
        <v>50</v>
      </c>
      <c r="H23" s="24"/>
      <c r="I23" s="7" t="s">
        <v>0</v>
      </c>
      <c r="J23" s="4">
        <v>2400</v>
      </c>
      <c r="K23" s="25" t="s">
        <v>1</v>
      </c>
    </row>
    <row r="24" spans="2:17" ht="24.75" customHeight="1">
      <c r="B24" s="25" t="s">
        <v>5</v>
      </c>
      <c r="C24" s="21"/>
      <c r="D24" s="21"/>
      <c r="E24" s="21"/>
      <c r="F24" s="26" t="str">
        <f>IF(J23&lt;3000,"SR-24",IF(J23=3000,"SD-30",IF(J23&gt;4000,"SD-50","SD-40")))</f>
        <v>SR-24</v>
      </c>
      <c r="G24" s="21" t="s">
        <v>48</v>
      </c>
      <c r="H24" s="24" t="s">
        <v>49</v>
      </c>
      <c r="I24" s="7" t="s">
        <v>0</v>
      </c>
      <c r="J24" s="27">
        <f>IF(J23*0.5&gt;1700,1700,J23*0.5)</f>
        <v>1200</v>
      </c>
      <c r="K24" s="25" t="s">
        <v>1</v>
      </c>
      <c r="P24" s="7" t="s">
        <v>51</v>
      </c>
      <c r="Q24" s="7" t="s">
        <v>51</v>
      </c>
    </row>
    <row r="25" spans="2:11" ht="24.75" customHeight="1">
      <c r="B25" s="21"/>
      <c r="C25" s="21"/>
      <c r="D25" s="21"/>
      <c r="E25" s="21"/>
      <c r="F25" s="24" t="s">
        <v>6</v>
      </c>
      <c r="G25" s="28" t="s">
        <v>52</v>
      </c>
      <c r="H25" s="24"/>
      <c r="I25" s="7" t="s">
        <v>0</v>
      </c>
      <c r="J25" s="29">
        <f>J20/J18</f>
        <v>8.07372967894756</v>
      </c>
      <c r="K25" s="21"/>
    </row>
    <row r="26" spans="2:11" ht="24.75" customHeight="1">
      <c r="B26" s="21" t="s">
        <v>7</v>
      </c>
      <c r="C26" s="21"/>
      <c r="D26" s="30"/>
      <c r="E26" s="21"/>
      <c r="F26" s="31" t="s">
        <v>11</v>
      </c>
      <c r="G26" s="30" t="s">
        <v>8</v>
      </c>
      <c r="H26" s="24"/>
      <c r="I26" s="7" t="s">
        <v>0</v>
      </c>
      <c r="J26" s="32">
        <f>1/(1+(J22/(J25*J13)))</f>
        <v>0.23588377156444876</v>
      </c>
      <c r="K26" s="21"/>
    </row>
    <row r="27" spans="2:11" ht="24.75" customHeight="1">
      <c r="B27" s="21"/>
      <c r="C27" s="21"/>
      <c r="D27" s="30"/>
      <c r="E27" s="21"/>
      <c r="F27" s="31" t="s">
        <v>12</v>
      </c>
      <c r="G27" s="30" t="s">
        <v>9</v>
      </c>
      <c r="H27" s="24"/>
      <c r="I27" s="7" t="s">
        <v>0</v>
      </c>
      <c r="J27" s="33">
        <f>1-(J26/3)</f>
        <v>0.9213720761451838</v>
      </c>
      <c r="K27" s="21"/>
    </row>
    <row r="28" spans="2:11" ht="24.75" customHeight="1">
      <c r="B28" s="21"/>
      <c r="C28" s="21"/>
      <c r="D28" s="30"/>
      <c r="E28" s="21"/>
      <c r="F28" s="34" t="s">
        <v>13</v>
      </c>
      <c r="G28" s="30" t="s">
        <v>10</v>
      </c>
      <c r="H28" s="24"/>
      <c r="I28" s="7" t="s">
        <v>0</v>
      </c>
      <c r="J28" s="33">
        <f>0.5*J13*J26*J27</f>
        <v>7.063443410897004</v>
      </c>
      <c r="K28" s="25" t="s">
        <v>1</v>
      </c>
    </row>
    <row r="29" spans="2:11" ht="24.75" customHeight="1">
      <c r="B29" s="21"/>
      <c r="C29" s="21"/>
      <c r="D29" s="21"/>
      <c r="E29" s="21"/>
      <c r="F29" s="21"/>
      <c r="G29" s="21"/>
      <c r="H29" s="21"/>
      <c r="I29" s="7" t="s">
        <v>0</v>
      </c>
      <c r="J29" s="24"/>
      <c r="K29" s="21"/>
    </row>
    <row r="30" spans="2:11" ht="24.75" customHeight="1">
      <c r="B30" s="21" t="s">
        <v>14</v>
      </c>
      <c r="C30" s="21"/>
      <c r="D30" s="21"/>
      <c r="E30" s="21"/>
      <c r="F30" s="31" t="s">
        <v>11</v>
      </c>
      <c r="G30" s="30" t="s">
        <v>8</v>
      </c>
      <c r="H30" s="24"/>
      <c r="I30" s="7" t="s">
        <v>0</v>
      </c>
      <c r="J30" s="32">
        <f>1/(1+(J24/(J25*J13)))</f>
        <v>0.3042641075342712</v>
      </c>
      <c r="K30" s="21"/>
    </row>
    <row r="31" spans="2:11" ht="24.75" customHeight="1">
      <c r="B31" s="21"/>
      <c r="C31" s="21"/>
      <c r="D31" s="21"/>
      <c r="E31" s="21"/>
      <c r="F31" s="31" t="s">
        <v>12</v>
      </c>
      <c r="G31" s="30" t="s">
        <v>9</v>
      </c>
      <c r="H31" s="24"/>
      <c r="I31" s="7" t="s">
        <v>0</v>
      </c>
      <c r="J31" s="33">
        <f>1-(J30/3)</f>
        <v>0.8985786308219096</v>
      </c>
      <c r="K31" s="21"/>
    </row>
    <row r="32" spans="2:11" ht="24.75" customHeight="1">
      <c r="B32" s="21"/>
      <c r="C32" s="21"/>
      <c r="D32" s="21"/>
      <c r="E32" s="21"/>
      <c r="F32" s="34" t="s">
        <v>13</v>
      </c>
      <c r="G32" s="30" t="s">
        <v>10</v>
      </c>
      <c r="H32" s="24"/>
      <c r="I32" s="7" t="s">
        <v>0</v>
      </c>
      <c r="J32" s="33">
        <f>0.5*J13*J30*J31</f>
        <v>8.88566981758286</v>
      </c>
      <c r="K32" s="25" t="s">
        <v>1</v>
      </c>
    </row>
    <row r="33" spans="1:2" ht="8.25" customHeight="1">
      <c r="A33" s="11"/>
      <c r="B33" s="11"/>
    </row>
    <row r="34" spans="4:11" ht="24.75" customHeight="1">
      <c r="D34" s="7" t="s">
        <v>87</v>
      </c>
      <c r="H34" s="35" t="s">
        <v>88</v>
      </c>
      <c r="I34" s="7" t="s">
        <v>0</v>
      </c>
      <c r="J34" s="5">
        <v>300</v>
      </c>
      <c r="K34" s="7" t="s">
        <v>55</v>
      </c>
    </row>
    <row r="35" spans="4:11" ht="24.75" customHeight="1">
      <c r="D35" s="7" t="s">
        <v>73</v>
      </c>
      <c r="H35" s="35" t="s">
        <v>81</v>
      </c>
      <c r="I35" s="7" t="s">
        <v>0</v>
      </c>
      <c r="J35" s="5">
        <v>0.15</v>
      </c>
      <c r="K35" s="7" t="s">
        <v>53</v>
      </c>
    </row>
    <row r="36" spans="4:11" ht="24.75" customHeight="1">
      <c r="D36" s="7" t="s">
        <v>74</v>
      </c>
      <c r="H36" s="35" t="s">
        <v>82</v>
      </c>
      <c r="I36" s="7" t="s">
        <v>0</v>
      </c>
      <c r="J36" s="5">
        <v>0.15</v>
      </c>
      <c r="K36" s="7" t="s">
        <v>53</v>
      </c>
    </row>
    <row r="37" spans="4:11" ht="24.75" customHeight="1">
      <c r="D37" s="7" t="s">
        <v>62</v>
      </c>
      <c r="H37" s="35" t="s">
        <v>54</v>
      </c>
      <c r="I37" s="7" t="s">
        <v>0</v>
      </c>
      <c r="J37" s="5">
        <v>4.75</v>
      </c>
      <c r="K37" s="7" t="s">
        <v>53</v>
      </c>
    </row>
    <row r="38" spans="4:11" ht="24.75" customHeight="1">
      <c r="D38" s="7" t="s">
        <v>63</v>
      </c>
      <c r="I38" s="7" t="s">
        <v>0</v>
      </c>
      <c r="J38" s="5">
        <v>26</v>
      </c>
      <c r="K38" s="7" t="s">
        <v>64</v>
      </c>
    </row>
    <row r="39" spans="4:11" ht="24.75" customHeight="1">
      <c r="D39" s="7" t="s">
        <v>68</v>
      </c>
      <c r="I39" s="7" t="s">
        <v>0</v>
      </c>
      <c r="J39" s="5">
        <v>0.3</v>
      </c>
      <c r="K39" s="7" t="s">
        <v>53</v>
      </c>
    </row>
    <row r="40" spans="4:11" ht="24.75" customHeight="1">
      <c r="D40" s="7" t="s">
        <v>77</v>
      </c>
      <c r="H40" s="35" t="s">
        <v>78</v>
      </c>
      <c r="I40" s="7" t="s">
        <v>0</v>
      </c>
      <c r="J40" s="5">
        <v>1.1</v>
      </c>
      <c r="K40" s="7" t="s">
        <v>53</v>
      </c>
    </row>
    <row r="41" spans="4:11" ht="24.75" customHeight="1">
      <c r="D41" s="7" t="s">
        <v>80</v>
      </c>
      <c r="H41" s="35" t="s">
        <v>79</v>
      </c>
      <c r="I41" s="7" t="s">
        <v>0</v>
      </c>
      <c r="J41" s="5">
        <v>1.2</v>
      </c>
      <c r="K41" s="7" t="s">
        <v>53</v>
      </c>
    </row>
    <row r="42" spans="4:11" ht="24.75" customHeight="1">
      <c r="D42" s="7" t="s">
        <v>65</v>
      </c>
      <c r="I42" s="7" t="s">
        <v>0</v>
      </c>
      <c r="J42" s="36">
        <f>J37/J38</f>
        <v>0.18269230769230768</v>
      </c>
      <c r="K42" s="7" t="s">
        <v>53</v>
      </c>
    </row>
    <row r="43" spans="4:11" ht="24.75" customHeight="1">
      <c r="D43" s="7" t="s">
        <v>66</v>
      </c>
      <c r="I43" s="7" t="s">
        <v>0</v>
      </c>
      <c r="J43" s="19">
        <f>J38/2*J39</f>
        <v>3.9</v>
      </c>
      <c r="K43" s="7" t="s">
        <v>53</v>
      </c>
    </row>
    <row r="44" spans="4:11" ht="24.75" customHeight="1">
      <c r="D44" s="7" t="s">
        <v>67</v>
      </c>
      <c r="I44" s="7" t="s">
        <v>0</v>
      </c>
      <c r="J44" s="37">
        <f>J37/2</f>
        <v>2.375</v>
      </c>
      <c r="K44" s="7" t="s">
        <v>53</v>
      </c>
    </row>
    <row r="45" spans="4:11" ht="24.75" customHeight="1">
      <c r="D45" s="7" t="s">
        <v>69</v>
      </c>
      <c r="H45" s="35" t="s">
        <v>70</v>
      </c>
      <c r="I45" s="7" t="s">
        <v>0</v>
      </c>
      <c r="J45" s="19">
        <f>(J43^2+J44^2)^0.5</f>
        <v>4.566248460169464</v>
      </c>
      <c r="K45" s="7" t="s">
        <v>53</v>
      </c>
    </row>
    <row r="46" spans="4:11" ht="24.75" customHeight="1">
      <c r="D46" s="7" t="s">
        <v>71</v>
      </c>
      <c r="H46" s="38" t="s">
        <v>6</v>
      </c>
      <c r="I46" s="7" t="s">
        <v>0</v>
      </c>
      <c r="J46" s="19">
        <f>DEGREES(ATAN(J44/J43))</f>
        <v>31.34034308714607</v>
      </c>
      <c r="K46" s="7" t="s">
        <v>72</v>
      </c>
    </row>
    <row r="47" spans="4:11" ht="24.75" customHeight="1">
      <c r="D47" s="7" t="s">
        <v>75</v>
      </c>
      <c r="I47" s="7" t="s">
        <v>0</v>
      </c>
      <c r="J47" s="37">
        <f>((J39*J42*2400/2)/(J42^2+J39^2)^0.5)+(J35*2400)</f>
        <v>547.2434247628016</v>
      </c>
      <c r="K47" s="7" t="s">
        <v>55</v>
      </c>
    </row>
    <row r="48" spans="4:11" ht="24.75" customHeight="1">
      <c r="D48" s="7" t="s">
        <v>76</v>
      </c>
      <c r="I48" s="7" t="s">
        <v>0</v>
      </c>
      <c r="J48" s="37">
        <f>2400*J36</f>
        <v>360</v>
      </c>
      <c r="K48" s="7" t="s">
        <v>55</v>
      </c>
    </row>
    <row r="49" spans="4:10" ht="24.75" customHeight="1">
      <c r="D49" s="7" t="s">
        <v>92</v>
      </c>
      <c r="H49" s="35" t="s">
        <v>93</v>
      </c>
      <c r="I49" s="7" t="s">
        <v>0</v>
      </c>
      <c r="J49" s="37">
        <f>(J35/J36)^3*(J41/J45)*((1/(COS(22*J46/(180*7))^2)))</f>
        <v>0.3603529278585014</v>
      </c>
    </row>
    <row r="50" spans="8:10" ht="24.75" customHeight="1">
      <c r="H50" s="35"/>
      <c r="J50" s="37"/>
    </row>
    <row r="51" spans="8:10" ht="24.75" customHeight="1">
      <c r="H51" s="35"/>
      <c r="J51" s="37"/>
    </row>
    <row r="52" spans="8:10" ht="24.75" customHeight="1">
      <c r="H52" s="35"/>
      <c r="J52" s="37"/>
    </row>
    <row r="53" spans="8:10" ht="24.75" customHeight="1">
      <c r="H53" s="35"/>
      <c r="J53" s="37"/>
    </row>
    <row r="54" spans="8:10" ht="24.75" customHeight="1">
      <c r="H54" s="35"/>
      <c r="J54" s="37"/>
    </row>
    <row r="55" spans="8:10" ht="24.75" customHeight="1">
      <c r="H55" s="35"/>
      <c r="J55" s="37"/>
    </row>
    <row r="56" spans="8:10" ht="24.75" customHeight="1">
      <c r="H56" s="35"/>
      <c r="J56" s="37"/>
    </row>
    <row r="57" spans="8:10" ht="24.75" customHeight="1">
      <c r="H57" s="35"/>
      <c r="J57" s="37"/>
    </row>
    <row r="58" spans="8:10" ht="24.75" customHeight="1">
      <c r="H58" s="35"/>
      <c r="J58" s="37"/>
    </row>
    <row r="59" spans="8:10" ht="24.75" customHeight="1">
      <c r="H59" s="35"/>
      <c r="J59" s="37"/>
    </row>
    <row r="60" spans="8:10" ht="24.75" customHeight="1">
      <c r="H60" s="35"/>
      <c r="J60" s="37"/>
    </row>
    <row r="61" spans="8:10" ht="24.75" customHeight="1">
      <c r="H61" s="35"/>
      <c r="J61" s="37"/>
    </row>
    <row r="62" spans="8:10" ht="24.75" customHeight="1">
      <c r="H62" s="35"/>
      <c r="J62" s="37"/>
    </row>
    <row r="63" spans="8:10" ht="24.75" customHeight="1">
      <c r="H63" s="35"/>
      <c r="J63" s="37"/>
    </row>
    <row r="64" spans="8:10" ht="24.75" customHeight="1">
      <c r="H64" s="35"/>
      <c r="J64" s="37"/>
    </row>
    <row r="65" spans="8:10" ht="24.75" customHeight="1">
      <c r="H65" s="35"/>
      <c r="J65" s="37"/>
    </row>
    <row r="66" spans="8:10" ht="24.75" customHeight="1">
      <c r="H66" s="35"/>
      <c r="J66" s="37"/>
    </row>
    <row r="67" spans="8:10" ht="24.75" customHeight="1">
      <c r="H67" s="35"/>
      <c r="J67" s="37"/>
    </row>
    <row r="68" spans="8:10" ht="24.75" customHeight="1">
      <c r="H68" s="35"/>
      <c r="J68" s="37"/>
    </row>
    <row r="69" spans="8:10" ht="24.75" customHeight="1">
      <c r="H69" s="35"/>
      <c r="J69" s="37"/>
    </row>
    <row r="70" spans="2:10" ht="24.75" customHeight="1">
      <c r="B70" s="39" t="s">
        <v>89</v>
      </c>
      <c r="J70" s="37"/>
    </row>
    <row r="71" spans="4:11" ht="24.75" customHeight="1">
      <c r="D71" s="7" t="s">
        <v>83</v>
      </c>
      <c r="H71" s="35" t="s">
        <v>84</v>
      </c>
      <c r="I71" s="7" t="s">
        <v>0</v>
      </c>
      <c r="J71" s="37">
        <f>J47+J34</f>
        <v>847.2434247628016</v>
      </c>
      <c r="K71" s="7" t="s">
        <v>55</v>
      </c>
    </row>
    <row r="72" spans="4:11" ht="24.75" customHeight="1">
      <c r="D72" s="7" t="s">
        <v>86</v>
      </c>
      <c r="H72" s="35" t="s">
        <v>85</v>
      </c>
      <c r="I72" s="7" t="s">
        <v>0</v>
      </c>
      <c r="J72" s="37">
        <f>J48+J34</f>
        <v>660</v>
      </c>
      <c r="K72" s="7" t="s">
        <v>55</v>
      </c>
    </row>
    <row r="73" spans="4:11" ht="24.75" customHeight="1">
      <c r="D73" s="7" t="s">
        <v>95</v>
      </c>
      <c r="H73" s="35" t="s">
        <v>54</v>
      </c>
      <c r="I73" s="7" t="s">
        <v>0</v>
      </c>
      <c r="J73" s="40">
        <f>(((J72*(J41+J40))*(4+3*(J40/J45)*(((1/(COS(22*J46/(180*7))))))))+(3*J71*J45*(COS(22*J46/(180*7)))))/(2*(TAN(22*J46/(180*7)))*(4+((3*(J41/J45)^2)/((0.72/(1+(J35/J40)^2))+1/J49))))</f>
        <v>3490.8096131908346</v>
      </c>
      <c r="K73" s="7" t="s">
        <v>94</v>
      </c>
    </row>
    <row r="74" spans="4:12" ht="24.75" customHeight="1">
      <c r="D74" s="7" t="s">
        <v>96</v>
      </c>
      <c r="H74" s="35" t="s">
        <v>97</v>
      </c>
      <c r="I74" s="7" t="s">
        <v>0</v>
      </c>
      <c r="J74" s="37">
        <f>((J73*J41*(TAN(22*J46/(180*7))))-(((J72*(J41^2-J40^2)))/4))/(((((1.44*J49)))/(1+(((J35/J40)^2))))+2)</f>
        <v>1001.9348815011316</v>
      </c>
      <c r="K74" s="7" t="s">
        <v>94</v>
      </c>
      <c r="L74" s="40"/>
    </row>
    <row r="75" spans="6:10" ht="24.75" customHeight="1" hidden="1">
      <c r="F75" s="7" t="s">
        <v>103</v>
      </c>
      <c r="H75" s="35"/>
      <c r="J75" s="37"/>
    </row>
    <row r="76" spans="7:10" ht="24.75" customHeight="1" hidden="1">
      <c r="G76" s="7" t="s">
        <v>104</v>
      </c>
      <c r="H76" s="35"/>
      <c r="J76" s="37"/>
    </row>
    <row r="77" spans="6:12" ht="24.75" customHeight="1" hidden="1">
      <c r="F77" s="35" t="s">
        <v>102</v>
      </c>
      <c r="G77" s="41">
        <v>0</v>
      </c>
      <c r="H77" s="7" t="s">
        <v>98</v>
      </c>
      <c r="I77" s="7" t="s">
        <v>0</v>
      </c>
      <c r="J77" s="37">
        <f>-J74</f>
        <v>-1001.9348815011316</v>
      </c>
      <c r="K77" s="7" t="s">
        <v>101</v>
      </c>
      <c r="L77" s="40"/>
    </row>
    <row r="78" spans="8:11" ht="24.75" customHeight="1" hidden="1">
      <c r="H78" s="7" t="s">
        <v>99</v>
      </c>
      <c r="I78" s="7" t="s">
        <v>0</v>
      </c>
      <c r="J78" s="37">
        <v>0</v>
      </c>
      <c r="K78" s="7" t="s">
        <v>101</v>
      </c>
    </row>
    <row r="79" spans="8:11" ht="24.75" customHeight="1" hidden="1">
      <c r="H79" s="7" t="s">
        <v>100</v>
      </c>
      <c r="I79" s="7" t="s">
        <v>0</v>
      </c>
      <c r="J79" s="37">
        <v>0</v>
      </c>
      <c r="K79" s="7" t="s">
        <v>101</v>
      </c>
    </row>
    <row r="80" spans="7:10" ht="24.75" customHeight="1" hidden="1">
      <c r="G80" s="7" t="s">
        <v>105</v>
      </c>
      <c r="H80" s="35"/>
      <c r="J80" s="37"/>
    </row>
    <row r="81" spans="6:11" ht="24.75" customHeight="1" hidden="1">
      <c r="F81" s="35" t="s">
        <v>102</v>
      </c>
      <c r="G81" s="41">
        <f>J41/2</f>
        <v>0.6</v>
      </c>
      <c r="H81" s="7" t="s">
        <v>98</v>
      </c>
      <c r="I81" s="7" t="s">
        <v>0</v>
      </c>
      <c r="J81" s="37">
        <f>-J74-(J72*G81^2)/2</f>
        <v>-1120.7348815011317</v>
      </c>
      <c r="K81" s="7" t="s">
        <v>101</v>
      </c>
    </row>
    <row r="82" spans="8:11" ht="24.75" customHeight="1" hidden="1">
      <c r="H82" s="7" t="s">
        <v>99</v>
      </c>
      <c r="I82" s="7" t="s">
        <v>0</v>
      </c>
      <c r="J82" s="37">
        <f>-J73*G81</f>
        <v>-2094.4857679145007</v>
      </c>
      <c r="K82" s="7" t="s">
        <v>101</v>
      </c>
    </row>
    <row r="83" spans="8:11" ht="24.75" customHeight="1" hidden="1">
      <c r="H83" s="7" t="s">
        <v>100</v>
      </c>
      <c r="I83" s="7" t="s">
        <v>0</v>
      </c>
      <c r="J83" s="37">
        <f>-J72*J40*G81/2</f>
        <v>-217.80000000000004</v>
      </c>
      <c r="K83" s="7" t="s">
        <v>101</v>
      </c>
    </row>
    <row r="84" spans="6:10" ht="24.75" customHeight="1" hidden="1">
      <c r="F84" s="7" t="s">
        <v>106</v>
      </c>
      <c r="H84" s="35"/>
      <c r="J84" s="37"/>
    </row>
    <row r="85" spans="7:10" ht="24.75" customHeight="1" hidden="1">
      <c r="G85" s="7" t="s">
        <v>107</v>
      </c>
      <c r="H85" s="35"/>
      <c r="J85" s="37"/>
    </row>
    <row r="86" spans="6:12" ht="24.75" customHeight="1" hidden="1">
      <c r="F86" s="35" t="s">
        <v>102</v>
      </c>
      <c r="G86" s="41">
        <f>J41/2</f>
        <v>0.6</v>
      </c>
      <c r="H86" s="7" t="s">
        <v>98</v>
      </c>
      <c r="I86" s="7" t="s">
        <v>0</v>
      </c>
      <c r="J86" s="37">
        <f>-(J72/2)*(((J40+J41)/2)-(J41/2))^2</f>
        <v>-99.82499999999997</v>
      </c>
      <c r="K86" s="7" t="s">
        <v>101</v>
      </c>
      <c r="L86" s="40"/>
    </row>
    <row r="87" spans="8:11" ht="24.75" customHeight="1" hidden="1">
      <c r="H87" s="7" t="s">
        <v>99</v>
      </c>
      <c r="I87" s="7" t="s">
        <v>0</v>
      </c>
      <c r="J87" s="37">
        <v>0</v>
      </c>
      <c r="K87" s="7" t="s">
        <v>101</v>
      </c>
    </row>
    <row r="88" spans="8:11" ht="24.75" customHeight="1" hidden="1">
      <c r="H88" s="7" t="s">
        <v>100</v>
      </c>
      <c r="I88" s="7" t="s">
        <v>0</v>
      </c>
      <c r="J88" s="37">
        <f>-(J72*J40^2)/4</f>
        <v>-199.65000000000003</v>
      </c>
      <c r="K88" s="7" t="s">
        <v>101</v>
      </c>
    </row>
    <row r="89" spans="7:10" ht="24.75" customHeight="1" hidden="1">
      <c r="G89" s="7" t="s">
        <v>108</v>
      </c>
      <c r="H89" s="35"/>
      <c r="J89" s="37"/>
    </row>
    <row r="90" spans="6:11" ht="24.75" customHeight="1" hidden="1">
      <c r="F90" s="35" t="s">
        <v>102</v>
      </c>
      <c r="G90" s="41">
        <f>(J40+J41)/2</f>
        <v>1.15</v>
      </c>
      <c r="H90" s="7" t="s">
        <v>98</v>
      </c>
      <c r="I90" s="7" t="s">
        <v>0</v>
      </c>
      <c r="J90" s="37">
        <v>0</v>
      </c>
      <c r="K90" s="7" t="s">
        <v>101</v>
      </c>
    </row>
    <row r="91" spans="8:11" ht="24.75" customHeight="1" hidden="1">
      <c r="H91" s="7" t="s">
        <v>99</v>
      </c>
      <c r="I91" s="7" t="s">
        <v>0</v>
      </c>
      <c r="J91" s="37">
        <v>0</v>
      </c>
      <c r="K91" s="7" t="s">
        <v>101</v>
      </c>
    </row>
    <row r="92" spans="8:11" ht="24.75" customHeight="1" hidden="1">
      <c r="H92" s="7" t="s">
        <v>100</v>
      </c>
      <c r="I92" s="7" t="s">
        <v>0</v>
      </c>
      <c r="J92" s="37">
        <v>0</v>
      </c>
      <c r="K92" s="7" t="s">
        <v>101</v>
      </c>
    </row>
    <row r="93" spans="6:10" ht="24.75" customHeight="1" hidden="1">
      <c r="F93" s="7" t="s">
        <v>109</v>
      </c>
      <c r="H93" s="35"/>
      <c r="J93" s="37"/>
    </row>
    <row r="94" spans="7:10" ht="24.75" customHeight="1" hidden="1">
      <c r="G94" s="7" t="s">
        <v>107</v>
      </c>
      <c r="H94" s="35"/>
      <c r="J94" s="37"/>
    </row>
    <row r="95" spans="6:12" ht="24.75" customHeight="1" hidden="1">
      <c r="F95" s="35" t="s">
        <v>110</v>
      </c>
      <c r="G95" s="41">
        <v>0</v>
      </c>
      <c r="H95" s="7" t="s">
        <v>98</v>
      </c>
      <c r="I95" s="7" t="s">
        <v>0</v>
      </c>
      <c r="J95" s="37">
        <f>-((J72*(J40+J41)*(J40/2))/2)</f>
        <v>-417.45</v>
      </c>
      <c r="K95" s="7" t="s">
        <v>101</v>
      </c>
      <c r="L95" s="42"/>
    </row>
    <row r="96" spans="8:11" ht="24.75" customHeight="1" hidden="1">
      <c r="H96" s="7" t="s">
        <v>99</v>
      </c>
      <c r="I96" s="7" t="s">
        <v>0</v>
      </c>
      <c r="J96" s="37">
        <f>-(((J73*J41*(COS(22*J46/(180*7))))/2)+((J74+(J72*((J41^2-J40^2)))/8)*(SIN(22*J46/(180*7)))))</f>
        <v>-2319.833602593479</v>
      </c>
      <c r="K96" s="7" t="s">
        <v>101</v>
      </c>
    </row>
    <row r="97" spans="8:11" ht="24.75" customHeight="1" hidden="1">
      <c r="H97" s="7" t="s">
        <v>100</v>
      </c>
      <c r="I97" s="7" t="s">
        <v>0</v>
      </c>
      <c r="J97" s="37">
        <f>-(((J73*J41/2)*(SIN(22*J46/(180*7))))-(((J74+(J72*((J41^2-J40^2)))/8)*(COS(22*J46/(180*7))))))</f>
        <v>-217.94420024678334</v>
      </c>
      <c r="K97" s="7" t="s">
        <v>101</v>
      </c>
    </row>
    <row r="98" spans="7:10" ht="24.75" customHeight="1" hidden="1">
      <c r="G98" s="7" t="s">
        <v>111</v>
      </c>
      <c r="H98" s="35"/>
      <c r="J98" s="37"/>
    </row>
    <row r="99" spans="6:14" ht="24.75" customHeight="1" hidden="1">
      <c r="F99" s="35" t="s">
        <v>110</v>
      </c>
      <c r="G99" s="41">
        <f>J45/2</f>
        <v>2.283124230084732</v>
      </c>
      <c r="H99" s="7" t="s">
        <v>98</v>
      </c>
      <c r="I99" s="7" t="s">
        <v>0</v>
      </c>
      <c r="J99" s="37">
        <f>((J73*G99*(SIN(22*J46/(180*7)))))-(((G99*(COS(22*J46/(180*7))))+(J40/2))*(((((J72*(J41+J40)))/2))))-(((J71*G99^2*(COS(22*J46/(180*7)))^2))/2)</f>
        <v>639.1438888090697</v>
      </c>
      <c r="K99" s="7" t="s">
        <v>101</v>
      </c>
      <c r="N99" s="40"/>
    </row>
    <row r="100" spans="8:11" ht="24.75" customHeight="1" hidden="1">
      <c r="H100" s="7" t="s">
        <v>99</v>
      </c>
      <c r="I100" s="7" t="s">
        <v>0</v>
      </c>
      <c r="J100" s="37">
        <f>J96</f>
        <v>-2319.833602593479</v>
      </c>
      <c r="K100" s="7" t="s">
        <v>101</v>
      </c>
    </row>
    <row r="101" spans="8:11" ht="24.75" customHeight="1" hidden="1">
      <c r="H101" s="7" t="s">
        <v>100</v>
      </c>
      <c r="I101" s="7" t="s">
        <v>0</v>
      </c>
      <c r="J101" s="37">
        <f>J97</f>
        <v>-217.94420024678334</v>
      </c>
      <c r="K101" s="7" t="s">
        <v>101</v>
      </c>
    </row>
    <row r="102" spans="7:10" ht="24.75" customHeight="1" hidden="1">
      <c r="G102" s="7" t="s">
        <v>112</v>
      </c>
      <c r="H102" s="35"/>
      <c r="J102" s="37"/>
    </row>
    <row r="103" spans="6:14" ht="24.75" customHeight="1" hidden="1">
      <c r="F103" s="35" t="s">
        <v>110</v>
      </c>
      <c r="G103" s="41">
        <f>J45</f>
        <v>4.566248460169464</v>
      </c>
      <c r="H103" s="7" t="s">
        <v>98</v>
      </c>
      <c r="I103" s="7" t="s">
        <v>0</v>
      </c>
      <c r="J103" s="37">
        <f>((J73*G103*(SIN(22*J46/(180*7)))))-(((G103*(COS(22*J46/(180*7))))+(J40/2))*(((((J72*(J41+J40)))/2))))-(((J71*G103^2*(COS(22*J46/(180*7)))^2))/2)</f>
        <v>-1525.041368012362</v>
      </c>
      <c r="K103" s="7" t="s">
        <v>101</v>
      </c>
      <c r="N103" s="40"/>
    </row>
    <row r="104" spans="8:11" ht="24.75" customHeight="1" hidden="1">
      <c r="H104" s="7" t="s">
        <v>99</v>
      </c>
      <c r="I104" s="7" t="s">
        <v>0</v>
      </c>
      <c r="J104" s="37">
        <f>J100</f>
        <v>-2319.833602593479</v>
      </c>
      <c r="K104" s="7" t="s">
        <v>101</v>
      </c>
    </row>
    <row r="105" spans="8:11" ht="24.75" customHeight="1" hidden="1">
      <c r="H105" s="7" t="s">
        <v>100</v>
      </c>
      <c r="I105" s="7" t="s">
        <v>0</v>
      </c>
      <c r="J105" s="37">
        <f>J101</f>
        <v>-217.94420024678334</v>
      </c>
      <c r="K105" s="7" t="s">
        <v>101</v>
      </c>
    </row>
    <row r="106" spans="4:10" ht="24.75" customHeight="1">
      <c r="D106" s="76" t="s">
        <v>113</v>
      </c>
      <c r="E106" s="76"/>
      <c r="F106" s="76"/>
      <c r="G106" s="43" t="s">
        <v>98</v>
      </c>
      <c r="H106" s="43" t="s">
        <v>99</v>
      </c>
      <c r="I106" s="67" t="s">
        <v>100</v>
      </c>
      <c r="J106" s="68"/>
    </row>
    <row r="107" spans="4:10" ht="24.75" customHeight="1">
      <c r="D107" s="44" t="s">
        <v>114</v>
      </c>
      <c r="E107" s="45" t="s">
        <v>115</v>
      </c>
      <c r="F107" s="46"/>
      <c r="G107" s="47">
        <f>J77</f>
        <v>-1001.9348815011316</v>
      </c>
      <c r="H107" s="47">
        <f>J78</f>
        <v>0</v>
      </c>
      <c r="I107" s="78">
        <f>J79</f>
        <v>0</v>
      </c>
      <c r="J107" s="76"/>
    </row>
    <row r="108" spans="4:10" ht="24.75" customHeight="1">
      <c r="D108" s="44"/>
      <c r="E108" s="45" t="s">
        <v>116</v>
      </c>
      <c r="F108" s="46"/>
      <c r="G108" s="47">
        <f>J81</f>
        <v>-1120.7348815011317</v>
      </c>
      <c r="H108" s="47">
        <f>J82</f>
        <v>-2094.4857679145007</v>
      </c>
      <c r="I108" s="78">
        <f>J83</f>
        <v>-217.80000000000004</v>
      </c>
      <c r="J108" s="76"/>
    </row>
    <row r="109" spans="4:10" ht="24.75" customHeight="1">
      <c r="D109" s="44"/>
      <c r="E109" s="45" t="s">
        <v>117</v>
      </c>
      <c r="F109" s="46"/>
      <c r="G109" s="48">
        <f>(G108+G110)/2</f>
        <v>-610.2799407505659</v>
      </c>
      <c r="H109" s="49"/>
      <c r="I109" s="76"/>
      <c r="J109" s="76"/>
    </row>
    <row r="110" spans="4:10" ht="24.75" customHeight="1">
      <c r="D110" s="44" t="s">
        <v>118</v>
      </c>
      <c r="E110" s="45" t="s">
        <v>116</v>
      </c>
      <c r="F110" s="46"/>
      <c r="G110" s="47">
        <f>J86</f>
        <v>-99.82499999999997</v>
      </c>
      <c r="H110" s="47">
        <f>J87</f>
        <v>0</v>
      </c>
      <c r="I110" s="78">
        <f>J88</f>
        <v>-199.65000000000003</v>
      </c>
      <c r="J110" s="76"/>
    </row>
    <row r="111" spans="4:10" ht="24.75" customHeight="1">
      <c r="D111" s="44"/>
      <c r="E111" s="45" t="s">
        <v>119</v>
      </c>
      <c r="F111" s="46"/>
      <c r="G111" s="47">
        <f>J90</f>
        <v>0</v>
      </c>
      <c r="H111" s="47">
        <f>J91</f>
        <v>0</v>
      </c>
      <c r="I111" s="78">
        <f>J92</f>
        <v>0</v>
      </c>
      <c r="J111" s="76"/>
    </row>
    <row r="112" spans="4:10" ht="24.75" customHeight="1">
      <c r="D112" s="44" t="s">
        <v>121</v>
      </c>
      <c r="E112" s="45" t="s">
        <v>116</v>
      </c>
      <c r="F112" s="46"/>
      <c r="G112" s="47">
        <f>J95</f>
        <v>-417.45</v>
      </c>
      <c r="H112" s="47">
        <f>J96</f>
        <v>-2319.833602593479</v>
      </c>
      <c r="I112" s="78">
        <f>J97</f>
        <v>-217.94420024678334</v>
      </c>
      <c r="J112" s="76"/>
    </row>
    <row r="113" spans="4:10" ht="24.75" customHeight="1">
      <c r="D113" s="44"/>
      <c r="E113" s="45" t="s">
        <v>120</v>
      </c>
      <c r="F113" s="46"/>
      <c r="G113" s="47">
        <f>J99</f>
        <v>639.1438888090697</v>
      </c>
      <c r="H113" s="47">
        <f>J100</f>
        <v>-2319.833602593479</v>
      </c>
      <c r="I113" s="78">
        <f>J101</f>
        <v>-217.94420024678334</v>
      </c>
      <c r="J113" s="76"/>
    </row>
    <row r="114" spans="4:10" ht="24.75" customHeight="1">
      <c r="D114" s="44"/>
      <c r="E114" s="45" t="s">
        <v>122</v>
      </c>
      <c r="F114" s="46"/>
      <c r="G114" s="47">
        <f>J103</f>
        <v>-1525.041368012362</v>
      </c>
      <c r="H114" s="47">
        <f>J104</f>
        <v>-2319.833602593479</v>
      </c>
      <c r="I114" s="67">
        <f>J105</f>
        <v>-217.94420024678334</v>
      </c>
      <c r="J114" s="72"/>
    </row>
    <row r="115" ht="11.25" customHeight="1">
      <c r="J115" s="37"/>
    </row>
    <row r="116" spans="2:10" ht="24.75" customHeight="1">
      <c r="B116" s="39" t="s">
        <v>90</v>
      </c>
      <c r="J116" s="37"/>
    </row>
    <row r="117" spans="4:11" ht="24.75" customHeight="1">
      <c r="D117" s="7" t="s">
        <v>83</v>
      </c>
      <c r="H117" s="35" t="s">
        <v>84</v>
      </c>
      <c r="I117" s="7" t="s">
        <v>0</v>
      </c>
      <c r="J117" s="37">
        <f>J34+J47</f>
        <v>847.2434247628016</v>
      </c>
      <c r="K117" s="7" t="s">
        <v>55</v>
      </c>
    </row>
    <row r="118" spans="4:11" ht="24.75" customHeight="1">
      <c r="D118" s="7" t="s">
        <v>86</v>
      </c>
      <c r="H118" s="35" t="s">
        <v>85</v>
      </c>
      <c r="I118" s="7" t="s">
        <v>0</v>
      </c>
      <c r="J118" s="37">
        <f>J48</f>
        <v>360</v>
      </c>
      <c r="K118" s="7" t="s">
        <v>55</v>
      </c>
    </row>
    <row r="119" spans="4:11" ht="24.75" customHeight="1">
      <c r="D119" s="7" t="s">
        <v>95</v>
      </c>
      <c r="H119" s="35" t="s">
        <v>54</v>
      </c>
      <c r="I119" s="7" t="s">
        <v>0</v>
      </c>
      <c r="J119" s="40">
        <f>(((J118*(J41+J40))*(4+3*(J40/J45)*(((1/(COS(22*J46/(180*7))))))))+(3*J117*J45*(COS(22*J46/(180*7)))))/(2*(TAN(22*J46/(180*7)))*(4+((3*(J41/J45)^2)/((0.72/(1+(J35/J40)^2))+1/J49))))</f>
        <v>2814.821190088225</v>
      </c>
      <c r="K119" s="7" t="s">
        <v>94</v>
      </c>
    </row>
    <row r="120" spans="4:12" ht="24.75" customHeight="1">
      <c r="D120" s="7" t="s">
        <v>96</v>
      </c>
      <c r="H120" s="35" t="s">
        <v>97</v>
      </c>
      <c r="I120" s="7" t="s">
        <v>0</v>
      </c>
      <c r="J120" s="37">
        <f>((J119*J41*(TAN(22*J46/(180*7))))-(((J118*(J41^2-J40^2)))/4))/(((((1.44*J49)))/(1+(((J35/J40)^2))))+2)</f>
        <v>811.857692225612</v>
      </c>
      <c r="K120" s="7" t="s">
        <v>94</v>
      </c>
      <c r="L120" s="40"/>
    </row>
    <row r="121" spans="6:10" ht="24.75" customHeight="1" hidden="1">
      <c r="F121" s="7" t="s">
        <v>103</v>
      </c>
      <c r="H121" s="35"/>
      <c r="J121" s="37"/>
    </row>
    <row r="122" spans="7:10" ht="24.75" customHeight="1" hidden="1">
      <c r="G122" s="7" t="s">
        <v>104</v>
      </c>
      <c r="H122" s="35"/>
      <c r="J122" s="37"/>
    </row>
    <row r="123" spans="6:12" ht="24.75" customHeight="1" hidden="1">
      <c r="F123" s="35" t="s">
        <v>102</v>
      </c>
      <c r="G123" s="41">
        <v>0</v>
      </c>
      <c r="H123" s="7" t="s">
        <v>98</v>
      </c>
      <c r="I123" s="7" t="s">
        <v>0</v>
      </c>
      <c r="J123" s="37">
        <f>-J120</f>
        <v>-811.857692225612</v>
      </c>
      <c r="K123" s="7" t="s">
        <v>101</v>
      </c>
      <c r="L123" s="40"/>
    </row>
    <row r="124" spans="8:11" ht="24.75" customHeight="1" hidden="1">
      <c r="H124" s="7" t="s">
        <v>99</v>
      </c>
      <c r="I124" s="7" t="s">
        <v>0</v>
      </c>
      <c r="J124" s="37">
        <v>0</v>
      </c>
      <c r="K124" s="7" t="s">
        <v>101</v>
      </c>
    </row>
    <row r="125" spans="8:11" ht="24.75" customHeight="1" hidden="1">
      <c r="H125" s="7" t="s">
        <v>100</v>
      </c>
      <c r="I125" s="7" t="s">
        <v>0</v>
      </c>
      <c r="J125" s="37">
        <v>0</v>
      </c>
      <c r="K125" s="7" t="s">
        <v>101</v>
      </c>
    </row>
    <row r="126" spans="7:10" ht="24.75" customHeight="1" hidden="1">
      <c r="G126" s="7" t="s">
        <v>105</v>
      </c>
      <c r="H126" s="35"/>
      <c r="J126" s="37"/>
    </row>
    <row r="127" spans="6:11" ht="24.75" customHeight="1" hidden="1">
      <c r="F127" s="35" t="s">
        <v>102</v>
      </c>
      <c r="G127" s="41">
        <f>J41/2</f>
        <v>0.6</v>
      </c>
      <c r="H127" s="7" t="s">
        <v>98</v>
      </c>
      <c r="I127" s="7" t="s">
        <v>0</v>
      </c>
      <c r="J127" s="37">
        <f>-J120-(J118*G127^2)/2</f>
        <v>-876.657692225612</v>
      </c>
      <c r="K127" s="7" t="s">
        <v>101</v>
      </c>
    </row>
    <row r="128" spans="8:11" ht="24.75" customHeight="1" hidden="1">
      <c r="H128" s="7" t="s">
        <v>99</v>
      </c>
      <c r="I128" s="7" t="s">
        <v>0</v>
      </c>
      <c r="J128" s="37">
        <f>-J119*G127</f>
        <v>-1688.8927140529352</v>
      </c>
      <c r="K128" s="7" t="s">
        <v>101</v>
      </c>
    </row>
    <row r="129" spans="8:11" ht="24.75" customHeight="1" hidden="1">
      <c r="H129" s="7" t="s">
        <v>100</v>
      </c>
      <c r="I129" s="7" t="s">
        <v>0</v>
      </c>
      <c r="J129" s="37">
        <f>-J118*J40*G127/2</f>
        <v>-118.80000000000001</v>
      </c>
      <c r="K129" s="7" t="s">
        <v>101</v>
      </c>
    </row>
    <row r="130" spans="6:10" ht="24.75" customHeight="1" hidden="1">
      <c r="F130" s="7" t="s">
        <v>106</v>
      </c>
      <c r="H130" s="35"/>
      <c r="J130" s="37"/>
    </row>
    <row r="131" spans="7:10" ht="24.75" customHeight="1" hidden="1">
      <c r="G131" s="7" t="s">
        <v>107</v>
      </c>
      <c r="H131" s="35"/>
      <c r="J131" s="37"/>
    </row>
    <row r="132" spans="6:12" ht="24.75" customHeight="1" hidden="1">
      <c r="F132" s="35" t="s">
        <v>102</v>
      </c>
      <c r="G132" s="41">
        <f>J41/2</f>
        <v>0.6</v>
      </c>
      <c r="H132" s="7" t="s">
        <v>98</v>
      </c>
      <c r="I132" s="7" t="s">
        <v>0</v>
      </c>
      <c r="J132" s="37">
        <f>-(J118*J40^2)/8</f>
        <v>-54.45000000000001</v>
      </c>
      <c r="K132" s="7" t="s">
        <v>101</v>
      </c>
      <c r="L132" s="40"/>
    </row>
    <row r="133" spans="8:11" ht="24.75" customHeight="1" hidden="1">
      <c r="H133" s="7" t="s">
        <v>99</v>
      </c>
      <c r="I133" s="7" t="s">
        <v>0</v>
      </c>
      <c r="J133" s="37">
        <v>0</v>
      </c>
      <c r="K133" s="7" t="s">
        <v>101</v>
      </c>
    </row>
    <row r="134" spans="8:11" ht="24.75" customHeight="1" hidden="1">
      <c r="H134" s="7" t="s">
        <v>100</v>
      </c>
      <c r="I134" s="7" t="s">
        <v>0</v>
      </c>
      <c r="J134" s="37">
        <f>-(J118*J40^2)/4</f>
        <v>-108.90000000000002</v>
      </c>
      <c r="K134" s="7" t="s">
        <v>101</v>
      </c>
    </row>
    <row r="135" spans="7:10" ht="24.75" customHeight="1" hidden="1">
      <c r="G135" s="7" t="s">
        <v>108</v>
      </c>
      <c r="H135" s="35"/>
      <c r="J135" s="37"/>
    </row>
    <row r="136" spans="6:11" ht="24.75" customHeight="1" hidden="1">
      <c r="F136" s="35" t="s">
        <v>102</v>
      </c>
      <c r="G136" s="41">
        <f>(J40+J41)/2</f>
        <v>1.15</v>
      </c>
      <c r="H136" s="7" t="s">
        <v>98</v>
      </c>
      <c r="I136" s="7" t="s">
        <v>0</v>
      </c>
      <c r="J136" s="37">
        <v>0</v>
      </c>
      <c r="K136" s="7" t="s">
        <v>101</v>
      </c>
    </row>
    <row r="137" spans="8:11" ht="24.75" customHeight="1" hidden="1">
      <c r="H137" s="7" t="s">
        <v>99</v>
      </c>
      <c r="I137" s="7" t="s">
        <v>0</v>
      </c>
      <c r="J137" s="37">
        <v>0</v>
      </c>
      <c r="K137" s="7" t="s">
        <v>101</v>
      </c>
    </row>
    <row r="138" spans="8:11" ht="24.75" customHeight="1" hidden="1">
      <c r="H138" s="7" t="s">
        <v>100</v>
      </c>
      <c r="I138" s="7" t="s">
        <v>0</v>
      </c>
      <c r="J138" s="37">
        <v>0</v>
      </c>
      <c r="K138" s="7" t="s">
        <v>101</v>
      </c>
    </row>
    <row r="139" spans="6:10" ht="24.75" customHeight="1" hidden="1">
      <c r="F139" s="7" t="s">
        <v>109</v>
      </c>
      <c r="H139" s="35"/>
      <c r="J139" s="37"/>
    </row>
    <row r="140" spans="7:10" ht="24.75" customHeight="1" hidden="1">
      <c r="G140" s="7" t="s">
        <v>107</v>
      </c>
      <c r="H140" s="35"/>
      <c r="J140" s="37"/>
    </row>
    <row r="141" spans="6:12" ht="24.75" customHeight="1" hidden="1">
      <c r="F141" s="35" t="s">
        <v>110</v>
      </c>
      <c r="G141" s="41">
        <v>0</v>
      </c>
      <c r="H141" s="7" t="s">
        <v>98</v>
      </c>
      <c r="I141" s="7" t="s">
        <v>0</v>
      </c>
      <c r="J141" s="37">
        <f>-((J118*(J41+J40)*(J40/2))/2)</f>
        <v>-227.7</v>
      </c>
      <c r="K141" s="7" t="s">
        <v>101</v>
      </c>
      <c r="L141" s="42"/>
    </row>
    <row r="142" spans="8:11" ht="24.75" customHeight="1" hidden="1">
      <c r="H142" s="7" t="s">
        <v>99</v>
      </c>
      <c r="I142" s="7" t="s">
        <v>0</v>
      </c>
      <c r="J142" s="37">
        <f>-(((J119*J41*(COS(22*J46/(180*7))))/2)+((J120+(J118*((J41^2-J40^2)))/8)*(SIN(22*J46/(180*7)))))</f>
        <v>-1870.0794749018546</v>
      </c>
      <c r="K142" s="7" t="s">
        <v>101</v>
      </c>
    </row>
    <row r="143" spans="8:11" ht="24.75" customHeight="1" hidden="1">
      <c r="H143" s="7" t="s">
        <v>100</v>
      </c>
      <c r="I143" s="7" t="s">
        <v>0</v>
      </c>
      <c r="J143" s="37">
        <f>-(((J119*J41/2)*(SIN(22*J46/(180*7))))-(((J120+(J118*((J41^2-J40^2)))/8)*(COS(22*J46/(180*7))))))</f>
        <v>-176.59797928305807</v>
      </c>
      <c r="K143" s="7" t="s">
        <v>101</v>
      </c>
    </row>
    <row r="144" spans="7:10" ht="24.75" customHeight="1" hidden="1">
      <c r="G144" s="7" t="s">
        <v>111</v>
      </c>
      <c r="H144" s="35"/>
      <c r="J144" s="37"/>
    </row>
    <row r="145" spans="6:14" ht="24.75" customHeight="1" hidden="1">
      <c r="F145" s="35" t="s">
        <v>110</v>
      </c>
      <c r="G145" s="41">
        <f>J45/2</f>
        <v>2.283124230084732</v>
      </c>
      <c r="H145" s="7" t="s">
        <v>98</v>
      </c>
      <c r="I145" s="7" t="s">
        <v>0</v>
      </c>
      <c r="J145" s="37">
        <f>((J119*G145*(SIN(22*J46/(180*7)))))-(((G145*(COS(22*J46/(180*7))))+(J40/2))*(((((J118*(J41+J40)))/2))))-(((J117*G145^2*(COS(22*J46/(180*7)))^2))/2)</f>
        <v>698.5272258031009</v>
      </c>
      <c r="K145" s="7" t="s">
        <v>101</v>
      </c>
      <c r="N145" s="40"/>
    </row>
    <row r="146" spans="8:11" ht="24.75" customHeight="1" hidden="1">
      <c r="H146" s="7" t="s">
        <v>99</v>
      </c>
      <c r="I146" s="7" t="s">
        <v>0</v>
      </c>
      <c r="J146" s="37">
        <f>J142</f>
        <v>-1870.0794749018546</v>
      </c>
      <c r="K146" s="7" t="s">
        <v>101</v>
      </c>
    </row>
    <row r="147" spans="8:11" ht="24.75" customHeight="1" hidden="1">
      <c r="H147" s="7" t="s">
        <v>100</v>
      </c>
      <c r="I147" s="7" t="s">
        <v>0</v>
      </c>
      <c r="J147" s="37">
        <f>J143</f>
        <v>-176.59797928305807</v>
      </c>
      <c r="K147" s="7" t="s">
        <v>101</v>
      </c>
    </row>
    <row r="148" spans="7:10" ht="24.75" customHeight="1" hidden="1">
      <c r="G148" s="7" t="s">
        <v>112</v>
      </c>
      <c r="H148" s="35"/>
      <c r="J148" s="37"/>
    </row>
    <row r="149" spans="6:14" ht="24.75" customHeight="1" hidden="1">
      <c r="F149" s="35" t="s">
        <v>110</v>
      </c>
      <c r="G149" s="41">
        <f>J45</f>
        <v>4.566248460169464</v>
      </c>
      <c r="H149" s="7" t="s">
        <v>98</v>
      </c>
      <c r="I149" s="7" t="s">
        <v>0</v>
      </c>
      <c r="J149" s="37">
        <f>((J119*G149*(SIN(22*J46/(180*7)))))-(((G149*(COS(22*J46/(180*7))))+(J40/2))*(((((J118*(J41+J40)))/2))))-(((J117*G149^2*(COS(22*J46/(180*7)))^2))/2)</f>
        <v>-1596.0246940242996</v>
      </c>
      <c r="K149" s="7" t="s">
        <v>101</v>
      </c>
      <c r="N149" s="40"/>
    </row>
    <row r="150" spans="8:11" ht="24.75" customHeight="1" hidden="1">
      <c r="H150" s="7" t="s">
        <v>99</v>
      </c>
      <c r="I150" s="7" t="s">
        <v>0</v>
      </c>
      <c r="J150" s="37">
        <f>J146</f>
        <v>-1870.0794749018546</v>
      </c>
      <c r="K150" s="7" t="s">
        <v>101</v>
      </c>
    </row>
    <row r="151" spans="8:11" ht="24.75" customHeight="1" hidden="1">
      <c r="H151" s="7" t="s">
        <v>100</v>
      </c>
      <c r="I151" s="7" t="s">
        <v>0</v>
      </c>
      <c r="J151" s="37">
        <f>J147</f>
        <v>-176.59797928305807</v>
      </c>
      <c r="K151" s="7" t="s">
        <v>101</v>
      </c>
    </row>
    <row r="152" spans="4:10" ht="24.75" customHeight="1">
      <c r="D152" s="70" t="s">
        <v>113</v>
      </c>
      <c r="E152" s="71"/>
      <c r="F152" s="72"/>
      <c r="G152" s="43" t="s">
        <v>98</v>
      </c>
      <c r="H152" s="43" t="s">
        <v>99</v>
      </c>
      <c r="I152" s="67" t="s">
        <v>100</v>
      </c>
      <c r="J152" s="68"/>
    </row>
    <row r="153" spans="4:10" ht="24.75" customHeight="1">
      <c r="D153" s="44" t="s">
        <v>114</v>
      </c>
      <c r="E153" s="45" t="s">
        <v>115</v>
      </c>
      <c r="F153" s="46"/>
      <c r="G153" s="47">
        <f>J123</f>
        <v>-811.857692225612</v>
      </c>
      <c r="H153" s="47">
        <f>J124</f>
        <v>0</v>
      </c>
      <c r="I153" s="67">
        <f>J125</f>
        <v>0</v>
      </c>
      <c r="J153" s="68"/>
    </row>
    <row r="154" spans="4:10" ht="24.75" customHeight="1">
      <c r="D154" s="44"/>
      <c r="E154" s="45" t="s">
        <v>116</v>
      </c>
      <c r="F154" s="46"/>
      <c r="G154" s="47">
        <f>J127</f>
        <v>-876.657692225612</v>
      </c>
      <c r="H154" s="47">
        <f>J128</f>
        <v>-1688.8927140529352</v>
      </c>
      <c r="I154" s="67">
        <f>J129</f>
        <v>-118.80000000000001</v>
      </c>
      <c r="J154" s="68"/>
    </row>
    <row r="155" spans="4:10" ht="24.75" customHeight="1">
      <c r="D155" s="44"/>
      <c r="E155" s="45" t="s">
        <v>117</v>
      </c>
      <c r="F155" s="46"/>
      <c r="G155" s="48">
        <f>(G154+G156)/2</f>
        <v>-465.553846112806</v>
      </c>
      <c r="H155" s="49"/>
      <c r="I155" s="70"/>
      <c r="J155" s="72"/>
    </row>
    <row r="156" spans="4:10" ht="24.75" customHeight="1">
      <c r="D156" s="44" t="s">
        <v>118</v>
      </c>
      <c r="E156" s="45" t="s">
        <v>116</v>
      </c>
      <c r="F156" s="46"/>
      <c r="G156" s="47">
        <f>J132</f>
        <v>-54.45000000000001</v>
      </c>
      <c r="H156" s="47">
        <f>J133</f>
        <v>0</v>
      </c>
      <c r="I156" s="67">
        <f>J134</f>
        <v>-108.90000000000002</v>
      </c>
      <c r="J156" s="68"/>
    </row>
    <row r="157" spans="4:10" ht="24.75" customHeight="1">
      <c r="D157" s="44"/>
      <c r="E157" s="45" t="s">
        <v>119</v>
      </c>
      <c r="F157" s="46"/>
      <c r="G157" s="47">
        <f>J136</f>
        <v>0</v>
      </c>
      <c r="H157" s="47">
        <f>J137</f>
        <v>0</v>
      </c>
      <c r="I157" s="67">
        <f>J138</f>
        <v>0</v>
      </c>
      <c r="J157" s="68"/>
    </row>
    <row r="158" spans="4:10" ht="24.75" customHeight="1">
      <c r="D158" s="44" t="s">
        <v>121</v>
      </c>
      <c r="E158" s="45" t="s">
        <v>116</v>
      </c>
      <c r="F158" s="46"/>
      <c r="G158" s="47">
        <f>J141</f>
        <v>-227.7</v>
      </c>
      <c r="H158" s="47">
        <f>J142</f>
        <v>-1870.0794749018546</v>
      </c>
      <c r="I158" s="67">
        <f>J143</f>
        <v>-176.59797928305807</v>
      </c>
      <c r="J158" s="68"/>
    </row>
    <row r="159" spans="4:10" ht="24.75" customHeight="1">
      <c r="D159" s="44"/>
      <c r="E159" s="45" t="s">
        <v>120</v>
      </c>
      <c r="F159" s="46"/>
      <c r="G159" s="47">
        <f>J145</f>
        <v>698.5272258031009</v>
      </c>
      <c r="H159" s="47">
        <f>J146</f>
        <v>-1870.0794749018546</v>
      </c>
      <c r="I159" s="67">
        <f>J147</f>
        <v>-176.59797928305807</v>
      </c>
      <c r="J159" s="68"/>
    </row>
    <row r="160" spans="4:10" ht="24.75" customHeight="1">
      <c r="D160" s="44"/>
      <c r="E160" s="45" t="s">
        <v>122</v>
      </c>
      <c r="F160" s="46"/>
      <c r="G160" s="47">
        <f>J149</f>
        <v>-1596.0246940242996</v>
      </c>
      <c r="H160" s="47">
        <f>J150</f>
        <v>-1870.0794749018546</v>
      </c>
      <c r="I160" s="67">
        <f>J151</f>
        <v>-176.59797928305807</v>
      </c>
      <c r="J160" s="68"/>
    </row>
    <row r="161" spans="2:13" ht="24.75" customHeight="1">
      <c r="B161" s="39" t="s">
        <v>91</v>
      </c>
      <c r="J161" s="37"/>
      <c r="M161" s="40"/>
    </row>
    <row r="162" spans="4:11" ht="24.75" customHeight="1">
      <c r="D162" s="7" t="s">
        <v>83</v>
      </c>
      <c r="H162" s="35" t="s">
        <v>84</v>
      </c>
      <c r="I162" s="7" t="s">
        <v>0</v>
      </c>
      <c r="J162" s="37">
        <f>J47</f>
        <v>547.2434247628016</v>
      </c>
      <c r="K162" s="7" t="s">
        <v>55</v>
      </c>
    </row>
    <row r="163" spans="4:11" ht="24.75" customHeight="1">
      <c r="D163" s="7" t="s">
        <v>86</v>
      </c>
      <c r="H163" s="35" t="s">
        <v>85</v>
      </c>
      <c r="I163" s="7" t="s">
        <v>0</v>
      </c>
      <c r="J163" s="37">
        <f>J48+J34</f>
        <v>660</v>
      </c>
      <c r="K163" s="7" t="s">
        <v>55</v>
      </c>
    </row>
    <row r="164" spans="4:11" ht="24.75" customHeight="1">
      <c r="D164" s="7" t="s">
        <v>95</v>
      </c>
      <c r="H164" s="35" t="s">
        <v>54</v>
      </c>
      <c r="I164" s="7" t="s">
        <v>0</v>
      </c>
      <c r="J164" s="40">
        <f>(((J163*(J41+J40))*(4+3*(J40/J45)*(((1/(COS(22*J46/(180*7))))))))+(3*J162*J45*(COS(22*J46/(180*7)))))/(2*(TAN(22*J46/(180*7)))*(4+((3*(J41/J45)^2)/((0.72/(1+(J35/J40)^2))+1/J49))))</f>
        <v>2781.3434702369227</v>
      </c>
      <c r="K164" s="7" t="s">
        <v>94</v>
      </c>
    </row>
    <row r="165" spans="4:12" ht="24.75" customHeight="1">
      <c r="D165" s="7" t="s">
        <v>96</v>
      </c>
      <c r="H165" s="35" t="s">
        <v>97</v>
      </c>
      <c r="I165" s="7" t="s">
        <v>0</v>
      </c>
      <c r="J165" s="37">
        <f>((J164*J41*(TAN(22*J46/(180*7))))-(((J163*(J41^2-J40^2)))/4))/(((((1.44*J49)))/(1+(((J35/J40)^2))))+2)</f>
        <v>795.2298019337966</v>
      </c>
      <c r="K165" s="7" t="s">
        <v>94</v>
      </c>
      <c r="L165" s="40"/>
    </row>
    <row r="166" spans="6:10" ht="24.75" customHeight="1" hidden="1">
      <c r="F166" s="7" t="s">
        <v>103</v>
      </c>
      <c r="H166" s="35"/>
      <c r="J166" s="37"/>
    </row>
    <row r="167" spans="7:10" ht="24.75" customHeight="1" hidden="1">
      <c r="G167" s="7" t="s">
        <v>104</v>
      </c>
      <c r="H167" s="35"/>
      <c r="J167" s="37"/>
    </row>
    <row r="168" spans="6:12" ht="24.75" customHeight="1" hidden="1">
      <c r="F168" s="35" t="s">
        <v>102</v>
      </c>
      <c r="G168" s="41">
        <v>0</v>
      </c>
      <c r="H168" s="7" t="s">
        <v>98</v>
      </c>
      <c r="I168" s="7" t="s">
        <v>0</v>
      </c>
      <c r="J168" s="37">
        <f>-J165</f>
        <v>-795.2298019337966</v>
      </c>
      <c r="K168" s="7" t="s">
        <v>101</v>
      </c>
      <c r="L168" s="40"/>
    </row>
    <row r="169" spans="8:11" ht="24.75" customHeight="1" hidden="1">
      <c r="H169" s="7" t="s">
        <v>99</v>
      </c>
      <c r="I169" s="7" t="s">
        <v>0</v>
      </c>
      <c r="J169" s="37">
        <v>0</v>
      </c>
      <c r="K169" s="7" t="s">
        <v>101</v>
      </c>
    </row>
    <row r="170" spans="8:11" ht="24.75" customHeight="1" hidden="1">
      <c r="H170" s="7" t="s">
        <v>100</v>
      </c>
      <c r="I170" s="7" t="s">
        <v>0</v>
      </c>
      <c r="J170" s="37">
        <v>0</v>
      </c>
      <c r="K170" s="7" t="s">
        <v>101</v>
      </c>
    </row>
    <row r="171" spans="7:10" ht="24.75" customHeight="1" hidden="1">
      <c r="G171" s="7" t="s">
        <v>105</v>
      </c>
      <c r="H171" s="35"/>
      <c r="J171" s="37"/>
    </row>
    <row r="172" spans="6:11" ht="24.75" customHeight="1" hidden="1">
      <c r="F172" s="35" t="s">
        <v>102</v>
      </c>
      <c r="G172" s="41">
        <f>J41/2</f>
        <v>0.6</v>
      </c>
      <c r="H172" s="7" t="s">
        <v>98</v>
      </c>
      <c r="I172" s="7" t="s">
        <v>0</v>
      </c>
      <c r="J172" s="37">
        <f>-J165-(J163*G172^2)/2</f>
        <v>-914.0298019337965</v>
      </c>
      <c r="K172" s="7" t="s">
        <v>101</v>
      </c>
    </row>
    <row r="173" spans="8:11" ht="24.75" customHeight="1" hidden="1">
      <c r="H173" s="7" t="s">
        <v>99</v>
      </c>
      <c r="I173" s="7" t="s">
        <v>0</v>
      </c>
      <c r="J173" s="37">
        <f>-J164*G172</f>
        <v>-1668.8060821421536</v>
      </c>
      <c r="K173" s="7" t="s">
        <v>101</v>
      </c>
    </row>
    <row r="174" spans="8:11" ht="24.75" customHeight="1" hidden="1">
      <c r="H174" s="7" t="s">
        <v>100</v>
      </c>
      <c r="I174" s="7" t="s">
        <v>0</v>
      </c>
      <c r="J174" s="37">
        <f>-J163*J40*G172/2</f>
        <v>-217.80000000000004</v>
      </c>
      <c r="K174" s="7" t="s">
        <v>101</v>
      </c>
    </row>
    <row r="175" spans="6:10" ht="24.75" customHeight="1" hidden="1">
      <c r="F175" s="7" t="s">
        <v>106</v>
      </c>
      <c r="H175" s="35"/>
      <c r="J175" s="37"/>
    </row>
    <row r="176" spans="7:10" ht="24.75" customHeight="1" hidden="1">
      <c r="G176" s="7" t="s">
        <v>107</v>
      </c>
      <c r="H176" s="35"/>
      <c r="J176" s="37"/>
    </row>
    <row r="177" spans="6:12" ht="24.75" customHeight="1" hidden="1">
      <c r="F177" s="35" t="s">
        <v>102</v>
      </c>
      <c r="G177" s="41">
        <f>J41/2</f>
        <v>0.6</v>
      </c>
      <c r="H177" s="7" t="s">
        <v>98</v>
      </c>
      <c r="I177" s="7" t="s">
        <v>0</v>
      </c>
      <c r="J177" s="37">
        <f>-(J163*J40^2)/8</f>
        <v>-99.82500000000002</v>
      </c>
      <c r="K177" s="7" t="s">
        <v>101</v>
      </c>
      <c r="L177" s="40"/>
    </row>
    <row r="178" spans="8:11" ht="24.75" customHeight="1" hidden="1">
      <c r="H178" s="7" t="s">
        <v>99</v>
      </c>
      <c r="I178" s="7" t="s">
        <v>0</v>
      </c>
      <c r="J178" s="37">
        <v>0</v>
      </c>
      <c r="K178" s="7" t="s">
        <v>101</v>
      </c>
    </row>
    <row r="179" spans="8:11" ht="24.75" customHeight="1" hidden="1">
      <c r="H179" s="7" t="s">
        <v>100</v>
      </c>
      <c r="I179" s="7" t="s">
        <v>0</v>
      </c>
      <c r="J179" s="37">
        <f>-(J163*J40^2)/4</f>
        <v>-199.65000000000003</v>
      </c>
      <c r="K179" s="7" t="s">
        <v>101</v>
      </c>
    </row>
    <row r="180" spans="7:10" ht="24.75" customHeight="1" hidden="1">
      <c r="G180" s="7" t="s">
        <v>108</v>
      </c>
      <c r="H180" s="35"/>
      <c r="J180" s="37"/>
    </row>
    <row r="181" spans="6:11" ht="24.75" customHeight="1" hidden="1">
      <c r="F181" s="35" t="s">
        <v>102</v>
      </c>
      <c r="G181" s="41">
        <f>(J40+J41)/2</f>
        <v>1.15</v>
      </c>
      <c r="H181" s="7" t="s">
        <v>98</v>
      </c>
      <c r="I181" s="7" t="s">
        <v>0</v>
      </c>
      <c r="J181" s="37">
        <v>0</v>
      </c>
      <c r="K181" s="7" t="s">
        <v>101</v>
      </c>
    </row>
    <row r="182" spans="8:11" ht="24.75" customHeight="1" hidden="1">
      <c r="H182" s="7" t="s">
        <v>99</v>
      </c>
      <c r="I182" s="7" t="s">
        <v>0</v>
      </c>
      <c r="J182" s="37">
        <v>0</v>
      </c>
      <c r="K182" s="7" t="s">
        <v>101</v>
      </c>
    </row>
    <row r="183" spans="8:11" ht="24.75" customHeight="1" hidden="1">
      <c r="H183" s="7" t="s">
        <v>100</v>
      </c>
      <c r="I183" s="7" t="s">
        <v>0</v>
      </c>
      <c r="J183" s="37">
        <v>0</v>
      </c>
      <c r="K183" s="7" t="s">
        <v>101</v>
      </c>
    </row>
    <row r="184" spans="6:10" ht="24.75" customHeight="1" hidden="1">
      <c r="F184" s="7" t="s">
        <v>109</v>
      </c>
      <c r="H184" s="35"/>
      <c r="J184" s="37"/>
    </row>
    <row r="185" spans="7:10" ht="24.75" customHeight="1" hidden="1">
      <c r="G185" s="7" t="s">
        <v>107</v>
      </c>
      <c r="H185" s="35"/>
      <c r="J185" s="37"/>
    </row>
    <row r="186" spans="6:12" ht="24.75" customHeight="1" hidden="1">
      <c r="F186" s="35" t="s">
        <v>110</v>
      </c>
      <c r="G186" s="41">
        <v>0</v>
      </c>
      <c r="H186" s="7" t="s">
        <v>98</v>
      </c>
      <c r="I186" s="7" t="s">
        <v>0</v>
      </c>
      <c r="J186" s="37">
        <f>-((J163*(J41+J40)*(J40/2))/2)</f>
        <v>-417.45</v>
      </c>
      <c r="K186" s="7" t="s">
        <v>101</v>
      </c>
      <c r="L186" s="42"/>
    </row>
    <row r="187" spans="8:11" ht="24.75" customHeight="1" hidden="1">
      <c r="H187" s="7" t="s">
        <v>99</v>
      </c>
      <c r="I187" s="7" t="s">
        <v>0</v>
      </c>
      <c r="J187" s="37">
        <f>-(((J164*J41*(COS(22*J46/(180*7))))/2)+((J165+(J163*((J41^2-J40^2)))/8)*(SIN(22*J46/(180*7)))))</f>
        <v>-1848.761954426592</v>
      </c>
      <c r="K187" s="7" t="s">
        <v>101</v>
      </c>
    </row>
    <row r="188" spans="8:11" ht="24.75" customHeight="1" hidden="1">
      <c r="H188" s="7" t="s">
        <v>100</v>
      </c>
      <c r="I188" s="7" t="s">
        <v>0</v>
      </c>
      <c r="J188" s="37">
        <f>-(((J164*J41/2)*(SIN(22*J46/(180*7))))-(((J165+(J163*((J41^2-J40^2)))/8)*(COS(22*J46/(180*7))))))</f>
        <v>-172.98102540875902</v>
      </c>
      <c r="K188" s="7" t="s">
        <v>101</v>
      </c>
    </row>
    <row r="189" spans="7:10" ht="24.75" customHeight="1" hidden="1">
      <c r="G189" s="7" t="s">
        <v>111</v>
      </c>
      <c r="H189" s="35"/>
      <c r="J189" s="37"/>
    </row>
    <row r="190" spans="6:14" ht="24.75" customHeight="1" hidden="1">
      <c r="F190" s="35" t="s">
        <v>110</v>
      </c>
      <c r="G190" s="41">
        <f>J45/2</f>
        <v>2.283124230084732</v>
      </c>
      <c r="H190" s="7" t="s">
        <v>98</v>
      </c>
      <c r="I190" s="7" t="s">
        <v>0</v>
      </c>
      <c r="J190" s="37">
        <f>((J164*G190*(SIN(22*J46/(180*7)))))-(((G190*(COS(22*J46/(180*7))))+(J40/2))*(((((J163*(J41+J40)))/2))))-(((J162*G190^2*(COS(22*J46/(180*7)))^2))/2)</f>
        <v>366.5703139554969</v>
      </c>
      <c r="K190" s="7" t="s">
        <v>101</v>
      </c>
      <c r="N190" s="40"/>
    </row>
    <row r="191" spans="8:11" ht="24.75" customHeight="1" hidden="1">
      <c r="H191" s="7" t="s">
        <v>99</v>
      </c>
      <c r="I191" s="7" t="s">
        <v>0</v>
      </c>
      <c r="J191" s="37">
        <f>J187</f>
        <v>-1848.761954426592</v>
      </c>
      <c r="K191" s="7" t="s">
        <v>101</v>
      </c>
    </row>
    <row r="192" spans="8:11" ht="24.75" customHeight="1" hidden="1">
      <c r="H192" s="7" t="s">
        <v>100</v>
      </c>
      <c r="I192" s="7" t="s">
        <v>0</v>
      </c>
      <c r="J192" s="37">
        <f>J188</f>
        <v>-172.98102540875902</v>
      </c>
      <c r="K192" s="7" t="s">
        <v>101</v>
      </c>
    </row>
    <row r="193" spans="7:10" ht="24.75" customHeight="1" hidden="1">
      <c r="G193" s="7" t="s">
        <v>112</v>
      </c>
      <c r="H193" s="35"/>
      <c r="J193" s="37"/>
    </row>
    <row r="194" spans="6:14" ht="24.75" customHeight="1" hidden="1">
      <c r="F194" s="35" t="s">
        <v>110</v>
      </c>
      <c r="G194" s="41">
        <f>J45</f>
        <v>4.566248460169464</v>
      </c>
      <c r="H194" s="7" t="s">
        <v>98</v>
      </c>
      <c r="I194" s="7" t="s">
        <v>0</v>
      </c>
      <c r="J194" s="37">
        <f>((J164*G194*(SIN(22*J46/(180*7)))))-(((G194*(COS(22*J46/(180*7))))+(J40/2))*(((((J163*(J41+J40)))/2))))-(((J162*G194^2*(COS(22*J46/(180*7)))^2))/2)</f>
        <v>-929.7444429134248</v>
      </c>
      <c r="K194" s="7" t="s">
        <v>101</v>
      </c>
      <c r="N194" s="40"/>
    </row>
    <row r="195" spans="8:11" ht="24.75" customHeight="1" hidden="1">
      <c r="H195" s="7" t="s">
        <v>99</v>
      </c>
      <c r="I195" s="7" t="s">
        <v>0</v>
      </c>
      <c r="J195" s="37">
        <f>J191</f>
        <v>-1848.761954426592</v>
      </c>
      <c r="K195" s="7" t="s">
        <v>101</v>
      </c>
    </row>
    <row r="196" spans="8:11" ht="24.75" customHeight="1" hidden="1">
      <c r="H196" s="7" t="s">
        <v>100</v>
      </c>
      <c r="I196" s="7" t="s">
        <v>0</v>
      </c>
      <c r="J196" s="37">
        <f>J192</f>
        <v>-172.98102540875902</v>
      </c>
      <c r="K196" s="7" t="s">
        <v>101</v>
      </c>
    </row>
    <row r="197" spans="4:10" ht="24.75" customHeight="1">
      <c r="D197" s="70" t="s">
        <v>113</v>
      </c>
      <c r="E197" s="71"/>
      <c r="F197" s="72"/>
      <c r="G197" s="43" t="s">
        <v>98</v>
      </c>
      <c r="H197" s="43" t="s">
        <v>99</v>
      </c>
      <c r="I197" s="67" t="s">
        <v>100</v>
      </c>
      <c r="J197" s="68"/>
    </row>
    <row r="198" spans="4:10" ht="24.75" customHeight="1">
      <c r="D198" s="44" t="s">
        <v>114</v>
      </c>
      <c r="E198" s="45" t="s">
        <v>115</v>
      </c>
      <c r="F198" s="46"/>
      <c r="G198" s="47">
        <f>J168</f>
        <v>-795.2298019337966</v>
      </c>
      <c r="H198" s="47">
        <f>J169</f>
        <v>0</v>
      </c>
      <c r="I198" s="67">
        <f>J170</f>
        <v>0</v>
      </c>
      <c r="J198" s="68"/>
    </row>
    <row r="199" spans="4:10" ht="24.75" customHeight="1">
      <c r="D199" s="44"/>
      <c r="E199" s="45" t="s">
        <v>116</v>
      </c>
      <c r="F199" s="46"/>
      <c r="G199" s="47">
        <f>J172</f>
        <v>-914.0298019337965</v>
      </c>
      <c r="H199" s="47">
        <f>J173</f>
        <v>-1668.8060821421536</v>
      </c>
      <c r="I199" s="67">
        <f>J174</f>
        <v>-217.80000000000004</v>
      </c>
      <c r="J199" s="68"/>
    </row>
    <row r="200" spans="4:10" ht="24.75" customHeight="1">
      <c r="D200" s="44"/>
      <c r="E200" s="45" t="s">
        <v>117</v>
      </c>
      <c r="F200" s="46"/>
      <c r="G200" s="48">
        <f>(G199+G201)/2</f>
        <v>-506.9274009668983</v>
      </c>
      <c r="H200" s="49"/>
      <c r="I200" s="70"/>
      <c r="J200" s="72"/>
    </row>
    <row r="201" spans="4:10" ht="24.75" customHeight="1">
      <c r="D201" s="44" t="s">
        <v>118</v>
      </c>
      <c r="E201" s="45" t="s">
        <v>116</v>
      </c>
      <c r="F201" s="46"/>
      <c r="G201" s="47">
        <f>J177</f>
        <v>-99.82500000000002</v>
      </c>
      <c r="H201" s="47">
        <f>J178</f>
        <v>0</v>
      </c>
      <c r="I201" s="67">
        <f>J179</f>
        <v>-199.65000000000003</v>
      </c>
      <c r="J201" s="68"/>
    </row>
    <row r="202" spans="4:10" ht="24.75" customHeight="1">
      <c r="D202" s="44"/>
      <c r="E202" s="45" t="s">
        <v>119</v>
      </c>
      <c r="F202" s="46"/>
      <c r="G202" s="47">
        <f>J181</f>
        <v>0</v>
      </c>
      <c r="H202" s="47">
        <f>J182</f>
        <v>0</v>
      </c>
      <c r="I202" s="67">
        <f>J183</f>
        <v>0</v>
      </c>
      <c r="J202" s="68"/>
    </row>
    <row r="203" spans="4:10" ht="24.75" customHeight="1">
      <c r="D203" s="44" t="s">
        <v>121</v>
      </c>
      <c r="E203" s="45" t="s">
        <v>116</v>
      </c>
      <c r="F203" s="46"/>
      <c r="G203" s="47">
        <f>J186</f>
        <v>-417.45</v>
      </c>
      <c r="H203" s="47">
        <f>J187</f>
        <v>-1848.761954426592</v>
      </c>
      <c r="I203" s="67">
        <f>J188</f>
        <v>-172.98102540875902</v>
      </c>
      <c r="J203" s="68"/>
    </row>
    <row r="204" spans="4:10" ht="24.75" customHeight="1">
      <c r="D204" s="44"/>
      <c r="E204" s="45" t="s">
        <v>120</v>
      </c>
      <c r="F204" s="46"/>
      <c r="G204" s="47">
        <f>J190</f>
        <v>366.5703139554969</v>
      </c>
      <c r="H204" s="47">
        <f>J191</f>
        <v>-1848.761954426592</v>
      </c>
      <c r="I204" s="67">
        <f>J192</f>
        <v>-172.98102540875902</v>
      </c>
      <c r="J204" s="68"/>
    </row>
    <row r="205" spans="4:10" ht="24.75" customHeight="1">
      <c r="D205" s="44"/>
      <c r="E205" s="45" t="s">
        <v>122</v>
      </c>
      <c r="F205" s="46"/>
      <c r="G205" s="47">
        <f>J194</f>
        <v>-929.7444429134248</v>
      </c>
      <c r="H205" s="47">
        <f>J195</f>
        <v>-1848.761954426592</v>
      </c>
      <c r="I205" s="67">
        <f>J196</f>
        <v>-172.98102540875902</v>
      </c>
      <c r="J205" s="68"/>
    </row>
    <row r="207" spans="2:9" ht="24.75" customHeight="1">
      <c r="B207" s="39" t="s">
        <v>124</v>
      </c>
      <c r="D207" s="7" t="s">
        <v>138</v>
      </c>
      <c r="F207" s="10" t="s">
        <v>78</v>
      </c>
      <c r="G207" s="7" t="s">
        <v>0</v>
      </c>
      <c r="H207" s="37">
        <f>J40</f>
        <v>1.1</v>
      </c>
      <c r="I207" s="7" t="s">
        <v>53</v>
      </c>
    </row>
    <row r="208" spans="3:10" ht="24.75" customHeight="1">
      <c r="C208" s="7" t="s">
        <v>123</v>
      </c>
      <c r="F208" s="50" t="s">
        <v>98</v>
      </c>
      <c r="G208" s="51" t="s">
        <v>0</v>
      </c>
      <c r="H208" s="52">
        <f>MIN(G107,G109,G153,G155,G198,G200)*H207</f>
        <v>-1102.1283696512448</v>
      </c>
      <c r="I208" s="51" t="s">
        <v>127</v>
      </c>
      <c r="J208" s="50"/>
    </row>
    <row r="209" spans="6:11" ht="24.75" customHeight="1">
      <c r="F209" s="10" t="s">
        <v>58</v>
      </c>
      <c r="G209" s="7" t="s">
        <v>0</v>
      </c>
      <c r="H209" s="37">
        <f>J36-0.04</f>
        <v>0.10999999999999999</v>
      </c>
      <c r="I209" s="7" t="s">
        <v>53</v>
      </c>
      <c r="J209" s="10" t="s">
        <v>98</v>
      </c>
      <c r="K209" s="40"/>
    </row>
    <row r="210" spans="6:10" ht="24.75" customHeight="1">
      <c r="F210" s="10" t="s">
        <v>125</v>
      </c>
      <c r="G210" s="7" t="s">
        <v>0</v>
      </c>
      <c r="H210" s="37">
        <v>0.04</v>
      </c>
      <c r="I210" s="7" t="s">
        <v>53</v>
      </c>
      <c r="J210" s="10" t="s">
        <v>98</v>
      </c>
    </row>
    <row r="211" spans="6:10" ht="24.75" customHeight="1">
      <c r="F211" s="10" t="s">
        <v>126</v>
      </c>
      <c r="G211" s="7" t="s">
        <v>0</v>
      </c>
      <c r="H211" s="37">
        <f>J28*H207*(H209*100)^2</f>
        <v>940.144317990391</v>
      </c>
      <c r="I211" s="7" t="s">
        <v>127</v>
      </c>
      <c r="J211" s="53" t="str">
        <f>IF(ABS(H208)&lt;H211,"&gt; Mv OK.","&lt; Mv เพิ่มความหนา")</f>
        <v>&lt; Mv เพิ่มความหนา</v>
      </c>
    </row>
    <row r="212" spans="6:10" ht="24.75" customHeight="1">
      <c r="F212" s="7" t="s">
        <v>128</v>
      </c>
      <c r="G212" s="7" t="s">
        <v>0</v>
      </c>
      <c r="H212" s="37">
        <f>ABS(H208)/(J22*J27*H209)</f>
        <v>6.396693311700479</v>
      </c>
      <c r="I212" s="7" t="s">
        <v>129</v>
      </c>
      <c r="J212" s="54">
        <f>H207</f>
        <v>1.1</v>
      </c>
    </row>
    <row r="213" spans="6:9" ht="24.75" customHeight="1">
      <c r="F213" s="50" t="s">
        <v>99</v>
      </c>
      <c r="G213" s="51" t="s">
        <v>0</v>
      </c>
      <c r="H213" s="55">
        <f>MIN(H107,H108,H110,H111,H153,H154,H156,H157,H198,H199,H201,H202,)*H207</f>
        <v>-2303.934344705951</v>
      </c>
      <c r="I213" s="51" t="s">
        <v>127</v>
      </c>
    </row>
    <row r="214" spans="6:10" ht="24.75" customHeight="1">
      <c r="F214" s="10" t="s">
        <v>58</v>
      </c>
      <c r="G214" s="7" t="s">
        <v>0</v>
      </c>
      <c r="H214" s="37">
        <f>H207-H215</f>
        <v>1</v>
      </c>
      <c r="I214" s="7" t="s">
        <v>53</v>
      </c>
      <c r="J214" s="10" t="s">
        <v>99</v>
      </c>
    </row>
    <row r="215" spans="6:10" ht="24.75" customHeight="1">
      <c r="F215" s="10" t="s">
        <v>125</v>
      </c>
      <c r="G215" s="7" t="s">
        <v>0</v>
      </c>
      <c r="H215" s="37">
        <v>0.1</v>
      </c>
      <c r="I215" s="7" t="s">
        <v>53</v>
      </c>
      <c r="J215" s="10" t="s">
        <v>99</v>
      </c>
    </row>
    <row r="216" spans="6:10" ht="24.75" customHeight="1">
      <c r="F216" s="10" t="s">
        <v>126</v>
      </c>
      <c r="G216" s="7" t="s">
        <v>0</v>
      </c>
      <c r="H216" s="37">
        <f>J28*J36*(H214*100)^2</f>
        <v>10595.165116345506</v>
      </c>
      <c r="I216" s="7" t="s">
        <v>127</v>
      </c>
      <c r="J216" s="53" t="str">
        <f>IF(ABS(H213)&lt;H216,"&gt; Mh OK.","&lt; Mh เพิ่มความหนา")</f>
        <v>&gt; Mh OK.</v>
      </c>
    </row>
    <row r="217" spans="6:10" ht="24.75" customHeight="1">
      <c r="F217" s="10" t="s">
        <v>128</v>
      </c>
      <c r="G217" s="7" t="s">
        <v>0</v>
      </c>
      <c r="H217" s="37">
        <f>ABS(H213)/(J22*J27*H214)</f>
        <v>1.4709101045865658</v>
      </c>
      <c r="I217" s="7" t="s">
        <v>130</v>
      </c>
      <c r="J217" s="54"/>
    </row>
    <row r="218" spans="4:10" ht="24.75" customHeight="1">
      <c r="D218" s="7" t="s">
        <v>131</v>
      </c>
      <c r="G218" s="7" t="s">
        <v>0</v>
      </c>
      <c r="H218" s="37">
        <f>H217/2</f>
        <v>0.7354550522932829</v>
      </c>
      <c r="I218" s="7" t="s">
        <v>130</v>
      </c>
      <c r="J218" s="37"/>
    </row>
    <row r="219" spans="4:10" ht="24.75" customHeight="1">
      <c r="D219" s="7" t="s">
        <v>132</v>
      </c>
      <c r="H219" s="10"/>
      <c r="J219" s="37"/>
    </row>
    <row r="220" spans="6:10" ht="24.75" customHeight="1">
      <c r="F220" s="50" t="s">
        <v>100</v>
      </c>
      <c r="G220" s="51" t="s">
        <v>0</v>
      </c>
      <c r="H220" s="55">
        <f>MIN(I107,I108,I109,I110,I111,I153,I154,I155,I156,I157,I198,I199,I200,I201,I202,)*H207</f>
        <v>-239.58000000000007</v>
      </c>
      <c r="I220" s="51" t="s">
        <v>127</v>
      </c>
      <c r="J220" s="56"/>
    </row>
    <row r="221" spans="6:10" ht="24.75" customHeight="1">
      <c r="F221" s="10" t="s">
        <v>133</v>
      </c>
      <c r="G221" s="7" t="s">
        <v>0</v>
      </c>
      <c r="H221" s="37">
        <f>(3.5*ABS(H220)*100)/((J36*100)^2*(H207*100))</f>
        <v>3.388</v>
      </c>
      <c r="I221" s="7" t="s">
        <v>1</v>
      </c>
      <c r="J221" s="53" t="str">
        <f>IF(J16&gt;H221,"&lt; vc3  OK.","&gt; vc3 เพิ่มความหนา")</f>
        <v>&lt; vc3  OK.</v>
      </c>
    </row>
    <row r="222" spans="6:12" ht="24.75" customHeight="1">
      <c r="F222" s="10" t="s">
        <v>134</v>
      </c>
      <c r="G222" s="7" t="s">
        <v>0</v>
      </c>
      <c r="H222" s="37">
        <f>(ABS(H220)*100*((2*(J36-2*0.04)+(H207-2*0.04)*2)/4*100))/(2*((2*(J36-2*0.04)*(H207-2*0.04)*2)/4*10000)*J22)</f>
        <v>0.5378608502224422</v>
      </c>
      <c r="I222" s="7" t="s">
        <v>130</v>
      </c>
      <c r="J222" s="37"/>
      <c r="L222" s="40"/>
    </row>
    <row r="223" spans="4:10" ht="24.75" customHeight="1">
      <c r="D223" s="7" t="s">
        <v>136</v>
      </c>
      <c r="E223" s="69" t="s">
        <v>57</v>
      </c>
      <c r="F223" s="69"/>
      <c r="G223" s="57">
        <f>(H207/(ROUNDUP((H212+2*(H218+H222))/(((PI()*((MID(E223,4,2))^2)/4)/100)),0)))</f>
        <v>0.1375</v>
      </c>
      <c r="H223" s="10"/>
      <c r="J223" s="37"/>
    </row>
    <row r="224" spans="5:10" ht="24.75" customHeight="1">
      <c r="E224" s="58"/>
      <c r="F224" s="59" t="s">
        <v>56</v>
      </c>
      <c r="G224" s="6">
        <v>0.1</v>
      </c>
      <c r="H224" s="53" t="str">
        <f>IF(G224&lt;=G223," OK.","NG.")</f>
        <v> OK.</v>
      </c>
      <c r="J224" s="37"/>
    </row>
    <row r="225" spans="4:10" ht="24.75" customHeight="1">
      <c r="D225" s="7" t="s">
        <v>135</v>
      </c>
      <c r="E225" s="69" t="s">
        <v>57</v>
      </c>
      <c r="F225" s="69"/>
      <c r="G225" s="57">
        <f>((2*2^0.5*(((PI()*((MID(E225,4,2))^2)/4))/100)*1*(((J36-2*0.04)*(H207-2*0.04))*10000)*J22)/(ABS(H220*100)))/100</f>
        <v>1.6206675613333201</v>
      </c>
      <c r="H225" s="10"/>
      <c r="I225" s="40"/>
      <c r="J225" s="37"/>
    </row>
    <row r="226" spans="6:10" ht="24.75" customHeight="1">
      <c r="F226" s="10" t="s">
        <v>56</v>
      </c>
      <c r="G226" s="6">
        <v>0.15</v>
      </c>
      <c r="H226" s="53" t="str">
        <f>IF(G226&lt;=G225," OK.","NG.")</f>
        <v> OK.</v>
      </c>
      <c r="J226" s="37"/>
    </row>
    <row r="227" spans="6:10" ht="13.5" customHeight="1">
      <c r="F227" s="10"/>
      <c r="G227" s="60"/>
      <c r="H227" s="53"/>
      <c r="J227" s="37"/>
    </row>
    <row r="228" spans="2:10" ht="24.75" customHeight="1">
      <c r="B228" s="39" t="s">
        <v>139</v>
      </c>
      <c r="D228" s="7" t="s">
        <v>138</v>
      </c>
      <c r="F228" s="10" t="s">
        <v>78</v>
      </c>
      <c r="G228" s="7" t="s">
        <v>0</v>
      </c>
      <c r="H228" s="37">
        <f>J40</f>
        <v>1.1</v>
      </c>
      <c r="I228" s="7" t="s">
        <v>53</v>
      </c>
      <c r="J228" s="37"/>
    </row>
    <row r="229" spans="3:9" ht="24.75" customHeight="1">
      <c r="C229" s="7" t="s">
        <v>137</v>
      </c>
      <c r="F229" s="50" t="s">
        <v>98</v>
      </c>
      <c r="G229" s="51" t="s">
        <v>0</v>
      </c>
      <c r="H229" s="55">
        <f>MIN(G112,G113,G114,G158,G159,G160,G203,G204,G205)*H207</f>
        <v>-1755.6271634267298</v>
      </c>
      <c r="I229" s="51" t="s">
        <v>127</v>
      </c>
    </row>
    <row r="230" spans="6:10" ht="24.75" customHeight="1">
      <c r="F230" s="10" t="s">
        <v>58</v>
      </c>
      <c r="G230" s="7" t="s">
        <v>0</v>
      </c>
      <c r="H230" s="37">
        <f>J35-0.04</f>
        <v>0.10999999999999999</v>
      </c>
      <c r="I230" s="7" t="s">
        <v>53</v>
      </c>
      <c r="J230" s="10" t="s">
        <v>98</v>
      </c>
    </row>
    <row r="231" spans="6:10" ht="24.75" customHeight="1">
      <c r="F231" s="10" t="s">
        <v>125</v>
      </c>
      <c r="G231" s="7" t="s">
        <v>0</v>
      </c>
      <c r="H231" s="37">
        <v>0.04</v>
      </c>
      <c r="I231" s="7" t="s">
        <v>53</v>
      </c>
      <c r="J231" s="10" t="s">
        <v>98</v>
      </c>
    </row>
    <row r="232" spans="6:10" ht="24.75" customHeight="1">
      <c r="F232" s="10" t="s">
        <v>126</v>
      </c>
      <c r="G232" s="7" t="s">
        <v>0</v>
      </c>
      <c r="H232" s="37">
        <f>J28*H228*(H230*100)^2</f>
        <v>940.144317990391</v>
      </c>
      <c r="I232" s="7" t="s">
        <v>127</v>
      </c>
      <c r="J232" s="53" t="str">
        <f>IF(ABS(H229)&lt;H232,"&gt; Mv OK.","&lt; Mv เพิ่มความหนา")</f>
        <v>&lt; Mv เพิ่มความหนา</v>
      </c>
    </row>
    <row r="233" spans="6:10" ht="24.75" customHeight="1">
      <c r="F233" s="7" t="s">
        <v>128</v>
      </c>
      <c r="G233" s="7" t="s">
        <v>0</v>
      </c>
      <c r="H233" s="37">
        <f>ABS(H229)/(J22*J27*H230)</f>
        <v>10.189564884973526</v>
      </c>
      <c r="I233" s="7" t="s">
        <v>129</v>
      </c>
      <c r="J233" s="54">
        <f>H228</f>
        <v>1.1</v>
      </c>
    </row>
    <row r="234" spans="6:9" ht="24.75" customHeight="1">
      <c r="F234" s="50" t="s">
        <v>99</v>
      </c>
      <c r="G234" s="51" t="s">
        <v>0</v>
      </c>
      <c r="H234" s="55">
        <f>MIN(H112,H113,H114,H158,H159,H160,H203,H204,H205,)*H207</f>
        <v>-2551.816962852827</v>
      </c>
      <c r="I234" s="51" t="s">
        <v>127</v>
      </c>
    </row>
    <row r="235" spans="6:10" ht="24.75" customHeight="1">
      <c r="F235" s="10" t="s">
        <v>58</v>
      </c>
      <c r="G235" s="7" t="s">
        <v>0</v>
      </c>
      <c r="H235" s="37">
        <f>H228-H236</f>
        <v>1</v>
      </c>
      <c r="I235" s="7" t="s">
        <v>53</v>
      </c>
      <c r="J235" s="10" t="s">
        <v>99</v>
      </c>
    </row>
    <row r="236" spans="6:10" ht="24.75" customHeight="1">
      <c r="F236" s="10" t="s">
        <v>125</v>
      </c>
      <c r="G236" s="7" t="s">
        <v>0</v>
      </c>
      <c r="H236" s="37">
        <v>0.1</v>
      </c>
      <c r="I236" s="7" t="s">
        <v>53</v>
      </c>
      <c r="J236" s="10" t="s">
        <v>99</v>
      </c>
    </row>
    <row r="237" spans="6:10" ht="24.75" customHeight="1">
      <c r="F237" s="10" t="s">
        <v>126</v>
      </c>
      <c r="G237" s="7" t="s">
        <v>0</v>
      </c>
      <c r="H237" s="37">
        <f>J28*J35*(H235*100)^2</f>
        <v>10595.165116345506</v>
      </c>
      <c r="I237" s="7" t="s">
        <v>127</v>
      </c>
      <c r="J237" s="53" t="str">
        <f>IF(ABS(H234)&lt;H237,"&gt; Mh OK.","&lt; Mh เพิ่มความหนา")</f>
        <v>&gt; Mh OK.</v>
      </c>
    </row>
    <row r="238" spans="6:10" ht="24.75" customHeight="1">
      <c r="F238" s="10" t="s">
        <v>128</v>
      </c>
      <c r="G238" s="7" t="s">
        <v>0</v>
      </c>
      <c r="H238" s="37">
        <f>ABS(H234)/(J22*J27*H235)</f>
        <v>1.6291668051828445</v>
      </c>
      <c r="I238" s="7" t="s">
        <v>130</v>
      </c>
      <c r="J238" s="54"/>
    </row>
    <row r="239" spans="4:10" ht="24.75" customHeight="1">
      <c r="D239" s="7" t="s">
        <v>131</v>
      </c>
      <c r="G239" s="7" t="s">
        <v>0</v>
      </c>
      <c r="H239" s="37">
        <f>H238/2</f>
        <v>0.8145834025914223</v>
      </c>
      <c r="I239" s="7" t="s">
        <v>130</v>
      </c>
      <c r="J239" s="37"/>
    </row>
    <row r="240" spans="4:10" ht="24.75" customHeight="1">
      <c r="D240" s="7" t="s">
        <v>132</v>
      </c>
      <c r="H240" s="10"/>
      <c r="J240" s="37"/>
    </row>
    <row r="241" spans="6:9" ht="24.75" customHeight="1">
      <c r="F241" s="50" t="s">
        <v>100</v>
      </c>
      <c r="G241" s="51" t="s">
        <v>0</v>
      </c>
      <c r="H241" s="55">
        <f>MIN(I112,I113,I114,I158,I159,I160,I203,I204,I205)*H207</f>
        <v>-239.73862027146168</v>
      </c>
      <c r="I241" s="51" t="s">
        <v>127</v>
      </c>
    </row>
    <row r="242" spans="6:10" ht="24.75" customHeight="1">
      <c r="F242" s="10" t="s">
        <v>133</v>
      </c>
      <c r="G242" s="7" t="s">
        <v>0</v>
      </c>
      <c r="H242" s="37">
        <f>(3.5*ABS(H241)*100)/((J35*100)^2*(H228*100))</f>
        <v>3.3902431149499628</v>
      </c>
      <c r="I242" s="7" t="s">
        <v>1</v>
      </c>
      <c r="J242" s="53" t="str">
        <f>IF(H242&lt;J16,"&lt; vc3  OK.","&gt; vc3 เพิ่มความหนา")</f>
        <v>&lt; vc3  OK.</v>
      </c>
    </row>
    <row r="243" spans="6:12" ht="24.75" customHeight="1">
      <c r="F243" s="10" t="s">
        <v>134</v>
      </c>
      <c r="G243" s="7" t="s">
        <v>0</v>
      </c>
      <c r="H243" s="37">
        <f>((ABS(H241)*100)*(((2*(J35-2*0.04)+(H228-2*0.04)*2)/4*100)))/(((2*(2*(J35-2*0.04)*(H228-2*0.04)*2)/4*10000))*J22)</f>
        <v>0.5382169552148075</v>
      </c>
      <c r="I243" s="7" t="s">
        <v>130</v>
      </c>
      <c r="J243" s="37"/>
      <c r="L243" s="40"/>
    </row>
    <row r="244" spans="4:10" ht="24.75" customHeight="1">
      <c r="D244" s="7" t="s">
        <v>136</v>
      </c>
      <c r="E244" s="69" t="s">
        <v>57</v>
      </c>
      <c r="F244" s="69"/>
      <c r="G244" s="57">
        <f>(H228/(ROUNDUP((H233+2*(H239+H243))/(((PI()*((MID(E244,4,2))^2)/4)/100)),0)))</f>
        <v>0.09166666666666667</v>
      </c>
      <c r="H244" s="10"/>
      <c r="J244" s="37"/>
    </row>
    <row r="245" spans="5:10" ht="24.75" customHeight="1">
      <c r="E245" s="58"/>
      <c r="F245" s="59" t="s">
        <v>56</v>
      </c>
      <c r="G245" s="6">
        <v>0.09</v>
      </c>
      <c r="H245" s="53" t="str">
        <f>IF(G245&lt;=G244," OK.","NG.")</f>
        <v> OK.</v>
      </c>
      <c r="J245" s="37"/>
    </row>
    <row r="246" spans="4:10" ht="24.75" customHeight="1">
      <c r="D246" s="7" t="s">
        <v>135</v>
      </c>
      <c r="E246" s="69" t="s">
        <v>57</v>
      </c>
      <c r="F246" s="69"/>
      <c r="G246" s="57">
        <f>((2*2^0.5*(((PI()*((MID(E246,4,2))^2)/4))/100)*1*(((J35-2*0.04)*(H228-2*0.04))*10000)*J22)/(ABS(H241)*100))/100</f>
        <v>1.6195952654794579</v>
      </c>
      <c r="H246" s="10"/>
      <c r="I246" s="40"/>
      <c r="J246" s="37"/>
    </row>
    <row r="247" spans="6:10" ht="24.75" customHeight="1">
      <c r="F247" s="10" t="s">
        <v>56</v>
      </c>
      <c r="G247" s="6">
        <v>0.15</v>
      </c>
      <c r="H247" s="53" t="str">
        <f>IF(G247&lt;=G246," OK.","NG.")</f>
        <v> OK.</v>
      </c>
      <c r="J247" s="37"/>
    </row>
    <row r="248" spans="6:9" ht="24.75" customHeight="1">
      <c r="F248" s="50"/>
      <c r="G248" s="51"/>
      <c r="H248" s="55"/>
      <c r="I248" s="51"/>
    </row>
    <row r="250" spans="6:9" ht="24.75" customHeight="1">
      <c r="F250" s="50"/>
      <c r="G250" s="51"/>
      <c r="H250" s="55"/>
      <c r="I250" s="51"/>
    </row>
    <row r="252" ht="24.75" customHeight="1">
      <c r="B252" s="39"/>
    </row>
  </sheetData>
  <sheetProtection password="CC27" sheet="1" objects="1" scenarios="1"/>
  <mergeCells count="38">
    <mergeCell ref="E246:F246"/>
    <mergeCell ref="I107:J107"/>
    <mergeCell ref="I108:J108"/>
    <mergeCell ref="I109:J109"/>
    <mergeCell ref="E244:F244"/>
    <mergeCell ref="I110:J110"/>
    <mergeCell ref="I111:J111"/>
    <mergeCell ref="I112:J112"/>
    <mergeCell ref="I113:J113"/>
    <mergeCell ref="I157:J157"/>
    <mergeCell ref="A1:K1"/>
    <mergeCell ref="A6:K6"/>
    <mergeCell ref="O11:P11"/>
    <mergeCell ref="D106:F106"/>
    <mergeCell ref="I106:J106"/>
    <mergeCell ref="A5:K5"/>
    <mergeCell ref="I114:J114"/>
    <mergeCell ref="I202:J202"/>
    <mergeCell ref="I203:J203"/>
    <mergeCell ref="I153:J153"/>
    <mergeCell ref="I152:J152"/>
    <mergeCell ref="D152:F152"/>
    <mergeCell ref="I200:J200"/>
    <mergeCell ref="I158:J158"/>
    <mergeCell ref="I159:J159"/>
    <mergeCell ref="I160:J160"/>
    <mergeCell ref="I154:J154"/>
    <mergeCell ref="I155:J155"/>
    <mergeCell ref="I156:J156"/>
    <mergeCell ref="I205:J205"/>
    <mergeCell ref="E223:F223"/>
    <mergeCell ref="E225:F225"/>
    <mergeCell ref="D197:F197"/>
    <mergeCell ref="I197:J197"/>
    <mergeCell ref="I198:J198"/>
    <mergeCell ref="I199:J199"/>
    <mergeCell ref="I201:J201"/>
    <mergeCell ref="I204:J204"/>
  </mergeCells>
  <dataValidations count="1">
    <dataValidation type="list" allowBlank="1" showInputMessage="1" showErrorMessage="1" sqref="E223:E225 E244:E246">
      <formula1>"DB 12 mm.,DB 16 mm.,DB 20 mm.,DB 25 mm."</formula1>
    </dataValidation>
  </dataValidations>
  <printOptions/>
  <pageMargins left="0.7480314960629921" right="0.7480314960629921" top="0.984251968503937" bottom="0.984251968503937" header="0.5118110236220472" footer="0.5118110236220472"/>
  <pageSetup fitToHeight="6" horizontalDpi="300" verticalDpi="300" orientation="portrait" paperSize="9" scale="65" r:id="rId2"/>
  <headerFooter alignWithMargins="0">
    <oddFooter>&amp;CPage &amp;P of &amp;N</oddFooter>
  </headerFooter>
  <rowBreaks count="2" manualBreakCount="2">
    <brk id="40" max="10" man="1"/>
    <brk id="11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2009-04-08T04:28:17Z</cp:lastPrinted>
  <dcterms:created xsi:type="dcterms:W3CDTF">2008-01-27T02:40:41Z</dcterms:created>
  <dcterms:modified xsi:type="dcterms:W3CDTF">2009-04-15T09:46:54Z</dcterms:modified>
  <cp:category/>
  <cp:version/>
  <cp:contentType/>
  <cp:contentStatus/>
</cp:coreProperties>
</file>