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megankrache/Desktop/"/>
    </mc:Choice>
  </mc:AlternateContent>
  <xr:revisionPtr revIDLastSave="0" documentId="13_ncr:1_{1AB436DA-7B04-124F-9A6B-B64A6200A2CC}" xr6:coauthVersionLast="44" xr6:coauthVersionMax="44" xr10:uidLastSave="{00000000-0000-0000-0000-000000000000}"/>
  <bookViews>
    <workbookView xWindow="500" yWindow="460" windowWidth="23040" windowHeight="13180" tabRatio="853" activeTab="1" xr2:uid="{325CDB15-F607-49E7-9E31-7603233442D4}"/>
  </bookViews>
  <sheets>
    <sheet name="Mortgage Calculator" sheetId="30" r:id="rId1"/>
    <sheet name="CFRE" sheetId="10" r:id="rId2"/>
    <sheet name="TempleView" sheetId="1" r:id="rId3"/>
    <sheet name="Aloha Capital" sheetId="29" r:id="rId4"/>
    <sheet name="Global Integrity Finance" sheetId="28" r:id="rId5"/>
    <sheet name="ICON" sheetId="21" r:id="rId6"/>
    <sheet name="Infinity Capital" sheetId="26" r:id="rId7"/>
    <sheet name="Revolver" sheetId="25" r:id="rId8"/>
    <sheet name="Constructive Loans" sheetId="3" r:id="rId9"/>
    <sheet name="Gelt" sheetId="23" r:id="rId10"/>
    <sheet name="ABL1" sheetId="22" r:id="rId11"/>
    <sheet name="APEX" sheetId="19" r:id="rId12"/>
    <sheet name="Stronghill" sheetId="18" r:id="rId13"/>
    <sheet name="Silverhill" sheetId="14" r:id="rId14"/>
    <sheet name="ResCap" sheetId="13" r:id="rId15"/>
    <sheet name="VISIO" sheetId="12" r:id="rId16"/>
    <sheet name="Builder Finance" sheetId="11" r:id="rId17"/>
    <sheet name="Sharestates" sheetId="16" r:id="rId18"/>
    <sheet name="5 Arch" sheetId="17" r:id="rId19"/>
    <sheet name="Corevest" sheetId="8" r:id="rId20"/>
    <sheet name="Lima One" sheetId="4" r:id="rId21"/>
    <sheet name="Wholesale - Straightline" sheetId="20" r:id="rId22"/>
    <sheet name="Stratton Equities" sheetId="15" r:id="rId23"/>
    <sheet name="Velocity" sheetId="5" r:id="rId24"/>
    <sheet name="RCN" sheetId="2" r:id="rId25"/>
    <sheet name="LendingOne" sheetId="9" r:id="rId26"/>
    <sheet name="Athas" sheetId="6" r:id="rId27"/>
    <sheet name="MBFS" sheetId="7" r:id="rId28"/>
  </sheets>
  <definedNames>
    <definedName name="_Hlk522018621" localSheetId="24">RCN!#REF!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29" l="1"/>
  <c r="F33" i="29"/>
  <c r="F24" i="29"/>
  <c r="Z34" i="1" l="1"/>
  <c r="U33" i="1"/>
  <c r="D34" i="28" l="1"/>
  <c r="S19" i="17" l="1"/>
  <c r="N19" i="17"/>
  <c r="S18" i="17"/>
  <c r="N18" i="17"/>
  <c r="S17" i="17"/>
  <c r="S27" i="17" s="1"/>
  <c r="S26" i="17" s="1"/>
  <c r="N17" i="17"/>
  <c r="N26" i="17" s="1"/>
  <c r="S5" i="17"/>
  <c r="N5" i="17"/>
  <c r="S20" i="17" l="1"/>
  <c r="S28" i="17" s="1"/>
  <c r="N20" i="17"/>
  <c r="N23" i="17" s="1"/>
  <c r="S23" i="17"/>
  <c r="S29" i="17"/>
  <c r="F36" i="29"/>
  <c r="F43" i="29"/>
  <c r="F42" i="29"/>
  <c r="F41" i="29"/>
  <c r="F40" i="29"/>
  <c r="S37" i="17" l="1"/>
  <c r="S38" i="17" s="1"/>
  <c r="S39" i="17" s="1"/>
  <c r="N28" i="17"/>
  <c r="N29" i="17"/>
  <c r="N24" i="17"/>
  <c r="S24" i="17"/>
  <c r="S40" i="17"/>
  <c r="Y17" i="5"/>
  <c r="N37" i="17" l="1"/>
  <c r="N38" i="17" s="1"/>
  <c r="Y27" i="5"/>
  <c r="Y26" i="5" s="1"/>
  <c r="Y18" i="5"/>
  <c r="Y19" i="5"/>
  <c r="Y40" i="5" s="1"/>
  <c r="T19" i="5"/>
  <c r="T18" i="5"/>
  <c r="T17" i="5"/>
  <c r="T26" i="5" s="1"/>
  <c r="Y5" i="5"/>
  <c r="T5" i="5"/>
  <c r="Y20" i="5" l="1"/>
  <c r="Y29" i="5" s="1"/>
  <c r="T20" i="5"/>
  <c r="T29" i="5" s="1"/>
  <c r="M33" i="5"/>
  <c r="M22" i="5"/>
  <c r="H22" i="5"/>
  <c r="C20" i="5"/>
  <c r="M17" i="5"/>
  <c r="M34" i="5" s="1"/>
  <c r="H17" i="5"/>
  <c r="H34" i="5" s="1"/>
  <c r="H33" i="5" s="1"/>
  <c r="C16" i="5"/>
  <c r="C33" i="5" s="1"/>
  <c r="M7" i="5"/>
  <c r="H7" i="5"/>
  <c r="C7" i="5"/>
  <c r="T28" i="5" l="1"/>
  <c r="T38" i="5" s="1"/>
  <c r="T39" i="5" s="1"/>
  <c r="M35" i="5"/>
  <c r="M43" i="5" s="1"/>
  <c r="M44" i="5" s="1"/>
  <c r="M45" i="5" s="1"/>
  <c r="Y23" i="5"/>
  <c r="T23" i="5"/>
  <c r="T24" i="5" s="1"/>
  <c r="Y28" i="5"/>
  <c r="Y38" i="5" s="1"/>
  <c r="C21" i="5"/>
  <c r="C22" i="5" s="1"/>
  <c r="C23" i="5" s="1"/>
  <c r="H35" i="5"/>
  <c r="M23" i="5"/>
  <c r="M24" i="5" s="1"/>
  <c r="M25" i="5" s="1"/>
  <c r="H36" i="5"/>
  <c r="H23" i="5"/>
  <c r="H24" i="5" s="1"/>
  <c r="H25" i="5" s="1"/>
  <c r="C31" i="5"/>
  <c r="C34" i="5"/>
  <c r="C42" i="5" s="1"/>
  <c r="C43" i="5" s="1"/>
  <c r="F26" i="29"/>
  <c r="F25" i="29"/>
  <c r="F15" i="29"/>
  <c r="F14" i="29"/>
  <c r="Y39" i="5" l="1"/>
  <c r="Y41" i="5" s="1"/>
  <c r="Y42" i="5"/>
  <c r="Y24" i="5"/>
  <c r="H29" i="5"/>
  <c r="H31" i="5" s="1"/>
  <c r="C27" i="5"/>
  <c r="C28" i="5" s="1"/>
  <c r="H44" i="5"/>
  <c r="H45" i="5" s="1"/>
  <c r="H46" i="5" s="1"/>
  <c r="M29" i="5"/>
  <c r="G40" i="10"/>
  <c r="H30" i="5" l="1"/>
  <c r="C29" i="5"/>
  <c r="M30" i="5"/>
  <c r="M31" i="5"/>
  <c r="F9" i="30" l="1"/>
  <c r="F10" i="30" s="1"/>
  <c r="F11" i="30" s="1"/>
  <c r="F12" i="30" s="1"/>
  <c r="F20" i="30"/>
  <c r="F21" i="30"/>
  <c r="F22" i="30" s="1"/>
  <c r="C18" i="30"/>
  <c r="C23" i="30" s="1"/>
  <c r="F23" i="30" l="1"/>
  <c r="F24" i="30" s="1"/>
  <c r="C19" i="30"/>
  <c r="F28" i="30"/>
  <c r="F29" i="30" s="1"/>
  <c r="F30" i="30"/>
  <c r="C25" i="30"/>
  <c r="C24" i="30"/>
  <c r="D18" i="22"/>
  <c r="C19" i="22"/>
  <c r="O16" i="3" l="1"/>
  <c r="O5" i="3"/>
  <c r="I16" i="3"/>
  <c r="K28" i="3" s="1"/>
  <c r="I27" i="3" l="1"/>
  <c r="K27" i="3"/>
  <c r="K36" i="3" s="1"/>
  <c r="I28" i="3"/>
  <c r="AB19" i="3"/>
  <c r="AB17" i="3"/>
  <c r="AB18" i="3"/>
  <c r="AB5" i="3"/>
  <c r="W19" i="3"/>
  <c r="W18" i="3"/>
  <c r="W17" i="3"/>
  <c r="W26" i="3" s="1"/>
  <c r="W5" i="3"/>
  <c r="I36" i="3" l="1"/>
  <c r="AB20" i="3"/>
  <c r="AB29" i="3" s="1"/>
  <c r="AB27" i="3"/>
  <c r="AB26" i="3" s="1"/>
  <c r="W20" i="3"/>
  <c r="AB28" i="3" l="1"/>
  <c r="W30" i="3"/>
  <c r="W29" i="3"/>
  <c r="W23" i="3"/>
  <c r="V37" i="29"/>
  <c r="S37" i="29"/>
  <c r="V36" i="29"/>
  <c r="S36" i="29"/>
  <c r="N38" i="29"/>
  <c r="K38" i="29"/>
  <c r="N37" i="29"/>
  <c r="K37" i="29"/>
  <c r="V32" i="29"/>
  <c r="S32" i="29"/>
  <c r="V20" i="29"/>
  <c r="S20" i="29"/>
  <c r="N20" i="29"/>
  <c r="K20" i="29"/>
  <c r="V16" i="29"/>
  <c r="V34" i="29" s="1"/>
  <c r="S16" i="29"/>
  <c r="N16" i="29"/>
  <c r="N34" i="29" s="1"/>
  <c r="K16" i="29"/>
  <c r="K35" i="29" s="1"/>
  <c r="S7" i="29"/>
  <c r="K7" i="29"/>
  <c r="M31" i="16"/>
  <c r="M20" i="16"/>
  <c r="H20" i="16"/>
  <c r="C19" i="16"/>
  <c r="M15" i="16"/>
  <c r="M21" i="16" s="1"/>
  <c r="H15" i="16"/>
  <c r="C14" i="16"/>
  <c r="C32" i="16" s="1"/>
  <c r="M5" i="16"/>
  <c r="H5" i="16"/>
  <c r="C5" i="16"/>
  <c r="V30" i="14"/>
  <c r="S30" i="14"/>
  <c r="V18" i="14"/>
  <c r="S18" i="14"/>
  <c r="N18" i="14"/>
  <c r="K18" i="14"/>
  <c r="F18" i="14"/>
  <c r="C18" i="14"/>
  <c r="V14" i="14"/>
  <c r="S14" i="14"/>
  <c r="S32" i="14" s="1"/>
  <c r="N14" i="14"/>
  <c r="K14" i="14"/>
  <c r="K33" i="14" s="1"/>
  <c r="F14" i="14"/>
  <c r="F32" i="14" s="1"/>
  <c r="C14" i="14"/>
  <c r="C32" i="14" s="1"/>
  <c r="S5" i="14"/>
  <c r="K5" i="14"/>
  <c r="C5" i="14"/>
  <c r="V30" i="18"/>
  <c r="S30" i="18"/>
  <c r="V18" i="18"/>
  <c r="S18" i="18"/>
  <c r="V14" i="18"/>
  <c r="V32" i="18" s="1"/>
  <c r="S14" i="18"/>
  <c r="S32" i="18" s="1"/>
  <c r="S5" i="18"/>
  <c r="N14" i="18"/>
  <c r="N33" i="18" s="1"/>
  <c r="K14" i="18"/>
  <c r="K33" i="18" s="1"/>
  <c r="N18" i="18"/>
  <c r="N19" i="18" s="1"/>
  <c r="K18" i="18"/>
  <c r="K5" i="18"/>
  <c r="F18" i="18"/>
  <c r="C18" i="18"/>
  <c r="F14" i="18"/>
  <c r="F30" i="18" s="1"/>
  <c r="C14" i="18"/>
  <c r="C30" i="18" s="1"/>
  <c r="C5" i="18"/>
  <c r="M30" i="19"/>
  <c r="M20" i="19"/>
  <c r="H20" i="19"/>
  <c r="C18" i="19"/>
  <c r="M15" i="19"/>
  <c r="M32" i="19" s="1"/>
  <c r="H15" i="19"/>
  <c r="H31" i="19" s="1"/>
  <c r="H30" i="19" s="1"/>
  <c r="C14" i="19"/>
  <c r="C29" i="19" s="1"/>
  <c r="M5" i="19"/>
  <c r="H5" i="19"/>
  <c r="C5" i="19"/>
  <c r="M24" i="23"/>
  <c r="M15" i="23"/>
  <c r="M18" i="23" s="1"/>
  <c r="M22" i="23" s="1"/>
  <c r="H15" i="23"/>
  <c r="H27" i="23" s="1"/>
  <c r="C14" i="23"/>
  <c r="C23" i="23" s="1"/>
  <c r="M5" i="23"/>
  <c r="H5" i="23"/>
  <c r="C5" i="23"/>
  <c r="H22" i="26"/>
  <c r="H21" i="26"/>
  <c r="C21" i="26"/>
  <c r="H20" i="26"/>
  <c r="H33" i="26" s="1"/>
  <c r="H32" i="26" s="1"/>
  <c r="C20" i="26"/>
  <c r="C33" i="26" s="1"/>
  <c r="C19" i="26"/>
  <c r="C31" i="26" s="1"/>
  <c r="H7" i="26"/>
  <c r="C7" i="26"/>
  <c r="H22" i="25"/>
  <c r="H21" i="25"/>
  <c r="C21" i="25"/>
  <c r="H20" i="25"/>
  <c r="H30" i="25" s="1"/>
  <c r="H29" i="25" s="1"/>
  <c r="C20" i="25"/>
  <c r="C30" i="25" s="1"/>
  <c r="C19" i="25"/>
  <c r="C28" i="25" s="1"/>
  <c r="H7" i="25"/>
  <c r="C7" i="25"/>
  <c r="C17" i="28"/>
  <c r="C16" i="28"/>
  <c r="C15" i="28"/>
  <c r="C25" i="28" s="1"/>
  <c r="C3" i="28"/>
  <c r="C10" i="30"/>
  <c r="C9" i="30"/>
  <c r="Y20" i="1"/>
  <c r="Y31" i="1" s="1"/>
  <c r="Y30" i="1" s="1"/>
  <c r="Y21" i="1"/>
  <c r="Y22" i="1"/>
  <c r="Y7" i="1"/>
  <c r="AP26" i="1"/>
  <c r="AP17" i="1"/>
  <c r="AP28" i="1" s="1"/>
  <c r="AP7" i="1"/>
  <c r="AK7" i="1"/>
  <c r="AF7" i="1"/>
  <c r="AK17" i="1"/>
  <c r="AK27" i="1" s="1"/>
  <c r="AK26" i="1" s="1"/>
  <c r="AF16" i="1"/>
  <c r="AF19" i="1" s="1"/>
  <c r="H23" i="26" l="1"/>
  <c r="C19" i="19"/>
  <c r="C20" i="19" s="1"/>
  <c r="C21" i="19" s="1"/>
  <c r="H32" i="16"/>
  <c r="H31" i="16" s="1"/>
  <c r="C11" i="30"/>
  <c r="AB38" i="3"/>
  <c r="AB39" i="3" s="1"/>
  <c r="W39" i="3"/>
  <c r="W40" i="3" s="1"/>
  <c r="W24" i="3"/>
  <c r="K21" i="29"/>
  <c r="K22" i="29" s="1"/>
  <c r="K23" i="29" s="1"/>
  <c r="S21" i="29"/>
  <c r="S22" i="29" s="1"/>
  <c r="S23" i="29" s="1"/>
  <c r="V21" i="29"/>
  <c r="V22" i="29" s="1"/>
  <c r="V23" i="29" s="1"/>
  <c r="N21" i="29"/>
  <c r="N22" i="29" s="1"/>
  <c r="N23" i="29" s="1"/>
  <c r="K33" i="29"/>
  <c r="K32" i="29" s="1"/>
  <c r="N33" i="29"/>
  <c r="N32" i="29" s="1"/>
  <c r="N35" i="29"/>
  <c r="N45" i="29" s="1"/>
  <c r="S33" i="29"/>
  <c r="S44" i="29" s="1"/>
  <c r="V33" i="29"/>
  <c r="K34" i="29"/>
  <c r="K45" i="29" s="1"/>
  <c r="S34" i="29"/>
  <c r="H21" i="16"/>
  <c r="C33" i="16"/>
  <c r="C41" i="16" s="1"/>
  <c r="C20" i="16"/>
  <c r="C21" i="16" s="1"/>
  <c r="C22" i="16" s="1"/>
  <c r="M27" i="16"/>
  <c r="H33" i="16"/>
  <c r="M33" i="16"/>
  <c r="H34" i="16"/>
  <c r="C30" i="16"/>
  <c r="M32" i="16"/>
  <c r="C33" i="14"/>
  <c r="C44" i="14" s="1"/>
  <c r="S19" i="14"/>
  <c r="S25" i="14" s="1"/>
  <c r="F33" i="14"/>
  <c r="F44" i="14" s="1"/>
  <c r="C30" i="14"/>
  <c r="F30" i="14"/>
  <c r="S31" i="14"/>
  <c r="S43" i="14" s="1"/>
  <c r="S44" i="14" s="1"/>
  <c r="S45" i="14" s="1"/>
  <c r="V19" i="14"/>
  <c r="V25" i="14" s="1"/>
  <c r="V31" i="14"/>
  <c r="N19" i="14"/>
  <c r="N20" i="14" s="1"/>
  <c r="N21" i="14" s="1"/>
  <c r="C19" i="14"/>
  <c r="C25" i="14" s="1"/>
  <c r="F19" i="14"/>
  <c r="F20" i="14" s="1"/>
  <c r="F21" i="14" s="1"/>
  <c r="K32" i="14"/>
  <c r="K44" i="14" s="1"/>
  <c r="N32" i="14"/>
  <c r="V32" i="14"/>
  <c r="K19" i="14"/>
  <c r="K31" i="14"/>
  <c r="K30" i="14" s="1"/>
  <c r="N31" i="14"/>
  <c r="N30" i="14" s="1"/>
  <c r="N33" i="14"/>
  <c r="S19" i="18"/>
  <c r="S25" i="18" s="1"/>
  <c r="V19" i="18"/>
  <c r="V25" i="18" s="1"/>
  <c r="F32" i="18"/>
  <c r="S20" i="18"/>
  <c r="S21" i="18" s="1"/>
  <c r="V31" i="18"/>
  <c r="V41" i="18" s="1"/>
  <c r="S31" i="18"/>
  <c r="S41" i="18" s="1"/>
  <c r="S42" i="18" s="1"/>
  <c r="S43" i="18" s="1"/>
  <c r="K19" i="18"/>
  <c r="K25" i="18" s="1"/>
  <c r="N31" i="18"/>
  <c r="N30" i="18" s="1"/>
  <c r="F33" i="18"/>
  <c r="K31" i="18"/>
  <c r="K30" i="18" s="1"/>
  <c r="K32" i="18"/>
  <c r="K42" i="18" s="1"/>
  <c r="C33" i="18"/>
  <c r="N25" i="18"/>
  <c r="N20" i="18"/>
  <c r="N21" i="18" s="1"/>
  <c r="N32" i="18"/>
  <c r="N42" i="18" s="1"/>
  <c r="C19" i="18"/>
  <c r="C20" i="18" s="1"/>
  <c r="C21" i="18" s="1"/>
  <c r="F19" i="18"/>
  <c r="F25" i="18" s="1"/>
  <c r="C32" i="18"/>
  <c r="M21" i="19"/>
  <c r="M27" i="19" s="1"/>
  <c r="M28" i="19" s="1"/>
  <c r="H21" i="19"/>
  <c r="H22" i="19" s="1"/>
  <c r="H23" i="19" s="1"/>
  <c r="C31" i="19"/>
  <c r="C32" i="19"/>
  <c r="H32" i="19"/>
  <c r="H33" i="19"/>
  <c r="M31" i="19"/>
  <c r="M41" i="19" s="1"/>
  <c r="M42" i="19" s="1"/>
  <c r="M43" i="19" s="1"/>
  <c r="C25" i="23"/>
  <c r="H25" i="23"/>
  <c r="H24" i="23" s="1"/>
  <c r="M25" i="23"/>
  <c r="H26" i="23"/>
  <c r="H36" i="23" s="1"/>
  <c r="H37" i="23" s="1"/>
  <c r="H38" i="23" s="1"/>
  <c r="M26" i="23"/>
  <c r="H18" i="23"/>
  <c r="H22" i="23" s="1"/>
  <c r="C26" i="23"/>
  <c r="C17" i="23"/>
  <c r="C18" i="23" s="1"/>
  <c r="M19" i="23"/>
  <c r="H19" i="23"/>
  <c r="C22" i="26"/>
  <c r="C35" i="26" s="1"/>
  <c r="H26" i="26"/>
  <c r="H35" i="26"/>
  <c r="H34" i="26"/>
  <c r="C22" i="25"/>
  <c r="C32" i="25" s="1"/>
  <c r="AP27" i="1"/>
  <c r="AP39" i="1" s="1"/>
  <c r="AP40" i="1" s="1"/>
  <c r="AP41" i="1" s="1"/>
  <c r="AP20" i="1"/>
  <c r="AK29" i="1"/>
  <c r="AK28" i="1"/>
  <c r="AK20" i="1"/>
  <c r="AF25" i="1"/>
  <c r="AF28" i="1"/>
  <c r="AF23" i="1"/>
  <c r="AF20" i="1"/>
  <c r="AF27" i="1"/>
  <c r="H27" i="19" l="1"/>
  <c r="H28" i="19" s="1"/>
  <c r="M28" i="16"/>
  <c r="M29" i="16"/>
  <c r="C25" i="19"/>
  <c r="C26" i="19" s="1"/>
  <c r="K43" i="18"/>
  <c r="K44" i="18" s="1"/>
  <c r="K26" i="18"/>
  <c r="K27" i="18"/>
  <c r="N44" i="14"/>
  <c r="N45" i="14" s="1"/>
  <c r="N46" i="14" s="1"/>
  <c r="N46" i="29"/>
  <c r="N47" i="29" s="1"/>
  <c r="M22" i="19"/>
  <c r="M23" i="19" s="1"/>
  <c r="V26" i="18"/>
  <c r="V27" i="18"/>
  <c r="V44" i="29"/>
  <c r="V45" i="29" s="1"/>
  <c r="V46" i="29" s="1"/>
  <c r="C26" i="14"/>
  <c r="C27" i="14"/>
  <c r="F26" i="18"/>
  <c r="F27" i="18"/>
  <c r="N26" i="18"/>
  <c r="N27" i="18"/>
  <c r="S26" i="18"/>
  <c r="S27" i="18"/>
  <c r="V26" i="14"/>
  <c r="V27" i="14"/>
  <c r="S26" i="14"/>
  <c r="S27" i="14"/>
  <c r="H22" i="16"/>
  <c r="H23" i="16" s="1"/>
  <c r="H27" i="16"/>
  <c r="H29" i="16" s="1"/>
  <c r="C42" i="16"/>
  <c r="AB40" i="3"/>
  <c r="AB41" i="3"/>
  <c r="S45" i="29"/>
  <c r="S46" i="29" s="1"/>
  <c r="N27" i="29"/>
  <c r="K27" i="29"/>
  <c r="S27" i="29"/>
  <c r="V27" i="29"/>
  <c r="K46" i="29"/>
  <c r="K47" i="29" s="1"/>
  <c r="C26" i="16"/>
  <c r="M22" i="16"/>
  <c r="M23" i="16" s="1"/>
  <c r="H42" i="16"/>
  <c r="H43" i="16" s="1"/>
  <c r="M41" i="16"/>
  <c r="M42" i="16" s="1"/>
  <c r="M43" i="16" s="1"/>
  <c r="V43" i="14"/>
  <c r="V44" i="14" s="1"/>
  <c r="V45" i="14" s="1"/>
  <c r="F45" i="14"/>
  <c r="V20" i="14"/>
  <c r="V21" i="14" s="1"/>
  <c r="S20" i="14"/>
  <c r="S21" i="14" s="1"/>
  <c r="F25" i="14"/>
  <c r="N25" i="14"/>
  <c r="K45" i="14"/>
  <c r="K46" i="14" s="1"/>
  <c r="C20" i="14"/>
  <c r="C21" i="14" s="1"/>
  <c r="C45" i="14"/>
  <c r="K25" i="14"/>
  <c r="K20" i="14"/>
  <c r="K21" i="14" s="1"/>
  <c r="F42" i="18"/>
  <c r="F43" i="18" s="1"/>
  <c r="V20" i="18"/>
  <c r="V21" i="18" s="1"/>
  <c r="V42" i="18"/>
  <c r="V43" i="18" s="1"/>
  <c r="N43" i="18"/>
  <c r="N44" i="18" s="1"/>
  <c r="K20" i="18"/>
  <c r="K21" i="18" s="1"/>
  <c r="C42" i="18"/>
  <c r="C43" i="18" s="1"/>
  <c r="C25" i="18"/>
  <c r="F20" i="18"/>
  <c r="F21" i="18" s="1"/>
  <c r="H41" i="19"/>
  <c r="H42" i="19" s="1"/>
  <c r="H43" i="19" s="1"/>
  <c r="C40" i="19"/>
  <c r="C41" i="19" s="1"/>
  <c r="C35" i="23"/>
  <c r="C36" i="23" s="1"/>
  <c r="M35" i="23"/>
  <c r="M36" i="23" s="1"/>
  <c r="M37" i="23" s="1"/>
  <c r="C21" i="23"/>
  <c r="H42" i="26"/>
  <c r="H43" i="26" s="1"/>
  <c r="C25" i="26"/>
  <c r="C29" i="26" s="1"/>
  <c r="C34" i="26"/>
  <c r="C42" i="26" s="1"/>
  <c r="C43" i="26" s="1"/>
  <c r="H30" i="26"/>
  <c r="H27" i="26"/>
  <c r="AK39" i="1"/>
  <c r="AK40" i="1" s="1"/>
  <c r="AK41" i="1" s="1"/>
  <c r="AP24" i="1"/>
  <c r="AP21" i="1"/>
  <c r="AK24" i="1"/>
  <c r="AK21" i="1"/>
  <c r="AF38" i="1"/>
  <c r="AF39" i="1" s="1"/>
  <c r="C27" i="16" l="1"/>
  <c r="C28" i="16"/>
  <c r="S28" i="29"/>
  <c r="S29" i="29"/>
  <c r="F26" i="14"/>
  <c r="F27" i="14"/>
  <c r="V28" i="29"/>
  <c r="V29" i="29"/>
  <c r="H28" i="16"/>
  <c r="K28" i="29"/>
  <c r="K29" i="29"/>
  <c r="C26" i="18"/>
  <c r="C27" i="18"/>
  <c r="K26" i="14"/>
  <c r="K27" i="14"/>
  <c r="N26" i="14"/>
  <c r="N27" i="14"/>
  <c r="N28" i="29"/>
  <c r="N29" i="29"/>
  <c r="H44" i="16"/>
  <c r="H45" i="16"/>
  <c r="H44" i="26"/>
  <c r="H45" i="26"/>
  <c r="C26" i="26"/>
  <c r="F38" i="29"/>
  <c r="F37" i="29"/>
  <c r="C38" i="29"/>
  <c r="C37" i="29"/>
  <c r="F20" i="29"/>
  <c r="F16" i="29"/>
  <c r="F35" i="29" s="1"/>
  <c r="C20" i="29"/>
  <c r="C16" i="29"/>
  <c r="C7" i="29"/>
  <c r="M33" i="1"/>
  <c r="M22" i="1"/>
  <c r="M17" i="1"/>
  <c r="M35" i="1" s="1"/>
  <c r="M7" i="1"/>
  <c r="H17" i="1"/>
  <c r="H22" i="1"/>
  <c r="C16" i="1"/>
  <c r="C31" i="1" s="1"/>
  <c r="C20" i="1"/>
  <c r="C32" i="29" l="1"/>
  <c r="C35" i="29"/>
  <c r="F34" i="29"/>
  <c r="H36" i="1"/>
  <c r="H34" i="1"/>
  <c r="H33" i="1" s="1"/>
  <c r="F45" i="29"/>
  <c r="F21" i="29"/>
  <c r="F27" i="29" s="1"/>
  <c r="F32" i="29"/>
  <c r="C21" i="29"/>
  <c r="C34" i="29"/>
  <c r="C45" i="29" s="1"/>
  <c r="C46" i="29" s="1"/>
  <c r="M23" i="1"/>
  <c r="M34" i="1"/>
  <c r="M46" i="1" s="1"/>
  <c r="M47" i="1" s="1"/>
  <c r="M48" i="1" s="1"/>
  <c r="H35" i="1"/>
  <c r="H23" i="1"/>
  <c r="H24" i="1" s="1"/>
  <c r="H25" i="1" s="1"/>
  <c r="C21" i="1"/>
  <c r="C27" i="1" s="1"/>
  <c r="C34" i="1"/>
  <c r="F28" i="29" l="1"/>
  <c r="F29" i="29"/>
  <c r="C22" i="29"/>
  <c r="C23" i="29" s="1"/>
  <c r="C27" i="29"/>
  <c r="C29" i="29" s="1"/>
  <c r="C28" i="1"/>
  <c r="C29" i="1"/>
  <c r="H46" i="1"/>
  <c r="F22" i="29"/>
  <c r="F23" i="29" s="1"/>
  <c r="F46" i="29"/>
  <c r="M24" i="1"/>
  <c r="M25" i="1" s="1"/>
  <c r="M29" i="1"/>
  <c r="H29" i="1"/>
  <c r="C22" i="1"/>
  <c r="C23" i="1" s="1"/>
  <c r="C33" i="1"/>
  <c r="C44" i="1" s="1"/>
  <c r="C45" i="1" s="1"/>
  <c r="M30" i="1" l="1"/>
  <c r="M31" i="1"/>
  <c r="H30" i="1"/>
  <c r="H31" i="1"/>
  <c r="C28" i="29"/>
  <c r="J19" i="28"/>
  <c r="L18" i="28"/>
  <c r="J15" i="28"/>
  <c r="J13" i="28"/>
  <c r="J3" i="28"/>
  <c r="L19" i="28" l="1"/>
  <c r="J24" i="28" s="1"/>
  <c r="L17" i="28"/>
  <c r="J22" i="28" s="1"/>
  <c r="N17" i="28" s="1"/>
  <c r="J26" i="28" l="1"/>
  <c r="J25" i="28"/>
  <c r="L21" i="28"/>
  <c r="J34" i="28" l="1"/>
  <c r="J35" i="28" s="1"/>
  <c r="T21" i="1" l="1"/>
  <c r="T20" i="1"/>
  <c r="T19" i="1"/>
  <c r="T29" i="1" s="1"/>
  <c r="O33" i="12" l="1"/>
  <c r="O35" i="12"/>
  <c r="O25" i="12"/>
  <c r="O19" i="12"/>
  <c r="I14" i="12"/>
  <c r="I25" i="12" s="1"/>
  <c r="I34" i="12" s="1"/>
  <c r="I4" i="12"/>
  <c r="O36" i="12" l="1"/>
  <c r="I24" i="12"/>
  <c r="I35" i="12" s="1"/>
  <c r="AG19" i="5" l="1"/>
  <c r="AG27" i="5" s="1"/>
  <c r="AG21" i="5"/>
  <c r="AG20" i="5"/>
  <c r="AG5" i="5"/>
  <c r="AK21" i="5" l="1"/>
  <c r="AG22" i="5" s="1"/>
  <c r="AG29" i="5" l="1"/>
  <c r="AG28" i="5"/>
  <c r="AK25" i="5"/>
  <c r="AG25" i="5" s="1"/>
  <c r="AB20" i="17"/>
  <c r="AD19" i="17"/>
  <c r="AB16" i="17"/>
  <c r="AD18" i="17" s="1"/>
  <c r="AB24" i="17" s="1"/>
  <c r="AB30" i="17" s="1"/>
  <c r="AB14" i="17"/>
  <c r="AB3" i="17"/>
  <c r="AG36" i="5" l="1"/>
  <c r="AB27" i="17"/>
  <c r="AF16" i="17"/>
  <c r="AD23" i="17" s="1"/>
  <c r="AD20" i="17"/>
  <c r="AB26" i="17" s="1"/>
  <c r="AB28" i="17"/>
  <c r="AG37" i="5" l="1"/>
  <c r="AK37" i="5"/>
  <c r="AB37" i="17"/>
  <c r="AB38" i="17" s="1"/>
  <c r="C15" i="22" l="1"/>
  <c r="D17" i="22" s="1"/>
  <c r="C22" i="22" s="1"/>
  <c r="E21" i="22" s="1"/>
  <c r="C13" i="22"/>
  <c r="C3" i="22"/>
  <c r="T46" i="10"/>
  <c r="S45" i="10"/>
  <c r="T49" i="10"/>
  <c r="T48" i="10"/>
  <c r="T47" i="10"/>
  <c r="T42" i="10"/>
  <c r="T50" i="10" s="1"/>
  <c r="C25" i="22" l="1"/>
  <c r="T44" i="10"/>
  <c r="T45" i="10"/>
  <c r="D19" i="22"/>
  <c r="C24" i="22" s="1"/>
  <c r="T51" i="10"/>
  <c r="U43" i="10"/>
  <c r="H23" i="6"/>
  <c r="H15" i="6"/>
  <c r="H24" i="6" s="1"/>
  <c r="H3" i="6"/>
  <c r="AO21" i="5"/>
  <c r="AO20" i="5"/>
  <c r="AO19" i="5"/>
  <c r="AO37" i="5" s="1"/>
  <c r="AO5" i="5"/>
  <c r="H34" i="6" l="1"/>
  <c r="H35" i="6" s="1"/>
  <c r="C26" i="22"/>
  <c r="H25" i="6"/>
  <c r="H33" i="6" s="1"/>
  <c r="AS21" i="5"/>
  <c r="AS22" i="5"/>
  <c r="C18" i="21"/>
  <c r="C36" i="22" l="1"/>
  <c r="C37" i="22" s="1"/>
  <c r="AO29" i="5"/>
  <c r="AS25" i="5"/>
  <c r="AO25" i="5" s="1"/>
  <c r="AO28" i="5"/>
  <c r="C17" i="21"/>
  <c r="C16" i="21"/>
  <c r="C3" i="21"/>
  <c r="AO36" i="5" l="1"/>
  <c r="AS37" i="5" s="1"/>
  <c r="AO38" i="5" s="1"/>
  <c r="G18" i="21"/>
  <c r="C19" i="21" s="1"/>
  <c r="C19" i="20"/>
  <c r="C21" i="20" s="1"/>
  <c r="C11" i="20"/>
  <c r="C27" i="21" l="1"/>
  <c r="G19" i="21"/>
  <c r="C25" i="21" s="1"/>
  <c r="G22" i="21"/>
  <c r="C22" i="21" s="1"/>
  <c r="C26" i="21"/>
  <c r="C26" i="20"/>
  <c r="C27" i="20" s="1"/>
  <c r="C34" i="21" l="1"/>
  <c r="C35" i="21" s="1"/>
  <c r="C17" i="2"/>
  <c r="C19" i="2"/>
  <c r="X34" i="10" l="1"/>
  <c r="T33" i="10"/>
  <c r="X35" i="10" s="1"/>
  <c r="T32" i="10"/>
  <c r="T30" i="10"/>
  <c r="X31" i="10"/>
  <c r="X33" i="10"/>
  <c r="X32" i="10"/>
  <c r="T19" i="10"/>
  <c r="U20" i="10" s="1"/>
  <c r="T23" i="10"/>
  <c r="T21" i="10"/>
  <c r="T24" i="10"/>
  <c r="T22" i="10"/>
  <c r="T34" i="10" l="1"/>
  <c r="X29" i="10"/>
  <c r="X30" i="10" s="1"/>
  <c r="X36" i="10"/>
  <c r="T25" i="10"/>
  <c r="T26" i="10"/>
  <c r="T35" i="10" l="1"/>
  <c r="T37" i="10"/>
  <c r="X37" i="10"/>
  <c r="T10" i="10" l="1"/>
  <c r="T12" i="10" l="1"/>
  <c r="T6" i="10" l="1"/>
  <c r="T7" i="10" s="1"/>
  <c r="T11" i="10" s="1"/>
  <c r="T9" i="10" l="1"/>
  <c r="T14" i="10"/>
  <c r="T13" i="10"/>
  <c r="C15" i="6"/>
  <c r="G18" i="10" l="1"/>
  <c r="G20" i="10" s="1"/>
  <c r="G45" i="10" l="1"/>
  <c r="G34" i="10" s="1"/>
  <c r="A16" i="10"/>
  <c r="H7" i="1" l="1"/>
  <c r="D23" i="11" l="1"/>
  <c r="H47" i="1" l="1"/>
  <c r="H48" i="1" s="1"/>
  <c r="I26" i="3" l="1"/>
  <c r="I5" i="3"/>
  <c r="I37" i="3" l="1"/>
  <c r="K37" i="3"/>
  <c r="I38" i="3"/>
  <c r="AI27" i="17" l="1"/>
  <c r="H24" i="17"/>
  <c r="AI22" i="17"/>
  <c r="AI20" i="17"/>
  <c r="AK17" i="17"/>
  <c r="AI16" i="17"/>
  <c r="H14" i="17"/>
  <c r="H25" i="17" s="1"/>
  <c r="H33" i="17" s="1"/>
  <c r="H34" i="17" s="1"/>
  <c r="J20" i="17" s="1"/>
  <c r="AK13" i="17"/>
  <c r="AI25" i="17" s="1"/>
  <c r="AI29" i="17" s="1"/>
  <c r="C13" i="17"/>
  <c r="C23" i="17" s="1"/>
  <c r="AI3" i="17"/>
  <c r="H3" i="17"/>
  <c r="C3" i="17"/>
  <c r="E20" i="17" l="1"/>
  <c r="C21" i="17" s="1"/>
  <c r="C24" i="17"/>
  <c r="C32" i="17" s="1"/>
  <c r="C33" i="17" s="1"/>
  <c r="AI39" i="17"/>
  <c r="Y29" i="4" l="1"/>
  <c r="W16" i="4"/>
  <c r="W4" i="4"/>
  <c r="R26" i="4"/>
  <c r="R15" i="4"/>
  <c r="R18" i="4" s="1"/>
  <c r="W28" i="4" l="1"/>
  <c r="W19" i="4"/>
  <c r="W27" i="4" s="1"/>
  <c r="W30" i="4"/>
  <c r="W20" i="4"/>
  <c r="D18" i="11"/>
  <c r="E21" i="11" s="1"/>
  <c r="E35" i="11" s="1"/>
  <c r="Y18" i="4" l="1"/>
  <c r="W23" i="4" s="1"/>
  <c r="W26" i="4" s="1"/>
  <c r="W40" i="4" s="1"/>
  <c r="Y33" i="4"/>
  <c r="W39" i="4"/>
  <c r="W41" i="4" s="1"/>
  <c r="I14" i="15"/>
  <c r="K26" i="15" s="1"/>
  <c r="I4" i="15"/>
  <c r="C14" i="15"/>
  <c r="C24" i="15" s="1"/>
  <c r="C4" i="15"/>
  <c r="I23" i="15" l="1"/>
  <c r="I24" i="15"/>
  <c r="I33" i="15" s="1"/>
  <c r="I34" i="15" s="1"/>
  <c r="C33" i="15"/>
  <c r="E26" i="15"/>
  <c r="C23" i="15"/>
  <c r="AJ24" i="3"/>
  <c r="AJ18" i="3"/>
  <c r="AJ16" i="3" s="1"/>
  <c r="AJ5" i="3"/>
  <c r="AL19" i="3" l="1"/>
  <c r="AJ21" i="3" s="1"/>
  <c r="C34" i="15"/>
  <c r="AJ25" i="3"/>
  <c r="AJ34" i="3" s="1"/>
  <c r="AJ35" i="3" s="1"/>
  <c r="M15" i="4" l="1"/>
  <c r="M17" i="4" l="1"/>
  <c r="O19" i="4" s="1"/>
  <c r="M20" i="4" s="1"/>
  <c r="M26" i="4" s="1"/>
  <c r="M22" i="4" l="1"/>
  <c r="H14" i="8"/>
  <c r="H26" i="8" s="1"/>
  <c r="J24" i="8"/>
  <c r="H22" i="8" s="1"/>
  <c r="H4" i="8"/>
  <c r="H27" i="8" l="1"/>
  <c r="H34" i="8" s="1"/>
  <c r="H35" i="8" s="1"/>
  <c r="C16" i="3" l="1"/>
  <c r="C29" i="3" s="1"/>
  <c r="C5" i="3"/>
  <c r="E30" i="3" l="1"/>
  <c r="C30" i="3"/>
  <c r="C38" i="3" s="1"/>
  <c r="C26" i="3"/>
  <c r="E29" i="3"/>
  <c r="C39" i="3" l="1"/>
  <c r="E38" i="3"/>
  <c r="E39" i="3" s="1"/>
  <c r="C16" i="2"/>
  <c r="C15" i="2"/>
  <c r="F15" i="2" l="1"/>
  <c r="C24" i="2" s="1"/>
  <c r="C26" i="2"/>
  <c r="C21" i="2"/>
  <c r="H23" i="7" l="1"/>
  <c r="H32" i="7" s="1"/>
  <c r="H33" i="7" s="1"/>
  <c r="H3" i="7"/>
  <c r="V24" i="8" l="1"/>
  <c r="V23" i="8"/>
  <c r="V17" i="8"/>
  <c r="V16" i="8"/>
  <c r="V4" i="8"/>
  <c r="V31" i="8" l="1"/>
  <c r="M27" i="4"/>
  <c r="D19" i="11" l="1"/>
  <c r="M22" i="8" l="1"/>
  <c r="C23" i="8" l="1"/>
  <c r="C7" i="1"/>
  <c r="E24" i="8" l="1"/>
  <c r="C26" i="8" s="1"/>
  <c r="C14" i="8"/>
  <c r="C27" i="8" l="1"/>
  <c r="C38" i="8" s="1"/>
  <c r="C4" i="8"/>
  <c r="C39" i="8" l="1"/>
  <c r="C25" i="13" l="1"/>
  <c r="C26" i="13" s="1"/>
  <c r="C36" i="13" l="1"/>
  <c r="C38" i="13"/>
  <c r="C22" i="13"/>
  <c r="E19" i="13"/>
  <c r="C20" i="13"/>
  <c r="C4" i="13"/>
  <c r="C23" i="13" l="1"/>
  <c r="T29" i="4"/>
  <c r="R28" i="4"/>
  <c r="R27" i="4" s="1"/>
  <c r="T18" i="4"/>
  <c r="R22" i="4" s="1"/>
  <c r="R25" i="4" s="1"/>
  <c r="R19" i="4" l="1"/>
  <c r="C21" i="6" l="1"/>
  <c r="C30" i="6" s="1"/>
  <c r="H23" i="4" l="1"/>
  <c r="H15" i="4"/>
  <c r="H19" i="4" s="1"/>
  <c r="H4" i="4"/>
  <c r="C16" i="4"/>
  <c r="C21" i="4" s="1"/>
  <c r="C25" i="4" s="1"/>
  <c r="H28" i="4" l="1"/>
  <c r="H29" i="4" s="1"/>
  <c r="C18" i="12"/>
  <c r="C25" i="12" s="1"/>
  <c r="C34" i="12" s="1"/>
  <c r="C24" i="12" l="1"/>
  <c r="C35" i="12" s="1"/>
  <c r="O37" i="12" l="1"/>
  <c r="O4" i="12"/>
  <c r="C4" i="12"/>
  <c r="A24" i="10" l="1"/>
  <c r="G24" i="10" s="1"/>
  <c r="G21" i="10" l="1"/>
  <c r="E22" i="11"/>
  <c r="D16" i="11"/>
  <c r="D5" i="11"/>
  <c r="D44" i="11" l="1"/>
  <c r="E23" i="11"/>
  <c r="E34" i="11" s="1"/>
  <c r="D43" i="11" l="1"/>
  <c r="D45" i="11" s="1"/>
  <c r="M28" i="8"/>
  <c r="M23" i="8"/>
  <c r="M19" i="8"/>
  <c r="G39" i="10" l="1"/>
  <c r="G22" i="10"/>
  <c r="G13" i="10"/>
  <c r="F3" i="10"/>
  <c r="A5" i="10" l="1"/>
  <c r="A6" i="10" s="1"/>
  <c r="G37" i="10" s="1"/>
  <c r="G43" i="10"/>
  <c r="G41" i="10" l="1"/>
  <c r="F25" i="9"/>
  <c r="F35" i="9" s="1"/>
  <c r="F36" i="9" s="1"/>
  <c r="F27" i="9"/>
  <c r="G35" i="9"/>
  <c r="J22" i="9"/>
  <c r="K32" i="9"/>
  <c r="J31" i="9" s="1"/>
  <c r="B19" i="9"/>
  <c r="B28" i="9"/>
  <c r="J30" i="9"/>
  <c r="J4" i="9"/>
  <c r="F4" i="9"/>
  <c r="B4" i="9"/>
  <c r="M29" i="8"/>
  <c r="M37" i="8" s="1"/>
  <c r="O36" i="8"/>
  <c r="R26" i="8"/>
  <c r="R37" i="8" s="1"/>
  <c r="R4" i="8"/>
  <c r="M4" i="8"/>
  <c r="C23" i="7"/>
  <c r="C32" i="7" s="1"/>
  <c r="C33" i="7" s="1"/>
  <c r="C3" i="7"/>
  <c r="C31" i="6"/>
  <c r="C3" i="6"/>
  <c r="C27" i="2"/>
  <c r="C35" i="2" s="1"/>
  <c r="C36" i="2" s="1"/>
  <c r="R39" i="4"/>
  <c r="R29" i="4"/>
  <c r="R38" i="4" s="1"/>
  <c r="R4" i="4"/>
  <c r="I22" i="2"/>
  <c r="I31" i="2" s="1"/>
  <c r="I3" i="2"/>
  <c r="M23" i="4"/>
  <c r="C31" i="4"/>
  <c r="M4" i="4"/>
  <c r="C4" i="4"/>
  <c r="T7" i="1"/>
  <c r="C3" i="2"/>
  <c r="M33" i="4" l="1"/>
  <c r="M34" i="4"/>
  <c r="O33" i="4"/>
  <c r="R40" i="4"/>
  <c r="T33" i="4"/>
  <c r="M36" i="8"/>
  <c r="S33" i="8"/>
  <c r="R38" i="8" s="1"/>
  <c r="C34" i="13"/>
  <c r="E15" i="13"/>
  <c r="C30" i="13" s="1"/>
  <c r="C27" i="13" l="1"/>
  <c r="C35" i="13" s="1"/>
  <c r="C45" i="13" s="1"/>
  <c r="C46" i="13" s="1"/>
  <c r="C31" i="25"/>
  <c r="C25" i="25"/>
  <c r="C40" i="25" l="1"/>
  <c r="C41" i="25" s="1"/>
  <c r="C26" i="25"/>
  <c r="H23" i="25"/>
  <c r="H32" i="25" s="1"/>
  <c r="H31" i="25" l="1"/>
  <c r="H26" i="25"/>
  <c r="H40" i="25" l="1"/>
  <c r="H41" i="25" s="1"/>
  <c r="H43" i="25" s="1"/>
  <c r="H27" i="25"/>
  <c r="H42" i="25" l="1"/>
  <c r="AB23" i="3"/>
  <c r="AB24" i="3" l="1"/>
  <c r="O27" i="3"/>
  <c r="O26" i="3" s="1"/>
  <c r="O28" i="3"/>
  <c r="Q28" i="3"/>
  <c r="O29" i="3"/>
  <c r="Q29" i="3"/>
  <c r="Q37" i="3" l="1"/>
  <c r="Q38" i="3" s="1"/>
  <c r="Q39" i="3" s="1"/>
  <c r="O37" i="3"/>
  <c r="O38" i="3" s="1"/>
  <c r="Q40" i="3" l="1"/>
  <c r="O39" i="3"/>
  <c r="O40" i="3"/>
  <c r="C34" i="28" l="1"/>
  <c r="C18" i="28"/>
  <c r="C19" i="28"/>
  <c r="C22" i="28"/>
  <c r="C23" i="28"/>
  <c r="C27" i="28"/>
  <c r="C28" i="28"/>
  <c r="C38" i="28"/>
  <c r="C39" i="28"/>
  <c r="C40" i="28"/>
  <c r="T22" i="1"/>
  <c r="Y23" i="1"/>
  <c r="T25" i="1"/>
  <c r="T26" i="1"/>
  <c r="Y26" i="1"/>
  <c r="Y27" i="1"/>
  <c r="T31" i="1"/>
  <c r="T32" i="1"/>
  <c r="Y32" i="1"/>
  <c r="T33" i="1"/>
  <c r="Y33" i="1"/>
  <c r="T34" i="1"/>
  <c r="Y34" i="1"/>
  <c r="Y35" i="1"/>
  <c r="T45" i="1"/>
  <c r="T46" i="1"/>
  <c r="Y46" i="1"/>
  <c r="Y47" i="1"/>
  <c r="Y48" i="1"/>
  <c r="Y49" i="1"/>
</calcChain>
</file>

<file path=xl/sharedStrings.xml><?xml version="1.0" encoding="utf-8"?>
<sst xmlns="http://schemas.openxmlformats.org/spreadsheetml/2006/main" count="4457" uniqueCount="1032">
  <si>
    <t>Rate:</t>
  </si>
  <si>
    <t>Term:</t>
  </si>
  <si>
    <t>Loan Amount:</t>
  </si>
  <si>
    <t>LTV:</t>
  </si>
  <si>
    <t>Down Payment:</t>
  </si>
  <si>
    <t>Lender UW Fee:</t>
  </si>
  <si>
    <t>Monthly Payment:</t>
  </si>
  <si>
    <t>Doc &amp; Legal Review Fee:</t>
  </si>
  <si>
    <t>Tax Service &amp; Onboarding Fee:</t>
  </si>
  <si>
    <t>Estimated Cash to Close:</t>
  </si>
  <si>
    <t>11 Cap Origination:</t>
  </si>
  <si>
    <t>Lender Origination: 2.5%</t>
  </si>
  <si>
    <t>Title Insurance: ESTIMATE</t>
  </si>
  <si>
    <t>Property Insurance: ESTIMATE</t>
  </si>
  <si>
    <t>Appraisal:</t>
  </si>
  <si>
    <t>Quote Date</t>
  </si>
  <si>
    <t>Rental Properties owned &amp; Leased</t>
  </si>
  <si>
    <t xml:space="preserve">Completed Fix &amp; Flips </t>
  </si>
  <si>
    <t>This quote is based on on the following basis from completed intake form:</t>
  </si>
  <si>
    <r>
      <rPr>
        <b/>
        <sz val="11"/>
        <color rgb="FFFF0000"/>
        <rFont val="Calibri"/>
        <family val="2"/>
        <scheme val="minor"/>
      </rPr>
      <t>Mid</t>
    </r>
    <r>
      <rPr>
        <b/>
        <sz val="11"/>
        <color rgb="FF000000"/>
        <rFont val="Calibri"/>
        <family val="2"/>
        <scheme val="minor"/>
      </rPr>
      <t xml:space="preserve"> FICO Score </t>
    </r>
  </si>
  <si>
    <t xml:space="preserve">Please note, estimates on third parties insurance are simply estimates. Please contact </t>
  </si>
  <si>
    <t>your Title Company and Insurance Agent for a more accurate figure.</t>
  </si>
  <si>
    <t>PERMANENT FINANCING QUOTE</t>
  </si>
  <si>
    <t>Estimated Fees &amp; Closing Costs:</t>
  </si>
  <si>
    <t>Borrower:</t>
  </si>
  <si>
    <t>Property Address:</t>
  </si>
  <si>
    <t>Lender Processing Fee:</t>
  </si>
  <si>
    <t>Term Options:</t>
  </si>
  <si>
    <t>30 Yr Fixed</t>
  </si>
  <si>
    <t>Interet Only Option = Add</t>
  </si>
  <si>
    <t>Lender Origination: 1.5%</t>
  </si>
  <si>
    <t>Rehab Funded (70% ARV Cap):</t>
  </si>
  <si>
    <t>Loan Amount - Purchase &amp; Rehab:</t>
  </si>
  <si>
    <t>12mo I/O</t>
  </si>
  <si>
    <t>Rehab Budget:</t>
  </si>
  <si>
    <t>Max First Draw at Close:</t>
  </si>
  <si>
    <t>Down Payment less EMD:</t>
  </si>
  <si>
    <t>First 3 mo payments Escrowed:</t>
  </si>
  <si>
    <t>LIMA ONE QUOTER</t>
  </si>
  <si>
    <t>Lender Fee</t>
  </si>
  <si>
    <t>Input Lender Fee</t>
  </si>
  <si>
    <t>Full Term Escrow:</t>
  </si>
  <si>
    <t>PERMANENT / REFI CASH OUT FINANCING QUOTE</t>
  </si>
  <si>
    <t>Debt Payoff:</t>
  </si>
  <si>
    <t>Estimated Fees to Close:</t>
  </si>
  <si>
    <t>Lender Origination:</t>
  </si>
  <si>
    <t>As Is Value:</t>
  </si>
  <si>
    <r>
      <rPr>
        <b/>
        <sz val="12"/>
        <color rgb="FFFF0000"/>
        <rFont val="Calibri"/>
        <family val="2"/>
        <scheme val="minor"/>
      </rPr>
      <t>Mid</t>
    </r>
    <r>
      <rPr>
        <b/>
        <sz val="12"/>
        <color rgb="FF000000"/>
        <rFont val="Calibri"/>
        <family val="2"/>
        <scheme val="minor"/>
      </rPr>
      <t xml:space="preserve"> FICO Score </t>
    </r>
  </si>
  <si>
    <r>
      <t>Purchase Price:</t>
    </r>
    <r>
      <rPr>
        <sz val="12"/>
        <color rgb="FF000000"/>
        <rFont val="Calibri"/>
        <family val="2"/>
        <scheme val="minor"/>
      </rPr>
      <t> </t>
    </r>
  </si>
  <si>
    <t>Loan Amount (including fees):</t>
  </si>
  <si>
    <t>30 YR Fixed</t>
  </si>
  <si>
    <t>Lender Legal Deposit Fee:</t>
  </si>
  <si>
    <t>CDA (Seconadry Appraisal Review)</t>
  </si>
  <si>
    <t>Pre Payment Penalty:</t>
  </si>
  <si>
    <t>5/4/3/2/1 Stepdown</t>
  </si>
  <si>
    <t>Lala Ullrich &amp; Emilia Vinkur</t>
  </si>
  <si>
    <t>1710 Nowein Ave. Apt 104Greendale, IN 47205</t>
  </si>
  <si>
    <r>
      <t>**</t>
    </r>
    <r>
      <rPr>
        <b/>
        <sz val="11"/>
        <color rgb="FFFF0000"/>
        <rFont val="Calibri"/>
        <family val="2"/>
        <scheme val="minor"/>
      </rPr>
      <t>Please note</t>
    </r>
    <r>
      <rPr>
        <b/>
        <sz val="11"/>
        <color rgb="FF000000"/>
        <rFont val="Calibri"/>
        <family val="2"/>
        <scheme val="minor"/>
      </rPr>
      <t>, loans will be made to a business entity and personally guaranteed by the individuals</t>
    </r>
  </si>
  <si>
    <t>All loans require payments be set up for ACH withdrawal.</t>
  </si>
  <si>
    <t>of the entity.  Prior to closing, this lender collects $995 legal deposit for our attorney to work the file.</t>
  </si>
  <si>
    <t>THIRD PARTIES ESTIMATES:</t>
  </si>
  <si>
    <t>9mo + 3mo ext for 1pt</t>
  </si>
  <si>
    <t xml:space="preserve">Tier Borrower: </t>
  </si>
  <si>
    <t>13mo</t>
  </si>
  <si>
    <t>Monthly Interest:</t>
  </si>
  <si>
    <t>Rental Properties owned &amp; Leased:</t>
  </si>
  <si>
    <t>Lender Origination: 2%</t>
  </si>
  <si>
    <t>Estimated Closing Costs:</t>
  </si>
  <si>
    <r>
      <t>Purchase Price / As is Value (Refi):</t>
    </r>
    <r>
      <rPr>
        <sz val="12"/>
        <color rgb="FF000000"/>
        <rFont val="Calibri"/>
        <family val="2"/>
        <scheme val="minor"/>
      </rPr>
      <t> </t>
    </r>
  </si>
  <si>
    <t>Title / Taxes / HOI ESTIMATES</t>
  </si>
  <si>
    <t>GOLD</t>
  </si>
  <si>
    <t>Debt Owed on Land:</t>
  </si>
  <si>
    <t>Construction Costs Total:</t>
  </si>
  <si>
    <t>Purchase Funded:</t>
  </si>
  <si>
    <t>LTC Purchase &amp; Rehab:</t>
  </si>
  <si>
    <t>Rehab Funded:</t>
  </si>
  <si>
    <t>Estimated Closing Costs + 3rd Parties:</t>
  </si>
  <si>
    <t>As is value:</t>
  </si>
  <si>
    <t>Rehab Funded</t>
  </si>
  <si>
    <t>Loan Amount (Purchase &amp; Rehab)</t>
  </si>
  <si>
    <t>6 Mo Interest Reserves:</t>
  </si>
  <si>
    <t>10% of Construction Reserves:</t>
  </si>
  <si>
    <t>As is Value:</t>
  </si>
  <si>
    <t>Estimated Cash Received at Close:</t>
  </si>
  <si>
    <t>Debt Owed:</t>
  </si>
  <si>
    <t>Experience Tier:</t>
  </si>
  <si>
    <t>Down Payment (Less EMD):</t>
  </si>
  <si>
    <t>Appraisal (Paid prior to Close):</t>
  </si>
  <si>
    <t>Environmental Fee:</t>
  </si>
  <si>
    <r>
      <t>Purchase Price / Refinance:</t>
    </r>
    <r>
      <rPr>
        <sz val="12"/>
        <color rgb="FF000000"/>
        <rFont val="Calibri"/>
        <family val="2"/>
        <scheme val="minor"/>
      </rPr>
      <t> </t>
    </r>
  </si>
  <si>
    <t>Estimated Cash Out Amount:</t>
  </si>
  <si>
    <t>Estimated Cash to Close Less Upfront Draw:</t>
  </si>
  <si>
    <t>Foreign National:</t>
  </si>
  <si>
    <t>Entity Review Fee:</t>
  </si>
  <si>
    <t>Estimated Cash Received at Closing after Costs</t>
  </si>
  <si>
    <t>Please note, estimates on third parties insurance are simply estimates. Please contact your</t>
  </si>
  <si>
    <t>Title Company and Insurance Agent for a more accurate figures.</t>
  </si>
  <si>
    <t>232 West McLelland Ave (10 Unit)</t>
  </si>
  <si>
    <t>LTV on Purchase/As is Value:</t>
  </si>
  <si>
    <t>REHAB FINANCING</t>
  </si>
  <si>
    <t>COREVEST QUOTER</t>
  </si>
  <si>
    <t>Funded at Close:</t>
  </si>
  <si>
    <t>Lender Fees &amp; Renovation Mgmt:</t>
  </si>
  <si>
    <t>Completed Fix &amp; Flips in past 24 mo:</t>
  </si>
  <si>
    <t>Purchase Amount Funded:</t>
  </si>
  <si>
    <t>Lender Origination: 1%</t>
  </si>
  <si>
    <t>Estimated Down Payment &amp; Closing Costs:</t>
  </si>
  <si>
    <t>3-2-1- Step Down</t>
  </si>
  <si>
    <t>Jeremy Broder</t>
  </si>
  <si>
    <t>398 Felder Ave Montgomery AL 36104</t>
  </si>
  <si>
    <t>Required Monthly Income:</t>
  </si>
  <si>
    <t>Loan Amount - Purchase + Rehab:</t>
  </si>
  <si>
    <t>85% Of Purchase or 75% of as is Value</t>
  </si>
  <si>
    <t>Construction Holdback:</t>
  </si>
  <si>
    <t>Ashton Levarek</t>
  </si>
  <si>
    <t>9 Welch Pl Durham NC 27704</t>
  </si>
  <si>
    <t>Pre Payment Penalty</t>
  </si>
  <si>
    <t>3-2-1 Step Down (3% yr1, 2%yr2, 1%yr 3)</t>
  </si>
  <si>
    <t>Lender Origination: 1.0%</t>
  </si>
  <si>
    <t>Legal &amp; Processing Fee:</t>
  </si>
  <si>
    <t>Appraisal ESTIMATE:</t>
  </si>
  <si>
    <t>Erwan Le Roy</t>
  </si>
  <si>
    <t>2575 S Kihei Rd G110, Kihei HI 96753</t>
  </si>
  <si>
    <t xml:space="preserve">LENDING ONE </t>
  </si>
  <si>
    <t>Lender Doc Prep Fee:</t>
  </si>
  <si>
    <t>Stephanie &amp; Mark Nemeth</t>
  </si>
  <si>
    <t>299 Filmore St Phillipsburg NJ 08865</t>
  </si>
  <si>
    <t>800 &amp; 750</t>
  </si>
  <si>
    <t>3-2-1 Step Down (3% Yr1, 2% Yr2, 1% Yr3)</t>
  </si>
  <si>
    <t>Lender Processing &amp; Doc Fee:</t>
  </si>
  <si>
    <t>Rate Buy Down Options:</t>
  </si>
  <si>
    <t>LTV (based on appraised value):</t>
  </si>
  <si>
    <t>Lender Fees (Flood Cert, CDA, Credit etc)</t>
  </si>
  <si>
    <t>Yes</t>
  </si>
  <si>
    <t>5/1 ARM 30 Yr Amortization</t>
  </si>
  <si>
    <t>Deal Dynamics/Terms:</t>
  </si>
  <si>
    <t>  </t>
  </si>
  <si>
    <t>Rehab Cost:</t>
  </si>
  <si>
    <t>Address of Property:</t>
  </si>
  <si>
    <r>
      <t>Current Fair Market Value</t>
    </r>
    <r>
      <rPr>
        <sz val="12"/>
        <color rgb="FF000000"/>
        <rFont val="Arial"/>
        <family val="2"/>
      </rPr>
      <t>:</t>
    </r>
  </si>
  <si>
    <t>Loan Cap 70% of ARV:</t>
  </si>
  <si>
    <t>Total Loan Amount (100%):</t>
  </si>
  <si>
    <t>Loan Term:</t>
  </si>
  <si>
    <t>Purchase Price:</t>
  </si>
  <si>
    <t>2. The lender could ask you to start making interest only payments on the loan.  If you cannot make the payments then the lender would have to take over management of the deal.</t>
  </si>
  <si>
    <r>
      <t>ARV</t>
    </r>
    <r>
      <rPr>
        <sz val="12"/>
        <color rgb="FF000000"/>
        <rFont val="Arial"/>
        <family val="2"/>
      </rPr>
      <t> </t>
    </r>
    <r>
      <rPr>
        <b/>
        <sz val="12"/>
        <color rgb="FF000000"/>
        <rFont val="Arial"/>
        <family val="2"/>
      </rPr>
      <t>(After Repair Value):</t>
    </r>
  </si>
  <si>
    <t>Loan Fees:</t>
  </si>
  <si>
    <t>Lender LOC Fee (0.75%):</t>
  </si>
  <si>
    <r>
      <t>Lender Closing F</t>
    </r>
    <r>
      <rPr>
        <b/>
        <sz val="14"/>
        <color rgb="FF000000"/>
        <rFont val="Arial"/>
        <family val="2"/>
      </rPr>
      <t>ee:</t>
    </r>
  </si>
  <si>
    <t>TBD</t>
  </si>
  <si>
    <t>Address:</t>
  </si>
  <si>
    <t>Interest Rate:</t>
  </si>
  <si>
    <t>12 mo</t>
  </si>
  <si>
    <t>The borrower will agree to sharing profits on the subject property in return for 100% funding.  The agreed upon profit share will be in</t>
  </si>
  <si>
    <t>profits will be paid to the Lender.  Exceptions on pricing will be discussed case by case. </t>
  </si>
  <si>
    <t>Profit Share:</t>
  </si>
  <si>
    <t xml:space="preserve">accordance with the Local Investor Services Agreement.  The greater of the 1.50%-3% monthly management fee or 10-40% of net </t>
  </si>
  <si>
    <t>Monthly Management Fee:</t>
  </si>
  <si>
    <t>will outline the specific % and fee amount for the management fee.  As a rule of thumb you can tend to see trends in what the lender charges based on the below:</t>
  </si>
  <si>
    <t>The final revenue structure will be sent once we get the appraisal back and the lender reviews the entire package for approval.  That is when the JV docs will be prepped which</t>
  </si>
  <si>
    <t>1. The lessor the experience the borrower,  the higher on the profit share will be</t>
  </si>
  <si>
    <t>2. The lower number of deals they have done with the lender the higher on the range they will be</t>
  </si>
  <si>
    <t>3. The higher number of deals they have done with the lender the lower on the range they will be</t>
  </si>
  <si>
    <t>4. The larger the rehab, the greater the risk of having a higher profit share as well. This also depends on the experience and strength of the ARV%</t>
  </si>
  <si>
    <t>INPUT</t>
  </si>
  <si>
    <r>
      <t>Loan Term Projection:</t>
    </r>
    <r>
      <rPr>
        <sz val="12"/>
        <color rgb="FF000000"/>
        <rFont val="Arial"/>
        <family val="2"/>
      </rPr>
      <t> Lender wants the property rehabbed and sold by month 6 or the lender could try</t>
    </r>
  </si>
  <si>
    <t>Loan Fees &amp; Closing Costs</t>
  </si>
  <si>
    <t>Credentials</t>
  </si>
  <si>
    <t>Loan Overview</t>
  </si>
  <si>
    <t>Third Party Estimates</t>
  </si>
  <si>
    <t>Total Estimated Costs</t>
  </si>
  <si>
    <t>Estimated Third Parties</t>
  </si>
  <si>
    <t>Loan Overview &amp; Terms</t>
  </si>
  <si>
    <t>ARV:</t>
  </si>
  <si>
    <t>ARV Cap (70%):</t>
  </si>
  <si>
    <t>Lender Origination: 1.5% As Funds Drawn</t>
  </si>
  <si>
    <t>12 mo Term I/O</t>
  </si>
  <si>
    <t>6055 S Peoria Chicago IL</t>
  </si>
  <si>
    <t>Interest Reserve</t>
  </si>
  <si>
    <t>1.50%-3.00% of the total capital provided, accrued monthly and paid when the property is sold</t>
  </si>
  <si>
    <t>Purchase Price or As is Value (Refi):</t>
  </si>
  <si>
    <t>Loan Amount:</t>
  </si>
  <si>
    <t>Monthly Payment (PITI Included):</t>
  </si>
  <si>
    <t>Appraisal: ESTIMATE</t>
  </si>
  <si>
    <t>Loan Terms &amp; Overview</t>
  </si>
  <si>
    <t>Interest Reserves:</t>
  </si>
  <si>
    <t>Appraisal (Required): ESTIMATE</t>
  </si>
  <si>
    <t>to negotiate new terms with you. If the deal extends beyond by this time frame there are two things that happen:</t>
  </si>
  <si>
    <t>1. The lender can take over management of the deal and force the property to sell in order to recoup their investment.</t>
  </si>
  <si>
    <t>Loan Costs &amp; Fees</t>
  </si>
  <si>
    <t>Built &amp; Sold Properties since 2012</t>
  </si>
  <si>
    <t>Completed Value of Property:</t>
  </si>
  <si>
    <t>Lot Cost:</t>
  </si>
  <si>
    <t>Construction Cost</t>
  </si>
  <si>
    <r>
      <rPr>
        <b/>
        <sz val="12"/>
        <color rgb="FF000000"/>
        <rFont val="Calibri"/>
        <family val="2"/>
        <scheme val="minor"/>
      </rPr>
      <t>4.99%</t>
    </r>
    <r>
      <rPr>
        <sz val="12"/>
        <color rgb="FF000000"/>
        <rFont val="Calibri"/>
        <family val="2"/>
        <scheme val="minor"/>
      </rPr>
      <t xml:space="preserve"> for the first month, and then </t>
    </r>
    <r>
      <rPr>
        <b/>
        <sz val="12"/>
        <color rgb="FF000000"/>
        <rFont val="Calibri"/>
        <family val="2"/>
        <scheme val="minor"/>
      </rPr>
      <t>increasing</t>
    </r>
    <r>
      <rPr>
        <sz val="12"/>
        <color rgb="FF000000"/>
        <rFont val="Calibri"/>
        <family val="2"/>
        <scheme val="minor"/>
      </rPr>
      <t xml:space="preserve"> </t>
    </r>
    <r>
      <rPr>
        <b/>
        <sz val="12"/>
        <color rgb="FF000000"/>
        <rFont val="Calibri"/>
        <family val="2"/>
        <scheme val="minor"/>
      </rPr>
      <t>.50%</t>
    </r>
    <r>
      <rPr>
        <sz val="12"/>
        <color rgb="FF000000"/>
        <rFont val="Calibri"/>
        <family val="2"/>
        <scheme val="minor"/>
      </rPr>
      <t xml:space="preserve"> for every subsequent month </t>
    </r>
    <r>
      <rPr>
        <b/>
        <sz val="12"/>
        <color rgb="FF000000"/>
        <rFont val="Calibri"/>
        <family val="2"/>
        <scheme val="minor"/>
      </rPr>
      <t>up to 7.99%</t>
    </r>
  </si>
  <si>
    <t>GROUND UP CONSTRUCTION</t>
  </si>
  <si>
    <t>BUILDER FINANCE</t>
  </si>
  <si>
    <t>Total Project Cost:</t>
  </si>
  <si>
    <t>Debt on Land:</t>
  </si>
  <si>
    <t>Land Equity:</t>
  </si>
  <si>
    <t>LTC</t>
  </si>
  <si>
    <t>Max As Completed Value Cap:</t>
  </si>
  <si>
    <t>Total Borrower Equity Requirements:</t>
  </si>
  <si>
    <t>Loan to ARV:</t>
  </si>
  <si>
    <t>1st Mortgage</t>
  </si>
  <si>
    <t>1st Mortgage (90% PP + Rehab):</t>
  </si>
  <si>
    <t>Fees Due on Loan at Sale:</t>
  </si>
  <si>
    <t>VISIO</t>
  </si>
  <si>
    <t>Loan Costs</t>
  </si>
  <si>
    <t>Mo Rental Income:</t>
  </si>
  <si>
    <t>Mo Taxes &amp; Insurance:</t>
  </si>
  <si>
    <t>5 Yr</t>
  </si>
  <si>
    <t>5 Year</t>
  </si>
  <si>
    <t>Reserve Requirements:</t>
  </si>
  <si>
    <t xml:space="preserve">** No mortgage payments due until 45 days after closing. </t>
  </si>
  <si>
    <t>** Please contact your Insurance Agent for a more accurate figure on insurance.</t>
  </si>
  <si>
    <t>Lender Origination (Min $3,500):</t>
  </si>
  <si>
    <t>2575 S Kihei Rd, G110, Kihei HI 96753</t>
  </si>
  <si>
    <t>Pre Paid Items:</t>
  </si>
  <si>
    <t>PrePaid Items (Insurance, HOA, +1st payment):</t>
  </si>
  <si>
    <t>Estimated Closing Cost:</t>
  </si>
  <si>
    <t>Estimated Down Payment + Closing Costs:</t>
  </si>
  <si>
    <t>Reserve Requirements for Escrow:</t>
  </si>
  <si>
    <t>1st months Payment + Insurance + 1 Yr HOA</t>
  </si>
  <si>
    <t>Appraisal (Paid before Close):</t>
  </si>
  <si>
    <t>Flood Tax &amp; Insurance Cert:</t>
  </si>
  <si>
    <t>First 3 months of PITI Payments:</t>
  </si>
  <si>
    <t>Current Market Value</t>
  </si>
  <si>
    <t>Purchase Price</t>
  </si>
  <si>
    <t>As is Value</t>
  </si>
  <si>
    <t>Purch Funded</t>
  </si>
  <si>
    <t>Purchase/Refi Funded:</t>
  </si>
  <si>
    <t>Scope Inspection Fee:</t>
  </si>
  <si>
    <t>Mortgage Calc</t>
  </si>
  <si>
    <t>* Borrower has the right to approve/disapprove of the insurance provider</t>
  </si>
  <si>
    <t>** Construction Draws are released to borrower upon successful work completion &amp; requires an on-site inspection.</t>
  </si>
  <si>
    <t>3. Costs paid during Term:</t>
  </si>
  <si>
    <t>LTV on Purchase / Refinance:</t>
  </si>
  <si>
    <t>Mo Int Payment</t>
  </si>
  <si>
    <t>** 6 Mo Interest Reserves:</t>
  </si>
  <si>
    <t>Int Payments</t>
  </si>
  <si>
    <t>Loan to Cost:</t>
  </si>
  <si>
    <t>Monthly Interest payment:</t>
  </si>
  <si>
    <t>Equity Contribution:</t>
  </si>
  <si>
    <t>Equity Req</t>
  </si>
  <si>
    <t>Equity Requirements in %:</t>
  </si>
  <si>
    <t>Estimated Equity + Fees + 3rd Parties:</t>
  </si>
  <si>
    <t>Estimated Assets Required (w/ reserves):</t>
  </si>
  <si>
    <t>As Completed Value:</t>
  </si>
  <si>
    <t>Total Estimated Reserves:</t>
  </si>
  <si>
    <t>Borrowing Entity:</t>
  </si>
  <si>
    <t>Rehab Funded (65% ARV Cap):</t>
  </si>
  <si>
    <t>Purchase + Rehab Funded:</t>
  </si>
  <si>
    <t>9 Mo (3 Mo Ext Option for + 1Pt)</t>
  </si>
  <si>
    <t>New Loan Amount (Lender Fee Rolled In):</t>
  </si>
  <si>
    <t>11 Cap Origination Paid at Close: (1%)</t>
  </si>
  <si>
    <t>Property Type:</t>
  </si>
  <si>
    <t>Estimated Fees &amp; Costs Paid at/Before Close:</t>
  </si>
  <si>
    <t>Estimated Total Liquidity to Close (w/ Reserves):</t>
  </si>
  <si>
    <t>Minimum Reserve Requirements:</t>
  </si>
  <si>
    <t>Tier II = 1-9 Rehabs</t>
  </si>
  <si>
    <t>Tier III = 10+ Rehabs</t>
  </si>
  <si>
    <t>Tier I = 0 Rehabs</t>
  </si>
  <si>
    <t>ResCap Quoter</t>
  </si>
  <si>
    <t>** Broker Fee is paid at closing</t>
  </si>
  <si>
    <t>After Repair Value "ARV":</t>
  </si>
  <si>
    <t>ARV Cap:</t>
  </si>
  <si>
    <t>Tier II</t>
  </si>
  <si>
    <t>Int Pmt Calculator</t>
  </si>
  <si>
    <t>Borrower Tiers</t>
  </si>
  <si>
    <t>Max Loan with ARV Cap:</t>
  </si>
  <si>
    <t>Appraisal &amp; Loan App Fee:</t>
  </si>
  <si>
    <t>*** Appraisal &amp; Loan App Fee paid after Credit Approval has been given, but before close.</t>
  </si>
  <si>
    <t>* Lender Fee is rolled into the loan</t>
  </si>
  <si>
    <t>Lender Origination Rolled into Loan (3%):</t>
  </si>
  <si>
    <t>233 Cluster, LLC</t>
  </si>
  <si>
    <t>SFR</t>
  </si>
  <si>
    <t>Lender Loan Doc Fee:</t>
  </si>
  <si>
    <t>Base Rate:</t>
  </si>
  <si>
    <t>Lender Fees (Flood Cert, CDA, Credit Etc.)</t>
  </si>
  <si>
    <t>Title Insurance ESTIMATE:</t>
  </si>
  <si>
    <t>Property Insurance ESTIMATE:</t>
  </si>
  <si>
    <t>PrePaid Items (Insurance, HOA, +1st Payment):</t>
  </si>
  <si>
    <r>
      <t>0.625% Fee: - 0.125% on Interest Rate (</t>
    </r>
    <r>
      <rPr>
        <sz val="11"/>
        <color rgb="FFFF0000"/>
        <rFont val="Calibri"/>
        <family val="2"/>
        <scheme val="minor"/>
      </rPr>
      <t>6.625%</t>
    </r>
    <r>
      <rPr>
        <sz val="11"/>
        <color rgb="FF000000"/>
        <rFont val="Calibri"/>
        <family val="2"/>
        <scheme val="minor"/>
      </rPr>
      <t>)</t>
    </r>
  </si>
  <si>
    <r>
      <t>1.25% Fee: - .25% on Interest Rate (</t>
    </r>
    <r>
      <rPr>
        <sz val="11"/>
        <color rgb="FFFF0000"/>
        <rFont val="Calibri"/>
        <family val="2"/>
        <scheme val="minor"/>
      </rPr>
      <t>6.5%</t>
    </r>
    <r>
      <rPr>
        <sz val="11"/>
        <color rgb="FF000000"/>
        <rFont val="Calibri"/>
        <family val="2"/>
        <scheme val="minor"/>
      </rPr>
      <t>)</t>
    </r>
  </si>
  <si>
    <r>
      <t>1.875% Fee: - 0.375% on Interest Rate (</t>
    </r>
    <r>
      <rPr>
        <sz val="11"/>
        <color rgb="FFFF0000"/>
        <rFont val="Calibri"/>
        <family val="2"/>
        <scheme val="minor"/>
      </rPr>
      <t>6.375%</t>
    </r>
    <r>
      <rPr>
        <sz val="11"/>
        <color rgb="FF000000"/>
        <rFont val="Calibri"/>
        <family val="2"/>
        <scheme val="minor"/>
      </rPr>
      <t>)</t>
    </r>
  </si>
  <si>
    <t>Dan Silverstone</t>
  </si>
  <si>
    <t>1576 Culventry Rd Cleveland, OH 44118</t>
  </si>
  <si>
    <t>Down Pmt</t>
  </si>
  <si>
    <t>3-2-1 (3% Yr 1, 2% Yr 2, 1% Yr 3, 0 --)</t>
  </si>
  <si>
    <t>Appraisal (Paid before Close): ESTIMATE</t>
  </si>
  <si>
    <t>Purchase Price:</t>
  </si>
  <si>
    <t>Property Insurance: ESTIAMTE</t>
  </si>
  <si>
    <t>Total Estimated Closing Costs:</t>
  </si>
  <si>
    <t>Insurance: ESTIMATE</t>
  </si>
  <si>
    <t>5-4-3-2-1 Step Down Prepay</t>
  </si>
  <si>
    <t>Mortgage Payment:</t>
  </si>
  <si>
    <t>with PITI</t>
  </si>
  <si>
    <t>Estimated Fees + Closing Costs:</t>
  </si>
  <si>
    <t>Monthly Rental Income:</t>
  </si>
  <si>
    <t>Loan Cap (70% of ARV):</t>
  </si>
  <si>
    <t>Debt Pay Off:</t>
  </si>
  <si>
    <t>Gross Cash Out Amount:</t>
  </si>
  <si>
    <t>Rehab Amount:</t>
  </si>
  <si>
    <t>** Interest only paid on what's drawn</t>
  </si>
  <si>
    <t>** Origination is only paid as drawn, not all at once on this LOC.</t>
  </si>
  <si>
    <t>Non-Recourse</t>
  </si>
  <si>
    <t>701 Units</t>
  </si>
  <si>
    <t>10+</t>
  </si>
  <si>
    <t>With Standard Bad Boy Carve-Outs</t>
  </si>
  <si>
    <t>Nathan Seigel &amp; Samuel Bonnardel</t>
  </si>
  <si>
    <t>763 + 822</t>
  </si>
  <si>
    <t>Verifiable Completed Ground Up (24mo):</t>
  </si>
  <si>
    <t>Recourse:</t>
  </si>
  <si>
    <t xml:space="preserve">11 Cap Origination: </t>
  </si>
  <si>
    <t>SILVER</t>
  </si>
  <si>
    <r>
      <t>Appraisal (</t>
    </r>
    <r>
      <rPr>
        <b/>
        <sz val="12"/>
        <color rgb="FFFF0000"/>
        <rFont val="Calibri"/>
        <family val="2"/>
        <scheme val="minor"/>
      </rPr>
      <t>PAID BEFORE CLOSE</t>
    </r>
    <r>
      <rPr>
        <b/>
        <sz val="12"/>
        <color rgb="FF000000"/>
        <rFont val="Calibri"/>
        <family val="2"/>
        <scheme val="minor"/>
      </rPr>
      <t>):</t>
    </r>
  </si>
  <si>
    <r>
      <rPr>
        <b/>
        <sz val="12"/>
        <color rgb="FFFF0000"/>
        <rFont val="Calibri"/>
        <family val="2"/>
        <scheme val="minor"/>
      </rPr>
      <t>Mid</t>
    </r>
    <r>
      <rPr>
        <b/>
        <sz val="12"/>
        <color rgb="FF000000"/>
        <rFont val="Calibri"/>
        <family val="2"/>
        <scheme val="minor"/>
      </rPr>
      <t xml:space="preserve"> FICO Score:</t>
    </r>
  </si>
  <si>
    <t>EMD Down:</t>
  </si>
  <si>
    <r>
      <t xml:space="preserve">11 Cap Origination: </t>
    </r>
    <r>
      <rPr>
        <b/>
        <sz val="12"/>
        <color rgb="FFFF0000"/>
        <rFont val="Calibri"/>
        <family val="2"/>
        <scheme val="minor"/>
      </rPr>
      <t>(Due at Close)</t>
    </r>
  </si>
  <si>
    <r>
      <t xml:space="preserve">Appraisal: </t>
    </r>
    <r>
      <rPr>
        <b/>
        <sz val="12"/>
        <color rgb="FFFF0000"/>
        <rFont val="Calibri"/>
        <family val="2"/>
        <scheme val="minor"/>
      </rPr>
      <t>(Due at Close)</t>
    </r>
  </si>
  <si>
    <r>
      <t xml:space="preserve">Lender Origination 2% </t>
    </r>
    <r>
      <rPr>
        <b/>
        <sz val="12"/>
        <color rgb="FF537B83"/>
        <rFont val="Calibri"/>
        <family val="2"/>
        <scheme val="minor"/>
      </rPr>
      <t>(Due at Sale of Project)</t>
    </r>
    <r>
      <rPr>
        <b/>
        <sz val="12"/>
        <color rgb="FF000000"/>
        <rFont val="Calibri"/>
        <family val="2"/>
        <scheme val="minor"/>
      </rPr>
      <t>:</t>
    </r>
  </si>
  <si>
    <r>
      <t xml:space="preserve">Lender UW Fee </t>
    </r>
    <r>
      <rPr>
        <b/>
        <sz val="12"/>
        <color rgb="FF537B83"/>
        <rFont val="Calibri"/>
        <family val="2"/>
        <scheme val="minor"/>
      </rPr>
      <t>(Due at Sale of Project)</t>
    </r>
    <r>
      <rPr>
        <b/>
        <sz val="12"/>
        <color rgb="FF000000"/>
        <rFont val="Calibri"/>
        <family val="2"/>
        <scheme val="minor"/>
      </rPr>
      <t>:</t>
    </r>
  </si>
  <si>
    <t>Seller Concessions (up to 6% of Purchase):</t>
  </si>
  <si>
    <t>3 Months</t>
  </si>
  <si>
    <t>BPO (Also required for $100k+ Cashout):</t>
  </si>
  <si>
    <t>**To Be Created by JV Lender</t>
  </si>
  <si>
    <t>** The borrowing/closing entity will be in an entity formed by the JV Lender with the Lender on Title. This structure puts the risk onto the JV Lender should any issues occur during the project, and allows them to step in if/when necessary at/beyond month 6 of the project if not yet sold (outlined further below).</t>
  </si>
  <si>
    <t>Completed Fix &amp; Flips (24 mo):</t>
  </si>
  <si>
    <t>Rental Properties (Curently Owned &amp; Leased):</t>
  </si>
  <si>
    <r>
      <rPr>
        <b/>
        <sz val="11"/>
        <color rgb="FFFF0000"/>
        <rFont val="Calibri"/>
        <family val="2"/>
        <scheme val="minor"/>
      </rPr>
      <t>Mid</t>
    </r>
    <r>
      <rPr>
        <b/>
        <sz val="11"/>
        <color rgb="FF000000"/>
        <rFont val="Calibri"/>
        <family val="2"/>
        <scheme val="minor"/>
      </rPr>
      <t xml:space="preserve"> FICO Score:</t>
    </r>
  </si>
  <si>
    <t>Loan Amount - Purchase/Refi + Rehab:</t>
  </si>
  <si>
    <t>** Reserves required: 6 mo Interest Payments + 10 % of rehab Budget</t>
  </si>
  <si>
    <t>LIMA ONE - REHAB FINANCING QUOTE</t>
  </si>
  <si>
    <t>LIMA ONE - REFI PERMANENT FINANCING QUOTE</t>
  </si>
  <si>
    <t>LIMA ONE - PERMANENT FINANCING QUOTE</t>
  </si>
  <si>
    <r>
      <t>Credit + Background (</t>
    </r>
    <r>
      <rPr>
        <b/>
        <sz val="12"/>
        <color rgb="FFFF0000"/>
        <rFont val="Calibri"/>
        <family val="2"/>
        <scheme val="minor"/>
      </rPr>
      <t>PAID BEFORE CLOSE</t>
    </r>
    <r>
      <rPr>
        <b/>
        <sz val="12"/>
        <color rgb="FF000000"/>
        <rFont val="Calibri"/>
        <family val="2"/>
        <scheme val="minor"/>
      </rPr>
      <t>):</t>
    </r>
  </si>
  <si>
    <t>COREVEST - REHAB  QUOTE</t>
  </si>
  <si>
    <t>COREVEST - PERMANENT / REFI CASH OUT  QUOTE</t>
  </si>
  <si>
    <t>COREVEST - BRIDGE PURCHASE  QUOTE</t>
  </si>
  <si>
    <t>Estimated As is Value:</t>
  </si>
  <si>
    <t>LTV Amount:</t>
  </si>
  <si>
    <t>% of Purchase</t>
  </si>
  <si>
    <t>% of As is Value</t>
  </si>
  <si>
    <t>Max LTV of As is Value =</t>
  </si>
  <si>
    <t>Max LTV of Purchase Price =</t>
  </si>
  <si>
    <t>Input Broker Fee</t>
  </si>
  <si>
    <t>** Interest only paid on what's drawn on LOC Product</t>
  </si>
  <si>
    <r>
      <t>Appraisals (</t>
    </r>
    <r>
      <rPr>
        <b/>
        <sz val="12"/>
        <color rgb="FFFF0000"/>
        <rFont val="Calibri"/>
        <family val="2"/>
        <scheme val="minor"/>
      </rPr>
      <t>PAID PRIOR TO CLOSE</t>
    </r>
    <r>
      <rPr>
        <b/>
        <sz val="12"/>
        <color rgb="FF000000"/>
        <rFont val="Calibri"/>
        <family val="2"/>
        <scheme val="minor"/>
      </rPr>
      <t>):</t>
    </r>
  </si>
  <si>
    <t>11 Cap Origination: 1% As Funds Drawn</t>
  </si>
  <si>
    <t>Loan Terms + Overview:</t>
  </si>
  <si>
    <t>Borroweing Entity:</t>
  </si>
  <si>
    <r>
      <t>Appraisal: ESTIMATE (</t>
    </r>
    <r>
      <rPr>
        <b/>
        <sz val="12"/>
        <color rgb="FFFF0000"/>
        <rFont val="Calibri"/>
        <family val="2"/>
        <scheme val="minor"/>
      </rPr>
      <t>PAID BEFORE CLOSE</t>
    </r>
    <r>
      <rPr>
        <b/>
        <sz val="12"/>
        <color rgb="FF000000"/>
        <rFont val="Calibri"/>
        <family val="2"/>
        <scheme val="minor"/>
      </rPr>
      <t>)</t>
    </r>
  </si>
  <si>
    <t>15 Yr Balloon 25 Yr Amortization</t>
  </si>
  <si>
    <t>Credentials:</t>
  </si>
  <si>
    <t>Loan Fees + Costs:</t>
  </si>
  <si>
    <t>Third Party Estimates:</t>
  </si>
  <si>
    <t>Rental Properties: Owned &amp; Leased</t>
  </si>
  <si>
    <t>Antonio Cerqueria</t>
  </si>
  <si>
    <t>Cash Out Refinance:</t>
  </si>
  <si>
    <t>YES</t>
  </si>
  <si>
    <t>MBFS PERMANENT Cash Out: QUOTE</t>
  </si>
  <si>
    <t>MBFS PERMANENT Purchase: QUOTE</t>
  </si>
  <si>
    <t>Cheesecake Properties, LLC</t>
  </si>
  <si>
    <t>5129 Diamond St Philadelphia PA 19131</t>
  </si>
  <si>
    <r>
      <t>Refinance Amount:</t>
    </r>
    <r>
      <rPr>
        <sz val="12"/>
        <color rgb="FF000000"/>
        <rFont val="Calibri"/>
        <family val="2"/>
        <scheme val="minor"/>
      </rPr>
      <t> </t>
    </r>
  </si>
  <si>
    <t>1-4 Unit:</t>
  </si>
  <si>
    <r>
      <t>Lender UW Fee (</t>
    </r>
    <r>
      <rPr>
        <b/>
        <sz val="12"/>
        <color rgb="FFFF0000"/>
        <rFont val="Calibri"/>
        <family val="2"/>
        <scheme val="minor"/>
      </rPr>
      <t>PAID PRIOR TO CLOSE</t>
    </r>
    <r>
      <rPr>
        <b/>
        <sz val="12"/>
        <color rgb="FF000000"/>
        <rFont val="Calibri"/>
        <family val="2"/>
        <scheme val="minor"/>
      </rPr>
      <t>)</t>
    </r>
  </si>
  <si>
    <t>NONE</t>
  </si>
  <si>
    <t>Flood Cert, Credit, Misc:</t>
  </si>
  <si>
    <t>LTV on Refinance:</t>
  </si>
  <si>
    <t>Refi Funded:</t>
  </si>
  <si>
    <t>Estimated Cash Received At Closing:</t>
  </si>
  <si>
    <t>Thomas Hilgardner</t>
  </si>
  <si>
    <t>** Please note: This Lender allows the appraisal is paid at close, and not prior to.</t>
  </si>
  <si>
    <t>** Please Note: Approved plans must be completed before this lender can close.</t>
  </si>
  <si>
    <t>Please note, estimates on third parties insurance are simply estimates. Please contact your Title Company and Insurance Agent for a more accurate figure.</t>
  </si>
  <si>
    <t>Max 50% of Lot Purchase/Refinance (if applicable):</t>
  </si>
  <si>
    <t>Estimated Fees &amp; Closing Costs TOTAL:</t>
  </si>
  <si>
    <t>Estimated Fees Deferred / Due at Sale:</t>
  </si>
  <si>
    <t>Estimated Cash Due at Closing:</t>
  </si>
  <si>
    <t>Loan Overview &amp; Terms:</t>
  </si>
  <si>
    <t>Quote Date:</t>
  </si>
  <si>
    <t>Loan Costs &amp; Fees:</t>
  </si>
  <si>
    <t>Third Party Cost Estimates:</t>
  </si>
  <si>
    <t>As is Value Cap:</t>
  </si>
  <si>
    <t>RCN REHAB / BRIDGE QUOTE</t>
  </si>
  <si>
    <t>RCN PERMANENT FINANCING QUOTE</t>
  </si>
  <si>
    <t>Park Place Property Group of IL, Inc</t>
  </si>
  <si>
    <r>
      <t>Lender Legal Fee (</t>
    </r>
    <r>
      <rPr>
        <b/>
        <sz val="12"/>
        <color rgb="FFFF0000"/>
        <rFont val="Calibri"/>
        <family val="2"/>
        <scheme val="minor"/>
      </rPr>
      <t>PAID AT TERM SHEET</t>
    </r>
    <r>
      <rPr>
        <b/>
        <sz val="12"/>
        <color rgb="FF000000"/>
        <rFont val="Calibri"/>
        <family val="2"/>
        <scheme val="minor"/>
      </rPr>
      <t>):</t>
    </r>
  </si>
  <si>
    <r>
      <t>Appraisal (</t>
    </r>
    <r>
      <rPr>
        <b/>
        <sz val="12"/>
        <color rgb="FFFF0000"/>
        <rFont val="Calibri"/>
        <family val="2"/>
        <scheme val="minor"/>
      </rPr>
      <t>PAID BEFORE CLOSE</t>
    </r>
    <r>
      <rPr>
        <b/>
        <sz val="12"/>
        <rFont val="Calibri"/>
        <family val="2"/>
        <scheme val="minor"/>
      </rPr>
      <t>)</t>
    </r>
    <r>
      <rPr>
        <b/>
        <sz val="12"/>
        <color rgb="FF000000"/>
        <rFont val="Calibri"/>
        <family val="2"/>
        <scheme val="minor"/>
      </rPr>
      <t>:</t>
    </r>
  </si>
  <si>
    <t>Current Rental Properties (Leased):</t>
  </si>
  <si>
    <t>Completed Fix &amp; Flips (within 24 Mo):</t>
  </si>
  <si>
    <t>Title Insurance: ESTIMATE:</t>
  </si>
  <si>
    <t>Property Insurance: ESTIMATE:</t>
  </si>
  <si>
    <t>12mo</t>
  </si>
  <si>
    <t>4303 Tinsberry Ct Burtonsville MD 20866</t>
  </si>
  <si>
    <t>Lender Origination: (3%)</t>
  </si>
  <si>
    <t>CONSTRUCTIVE: PURCHASE PERM QUOTE</t>
  </si>
  <si>
    <r>
      <t>Appraisal (</t>
    </r>
    <r>
      <rPr>
        <b/>
        <sz val="12"/>
        <color rgb="FFFF0000"/>
        <rFont val="Calibri"/>
        <family val="2"/>
        <scheme val="minor"/>
      </rPr>
      <t>Paid prior to Close</t>
    </r>
    <r>
      <rPr>
        <b/>
        <sz val="12"/>
        <color rgb="FF000000"/>
        <rFont val="Calibri"/>
        <family val="2"/>
        <scheme val="minor"/>
      </rPr>
      <t>):</t>
    </r>
  </si>
  <si>
    <t>Insurance: ESTIMATE:</t>
  </si>
  <si>
    <t>Broker Fee</t>
  </si>
  <si>
    <t>**Draw Fee:</t>
  </si>
  <si>
    <t>***Mo payments (If not sold by 6 mo):</t>
  </si>
  <si>
    <t>*** Monthly payments are rolled into the loan for the first 6 months. Int payments are only maybe if property isnt sold by 6 months, starting in month 7 and on.</t>
  </si>
  <si>
    <t>6 Mo Interest Reserve:</t>
  </si>
  <si>
    <t>6 Mo property Insurance:</t>
  </si>
  <si>
    <t>100% of Purchase:</t>
  </si>
  <si>
    <r>
      <rPr>
        <b/>
        <sz val="12"/>
        <color rgb="FF000000"/>
        <rFont val="Calibri"/>
        <family val="2"/>
        <scheme val="minor"/>
      </rPr>
      <t>6.75%</t>
    </r>
    <r>
      <rPr>
        <sz val="12"/>
        <color rgb="FF000000"/>
        <rFont val="Calibri"/>
        <family val="2"/>
        <scheme val="minor"/>
      </rPr>
      <t xml:space="preserve"> with + </t>
    </r>
    <r>
      <rPr>
        <sz val="12"/>
        <color rgb="FFFF0000"/>
        <rFont val="Calibri"/>
        <family val="2"/>
        <scheme val="minor"/>
      </rPr>
      <t>0.625%</t>
    </r>
    <r>
      <rPr>
        <sz val="12"/>
        <color rgb="FF000000"/>
        <rFont val="Calibri"/>
        <family val="2"/>
        <scheme val="minor"/>
      </rPr>
      <t xml:space="preserve"> Lender Origination</t>
    </r>
  </si>
  <si>
    <r>
      <rPr>
        <b/>
        <sz val="12"/>
        <color rgb="FF000000"/>
        <rFont val="Calibri"/>
        <family val="2"/>
        <scheme val="minor"/>
      </rPr>
      <t>6.625%</t>
    </r>
    <r>
      <rPr>
        <sz val="12"/>
        <color rgb="FF000000"/>
        <rFont val="Calibri"/>
        <family val="2"/>
        <scheme val="minor"/>
      </rPr>
      <t xml:space="preserve"> with + </t>
    </r>
    <r>
      <rPr>
        <sz val="12"/>
        <color rgb="FFFF0000"/>
        <rFont val="Calibri"/>
        <family val="2"/>
        <scheme val="minor"/>
      </rPr>
      <t>1.25%</t>
    </r>
    <r>
      <rPr>
        <sz val="12"/>
        <color rgb="FF000000"/>
        <rFont val="Calibri"/>
        <family val="2"/>
        <scheme val="minor"/>
      </rPr>
      <t xml:space="preserve"> Lender Origination</t>
    </r>
  </si>
  <si>
    <r>
      <rPr>
        <b/>
        <sz val="12"/>
        <color rgb="FF000000"/>
        <rFont val="Calibri"/>
        <family val="2"/>
        <scheme val="minor"/>
      </rPr>
      <t>6.5%</t>
    </r>
    <r>
      <rPr>
        <sz val="12"/>
        <color rgb="FF000000"/>
        <rFont val="Calibri"/>
        <family val="2"/>
        <scheme val="minor"/>
      </rPr>
      <t xml:space="preserve"> with + </t>
    </r>
    <r>
      <rPr>
        <sz val="12"/>
        <color rgb="FFFF0000"/>
        <rFont val="Calibri"/>
        <family val="2"/>
        <scheme val="minor"/>
      </rPr>
      <t>1.875%</t>
    </r>
    <r>
      <rPr>
        <sz val="12"/>
        <color rgb="FF000000"/>
        <rFont val="Calibri"/>
        <family val="2"/>
        <scheme val="minor"/>
      </rPr>
      <t xml:space="preserve"> Lender Origination</t>
    </r>
  </si>
  <si>
    <r>
      <t>Mortgage Payment (</t>
    </r>
    <r>
      <rPr>
        <b/>
        <sz val="12"/>
        <color rgb="FF537B83"/>
        <rFont val="Calibri"/>
        <family val="2"/>
        <scheme val="minor"/>
      </rPr>
      <t>PITI Included</t>
    </r>
    <r>
      <rPr>
        <b/>
        <sz val="12"/>
        <color rgb="FF000000"/>
        <rFont val="Calibri"/>
        <family val="2"/>
        <scheme val="minor"/>
      </rPr>
      <t>):</t>
    </r>
  </si>
  <si>
    <t>COREVEST SMALL BALANCE - PERMANENT PURCHASE QUOTE</t>
  </si>
  <si>
    <t>Yield Maintenance:</t>
  </si>
  <si>
    <t>Loan Amount (With DSCR Cap):</t>
  </si>
  <si>
    <t>Base Rate (As of Date Quoted):</t>
  </si>
  <si>
    <t>This is a Non-Recourse Loan</t>
  </si>
  <si>
    <t>Recourse/Non Recourse:</t>
  </si>
  <si>
    <r>
      <t>Appraisal (</t>
    </r>
    <r>
      <rPr>
        <b/>
        <sz val="12"/>
        <color rgb="FFFF0000"/>
        <rFont val="Calibri"/>
        <family val="2"/>
        <scheme val="minor"/>
      </rPr>
      <t>Paid before Close</t>
    </r>
    <r>
      <rPr>
        <b/>
        <sz val="12"/>
        <color rgb="FF000000"/>
        <rFont val="Calibri"/>
        <family val="2"/>
        <scheme val="minor"/>
      </rPr>
      <t>): ESTIMATE</t>
    </r>
  </si>
  <si>
    <t>Formal Appraisals are required for the property(ies) on this transaction</t>
  </si>
  <si>
    <t>This Quote is an Estimate, and not a formal loan commitment from 11 Capital or the Lender</t>
  </si>
  <si>
    <t>COREVEST $500K+ - PERMANENT PURCHASE QUOTE</t>
  </si>
  <si>
    <t>CFRE 100% JV Loan Quote</t>
  </si>
  <si>
    <t>ATHAS PERMANENT FINANCING QUOTE</t>
  </si>
  <si>
    <t>Doc &amp; Legal Fee:</t>
  </si>
  <si>
    <r>
      <t xml:space="preserve">Appraisal </t>
    </r>
    <r>
      <rPr>
        <b/>
        <sz val="12"/>
        <color rgb="FFFF0000"/>
        <rFont val="Calibri"/>
        <family val="2"/>
        <scheme val="minor"/>
      </rPr>
      <t>ESTIMATE</t>
    </r>
    <r>
      <rPr>
        <b/>
        <sz val="12"/>
        <color rgb="FF000000"/>
        <rFont val="Calibri"/>
        <family val="2"/>
        <scheme val="minor"/>
      </rPr>
      <t xml:space="preserve"> (</t>
    </r>
    <r>
      <rPr>
        <b/>
        <sz val="12"/>
        <color rgb="FFFF0000"/>
        <rFont val="Calibri"/>
        <family val="2"/>
        <scheme val="minor"/>
      </rPr>
      <t>PAID BEFORE CLOSE</t>
    </r>
    <r>
      <rPr>
        <b/>
        <sz val="12"/>
        <color rgb="FF000000"/>
        <rFont val="Calibri"/>
        <family val="2"/>
        <scheme val="minor"/>
      </rPr>
      <t>):</t>
    </r>
  </si>
  <si>
    <t>10% Rehab Contingency:</t>
  </si>
  <si>
    <t>Shirley Robinson</t>
  </si>
  <si>
    <t>Fresh Hand by Hand LLC</t>
  </si>
  <si>
    <t>31 S Gordons Alley Atlantic City, NJ 08401</t>
  </si>
  <si>
    <t>Monthly Payments:</t>
  </si>
  <si>
    <t xml:space="preserve">** If you sell/refinance before end of term, any unused escsrowed payments are returned to the borrower. </t>
  </si>
  <si>
    <t>** Full Term payments Escrowed:</t>
  </si>
  <si>
    <t>Loan Amount (Fees + Refi + Rehab):</t>
  </si>
  <si>
    <t>Max Rehab Draw at Close (15% As is Value):</t>
  </si>
  <si>
    <t>Ravinder Sethi</t>
  </si>
  <si>
    <t>AIA INVESTMENTS, LLC</t>
  </si>
  <si>
    <t>68 Pleasant Street, Meriden CT (5-unit)</t>
  </si>
  <si>
    <t>Rate (5/1 Hybrid):</t>
  </si>
  <si>
    <t>Rate (30 Yr Fixed):</t>
  </si>
  <si>
    <t>5/1 Hybrid OR 30 Yr Fixed</t>
  </si>
  <si>
    <t>8 mo I/O with 4 mo Ext Option for 1% of Loan</t>
  </si>
  <si>
    <t>Lea Tallo</t>
  </si>
  <si>
    <t>2134 E Palm Lane Phoenix AZ 85006</t>
  </si>
  <si>
    <t>Sonoran Sol Ventures, Inc</t>
  </si>
  <si>
    <t>Credit &amp; Background Check:</t>
  </si>
  <si>
    <t>Lender Legal Fee:</t>
  </si>
  <si>
    <t>Mitchell Menaker</t>
  </si>
  <si>
    <t>Richard Henderson</t>
  </si>
  <si>
    <t>AssetBancorp LLC</t>
  </si>
  <si>
    <t>NA</t>
  </si>
  <si>
    <t>Mo Rental Income/Annual NOI:</t>
  </si>
  <si>
    <t>60 Property Cleveland OH Portfolio</t>
  </si>
  <si>
    <t>10 Yr Balloon    30 Yr Amortization</t>
  </si>
  <si>
    <t>114 Months</t>
  </si>
  <si>
    <t>Closing Time Frame:</t>
  </si>
  <si>
    <t>CONSTRUCTIVE: REFI CASH OUT BRIDGE QUOTE</t>
  </si>
  <si>
    <t>12 Mo Bridge</t>
  </si>
  <si>
    <t>675-691</t>
  </si>
  <si>
    <t>Snehal Mehta</t>
  </si>
  <si>
    <t>First Choice Financial Corp</t>
  </si>
  <si>
    <t>1379 East Central Rd, Arlington Heights IL</t>
  </si>
  <si>
    <t>6 Rentals + 1 Flip (24 mo)</t>
  </si>
  <si>
    <t>Stratton Equities</t>
  </si>
  <si>
    <t>3 Yr Pre Payment Penalty</t>
  </si>
  <si>
    <t>Interest Only Option:</t>
  </si>
  <si>
    <t>Add 0.250% to 5/1 ARM</t>
  </si>
  <si>
    <t>Processing:</t>
  </si>
  <si>
    <t>Lender UW &amp; Doc Prep Fee:</t>
  </si>
  <si>
    <t>STRATTON EQUITIES - PERMANENT QUOTE</t>
  </si>
  <si>
    <t>As is Value (Refi):</t>
  </si>
  <si>
    <t>w</t>
  </si>
  <si>
    <t>STRATTON EQUITIES - REFI PERM QUOTE</t>
  </si>
  <si>
    <t>Max Loan Amount (LTC):</t>
  </si>
  <si>
    <t>SHARESTATES - CASH OUT + REHAB FINANCING QUOTE</t>
  </si>
  <si>
    <t>2% Yr 1  &amp; 1% Yr 2</t>
  </si>
  <si>
    <t>Amortization:</t>
  </si>
  <si>
    <t>10Yr I/O, 20 Yr Amortization (30 Yr Total)</t>
  </si>
  <si>
    <t>Monthly Mortgage (During I/O):</t>
  </si>
  <si>
    <t>Interest Accurual:</t>
  </si>
  <si>
    <t>100% of Loan Amount</t>
  </si>
  <si>
    <r>
      <t>Commitment Deposit (</t>
    </r>
    <r>
      <rPr>
        <b/>
        <sz val="11"/>
        <color rgb="FFFF0000"/>
        <rFont val="Calibri"/>
        <family val="2"/>
        <scheme val="minor"/>
      </rPr>
      <t>PAID AT TERM SHEET</t>
    </r>
    <r>
      <rPr>
        <b/>
        <sz val="11"/>
        <color rgb="FF000000"/>
        <rFont val="Calibri"/>
        <family val="2"/>
        <scheme val="minor"/>
      </rPr>
      <t>):</t>
    </r>
  </si>
  <si>
    <r>
      <t>Appraisal (</t>
    </r>
    <r>
      <rPr>
        <b/>
        <sz val="11"/>
        <color rgb="FFFF0000"/>
        <rFont val="Calibri"/>
        <family val="2"/>
        <scheme val="minor"/>
      </rPr>
      <t>PAID BEFORE CLOSE</t>
    </r>
    <r>
      <rPr>
        <b/>
        <sz val="11"/>
        <color rgb="FF000000"/>
        <rFont val="Calibri"/>
        <family val="2"/>
        <scheme val="minor"/>
      </rPr>
      <t>):</t>
    </r>
  </si>
  <si>
    <t>Title Review Fee:</t>
  </si>
  <si>
    <t>Value of Land:</t>
  </si>
  <si>
    <t>Land Purchase Price:</t>
  </si>
  <si>
    <t>Lot 9 River Valley Ln Santa fe NM 87506</t>
  </si>
  <si>
    <t xml:space="preserve">Menaker Consulting, Inc. </t>
  </si>
  <si>
    <r>
      <t xml:space="preserve">LIMA ONE - GROUND UP FINANCING QUOTE </t>
    </r>
    <r>
      <rPr>
        <b/>
        <sz val="16"/>
        <color theme="1" tint="4.9989318521683403E-2"/>
        <rFont val="Calibri"/>
        <family val="2"/>
        <scheme val="minor"/>
      </rPr>
      <t>(Land Purch)</t>
    </r>
  </si>
  <si>
    <t>** Reserves required: 6 mo Interest Payments  10 % of Construction Budget</t>
  </si>
  <si>
    <r>
      <t xml:space="preserve">LIMA ONE - GROUND UP FINANCING QUOTE </t>
    </r>
    <r>
      <rPr>
        <b/>
        <sz val="16"/>
        <color rgb="FFC00000"/>
        <rFont val="Calibri"/>
        <family val="2"/>
        <scheme val="minor"/>
      </rPr>
      <t>(Owns Land)</t>
    </r>
  </si>
  <si>
    <t>Mo Insurance:</t>
  </si>
  <si>
    <t>Mo Taxes:</t>
  </si>
  <si>
    <t>* The up-front draw is credited towards closing costs on purchase transactions. The borrower is responsible to start the rehab and they  will be reimbursed in draws from the lender as work progresses.</t>
  </si>
  <si>
    <t>**Any Un-used portion of the escrowed payments are paid back to the borrower at the sale or refinance of this loan</t>
  </si>
  <si>
    <t>Lender Origination: 1.6%</t>
  </si>
  <si>
    <t>Juan Escobar</t>
  </si>
  <si>
    <t>88 Insley Ave. LLC</t>
  </si>
  <si>
    <t>88 Insley Ave Passaic NJ 07055</t>
  </si>
  <si>
    <t>88 Insley Ave Rutherford, NJ 07070</t>
  </si>
  <si>
    <t>Debt Owed on Property:</t>
  </si>
  <si>
    <t>** PLEASE NOTE: The Commitment Deposit is paid to lender once commitment to move forward on the quote. This is non-refundable but credited at closing.</t>
  </si>
  <si>
    <t>5/1 ARM 30 Yr Term</t>
  </si>
  <si>
    <t>Loan Amount with Closing Costs:</t>
  </si>
  <si>
    <t>Base Loan Amount:</t>
  </si>
  <si>
    <t>5 ARCH QUOTER</t>
  </si>
  <si>
    <t>5 ARCH  - PERMANENT RE-FINANCING QUOTE</t>
  </si>
  <si>
    <t>Juan C Escobar</t>
  </si>
  <si>
    <t>11 Cap Origination: 2%</t>
  </si>
  <si>
    <t>Lender Origination: 1.75%</t>
  </si>
  <si>
    <t>DSCR Limiter:</t>
  </si>
  <si>
    <t>3-2-1 PPP (3%Yr1,  2%Yr2,  1%Yr3,   0…)</t>
  </si>
  <si>
    <t>Only fill in yellow highlighted selections</t>
  </si>
  <si>
    <t>Randall Lukas</t>
  </si>
  <si>
    <t>T &amp; L Inc</t>
  </si>
  <si>
    <t>10386 E. Celestial Dr Scottsdale, AZ 85262</t>
  </si>
  <si>
    <t>** Reserves required: 6 mo Interest Payments  10 % of construction Budget</t>
  </si>
  <si>
    <t>Lender Origination: 2% (2.375% for 30Fixed):</t>
  </si>
  <si>
    <t>Asia Beamon</t>
  </si>
  <si>
    <t>Block 77 Realty Group, LLC</t>
  </si>
  <si>
    <t>14047 S School St Riverdale, IL 60827</t>
  </si>
  <si>
    <t>BRONZE</t>
  </si>
  <si>
    <t>Actual Loan Amount:</t>
  </si>
  <si>
    <t>Please note that this quote does not provide a loan commitment, but is projected based on the application the borrower submitted to 11 Capital Finance. Any incorrect information on the application will result in mis-calculated quotes and estimates.</t>
  </si>
  <si>
    <t>Monthly Insurance:</t>
  </si>
  <si>
    <t>Monthly Taxes:</t>
  </si>
  <si>
    <t>LEVEL 9</t>
  </si>
  <si>
    <r>
      <t>Because of your experience with ground up projects since 2012 (0), the lender is maxing out at an</t>
    </r>
    <r>
      <rPr>
        <b/>
        <u/>
        <sz val="12"/>
        <color theme="1"/>
        <rFont val="Calibri"/>
        <family val="2"/>
        <scheme val="minor"/>
      </rPr>
      <t xml:space="preserve"> 80% LTC,</t>
    </r>
    <r>
      <rPr>
        <sz val="12"/>
        <color theme="1"/>
        <rFont val="Calibri"/>
        <family val="2"/>
        <scheme val="minor"/>
      </rPr>
      <t xml:space="preserve"> and the max loan amount on this deal = </t>
    </r>
    <r>
      <rPr>
        <b/>
        <sz val="12"/>
        <color theme="1"/>
        <rFont val="Calibri"/>
        <family val="2"/>
        <scheme val="minor"/>
      </rPr>
      <t>($)319,200</t>
    </r>
    <r>
      <rPr>
        <sz val="12"/>
        <color theme="1"/>
        <rFont val="Calibri"/>
        <family val="2"/>
        <scheme val="minor"/>
      </rPr>
      <t xml:space="preserve">. I got this number by adding up the construction cost and the lot cost = </t>
    </r>
    <r>
      <rPr>
        <b/>
        <u/>
        <sz val="12"/>
        <color rgb="FF537B83"/>
        <rFont val="Calibri"/>
        <family val="2"/>
        <scheme val="minor"/>
      </rPr>
      <t>($)399,000</t>
    </r>
    <r>
      <rPr>
        <sz val="12"/>
        <color theme="1"/>
        <rFont val="Calibri"/>
        <family val="2"/>
        <scheme val="minor"/>
      </rPr>
      <t xml:space="preserve"> and taking </t>
    </r>
    <r>
      <rPr>
        <b/>
        <u/>
        <sz val="12"/>
        <color theme="1"/>
        <rFont val="Calibri"/>
        <family val="2"/>
        <scheme val="minor"/>
      </rPr>
      <t xml:space="preserve"> 80%</t>
    </r>
    <r>
      <rPr>
        <sz val="12"/>
        <color theme="1"/>
        <rFont val="Calibri"/>
        <family val="2"/>
        <scheme val="minor"/>
      </rPr>
      <t xml:space="preserve"> of that, which is the amount the lender will fund.</t>
    </r>
    <r>
      <rPr>
        <sz val="12"/>
        <rFont val="Calibri"/>
        <family val="2"/>
        <scheme val="minor"/>
      </rPr>
      <t xml:space="preserve"> Since you own the land outright, your previous injection of </t>
    </r>
    <r>
      <rPr>
        <b/>
        <u/>
        <sz val="12"/>
        <rFont val="Calibri"/>
        <family val="2"/>
        <scheme val="minor"/>
      </rPr>
      <t>$99,000</t>
    </r>
    <r>
      <rPr>
        <sz val="12"/>
        <rFont val="Calibri"/>
        <family val="2"/>
        <scheme val="minor"/>
      </rPr>
      <t xml:space="preserve"> towards the purchase can be used that towards your </t>
    </r>
    <r>
      <rPr>
        <b/>
        <u/>
        <sz val="12"/>
        <rFont val="Calibri"/>
        <family val="2"/>
        <scheme val="minor"/>
      </rPr>
      <t>20%</t>
    </r>
    <r>
      <rPr>
        <sz val="12"/>
        <rFont val="Calibri"/>
        <family val="2"/>
        <scheme val="minor"/>
      </rPr>
      <t xml:space="preserve"> equity requirement, leaving you with only Broker Fee + Third Party costs to bring to close.</t>
    </r>
  </si>
  <si>
    <t>Michael Hurley (50%) + Leisa Hurley (50%)</t>
  </si>
  <si>
    <t>CHADWAY Enterprises, LLC</t>
  </si>
  <si>
    <t>11030 Shortmeadow Dr Dallas, TX 75218</t>
  </si>
  <si>
    <t>45 Days on Avg (JV Lender has longer UW Process)</t>
  </si>
  <si>
    <t>Grant Gallo</t>
  </si>
  <si>
    <t>Grystal Acquisitions LLC</t>
  </si>
  <si>
    <t>4015 Antoine Dr Houston, TX 77092</t>
  </si>
  <si>
    <r>
      <t xml:space="preserve">Estimated Refi + Costs </t>
    </r>
    <r>
      <rPr>
        <b/>
        <sz val="12"/>
        <color rgb="FFFF0000"/>
        <rFont val="Calibri"/>
        <family val="2"/>
        <scheme val="minor"/>
      </rPr>
      <t>Not</t>
    </r>
    <r>
      <rPr>
        <b/>
        <sz val="12"/>
        <color rgb="FF000000"/>
        <rFont val="Calibri"/>
        <family val="2"/>
        <scheme val="minor"/>
      </rPr>
      <t xml:space="preserve"> Financed:</t>
    </r>
  </si>
  <si>
    <t>Michele Robinson</t>
  </si>
  <si>
    <t>637 S Main St Belle Glade, FL 33430</t>
  </si>
  <si>
    <t>Yes : Green Card</t>
  </si>
  <si>
    <t>3 Months Payments</t>
  </si>
  <si>
    <t>** 3 Year</t>
  </si>
  <si>
    <t>** Borrower has option to buy out Pre Payment Penalty to 1 Year Pre Payment Penalty with a 1.00% Rate increase + Additional fees at close</t>
  </si>
  <si>
    <t>Loan Costs and Fees:</t>
  </si>
  <si>
    <t>Please note, estimates on third parties insurance are simply estimates. Please contact your Title Company and Insurance Agent for a more accurate figures.</t>
  </si>
  <si>
    <t>Lender Deposit to Move Into UW:</t>
  </si>
  <si>
    <t>Rehab to Purchase Ratio:</t>
  </si>
  <si>
    <t>Purchase to Project Cost ratio:</t>
  </si>
  <si>
    <t>Rehab to Project Cost Ratio:</t>
  </si>
  <si>
    <t>2% Fee Would Be:</t>
  </si>
  <si>
    <t>Purchase and Sales Agreement plus all addendums</t>
  </si>
  <si>
    <t>Draw schedule showing everything being done with full amounts, timelines to completion of each draw as well</t>
  </si>
  <si>
    <t>Copy of Drivers License for all members</t>
  </si>
  <si>
    <t>Experience History Template- Will forward upon Execution of 11 Capital Fee Agreement</t>
  </si>
  <si>
    <t>State Articles for entity on the purchase and sales contract</t>
  </si>
  <si>
    <t>EIN Document</t>
  </si>
  <si>
    <t>Operating Agreement</t>
  </si>
  <si>
    <t>Contractor License</t>
  </si>
  <si>
    <t>Contractor insurance policy</t>
  </si>
  <si>
    <t>Construction contract with contractor</t>
  </si>
  <si>
    <t>11 Captal Finance Fee Agreement Executed</t>
  </si>
  <si>
    <t>Rehab Budget/Scope of Work (On Lenders Form)</t>
  </si>
  <si>
    <t>6 month insurance quote</t>
  </si>
  <si>
    <t>Contact info Form</t>
  </si>
  <si>
    <t>Background check form</t>
  </si>
  <si>
    <t>Personal Financial statement</t>
  </si>
  <si>
    <r>
      <rPr>
        <b/>
        <sz val="12"/>
        <color rgb="FF000000"/>
        <rFont val="Arial"/>
        <family val="2"/>
      </rPr>
      <t>Required Docs to Close on this Loan</t>
    </r>
    <r>
      <rPr>
        <sz val="12"/>
        <color rgb="FF000000"/>
        <rFont val="Arial"/>
        <family val="2"/>
      </rPr>
      <t>:  Lender specific Docs will be forwarded should you wish to proceed.</t>
    </r>
  </si>
  <si>
    <t>Because you are escrowing the first 3 months payments at close, you would not make a payment until start of Month 4</t>
  </si>
  <si>
    <t>Total Project Cost - 65% ARV:</t>
  </si>
  <si>
    <t>Total Project Cost - 70% ARV:</t>
  </si>
  <si>
    <t>Total Project Cost - 75% ARV:</t>
  </si>
  <si>
    <t>Total Project Cost to ARV:</t>
  </si>
  <si>
    <t>Margins w/o Soft Costs:</t>
  </si>
  <si>
    <t>PP to Project Cost ratio:</t>
  </si>
  <si>
    <t>65% ARV Loan Cap:</t>
  </si>
  <si>
    <t>70% ARV Loan Cap:</t>
  </si>
  <si>
    <t>75% ARV Loan Cap:</t>
  </si>
  <si>
    <t>% of Purchase + % Rehab Funded:</t>
  </si>
  <si>
    <t>Borrower Equity Participation:</t>
  </si>
  <si>
    <t>Natalie Tran</t>
  </si>
  <si>
    <t>2613 Fort Blvd El Passo TX 79930</t>
  </si>
  <si>
    <t>ARV Loan Cap:</t>
  </si>
  <si>
    <t>After Repair Value (ARV):</t>
  </si>
  <si>
    <r>
      <rPr>
        <b/>
        <sz val="12"/>
        <color rgb="FF000000"/>
        <rFont val="Calibri"/>
        <family val="2"/>
        <scheme val="minor"/>
      </rPr>
      <t>Lesser</t>
    </r>
    <r>
      <rPr>
        <sz val="12"/>
        <color rgb="FF000000"/>
        <rFont val="Calibri"/>
        <family val="2"/>
        <scheme val="minor"/>
      </rPr>
      <t xml:space="preserve"> </t>
    </r>
    <r>
      <rPr>
        <b/>
        <sz val="12"/>
        <color rgb="FF000000"/>
        <rFont val="Calibri"/>
        <family val="2"/>
        <scheme val="minor"/>
      </rPr>
      <t>of:</t>
    </r>
    <r>
      <rPr>
        <sz val="12"/>
        <color rgb="FF000000"/>
        <rFont val="Calibri"/>
        <family val="2"/>
        <scheme val="minor"/>
      </rPr>
      <t xml:space="preserve"> 80% of Purchase / 75% of as is value</t>
    </r>
  </si>
  <si>
    <t>**Please note, loans will be made to a business entity and personally guaranteed by  the individuals of the entity.  Prior to  closing, this lender collects $995 legal deposit for our attorney to work the file.  All loans require payments be set up for ACH withdrawal.</t>
  </si>
  <si>
    <t>Estimated Cash to Close (DP + Costs):</t>
  </si>
  <si>
    <t>Michael Hebler</t>
  </si>
  <si>
    <t>2m Property Services &amp; Solutions Inc</t>
  </si>
  <si>
    <t>7255 Lake Drive Fort Myers FL 33908</t>
  </si>
  <si>
    <r>
      <t>Purchase Price/Refi Amount:</t>
    </r>
    <r>
      <rPr>
        <sz val="12"/>
        <color rgb="FF000000"/>
        <rFont val="Calibri"/>
        <family val="2"/>
        <scheme val="minor"/>
      </rPr>
      <t> </t>
    </r>
  </si>
  <si>
    <r>
      <rPr>
        <b/>
        <sz val="12"/>
        <color rgb="FFFF0000"/>
        <rFont val="Calibri"/>
        <family val="2"/>
        <scheme val="minor"/>
      </rPr>
      <t>Mid</t>
    </r>
    <r>
      <rPr>
        <b/>
        <sz val="12"/>
        <color rgb="FF000000"/>
        <rFont val="Calibri"/>
        <family val="2"/>
        <scheme val="minor"/>
      </rPr>
      <t xml:space="preserve"> FICO Score :</t>
    </r>
  </si>
  <si>
    <t>Assets to Close (Equity + Costs + Reserves):</t>
  </si>
  <si>
    <t>Down Payment / Equity Contribution:</t>
  </si>
  <si>
    <t>WHOLESALE LOAN SUBMISSION</t>
  </si>
  <si>
    <t>All transactions have a $99 processing fee which covers wire and release charges</t>
  </si>
  <si>
    <t>There are NO UPFRONT FEES, NO ADDITIONAL FEES, and NO FEES if the transaction does not close.</t>
  </si>
  <si>
    <t>Purchase Price with Seller (Party A):</t>
  </si>
  <si>
    <t>Sale Price to End-Buyer (Party B):</t>
  </si>
  <si>
    <t>Loan Amount to Purchase (Party A to B):</t>
  </si>
  <si>
    <t>Net Profits Earned by Wholesaler:</t>
  </si>
  <si>
    <r>
      <t xml:space="preserve">1% of the purchase price up to </t>
    </r>
    <r>
      <rPr>
        <b/>
        <sz val="14"/>
        <color rgb="FF000000"/>
        <rFont val="Calibri Light"/>
        <family val="2"/>
      </rPr>
      <t>$499,999</t>
    </r>
    <r>
      <rPr>
        <sz val="14"/>
        <color rgb="FF000000"/>
        <rFont val="Calibri Light"/>
        <family val="2"/>
      </rPr>
      <t xml:space="preserve"> (minimum fee of $750)</t>
    </r>
  </si>
  <si>
    <r>
      <t xml:space="preserve">2% of the purchase price from </t>
    </r>
    <r>
      <rPr>
        <b/>
        <sz val="14"/>
        <color rgb="FF000000"/>
        <rFont val="Calibri Light"/>
        <family val="2"/>
      </rPr>
      <t>$500,000 to $1,000,000</t>
    </r>
  </si>
  <si>
    <t>STRAIGHTLINE FUNDING - Wholesale Deal Quoter</t>
  </si>
  <si>
    <t>All fees can come out of the end profits, so you would not need to cover these costs out of pocket. This must be a double close that takes place with the same title company on the same day.</t>
  </si>
  <si>
    <t>DOCS TO CLOSE:</t>
  </si>
  <si>
    <t>Both Purchase and Sale contracts (i.e. A-B &amp; B-C)</t>
  </si>
  <si>
    <t>End buyer's loan approval letter and/or cash proof of funds</t>
  </si>
  <si>
    <t>Copy of wholesalers driver's license</t>
  </si>
  <si>
    <t>Company articles of formation/organization for entity you are closing in</t>
  </si>
  <si>
    <t>Company EIN Doc</t>
  </si>
  <si>
    <t>Company Operating Agreement</t>
  </si>
  <si>
    <t>X</t>
  </si>
  <si>
    <t xml:space="preserve">Only input </t>
  </si>
  <si>
    <t>INPUT %, NOT $ AMOUNT</t>
  </si>
  <si>
    <t>MAX ELIGIBLE Loan (70% ARV):</t>
  </si>
  <si>
    <t>0-1 Considered</t>
  </si>
  <si>
    <t>0-2 Experience</t>
  </si>
  <si>
    <t>* This lender requires you use Kensington Vanguard Title as the title company on their transactions</t>
  </si>
  <si>
    <t>Pts:</t>
  </si>
  <si>
    <t>ARV</t>
  </si>
  <si>
    <t>Lender Processing &amp; Legal Fee:</t>
  </si>
  <si>
    <t>11 Capital Finance Origination:</t>
  </si>
  <si>
    <r>
      <t>Title Insurance</t>
    </r>
    <r>
      <rPr>
        <b/>
        <sz val="12"/>
        <color rgb="FFFF0000"/>
        <rFont val="Calibri"/>
        <family val="2"/>
        <scheme val="minor"/>
      </rPr>
      <t>*</t>
    </r>
    <r>
      <rPr>
        <b/>
        <sz val="12"/>
        <color rgb="FF000000"/>
        <rFont val="Calibri"/>
        <family val="2"/>
        <scheme val="minor"/>
      </rPr>
      <t>:</t>
    </r>
  </si>
  <si>
    <t>ICON : Purchase &amp; Rehab Quoter</t>
  </si>
  <si>
    <t>12 Mo I/O</t>
  </si>
  <si>
    <t>Caps Calc</t>
  </si>
  <si>
    <t>Purchase Funded Cap:</t>
  </si>
  <si>
    <t>Rehab Funded Cap:</t>
  </si>
  <si>
    <t>Loan to ARV Cap:</t>
  </si>
  <si>
    <t>Due to ARV Cap</t>
  </si>
  <si>
    <t>Loan Amount After Loan Caps:</t>
  </si>
  <si>
    <r>
      <t>Debt Owed on Poprerty:</t>
    </r>
    <r>
      <rPr>
        <sz val="12"/>
        <color rgb="FF000000"/>
        <rFont val="Calibri"/>
        <family val="2"/>
        <scheme val="minor"/>
      </rPr>
      <t> </t>
    </r>
  </si>
  <si>
    <t>Refi Funded Cap:</t>
  </si>
  <si>
    <t>Debt Paid:</t>
  </si>
  <si>
    <t>Jason Talbot</t>
  </si>
  <si>
    <t>300 Dennison St Little Rock, AR 72205</t>
  </si>
  <si>
    <t>New Path Oceanside LLC</t>
  </si>
  <si>
    <t>Refinance Amount / Debt Owed:</t>
  </si>
  <si>
    <t>No</t>
  </si>
  <si>
    <t>3/27 ARM</t>
  </si>
  <si>
    <t>Option 1 Rate &amp; Term:</t>
  </si>
  <si>
    <t>2.25Pt</t>
  </si>
  <si>
    <t>Interest Reserve Requirement:</t>
  </si>
  <si>
    <t>DSCR Requirement:</t>
  </si>
  <si>
    <t>Interest Rate Buy Down Option on 30 Fixed:</t>
  </si>
  <si>
    <t>PAID BEFORE CLOSE</t>
  </si>
  <si>
    <t>Estimated Total Closing Costs + Refi Amount:</t>
  </si>
  <si>
    <t>Option 2 Rate &amp; Term:</t>
  </si>
  <si>
    <t>Gary Leva</t>
  </si>
  <si>
    <t>Gary &amp; Christine Leva (Personal Name)</t>
  </si>
  <si>
    <t>5018 E Marino Dr. Scottsdale, AZ 85254</t>
  </si>
  <si>
    <t>ATHAS PERMANENT REFI FINANCING QUOTE</t>
  </si>
  <si>
    <t>Rehab/Construction Amount:</t>
  </si>
  <si>
    <t>Max Loan to Project Cost:</t>
  </si>
  <si>
    <t>Sponsor Contribution:</t>
  </si>
  <si>
    <t>Max Loan Cap to ARV (65%):</t>
  </si>
  <si>
    <t>Max Loan Cap to ARV (70%):</t>
  </si>
  <si>
    <t>Max Loan Cap to ARV (75%):</t>
  </si>
  <si>
    <t>Construction to Purchase Ratio:</t>
  </si>
  <si>
    <t>Construction to Project Cost Ratio:</t>
  </si>
  <si>
    <t>LTC  SIZER</t>
  </si>
  <si>
    <t>Bart Butler</t>
  </si>
  <si>
    <t>Baltimore Urban Renewal LLC</t>
  </si>
  <si>
    <t>Morell Park Development</t>
  </si>
  <si>
    <t>Completed Ground Up Projects:</t>
  </si>
  <si>
    <t>0 past 24 months : 20+ since 2012</t>
  </si>
  <si>
    <t>Debt on Land (If purchase = Lot Cost):</t>
  </si>
  <si>
    <t>12 Mo</t>
  </si>
  <si>
    <r>
      <t>Lender Origination</t>
    </r>
    <r>
      <rPr>
        <b/>
        <sz val="12"/>
        <color rgb="FF537B83"/>
        <rFont val="Calibri"/>
        <family val="2"/>
        <scheme val="minor"/>
      </rPr>
      <t>:</t>
    </r>
  </si>
  <si>
    <t>Estimated Total Cash Due at Closing:</t>
  </si>
  <si>
    <t>Equity Requirements on Land &amp; Construction:</t>
  </si>
  <si>
    <t>Lot Equity to Date:</t>
  </si>
  <si>
    <t>300 Escrow</t>
  </si>
  <si>
    <t>50 wire</t>
  </si>
  <si>
    <t>30 credit check per guarantor</t>
  </si>
  <si>
    <t>$175/draw</t>
  </si>
  <si>
    <t>1000 legal</t>
  </si>
  <si>
    <t>1000 processing</t>
  </si>
  <si>
    <t>$450/appraisal for one unit</t>
  </si>
  <si>
    <t xml:space="preserve">Title can be any company they choose. </t>
  </si>
  <si>
    <t>Per Unit</t>
  </si>
  <si>
    <r>
      <rPr>
        <b/>
        <sz val="12"/>
        <color rgb="FFFF0000"/>
        <rFont val="Calibri"/>
        <family val="2"/>
        <scheme val="minor"/>
      </rPr>
      <t>Draw Fee</t>
    </r>
    <r>
      <rPr>
        <sz val="12"/>
        <color rgb="FFFF0000"/>
        <rFont val="Calibri"/>
        <family val="2"/>
        <scheme val="minor"/>
      </rPr>
      <t>: Lender has a $175 fee per draw on the project</t>
    </r>
  </si>
  <si>
    <t>Legal Fee:</t>
  </si>
  <si>
    <t>Per Guarantor</t>
  </si>
  <si>
    <r>
      <rPr>
        <b/>
        <sz val="12"/>
        <color rgb="FFFF0000"/>
        <rFont val="Calibri"/>
        <family val="2"/>
        <scheme val="minor"/>
      </rPr>
      <t xml:space="preserve">** </t>
    </r>
    <r>
      <rPr>
        <b/>
        <sz val="12"/>
        <color rgb="FF000000"/>
        <rFont val="Calibri"/>
        <family val="2"/>
        <scheme val="minor"/>
      </rPr>
      <t xml:space="preserve">Appraisal: </t>
    </r>
  </si>
  <si>
    <t>ABL : GROUND UP CONSTRUCTION QUOTER</t>
  </si>
  <si>
    <r>
      <t>Credit Check: (</t>
    </r>
    <r>
      <rPr>
        <b/>
        <sz val="12"/>
        <color rgb="FFFF0000"/>
        <rFont val="Calibri"/>
        <family val="2"/>
        <scheme val="minor"/>
      </rPr>
      <t>Paid Prior to Close</t>
    </r>
    <r>
      <rPr>
        <b/>
        <sz val="12"/>
        <color rgb="FF000000"/>
        <rFont val="Calibri"/>
        <family val="2"/>
        <scheme val="minor"/>
      </rPr>
      <t>)</t>
    </r>
  </si>
  <si>
    <t>Wire &amp; Escrow Fees:</t>
  </si>
  <si>
    <r>
      <t>Rate (</t>
    </r>
    <r>
      <rPr>
        <b/>
        <sz val="12"/>
        <color rgb="FF537B83"/>
        <rFont val="Calibri"/>
        <family val="2"/>
        <scheme val="minor"/>
      </rPr>
      <t>Interest Paid Only as Drawn</t>
    </r>
    <r>
      <rPr>
        <b/>
        <sz val="12"/>
        <color rgb="FF000000"/>
        <rFont val="Calibri"/>
        <family val="2"/>
        <scheme val="minor"/>
      </rPr>
      <t>):</t>
    </r>
  </si>
  <si>
    <t>Estimated Loan Amount with Loan Caps:</t>
  </si>
  <si>
    <t>Project Costs Need to Come Down:</t>
  </si>
  <si>
    <t>Due Diligence Fee:</t>
  </si>
  <si>
    <t>DOCS EXPECTED TO CLOSE:</t>
  </si>
  <si>
    <t>Executed Purchase and Sales Agreement</t>
  </si>
  <si>
    <t>Copy of Leases</t>
  </si>
  <si>
    <t>Personal Financial Statement (Will send Template)</t>
  </si>
  <si>
    <t>Credit Report (Free Credit Karma O.K.)</t>
  </si>
  <si>
    <t>ARV QUICK SIZER : 10% Rehab Contingency</t>
  </si>
  <si>
    <t>ARV QUICK SIZER : W/O 10% Rehab Contingency</t>
  </si>
  <si>
    <t>Velocity : Refi &amp; Rehab Quoter</t>
  </si>
  <si>
    <t>Refi not Financed:</t>
  </si>
  <si>
    <t>Max Loan Amount After Loan Caps:</t>
  </si>
  <si>
    <t>Rehab</t>
  </si>
  <si>
    <t>Estimated Costs Not Covered by Loan:</t>
  </si>
  <si>
    <t>12 Mo I/O &amp; 6mo Ext Option for 1% Fee</t>
  </si>
  <si>
    <r>
      <rPr>
        <b/>
        <sz val="12"/>
        <rFont val="Calibri"/>
        <family val="2"/>
        <scheme val="minor"/>
      </rPr>
      <t>Please Note</t>
    </r>
    <r>
      <rPr>
        <sz val="12"/>
        <rFont val="Calibri"/>
        <family val="2"/>
        <scheme val="minor"/>
      </rPr>
      <t>: Project must be shovel ready with approved plans before this lender can close.</t>
    </r>
  </si>
  <si>
    <r>
      <rPr>
        <b/>
        <sz val="12"/>
        <rFont val="Calibri"/>
        <family val="2"/>
        <scheme val="minor"/>
      </rPr>
      <t>Please note</t>
    </r>
    <r>
      <rPr>
        <sz val="12"/>
        <rFont val="Calibri"/>
        <family val="2"/>
        <scheme val="minor"/>
      </rPr>
      <t>: Appraisal and other third party costs may incur and are paid prior to close.</t>
    </r>
  </si>
  <si>
    <r>
      <rPr>
        <b/>
        <sz val="12"/>
        <rFont val="Calibri"/>
        <family val="2"/>
        <scheme val="minor"/>
      </rPr>
      <t>** Appraisal</t>
    </r>
    <r>
      <rPr>
        <sz val="12"/>
        <rFont val="Calibri"/>
        <family val="2"/>
        <scheme val="minor"/>
      </rPr>
      <t>: If a Multi Unit project and all units are identical, only 1 unit appraisal completed</t>
    </r>
  </si>
  <si>
    <t>Please note: All costs on third parties insurance are estimates. Please contact your Title Company and Insurance Agent for a more accurate figure.</t>
  </si>
  <si>
    <t xml:space="preserve">Docs Needed to Obtain Formal LOI </t>
  </si>
  <si>
    <t>PFS - On Lender Form (Will Send if you wish to move forward)</t>
  </si>
  <si>
    <t>Lender Application &amp; Credit Authorization Form (Will Send if you wish to move forward)</t>
  </si>
  <si>
    <t>Rent Roll</t>
  </si>
  <si>
    <t>Income &amp; Expense on Property  (Will Send if you wish to move forward)</t>
  </si>
  <si>
    <t>11 Capital Finance Fee Agreement Executed (Will Send if you wish to move forward)</t>
  </si>
  <si>
    <t>Flood Cert, Tax service:</t>
  </si>
  <si>
    <t>PURCHASE + REHAB/CONSTRUCTION :  ARV QUICK SIZER</t>
  </si>
  <si>
    <t>Const to Purchase Ratio:</t>
  </si>
  <si>
    <t>Const to Project Cost Ratio:</t>
  </si>
  <si>
    <t>Borrower chooses their own Title Company</t>
  </si>
  <si>
    <t>Lender Doc Prep &amp; Legal Fee:</t>
  </si>
  <si>
    <t>100% of Rehab Hold Back:</t>
  </si>
  <si>
    <t>Mo Payment:</t>
  </si>
  <si>
    <t>Rehab/Construction Funded:</t>
  </si>
  <si>
    <t>Caps Calculators</t>
  </si>
  <si>
    <t>Mark &amp; Lindsay Lucas</t>
  </si>
  <si>
    <t>Hansel Mountain LLC</t>
  </si>
  <si>
    <t>1441/1445 NW 32nd St Oklahoma City, OK 73118</t>
  </si>
  <si>
    <t>Option 1</t>
  </si>
  <si>
    <t>Option 2</t>
  </si>
  <si>
    <t>Please note, all numbers for third parties are estimates, and are subject to change. Please contact your Escrow Officer or Insurance Agent for more precise figures.</t>
  </si>
  <si>
    <t xml:space="preserve">Appraisal: ESTIMATE </t>
  </si>
  <si>
    <t>Max Loan to As Completed Value Cap:</t>
  </si>
  <si>
    <t>Cheskel "Chezky" Mertz</t>
  </si>
  <si>
    <t>Hiechel Duvid LLC</t>
  </si>
  <si>
    <t>203 &amp; 209 Lee Cole Rd. Swan Lake, NY 12783</t>
  </si>
  <si>
    <t>5Arch - Ground Up Quote</t>
  </si>
  <si>
    <t>Draw Fee Setup:</t>
  </si>
  <si>
    <t>$250/Draw after</t>
  </si>
  <si>
    <r>
      <rPr>
        <b/>
        <sz val="12"/>
        <color rgb="FFFF0000"/>
        <rFont val="Calibri"/>
        <family val="2"/>
        <scheme val="minor"/>
      </rPr>
      <t>Draw Fee</t>
    </r>
    <r>
      <rPr>
        <sz val="12"/>
        <color rgb="FFFF0000"/>
        <rFont val="Calibri"/>
        <family val="2"/>
        <scheme val="minor"/>
      </rPr>
      <t>: Lender has a $250 fee per draw on the project</t>
    </r>
  </si>
  <si>
    <r>
      <t>Doc Prep (</t>
    </r>
    <r>
      <rPr>
        <b/>
        <sz val="12"/>
        <color rgb="FFFF0000"/>
        <rFont val="Calibri"/>
        <family val="2"/>
        <scheme val="minor"/>
      </rPr>
      <t>PAID AT ACCEPTANCE OF LOI</t>
    </r>
    <r>
      <rPr>
        <b/>
        <sz val="12"/>
        <color rgb="FF000000"/>
        <rFont val="Calibri"/>
        <family val="2"/>
        <scheme val="minor"/>
      </rPr>
      <t>):</t>
    </r>
  </si>
  <si>
    <r>
      <t>Pre-UW Fee (</t>
    </r>
    <r>
      <rPr>
        <b/>
        <sz val="12"/>
        <color rgb="FFFF0000"/>
        <rFont val="Calibri"/>
        <family val="2"/>
        <scheme val="minor"/>
      </rPr>
      <t>PAID AT ACCEPTANCE OF LOI</t>
    </r>
    <r>
      <rPr>
        <b/>
        <sz val="12"/>
        <color rgb="FF000000"/>
        <rFont val="Calibri"/>
        <family val="2"/>
        <scheme val="minor"/>
      </rPr>
      <t>):</t>
    </r>
  </si>
  <si>
    <t>Est Mo Payment:</t>
  </si>
  <si>
    <t>2.0 Pts</t>
  </si>
  <si>
    <t>15 Yr Fixed</t>
  </si>
  <si>
    <t>10/1 ARM</t>
  </si>
  <si>
    <t>7/1 ARM</t>
  </si>
  <si>
    <t>5/1 ARM</t>
  </si>
  <si>
    <t>Option #1</t>
  </si>
  <si>
    <t>Option #2</t>
  </si>
  <si>
    <t>Velocity : Purchase &amp; Rehab Quoter</t>
  </si>
  <si>
    <t>Shalawn Garcia &amp; Marcus Cotton</t>
  </si>
  <si>
    <t>TBD Entity</t>
  </si>
  <si>
    <t>2730 Bell Street Sacramento, CA 95821</t>
  </si>
  <si>
    <t>5 ARCH - Perm Purchase QUOTE</t>
  </si>
  <si>
    <t>VISIO : Perm Purchase Quote</t>
  </si>
  <si>
    <t>VISIO : Perm Refi (No cash out)Quote</t>
  </si>
  <si>
    <t>VISIO : Perm Refi + Cash Out Quote</t>
  </si>
  <si>
    <t>Estimated Fees + Debt Refinanced:</t>
  </si>
  <si>
    <r>
      <t xml:space="preserve">Monthly Payment </t>
    </r>
    <r>
      <rPr>
        <b/>
        <sz val="12"/>
        <color rgb="FF537B83"/>
        <rFont val="Calibri"/>
        <family val="2"/>
        <scheme val="minor"/>
      </rPr>
      <t>(PITI Included)</t>
    </r>
    <r>
      <rPr>
        <b/>
        <sz val="12"/>
        <color rgb="FF000000"/>
        <rFont val="Calibri"/>
        <family val="2"/>
        <scheme val="minor"/>
      </rPr>
      <t>:</t>
    </r>
  </si>
  <si>
    <r>
      <t>Appraisal (</t>
    </r>
    <r>
      <rPr>
        <b/>
        <sz val="12"/>
        <color rgb="FFFF0000"/>
        <rFont val="Calibri"/>
        <family val="2"/>
        <scheme val="minor"/>
      </rPr>
      <t>Paid before Close</t>
    </r>
    <r>
      <rPr>
        <b/>
        <sz val="12"/>
        <color rgb="FF000000"/>
        <rFont val="Calibri"/>
        <family val="2"/>
        <scheme val="minor"/>
      </rPr>
      <t>):</t>
    </r>
  </si>
  <si>
    <r>
      <t>Monthly Payment (</t>
    </r>
    <r>
      <rPr>
        <b/>
        <sz val="12"/>
        <color rgb="FF537B83"/>
        <rFont val="Calibri"/>
        <family val="2"/>
        <scheme val="minor"/>
      </rPr>
      <t>PITI Included</t>
    </r>
    <r>
      <rPr>
        <b/>
        <sz val="12"/>
        <color rgb="FF000000"/>
        <rFont val="Calibri"/>
        <family val="2"/>
        <scheme val="minor"/>
      </rPr>
      <t>):</t>
    </r>
  </si>
  <si>
    <r>
      <t xml:space="preserve">Appraisal: </t>
    </r>
    <r>
      <rPr>
        <b/>
        <sz val="12"/>
        <color rgb="FFFF0000"/>
        <rFont val="Calibri"/>
        <family val="2"/>
        <scheme val="minor"/>
      </rPr>
      <t>ESTIMATE</t>
    </r>
  </si>
  <si>
    <r>
      <t xml:space="preserve">Title Insurance: </t>
    </r>
    <r>
      <rPr>
        <b/>
        <sz val="12"/>
        <color rgb="FFFF0000"/>
        <rFont val="Calibri"/>
        <family val="2"/>
        <scheme val="minor"/>
      </rPr>
      <t>ESTIMATE</t>
    </r>
  </si>
  <si>
    <r>
      <t xml:space="preserve">PrePaid Items: </t>
    </r>
    <r>
      <rPr>
        <b/>
        <sz val="12"/>
        <color rgb="FFFF0000"/>
        <rFont val="Calibri"/>
        <family val="2"/>
        <scheme val="minor"/>
      </rPr>
      <t>ESTIMATE</t>
    </r>
  </si>
  <si>
    <r>
      <rPr>
        <b/>
        <sz val="14"/>
        <color rgb="FFFF0000"/>
        <rFont val="Calibri"/>
        <family val="2"/>
        <scheme val="minor"/>
      </rPr>
      <t>Mid</t>
    </r>
    <r>
      <rPr>
        <b/>
        <sz val="14"/>
        <color rgb="FF000000"/>
        <rFont val="Calibri"/>
        <family val="2"/>
        <scheme val="minor"/>
      </rPr>
      <t xml:space="preserve"> FICO Score </t>
    </r>
  </si>
  <si>
    <t>1st Months Payment + Insurance + 1 Yr HOA</t>
  </si>
  <si>
    <t>Ronald Starusnak</t>
  </si>
  <si>
    <t>RENPRO LLC</t>
  </si>
  <si>
    <t>86 Garrow St, Auburn NY 13021</t>
  </si>
  <si>
    <t xml:space="preserve"> </t>
  </si>
  <si>
    <t>PAID PRIOR TO CLOSE</t>
  </si>
  <si>
    <t>PAID AT CLOSE</t>
  </si>
  <si>
    <t>Total Estimated Fees to Close:</t>
  </si>
  <si>
    <t>Total Estimated Closing Costs + Debt Payoff:</t>
  </si>
  <si>
    <t>Temple View: Purchase + Rehab Quote</t>
  </si>
  <si>
    <t>Temple View: Bridge Purchase Quote</t>
  </si>
  <si>
    <t>LTC:</t>
  </si>
  <si>
    <t>Towards closing costs</t>
  </si>
  <si>
    <r>
      <t>Equity Requirements Including Lot Purchase/Refi Not Funded:</t>
    </r>
    <r>
      <rPr>
        <b/>
        <sz val="12"/>
        <color rgb="FFFF0000"/>
        <rFont val="Calibri"/>
        <family val="2"/>
        <scheme val="minor"/>
      </rPr>
      <t xml:space="preserve"> (Due at Close)</t>
    </r>
  </si>
  <si>
    <t>Temple View: Perm Purchase Quote</t>
  </si>
  <si>
    <t>RENPRO, LLC</t>
  </si>
  <si>
    <t>109 Rogers Ln Syracuse NY</t>
  </si>
  <si>
    <t>Carlos De La Rosa</t>
  </si>
  <si>
    <t>CDM Investments LLC</t>
  </si>
  <si>
    <t>328 Cove Ave Warwick, RI 02889</t>
  </si>
  <si>
    <t>Formal Appraisals Required on all loans</t>
  </si>
  <si>
    <t>Estimated Closing Costs + Equity Req:</t>
  </si>
  <si>
    <t>Global Integrity Finance : Ground Up Quote</t>
  </si>
  <si>
    <t>Loan Cap</t>
  </si>
  <si>
    <r>
      <rPr>
        <b/>
        <sz val="12"/>
        <color rgb="FFFF0000"/>
        <rFont val="Calibri"/>
        <family val="2"/>
        <scheme val="minor"/>
      </rPr>
      <t>Draw Fee</t>
    </r>
    <r>
      <rPr>
        <sz val="12"/>
        <color rgb="FFFF0000"/>
        <rFont val="Calibri"/>
        <family val="2"/>
        <scheme val="minor"/>
      </rPr>
      <t>: Lender has a fee per draw on the project</t>
    </r>
  </si>
  <si>
    <t>Lender Required Reserves:</t>
  </si>
  <si>
    <t>Lender Processing  Fee:</t>
  </si>
  <si>
    <t>Global Integrity Finance: Purchase + Rehab Quote</t>
  </si>
  <si>
    <t>Assignment/Wire Fee:</t>
  </si>
  <si>
    <t>Mos:</t>
  </si>
  <si>
    <t>Insurance Escrowed:</t>
  </si>
  <si>
    <t>Taxes Escrowed:</t>
  </si>
  <si>
    <t>Aloha Capital: Purchase Perm Quote</t>
  </si>
  <si>
    <t>Numbers of Payments per Year:</t>
  </si>
  <si>
    <t>Loan Term (Years):</t>
  </si>
  <si>
    <t>Annual Interest Rate:</t>
  </si>
  <si>
    <t>Total Number of Payments:</t>
  </si>
  <si>
    <t>Sum of Payments:</t>
  </si>
  <si>
    <t>Interest Cost:</t>
  </si>
  <si>
    <t>Interest Only Mortgage Calculator:</t>
  </si>
  <si>
    <t>Term Loan Mortgage Calculator:</t>
  </si>
  <si>
    <t>Monthly Mortgage Payment:</t>
  </si>
  <si>
    <t>Monthly Mortgage (T&amp;I Included):</t>
  </si>
  <si>
    <t>DSCR:</t>
  </si>
  <si>
    <t>Debt Funded By Loan:</t>
  </si>
  <si>
    <t>Credit + Background:</t>
  </si>
  <si>
    <t xml:space="preserve">Title Insurance: </t>
  </si>
  <si>
    <t>Insurance:</t>
  </si>
  <si>
    <t>Temple View : Perm Refi + Cash Out Quote</t>
  </si>
  <si>
    <t>Title Insurance:</t>
  </si>
  <si>
    <t>EMD:</t>
  </si>
  <si>
    <t>Total Down Payment + Closing Costs - EMD:</t>
  </si>
  <si>
    <t>Experience:</t>
  </si>
  <si>
    <t>Temple View : PERM LOAN QUOTES</t>
  </si>
  <si>
    <t>30 Fixed</t>
  </si>
  <si>
    <t>5 Year Pre Pay</t>
  </si>
  <si>
    <t>Property Insurance:</t>
  </si>
  <si>
    <t>Tier Borrower:</t>
  </si>
  <si>
    <t xml:space="preserve">4 Rentals + 2 Flips in 36 </t>
  </si>
  <si>
    <t>Experience Past 36 Mo:</t>
  </si>
  <si>
    <t>Monthly Payment (T&amp;I Included):</t>
  </si>
  <si>
    <t>DSCR Coverage:</t>
  </si>
  <si>
    <t>Interest Only</t>
  </si>
  <si>
    <t>Loan Term (Mo):</t>
  </si>
  <si>
    <t>Temple View: Bridge Refi (No Cash Out) Quote</t>
  </si>
  <si>
    <t>Temple View : Perm Refi (No Cash Out) Quote</t>
  </si>
  <si>
    <t>Debt Not Funded By Loan:</t>
  </si>
  <si>
    <t>Debt Owed On Property:</t>
  </si>
  <si>
    <t>Temple View: Bridge Refi + Cash Out Quote</t>
  </si>
  <si>
    <t>Temple View : BRIDGE LOAN QUOTES</t>
  </si>
  <si>
    <t>Day Payoff:</t>
  </si>
  <si>
    <t>Estimated Net Cash Received at Close:</t>
  </si>
  <si>
    <t>First 3 mo Payments:</t>
  </si>
  <si>
    <t>Loan Term (Moths):</t>
  </si>
  <si>
    <t>Total Sum of Loan Payments:</t>
  </si>
  <si>
    <t>CREDITED AT CLOSE</t>
  </si>
  <si>
    <t>Closing Costs + Down Pmt - Upfront Draw &amp; EMD:</t>
  </si>
  <si>
    <t>Temple View: Refi + Rehab Quote</t>
  </si>
  <si>
    <t>Loan Amount = Refi + Rehab + 6 mo pmts:</t>
  </si>
  <si>
    <t>Loan Amount = Purchase + Rehab + 6 mo pmts:</t>
  </si>
  <si>
    <t>Proceeds Received At Closing:</t>
  </si>
  <si>
    <t>Borrower's Cash Due at Closing:</t>
  </si>
  <si>
    <t>Temple View : REHAB LOAN QUOTES</t>
  </si>
  <si>
    <r>
      <t xml:space="preserve">To avoid breaking the Caluclators, please only insert figures into those highlighted in </t>
    </r>
    <r>
      <rPr>
        <b/>
        <sz val="16"/>
        <color rgb="FFFF0000"/>
        <rFont val="Calibri"/>
        <family val="2"/>
        <scheme val="minor"/>
      </rPr>
      <t>RED</t>
    </r>
  </si>
  <si>
    <t>Term Loan Mortgage Calculator (PITI):</t>
  </si>
  <si>
    <t>Interest Only Mortgage Calculator (T&amp;I):</t>
  </si>
  <si>
    <t>3 months of interest payment reserves (cash assets) are required to close. They must simply be shown via bank statements before closing.</t>
  </si>
  <si>
    <t>Loan Term (Months):</t>
  </si>
  <si>
    <t>Interested in only paid as drawn. The monthly payment is based on the max purchase + Rehab fully disbursed.</t>
  </si>
  <si>
    <t>Credit + Background Check:</t>
  </si>
  <si>
    <t>Loan Amount = Purchase + Rehab:</t>
  </si>
  <si>
    <t xml:space="preserve">Appraisal: </t>
  </si>
  <si>
    <t>Revolver : REHAB LOAN QUOTES</t>
  </si>
  <si>
    <t>0 Rentals &amp; 2 Flips</t>
  </si>
  <si>
    <t>Rehab Not Funded;</t>
  </si>
  <si>
    <t>Revolver : Purchase + Rehab Quote</t>
  </si>
  <si>
    <t>Revolver : Refi + Rehab Quote</t>
  </si>
  <si>
    <t>Closing Costs + Debt Owed:</t>
  </si>
  <si>
    <t>Closing Costs + Debt Not Funded - Draw:</t>
  </si>
  <si>
    <t>Total Debt Funded + Closing Costs:</t>
  </si>
  <si>
    <t>Infinity : REHAB LOAN QUOTES</t>
  </si>
  <si>
    <t>Infinity : Purchase + Rehab Quote</t>
  </si>
  <si>
    <t>Infinity : Refi + Rehab Quote</t>
  </si>
  <si>
    <t>Gelt Financial : BRIDGE LOAN QUOTES</t>
  </si>
  <si>
    <t>3 Rentals</t>
  </si>
  <si>
    <t>APEX : PERM LOAN QUOTES</t>
  </si>
  <si>
    <t>APEX : Perm Refi (No Cash Out) Quote</t>
  </si>
  <si>
    <t>APEX : Perm Refi + Cash Out Quote</t>
  </si>
  <si>
    <t>APEX : Perm Purchase Quote</t>
  </si>
  <si>
    <t>Appraisal Review:</t>
  </si>
  <si>
    <t>PAID AT ACCEPTANCE OF LOI</t>
  </si>
  <si>
    <t>12 Units</t>
  </si>
  <si>
    <t>690+740</t>
  </si>
  <si>
    <t>Environmental:</t>
  </si>
  <si>
    <t>Stronghill Capital: Purchase Perm Quote</t>
  </si>
  <si>
    <t>Stronghill Capital: Purchase Refi (No Cash Out) Quote</t>
  </si>
  <si>
    <t>Debt Funded:</t>
  </si>
  <si>
    <t>Debt Not Funded:</t>
  </si>
  <si>
    <t>Total Estimated Fees:</t>
  </si>
  <si>
    <t>Total Estimated Closing Costs + Debt Funded:</t>
  </si>
  <si>
    <t>Stronghill : PERM LOAN QUOTES</t>
  </si>
  <si>
    <t>Silverhill : PERM LOAN QUOTES</t>
  </si>
  <si>
    <t>Silverhill Capital: Purchase Perm Quote</t>
  </si>
  <si>
    <t>Silverhill Capital: Purchase Refi (No Cash Out) Quote</t>
  </si>
  <si>
    <t>Commitment Deposit Fee:</t>
  </si>
  <si>
    <t>PAID AT LOI ACCEPTANCE</t>
  </si>
  <si>
    <t>During I/O Period (10 Yrs)</t>
  </si>
  <si>
    <t>Sharestates : Perm Purchase Quote</t>
  </si>
  <si>
    <t>Sharestates : Perm Refi (No Cash Out) Quote</t>
  </si>
  <si>
    <t>Sharestates : Perm Refi + Cash Out Quote</t>
  </si>
  <si>
    <t>Sharestates : PERM LOAN QUOTES</t>
  </si>
  <si>
    <r>
      <t>INPUT (</t>
    </r>
    <r>
      <rPr>
        <b/>
        <sz val="12"/>
        <color rgb="FFFF0000"/>
        <rFont val="Arial"/>
        <family val="2"/>
      </rPr>
      <t>if not $4500</t>
    </r>
    <r>
      <rPr>
        <b/>
        <sz val="12"/>
        <rFont val="Arial"/>
        <family val="2"/>
      </rPr>
      <t>)</t>
    </r>
  </si>
  <si>
    <t>Aloha : PERM LOAN QUOTES</t>
  </si>
  <si>
    <t>Aloha Capital: Purchase Refi (No Cash Out) Quote</t>
  </si>
  <si>
    <t>Option #2 (Max Buy Down)</t>
  </si>
  <si>
    <t>328 Cove Ave Warwick, RI</t>
  </si>
  <si>
    <t>2 Flips / 0 Rentals</t>
  </si>
  <si>
    <t>Full 12mo Term</t>
  </si>
  <si>
    <t>Constructive Loans: Purchase + Rehab Quote</t>
  </si>
  <si>
    <t>CREDITED AT CLOSING</t>
  </si>
  <si>
    <t>Constructive Loans: Refi + Rehab Quote</t>
  </si>
  <si>
    <t>Loan Amount = Refi + Rehab:</t>
  </si>
  <si>
    <t>Closing Costs + Debt Not Funded:</t>
  </si>
  <si>
    <t>Constructive Loans : REHAB LOAN QUOTES</t>
  </si>
  <si>
    <t>Pamela Wright</t>
  </si>
  <si>
    <t>Progression Properties LLC</t>
  </si>
  <si>
    <t>615 Chelsea Drive Jackson, MS 39212</t>
  </si>
  <si>
    <t>3 mo Ext Option for 0.75%</t>
  </si>
  <si>
    <t>Draw Fees of $160 per draw during the rehab</t>
  </si>
  <si>
    <t>Constructive Loans: Refi (No Cash Out) Quote</t>
  </si>
  <si>
    <t>Constructive Loans: Refi + Cash Out Quote</t>
  </si>
  <si>
    <t>Flips (24mo) + Rentals Leased:</t>
  </si>
  <si>
    <t>Estimated Debt Funded + Closing Costs:</t>
  </si>
  <si>
    <t>Cash due by Borrower at Close:</t>
  </si>
  <si>
    <t>Max Eligible Loan Amount:</t>
  </si>
  <si>
    <t>Estimated Actual Loan Amount:</t>
  </si>
  <si>
    <t>Constructive Loans : PERM LOAN QUOTES</t>
  </si>
  <si>
    <r>
      <t xml:space="preserve">To avoid breaking the Caluclators, please only insert figures into those highlighted in </t>
    </r>
    <r>
      <rPr>
        <b/>
        <sz val="20"/>
        <color rgb="FFFF0000"/>
        <rFont val="Calibri"/>
        <family val="2"/>
        <scheme val="minor"/>
      </rPr>
      <t>RED</t>
    </r>
  </si>
  <si>
    <t>MIN Broker Fee</t>
  </si>
  <si>
    <t>Broker Fee:</t>
  </si>
  <si>
    <t>Option #2 (Buy Down)</t>
  </si>
  <si>
    <t>1.5 Pts</t>
  </si>
  <si>
    <t>Gelt Financial : Bridge Purchase Quote</t>
  </si>
  <si>
    <t>Gelt Financial : Bridge Refi (No Cash Out) Quote</t>
  </si>
  <si>
    <t>Gelt Financial : Bridge Refi + Cash Out Quote</t>
  </si>
  <si>
    <t>83 Fourth St. LLC</t>
  </si>
  <si>
    <t>83 Fourth St Passaic NJ 07055</t>
  </si>
  <si>
    <t>6 Rentals</t>
  </si>
  <si>
    <t>3-2-1 Step Down : 3% Yr 1, 2% Yr 2, 1% Yr 3</t>
  </si>
  <si>
    <t>I/O First 10 Yr, 5/1 ARM</t>
  </si>
  <si>
    <t>10 Yr I/O, 20 Yr Am</t>
  </si>
  <si>
    <t>Max Eligible Loan Amount:</t>
  </si>
  <si>
    <t>Net Cash Flow:</t>
  </si>
  <si>
    <t>Net Operating Income / Cashflow:</t>
  </si>
  <si>
    <t>5-4-3-2-1 Step Down</t>
  </si>
  <si>
    <t>Debt + Closing Costs Paid By Borrower:</t>
  </si>
  <si>
    <t>Total Closing Costs + Debt Payoff:</t>
  </si>
  <si>
    <t>Total  Fees to Close:</t>
  </si>
  <si>
    <t xml:space="preserve"> Final Loan Amount:</t>
  </si>
  <si>
    <t xml:space="preserve"> Net Cash Received at Close:</t>
  </si>
  <si>
    <t>Total  Closing Costs + Debt Payoff:</t>
  </si>
  <si>
    <t xml:space="preserve"> Closing Cost:</t>
  </si>
  <si>
    <t>Silverhill Capital: Purchase Refi + Cash Out Quote</t>
  </si>
  <si>
    <t>Durward Walker Jr</t>
  </si>
  <si>
    <t>Whitton Court, LLC</t>
  </si>
  <si>
    <t>1008 Peed Drive Greenvile NC 27834</t>
  </si>
  <si>
    <t>723 + 689</t>
  </si>
  <si>
    <t>30 YR FIXED</t>
  </si>
  <si>
    <r>
      <t>1. Due Now (Appraisal + UW)</t>
    </r>
    <r>
      <rPr>
        <b/>
        <sz val="12"/>
        <color rgb="FF000000"/>
        <rFont val="Arial"/>
        <family val="2"/>
      </rPr>
      <t>:  </t>
    </r>
  </si>
  <si>
    <t>Costs Covered by lender At Closing:</t>
  </si>
  <si>
    <t>Funded in draws as work progresses</t>
  </si>
  <si>
    <t>Plus Funds to Begin Rehab</t>
  </si>
  <si>
    <t>Velocity : PERM LOAN QUOTES</t>
  </si>
  <si>
    <t>Velocity : Perm Purchase Quote</t>
  </si>
  <si>
    <t>Velocity : Perm Refi (No Cash Out) Quote</t>
  </si>
  <si>
    <t>Velocity : Perm Refi + Cash Out Quote</t>
  </si>
  <si>
    <t>30 Yr FIXED</t>
  </si>
  <si>
    <t>Greg Tyll &amp; Carol Wright</t>
  </si>
  <si>
    <t>3945 TOLLHOUSE DRIVE, LLC</t>
  </si>
  <si>
    <t>4935 Toolhouse Dr Unit 902 Naples, FL 34114</t>
  </si>
  <si>
    <t>Base Loan Amount = Refi + Rehab:</t>
  </si>
  <si>
    <t>6mo Ex Option for 1% Fee</t>
  </si>
  <si>
    <t>Closing Costs + Total Refi &amp; Rehab:</t>
  </si>
  <si>
    <t>Estimated Amount Due By Borrower at Close:</t>
  </si>
  <si>
    <t>Velocity : Refi + Rehab Quote</t>
  </si>
  <si>
    <t>Velocity : Purchase + Rehab Quote</t>
  </si>
  <si>
    <t>Velocity : REHAB LOAN QUOTES</t>
  </si>
  <si>
    <t>12 Months of Payments</t>
  </si>
  <si>
    <t>Max Loan Amount with ARV Cap:</t>
  </si>
  <si>
    <t>Once Fully Disbursed</t>
  </si>
  <si>
    <t>Interest Paid as Drawn</t>
  </si>
  <si>
    <t>Total Assets to Close with Reserve Requirements:</t>
  </si>
  <si>
    <t>Plus Funds to Start Rehab</t>
  </si>
  <si>
    <t>Closing Costs + Down Pmt - EMD:</t>
  </si>
  <si>
    <t>1 Rental 0 Flips</t>
  </si>
  <si>
    <t>Draw Fees of $160 per draw during the rehab (No limit to number of draws - this is up to the borrower, but amount of each draw is limited to the work completed/money spent.</t>
  </si>
  <si>
    <t>Interest Cost Over Life of loan:</t>
  </si>
  <si>
    <t>Sum of Payments Over Life of Loan:</t>
  </si>
  <si>
    <t>Michael Cunningham</t>
  </si>
  <si>
    <t>MJC Innovative Investments, LLC</t>
  </si>
  <si>
    <t>140 Buck Ridge Ln Drums, PA 18222</t>
  </si>
  <si>
    <t>Lender Fund Control  Fee:</t>
  </si>
  <si>
    <t>Nathalie Nguyen</t>
  </si>
  <si>
    <t>Property Research Group, LLC</t>
  </si>
  <si>
    <t>1414 Post Office Street Galveston, TX 77550</t>
  </si>
  <si>
    <t>2 Flips / 1 Rentals</t>
  </si>
  <si>
    <t>Draw Fees of $250 per draw during the rehab</t>
  </si>
  <si>
    <t>5 Arch : REHAB LOAN QUOTES</t>
  </si>
  <si>
    <t>5 Arch : Purchase + Rehab Quote</t>
  </si>
  <si>
    <t>5 Arch : Refi + Rehab Quote</t>
  </si>
  <si>
    <t>6 Months interest payments can be rolled into the loan to avoid any payments during that time if desired. This would increase the loan amount and therefore slightly increase closing costs.</t>
  </si>
  <si>
    <t>6 Mo Interest Payments Roll-in Option:</t>
  </si>
  <si>
    <t>NO</t>
  </si>
  <si>
    <t>Donald Torrence</t>
  </si>
  <si>
    <t>Escrowed Payments (Rolled into the loan):</t>
  </si>
  <si>
    <t>MO PAYMENTS</t>
  </si>
  <si>
    <t>By End of Full Term</t>
  </si>
  <si>
    <t>Jana Brinlee, LLC</t>
  </si>
  <si>
    <t>9009 McEvilly Rd, Minooka, IL 60447</t>
  </si>
  <si>
    <t># OF MO PAYMENTS</t>
  </si>
  <si>
    <t>Loan Fees + Third Party Estimates:</t>
  </si>
  <si>
    <t>Cash to Close + Down Payment:</t>
  </si>
  <si>
    <t>Rental Properties Owned &amp; Leased:</t>
  </si>
  <si>
    <t>Completed Fix &amp; Flips:</t>
  </si>
  <si>
    <r>
      <rPr>
        <b/>
        <sz val="14"/>
        <color rgb="FFFF0000"/>
        <rFont val="Calibri"/>
        <family val="2"/>
        <scheme val="minor"/>
      </rPr>
      <t>Mid</t>
    </r>
    <r>
      <rPr>
        <b/>
        <sz val="14"/>
        <color rgb="FF000000"/>
        <rFont val="Calibri"/>
        <family val="2"/>
        <scheme val="minor"/>
      </rPr>
      <t xml:space="preserve"> FICO Score: </t>
    </r>
  </si>
  <si>
    <t>Elvin Waight</t>
  </si>
  <si>
    <t>Home Budgeting Made Easy LLC</t>
  </si>
  <si>
    <t>25 Units rented</t>
  </si>
  <si>
    <t>97 Northampton St</t>
  </si>
  <si>
    <t>Hip Rodriguez</t>
  </si>
  <si>
    <t>Data Driven Investments, LLC</t>
  </si>
  <si>
    <t>8908 N Dexter Tampa, FL 33604</t>
  </si>
  <si>
    <t>0 - First Time Investor</t>
  </si>
  <si>
    <t>Rehab Funded (In Draws):</t>
  </si>
  <si>
    <t>Shalawn Garcia</t>
  </si>
  <si>
    <t>S L Smith &amp; Associates LLC</t>
  </si>
  <si>
    <t>2730 Bell St Sacramento CA 95821</t>
  </si>
  <si>
    <t>LTV</t>
  </si>
  <si>
    <t>Purchase Funded Cap of As Is Value:</t>
  </si>
  <si>
    <t>0 Flips 1 Rental</t>
  </si>
  <si>
    <t>S L Associates</t>
  </si>
  <si>
    <t>2730 Bell Street, Sacramento, CA 95821</t>
  </si>
  <si>
    <t>Seller Concessions:</t>
  </si>
  <si>
    <t>UP TO 3% OF PURCHASE</t>
  </si>
  <si>
    <t>3919 Boarman Ave 
Baltimore MD 21215</t>
  </si>
  <si>
    <t>Chris Stitt</t>
  </si>
  <si>
    <t>2. Due at Clear to Close from Borrower: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</si>
</sst>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164" formatCode="0.000%"/>
    <numFmt numFmtId="165" formatCode="&quot;$&quot;#,##0.00"/>
    <numFmt numFmtId="166" formatCode="0.0%"/>
    <numFmt numFmtId="167" formatCode="&quot;$&quot;#,##0"/>
    <numFmt numFmtId="168" formatCode="&quot;$&quot;#,##0.0"/>
    <numFmt numFmtId="169" formatCode="&quot;$&quot;#,##0.000"/>
    <numFmt numFmtId="170" formatCode="0.0000000%"/>
    <numFmt numFmtId="171" formatCode="0.00000000%"/>
  </numFmts>
  <fonts count="102" x14ac:knownFonts="1">
    <font>
      <sz val="11"/>
      <color theme="1"/>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b/>
      <sz val="11"/>
      <color rgb="FFFF0000"/>
      <name val="Calibri"/>
      <family val="2"/>
      <scheme val="minor"/>
    </font>
    <font>
      <sz val="11"/>
      <color rgb="FF000000"/>
      <name val="Calibri"/>
      <family val="2"/>
      <scheme val="minor"/>
    </font>
    <font>
      <b/>
      <sz val="16"/>
      <color theme="1"/>
      <name val="Calibri"/>
      <family val="2"/>
      <scheme val="minor"/>
    </font>
    <font>
      <b/>
      <u/>
      <sz val="14"/>
      <color rgb="FF000000"/>
      <name val="Calibri"/>
      <family val="2"/>
      <scheme val="minor"/>
    </font>
    <font>
      <sz val="14"/>
      <color theme="1"/>
      <name val="Calibri"/>
      <family val="2"/>
      <scheme val="minor"/>
    </font>
    <font>
      <sz val="11"/>
      <color theme="1"/>
      <name val="Calibri"/>
      <family val="2"/>
      <scheme val="minor"/>
    </font>
    <font>
      <b/>
      <sz val="12"/>
      <color rgb="FF000000"/>
      <name val="Calibri"/>
      <family val="2"/>
      <scheme val="minor"/>
    </font>
    <font>
      <b/>
      <sz val="11"/>
      <name val="Calibri"/>
      <family val="2"/>
      <scheme val="minor"/>
    </font>
    <font>
      <b/>
      <sz val="10"/>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sz val="12"/>
      <color rgb="FF000000"/>
      <name val="Calibri"/>
      <family val="2"/>
      <scheme val="minor"/>
    </font>
    <font>
      <sz val="12"/>
      <color theme="9" tint="-0.249977111117893"/>
      <name val="Calibri"/>
      <family val="2"/>
      <scheme val="minor"/>
    </font>
    <font>
      <b/>
      <sz val="12"/>
      <name val="Calibri"/>
      <family val="2"/>
      <scheme val="minor"/>
    </font>
    <font>
      <b/>
      <sz val="12"/>
      <color theme="9" tint="-0.249977111117893"/>
      <name val="Calibri"/>
      <family val="2"/>
      <scheme val="minor"/>
    </font>
    <font>
      <sz val="12"/>
      <name val="Calibri"/>
      <family val="2"/>
      <scheme val="minor"/>
    </font>
    <font>
      <sz val="12"/>
      <color theme="4" tint="-0.499984740745262"/>
      <name val="Calibri"/>
      <family val="2"/>
      <scheme val="minor"/>
    </font>
    <font>
      <b/>
      <sz val="12"/>
      <color theme="2" tint="-0.89999084444715716"/>
      <name val="Calibri"/>
      <family val="2"/>
      <scheme val="minor"/>
    </font>
    <font>
      <b/>
      <sz val="24"/>
      <color theme="1"/>
      <name val="Calibri"/>
      <family val="2"/>
      <scheme val="minor"/>
    </font>
    <font>
      <sz val="12"/>
      <color rgb="FF000000"/>
      <name val="Arial"/>
      <family val="2"/>
    </font>
    <font>
      <b/>
      <sz val="12"/>
      <color rgb="FF000000"/>
      <name val="Arial"/>
      <family val="2"/>
    </font>
    <font>
      <b/>
      <sz val="14"/>
      <color rgb="FF000000"/>
      <name val="Arial"/>
      <family val="2"/>
    </font>
    <font>
      <u/>
      <sz val="12"/>
      <color rgb="FF000000"/>
      <name val="Arial"/>
      <family val="2"/>
    </font>
    <font>
      <sz val="11"/>
      <color theme="1"/>
      <name val="Arial"/>
      <family val="2"/>
    </font>
    <font>
      <i/>
      <sz val="11"/>
      <color theme="1"/>
      <name val="Arial"/>
      <family val="2"/>
    </font>
    <font>
      <b/>
      <u/>
      <sz val="16"/>
      <color rgb="FF000000"/>
      <name val="Arial"/>
      <family val="2"/>
    </font>
    <font>
      <sz val="16"/>
      <color theme="1"/>
      <name val="Arial"/>
      <family val="2"/>
    </font>
    <font>
      <sz val="12"/>
      <color theme="1"/>
      <name val="Arial"/>
      <family val="2"/>
    </font>
    <font>
      <b/>
      <sz val="18"/>
      <color theme="1"/>
      <name val="Arial"/>
      <family val="2"/>
    </font>
    <font>
      <b/>
      <sz val="14"/>
      <color theme="1"/>
      <name val="Arial"/>
      <family val="2"/>
    </font>
    <font>
      <b/>
      <sz val="11"/>
      <color theme="1"/>
      <name val="Arial"/>
      <family val="2"/>
    </font>
    <font>
      <b/>
      <sz val="14"/>
      <color rgb="FF000000"/>
      <name val="Calibri"/>
      <family val="2"/>
      <scheme val="minor"/>
    </font>
    <font>
      <b/>
      <sz val="16"/>
      <color rgb="FF000000"/>
      <name val="Calibri"/>
      <family val="2"/>
      <scheme val="minor"/>
    </font>
    <font>
      <b/>
      <sz val="14"/>
      <color theme="1"/>
      <name val="Calibri"/>
      <family val="2"/>
      <scheme val="minor"/>
    </font>
    <font>
      <sz val="16"/>
      <color theme="1"/>
      <name val="Calibri"/>
      <family val="2"/>
      <scheme val="minor"/>
    </font>
    <font>
      <b/>
      <sz val="16"/>
      <name val="Calibri"/>
      <family val="2"/>
      <scheme val="minor"/>
    </font>
    <font>
      <b/>
      <sz val="12"/>
      <color theme="3" tint="-0.249977111117893"/>
      <name val="Calibri"/>
      <family val="2"/>
      <scheme val="minor"/>
    </font>
    <font>
      <b/>
      <sz val="12"/>
      <color rgb="FF537B83"/>
      <name val="Calibri"/>
      <family val="2"/>
      <scheme val="minor"/>
    </font>
    <font>
      <b/>
      <sz val="12"/>
      <color theme="1"/>
      <name val="Arial"/>
      <family val="2"/>
    </font>
    <font>
      <b/>
      <sz val="12"/>
      <color theme="0"/>
      <name val="Arial"/>
      <family val="2"/>
    </font>
    <font>
      <b/>
      <sz val="11"/>
      <color theme="0"/>
      <name val="Calibri"/>
      <family val="2"/>
      <scheme val="minor"/>
    </font>
    <font>
      <b/>
      <sz val="12"/>
      <color theme="0"/>
      <name val="Calibri"/>
      <family val="2"/>
      <scheme val="minor"/>
    </font>
    <font>
      <b/>
      <u/>
      <sz val="12"/>
      <color theme="1"/>
      <name val="Calibri"/>
      <family val="2"/>
      <scheme val="minor"/>
    </font>
    <font>
      <b/>
      <u/>
      <sz val="12"/>
      <color rgb="FF537B83"/>
      <name val="Calibri"/>
      <family val="2"/>
      <scheme val="minor"/>
    </font>
    <font>
      <b/>
      <sz val="18"/>
      <name val="Calibri"/>
      <family val="2"/>
      <scheme val="minor"/>
    </font>
    <font>
      <sz val="12"/>
      <color rgb="FF537B83"/>
      <name val="Calibri"/>
      <family val="2"/>
      <scheme val="minor"/>
    </font>
    <font>
      <b/>
      <sz val="11"/>
      <color rgb="FF537B83"/>
      <name val="Calibri"/>
      <family val="2"/>
      <scheme val="minor"/>
    </font>
    <font>
      <sz val="11"/>
      <color rgb="FF537B83"/>
      <name val="Calibri"/>
      <family val="2"/>
      <scheme val="minor"/>
    </font>
    <font>
      <b/>
      <sz val="12"/>
      <color rgb="FF537B83"/>
      <name val="Arial"/>
      <family val="2"/>
    </font>
    <font>
      <sz val="11"/>
      <color theme="0"/>
      <name val="Calibri"/>
      <family val="2"/>
      <scheme val="minor"/>
    </font>
    <font>
      <sz val="22"/>
      <color theme="1"/>
      <name val="Calibri"/>
      <family val="2"/>
      <scheme val="minor"/>
    </font>
    <font>
      <b/>
      <sz val="12"/>
      <color rgb="FF4D7473"/>
      <name val="Calibri"/>
      <family val="2"/>
      <scheme val="minor"/>
    </font>
    <font>
      <sz val="12"/>
      <color theme="2" tint="-0.89999084444715716"/>
      <name val="Calibri"/>
      <family val="2"/>
      <scheme val="minor"/>
    </font>
    <font>
      <b/>
      <sz val="16"/>
      <color theme="0"/>
      <name val="Calibri"/>
      <family val="2"/>
      <scheme val="minor"/>
    </font>
    <font>
      <sz val="12"/>
      <color theme="0" tint="-0.34998626667073579"/>
      <name val="Calibri"/>
      <family val="2"/>
      <scheme val="minor"/>
    </font>
    <font>
      <b/>
      <sz val="18"/>
      <color rgb="FF000000"/>
      <name val="Calibri"/>
      <family val="2"/>
      <scheme val="minor"/>
    </font>
    <font>
      <b/>
      <sz val="12"/>
      <color rgb="FFFF0000"/>
      <name val="Arial"/>
      <family val="2"/>
    </font>
    <font>
      <b/>
      <sz val="14"/>
      <color rgb="FFFF0000"/>
      <name val="Calibri"/>
      <family val="2"/>
      <scheme val="minor"/>
    </font>
    <font>
      <b/>
      <sz val="14"/>
      <name val="Calibri"/>
      <family val="2"/>
      <scheme val="minor"/>
    </font>
    <font>
      <b/>
      <sz val="12"/>
      <name val="Arial"/>
      <family val="2"/>
    </font>
    <font>
      <b/>
      <sz val="16"/>
      <color theme="0" tint="-4.9989318521683403E-2"/>
      <name val="Calibri"/>
      <family val="2"/>
      <scheme val="minor"/>
    </font>
    <font>
      <b/>
      <sz val="11"/>
      <color rgb="FFFF0000"/>
      <name val="Arial"/>
      <family val="2"/>
    </font>
    <font>
      <b/>
      <sz val="12"/>
      <color rgb="FFC00000"/>
      <name val="Calibri"/>
      <family val="2"/>
      <scheme val="minor"/>
    </font>
    <font>
      <b/>
      <sz val="16"/>
      <color theme="1" tint="4.9989318521683403E-2"/>
      <name val="Calibri"/>
      <family val="2"/>
      <scheme val="minor"/>
    </font>
    <font>
      <b/>
      <sz val="16"/>
      <color rgb="FFC00000"/>
      <name val="Calibri"/>
      <family val="2"/>
      <scheme val="minor"/>
    </font>
    <font>
      <sz val="12"/>
      <color rgb="FFC00000"/>
      <name val="Calibri"/>
      <family val="2"/>
      <scheme val="minor"/>
    </font>
    <font>
      <b/>
      <u/>
      <sz val="12"/>
      <name val="Calibri"/>
      <family val="2"/>
      <scheme val="minor"/>
    </font>
    <font>
      <sz val="12"/>
      <color rgb="FFFF0000"/>
      <name val="Verdana"/>
      <family val="2"/>
    </font>
    <font>
      <sz val="12"/>
      <color theme="1"/>
      <name val="Verdana"/>
      <family val="2"/>
    </font>
    <font>
      <b/>
      <sz val="12"/>
      <color theme="1"/>
      <name val="Verdana"/>
      <family val="2"/>
    </font>
    <font>
      <b/>
      <sz val="12"/>
      <color rgb="FF537B83"/>
      <name val="Verdana"/>
      <family val="2"/>
    </font>
    <font>
      <b/>
      <sz val="16"/>
      <color rgb="FF000000"/>
      <name val="Calibri Light"/>
      <family val="2"/>
    </font>
    <font>
      <sz val="12"/>
      <color rgb="FF000000"/>
      <name val="Calibri Light"/>
      <family val="2"/>
    </font>
    <font>
      <sz val="14"/>
      <color rgb="FF000000"/>
      <name val="Calibri Light"/>
      <family val="2"/>
    </font>
    <font>
      <b/>
      <sz val="14"/>
      <color rgb="FF000000"/>
      <name val="Calibri Light"/>
      <family val="2"/>
    </font>
    <font>
      <sz val="12"/>
      <color rgb="FFFF0000"/>
      <name val="Calibri Light"/>
      <family val="2"/>
    </font>
    <font>
      <b/>
      <u/>
      <sz val="16"/>
      <color theme="1"/>
      <name val="Calibri"/>
      <family val="2"/>
      <scheme val="minor"/>
    </font>
    <font>
      <sz val="18"/>
      <color theme="1"/>
      <name val="Calibri"/>
      <family val="2"/>
      <scheme val="minor"/>
    </font>
    <font>
      <sz val="48"/>
      <color rgb="FF537B83"/>
      <name val="Calibri"/>
      <family val="2"/>
      <scheme val="minor"/>
    </font>
    <font>
      <sz val="48"/>
      <color theme="9" tint="-0.249977111117893"/>
      <name val="Calibri"/>
      <family val="2"/>
      <scheme val="minor"/>
    </font>
    <font>
      <sz val="48"/>
      <color theme="7" tint="-0.249977111117893"/>
      <name val="Calibri"/>
      <family val="2"/>
      <scheme val="minor"/>
    </font>
    <font>
      <b/>
      <sz val="18"/>
      <color theme="1"/>
      <name val="Calibri"/>
      <family val="2"/>
      <scheme val="minor"/>
    </font>
    <font>
      <sz val="18"/>
      <color rgb="FF000000"/>
      <name val="Calibri"/>
      <family val="2"/>
      <scheme val="minor"/>
    </font>
    <font>
      <sz val="18"/>
      <color rgb="FFFF0000"/>
      <name val="Calibri"/>
      <family val="2"/>
      <scheme val="minor"/>
    </font>
    <font>
      <b/>
      <sz val="16"/>
      <color rgb="FFFF0000"/>
      <name val="Calibri"/>
      <family val="2"/>
      <scheme val="minor"/>
    </font>
    <font>
      <b/>
      <sz val="14"/>
      <color theme="1" tint="4.9989318521683403E-2"/>
      <name val="Calibri"/>
      <family val="2"/>
      <scheme val="minor"/>
    </font>
    <font>
      <sz val="48"/>
      <color rgb="FFFFC000"/>
      <name val="Calibri"/>
      <family val="2"/>
      <scheme val="minor"/>
    </font>
    <font>
      <b/>
      <sz val="20"/>
      <color theme="1"/>
      <name val="Calibri"/>
      <family val="2"/>
      <scheme val="minor"/>
    </font>
    <font>
      <b/>
      <sz val="20"/>
      <color rgb="FFFF0000"/>
      <name val="Calibri"/>
      <family val="2"/>
      <scheme val="minor"/>
    </font>
    <font>
      <b/>
      <sz val="14"/>
      <color theme="0"/>
      <name val="Calibri"/>
      <family val="2"/>
      <scheme val="minor"/>
    </font>
    <font>
      <sz val="12"/>
      <color rgb="FFFF0000"/>
      <name val="Arial"/>
      <family val="2"/>
    </font>
    <font>
      <sz val="12"/>
      <color theme="2" tint="-0.249977111117893"/>
      <name val="Arial"/>
      <family val="2"/>
    </font>
    <font>
      <sz val="12"/>
      <name val="Arial"/>
      <family val="2"/>
    </font>
    <font>
      <b/>
      <u/>
      <sz val="12"/>
      <color rgb="FF000000"/>
      <name val="Arial"/>
      <family val="2"/>
    </font>
  </fonts>
  <fills count="2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rgb="FF8CAFB6"/>
        <bgColor indexed="64"/>
      </patternFill>
    </fill>
    <fill>
      <patternFill patternType="solid">
        <fgColor rgb="FFC2D4D8"/>
        <bgColor indexed="64"/>
      </patternFill>
    </fill>
    <fill>
      <patternFill patternType="solid">
        <fgColor rgb="FFDCE6E8"/>
        <bgColor indexed="64"/>
      </patternFill>
    </fill>
    <fill>
      <patternFill patternType="solid">
        <fgColor rgb="FF537B8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FFC000"/>
        <bgColor indexed="64"/>
      </patternFill>
    </fill>
    <fill>
      <patternFill patternType="solid">
        <fgColor theme="1" tint="0.499984740745262"/>
        <bgColor indexed="64"/>
      </patternFill>
    </fill>
    <fill>
      <patternFill patternType="solid">
        <fgColor theme="7" tint="0.39997558519241921"/>
        <bgColor indexed="64"/>
      </patternFill>
    </fill>
    <fill>
      <patternFill patternType="solid">
        <fgColor rgb="FFFFF9E7"/>
        <bgColor indexed="64"/>
      </patternFill>
    </fill>
    <fill>
      <patternFill patternType="solid">
        <fgColor rgb="FFFFEAAF"/>
        <bgColor indexed="64"/>
      </patternFill>
    </fill>
    <fill>
      <patternFill patternType="solid">
        <fgColor theme="1" tint="0.3499862666707357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44" fontId="10" fillId="0" borderId="0" applyFont="0" applyFill="0" applyBorder="0" applyAlignment="0" applyProtection="0"/>
    <xf numFmtId="9" fontId="10" fillId="0" borderId="0" applyFont="0" applyFill="0" applyBorder="0" applyAlignment="0" applyProtection="0"/>
  </cellStyleXfs>
  <cellXfs count="2151">
    <xf numFmtId="0" fontId="0" fillId="0" borderId="0" xfId="0"/>
    <xf numFmtId="0" fontId="0" fillId="0" borderId="0" xfId="0" applyAlignment="1">
      <alignment wrapText="1"/>
    </xf>
    <xf numFmtId="0" fontId="0" fillId="0" borderId="0" xfId="0" applyAlignment="1">
      <alignment horizontal="left"/>
    </xf>
    <xf numFmtId="0" fontId="2" fillId="0" borderId="0" xfId="0" applyFont="1" applyAlignment="1">
      <alignment horizontal="left"/>
    </xf>
    <xf numFmtId="0" fontId="3" fillId="0" borderId="0" xfId="0" applyFont="1"/>
    <xf numFmtId="0" fontId="7" fillId="0" borderId="0" xfId="0" applyFont="1"/>
    <xf numFmtId="14" fontId="9" fillId="0" borderId="0" xfId="0" applyNumberFormat="1" applyFont="1" applyAlignment="1">
      <alignment horizontal="left"/>
    </xf>
    <xf numFmtId="0" fontId="8" fillId="2" borderId="0" xfId="0" applyFont="1" applyFill="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4" fillId="0" borderId="0" xfId="0" applyFont="1"/>
    <xf numFmtId="14" fontId="3" fillId="5" borderId="1" xfId="0" applyNumberFormat="1" applyFont="1" applyFill="1" applyBorder="1" applyAlignment="1">
      <alignment horizontal="left"/>
    </xf>
    <xf numFmtId="0" fontId="7" fillId="0" borderId="0" xfId="0" applyFont="1" applyAlignment="1">
      <alignment wrapText="1"/>
    </xf>
    <xf numFmtId="0" fontId="0" fillId="0" borderId="0" xfId="0" applyAlignment="1">
      <alignment horizontal="left" wrapText="1"/>
    </xf>
    <xf numFmtId="14" fontId="9" fillId="0" borderId="0" xfId="0" applyNumberFormat="1" applyFont="1" applyAlignment="1">
      <alignment horizontal="left" wrapText="1"/>
    </xf>
    <xf numFmtId="0" fontId="7" fillId="7" borderId="0" xfId="0" applyFont="1" applyFill="1"/>
    <xf numFmtId="0" fontId="0" fillId="7" borderId="0" xfId="0" applyFill="1" applyAlignment="1">
      <alignment horizontal="left" wrapText="1"/>
    </xf>
    <xf numFmtId="0" fontId="7" fillId="8" borderId="0" xfId="0" applyFont="1" applyFill="1"/>
    <xf numFmtId="0" fontId="0" fillId="8" borderId="0" xfId="0" applyFill="1" applyAlignment="1">
      <alignment horizontal="left" wrapText="1"/>
    </xf>
    <xf numFmtId="6" fontId="2" fillId="0" borderId="0" xfId="0" applyNumberFormat="1" applyFont="1" applyAlignment="1">
      <alignment horizontal="left"/>
    </xf>
    <xf numFmtId="3" fontId="15" fillId="2" borderId="1" xfId="0" applyNumberFormat="1" applyFont="1" applyFill="1" applyBorder="1" applyAlignment="1">
      <alignment horizontal="left"/>
    </xf>
    <xf numFmtId="0" fontId="8" fillId="2" borderId="0" xfId="0" applyFont="1" applyFill="1" applyAlignment="1">
      <alignment vertical="center"/>
    </xf>
    <xf numFmtId="0" fontId="7" fillId="11" borderId="0" xfId="0" applyFont="1" applyFill="1"/>
    <xf numFmtId="0" fontId="0" fillId="11" borderId="0" xfId="0" applyFill="1" applyAlignment="1">
      <alignment horizontal="left"/>
    </xf>
    <xf numFmtId="0" fontId="11" fillId="5" borderId="1" xfId="0" applyFont="1" applyFill="1" applyBorder="1" applyAlignment="1">
      <alignment vertical="center"/>
    </xf>
    <xf numFmtId="14" fontId="14" fillId="5" borderId="1" xfId="0" applyNumberFormat="1" applyFont="1" applyFill="1" applyBorder="1" applyAlignment="1">
      <alignment horizontal="left"/>
    </xf>
    <xf numFmtId="0" fontId="11" fillId="0" borderId="1" xfId="0" applyFont="1" applyBorder="1" applyAlignment="1">
      <alignment vertical="center"/>
    </xf>
    <xf numFmtId="14" fontId="14" fillId="0" borderId="1" xfId="0" applyNumberFormat="1" applyFont="1" applyBorder="1" applyAlignment="1">
      <alignment horizontal="left"/>
    </xf>
    <xf numFmtId="0" fontId="11" fillId="0" borderId="0" xfId="0" applyFont="1" applyAlignment="1">
      <alignment vertical="center"/>
    </xf>
    <xf numFmtId="0" fontId="16" fillId="0" borderId="0" xfId="0" applyFont="1" applyAlignment="1">
      <alignment horizontal="left"/>
    </xf>
    <xf numFmtId="0" fontId="11" fillId="4" borderId="1" xfId="0" applyFont="1" applyFill="1" applyBorder="1" applyAlignment="1">
      <alignment vertical="center"/>
    </xf>
    <xf numFmtId="0" fontId="16" fillId="0" borderId="1" xfId="0" applyFont="1" applyBorder="1" applyAlignment="1">
      <alignment horizontal="left"/>
    </xf>
    <xf numFmtId="0" fontId="18" fillId="0" borderId="1" xfId="0" applyFont="1" applyBorder="1" applyAlignment="1">
      <alignment horizontal="left"/>
    </xf>
    <xf numFmtId="0" fontId="16" fillId="0" borderId="0" xfId="0" applyFont="1"/>
    <xf numFmtId="0" fontId="11" fillId="2" borderId="1" xfId="0" applyFont="1" applyFill="1" applyBorder="1" applyAlignment="1">
      <alignment vertical="center"/>
    </xf>
    <xf numFmtId="6" fontId="16" fillId="0" borderId="1" xfId="0" applyNumberFormat="1" applyFont="1" applyBorder="1" applyAlignment="1">
      <alignment horizontal="left"/>
    </xf>
    <xf numFmtId="9" fontId="19" fillId="0" borderId="1" xfId="2" applyFont="1" applyBorder="1" applyAlignment="1">
      <alignment horizontal="left"/>
    </xf>
    <xf numFmtId="8" fontId="19" fillId="0" borderId="1" xfId="0" applyNumberFormat="1" applyFont="1" applyBorder="1" applyAlignment="1">
      <alignment horizontal="left"/>
    </xf>
    <xf numFmtId="0" fontId="19" fillId="0" borderId="1" xfId="0" applyFont="1" applyBorder="1" applyAlignment="1">
      <alignment horizontal="left"/>
    </xf>
    <xf numFmtId="165" fontId="18" fillId="0" borderId="1" xfId="0" applyNumberFormat="1" applyFont="1" applyBorder="1" applyAlignment="1">
      <alignment horizontal="left"/>
    </xf>
    <xf numFmtId="0" fontId="11" fillId="2" borderId="1" xfId="0" applyFont="1" applyFill="1" applyBorder="1"/>
    <xf numFmtId="0" fontId="11" fillId="3" borderId="0" xfId="0" applyFont="1" applyFill="1" applyAlignment="1">
      <alignment vertical="center"/>
    </xf>
    <xf numFmtId="165" fontId="18" fillId="0" borderId="0" xfId="0" applyNumberFormat="1" applyFont="1" applyAlignment="1">
      <alignment horizontal="left"/>
    </xf>
    <xf numFmtId="0" fontId="19" fillId="0" borderId="0" xfId="0" applyFont="1" applyAlignment="1">
      <alignment vertical="center"/>
    </xf>
    <xf numFmtId="165" fontId="16" fillId="0" borderId="0" xfId="0" applyNumberFormat="1" applyFont="1" applyAlignment="1">
      <alignment horizontal="left"/>
    </xf>
    <xf numFmtId="0" fontId="11" fillId="9" borderId="1" xfId="0" applyFont="1" applyFill="1" applyBorder="1" applyAlignment="1">
      <alignment vertical="center"/>
    </xf>
    <xf numFmtId="165" fontId="17" fillId="0" borderId="1" xfId="0" applyNumberFormat="1" applyFont="1" applyBorder="1" applyAlignment="1">
      <alignment horizontal="left"/>
    </xf>
    <xf numFmtId="8" fontId="20" fillId="3" borderId="1" xfId="0" applyNumberFormat="1" applyFont="1" applyFill="1" applyBorder="1" applyAlignment="1">
      <alignment horizontal="left"/>
    </xf>
    <xf numFmtId="0" fontId="14" fillId="0" borderId="0" xfId="0" applyFont="1"/>
    <xf numFmtId="10" fontId="19" fillId="0" borderId="1" xfId="2" applyNumberFormat="1" applyFont="1" applyBorder="1" applyAlignment="1">
      <alignment horizontal="left"/>
    </xf>
    <xf numFmtId="14" fontId="3" fillId="0" borderId="0" xfId="0" applyNumberFormat="1" applyFont="1" applyAlignment="1">
      <alignment horizontal="left"/>
    </xf>
    <xf numFmtId="6" fontId="0" fillId="0" borderId="0" xfId="0" applyNumberFormat="1" applyAlignment="1">
      <alignment horizontal="left"/>
    </xf>
    <xf numFmtId="9" fontId="6" fillId="0" borderId="0" xfId="2" applyFont="1" applyAlignment="1">
      <alignment horizontal="left"/>
    </xf>
    <xf numFmtId="165" fontId="19" fillId="0" borderId="1" xfId="2" applyNumberFormat="1" applyFont="1" applyBorder="1" applyAlignment="1">
      <alignment horizontal="left"/>
    </xf>
    <xf numFmtId="8" fontId="6" fillId="0" borderId="0" xfId="0" applyNumberFormat="1" applyFont="1" applyAlignment="1">
      <alignment horizontal="left"/>
    </xf>
    <xf numFmtId="0" fontId="6" fillId="0" borderId="0" xfId="0" applyFont="1" applyAlignment="1">
      <alignment horizontal="left"/>
    </xf>
    <xf numFmtId="8" fontId="20" fillId="0" borderId="1" xfId="0" applyNumberFormat="1" applyFont="1" applyBorder="1" applyAlignment="1">
      <alignment horizontal="left"/>
    </xf>
    <xf numFmtId="10" fontId="15" fillId="10" borderId="1" xfId="2" applyNumberFormat="1" applyFont="1" applyFill="1" applyBorder="1" applyAlignment="1">
      <alignment horizontal="center"/>
    </xf>
    <xf numFmtId="3" fontId="2" fillId="0" borderId="0" xfId="0" applyNumberFormat="1" applyFont="1" applyAlignment="1">
      <alignment horizontal="left"/>
    </xf>
    <xf numFmtId="3" fontId="5" fillId="0" borderId="0" xfId="0" applyNumberFormat="1" applyFont="1" applyAlignment="1">
      <alignment horizontal="left"/>
    </xf>
    <xf numFmtId="165" fontId="5" fillId="0" borderId="0" xfId="0" applyNumberFormat="1" applyFont="1" applyAlignment="1">
      <alignment horizontal="left"/>
    </xf>
    <xf numFmtId="3" fontId="5" fillId="0" borderId="1" xfId="0" applyNumberFormat="1" applyFont="1" applyBorder="1" applyAlignment="1">
      <alignment horizontal="left"/>
    </xf>
    <xf numFmtId="164" fontId="19" fillId="0" borderId="1" xfId="2" applyNumberFormat="1" applyFont="1" applyBorder="1" applyAlignment="1">
      <alignment horizontal="left"/>
    </xf>
    <xf numFmtId="0" fontId="11" fillId="6" borderId="0" xfId="0" applyFont="1" applyFill="1" applyAlignment="1">
      <alignment vertical="center"/>
    </xf>
    <xf numFmtId="165" fontId="18" fillId="6" borderId="0" xfId="0" applyNumberFormat="1" applyFont="1" applyFill="1" applyAlignment="1">
      <alignment horizontal="left"/>
    </xf>
    <xf numFmtId="0" fontId="18" fillId="0" borderId="0" xfId="0" applyFont="1" applyAlignment="1">
      <alignment horizontal="left"/>
    </xf>
    <xf numFmtId="0" fontId="0" fillId="0" borderId="0" xfId="0" applyAlignment="1">
      <alignment horizontal="center"/>
    </xf>
    <xf numFmtId="3" fontId="5" fillId="0" borderId="1" xfId="0" applyNumberFormat="1" applyFont="1" applyBorder="1" applyAlignment="1">
      <alignment horizontal="center"/>
    </xf>
    <xf numFmtId="165" fontId="24" fillId="0" borderId="1" xfId="0" applyNumberFormat="1" applyFont="1" applyBorder="1" applyAlignment="1">
      <alignment horizontal="left"/>
    </xf>
    <xf numFmtId="0" fontId="21" fillId="2" borderId="1" xfId="0" applyFont="1" applyFill="1" applyBorder="1" applyAlignment="1">
      <alignment vertical="center"/>
    </xf>
    <xf numFmtId="164" fontId="16" fillId="0" borderId="1" xfId="2" applyNumberFormat="1" applyFont="1" applyBorder="1" applyAlignment="1">
      <alignment horizontal="left"/>
    </xf>
    <xf numFmtId="6" fontId="25" fillId="5" borderId="1" xfId="0" applyNumberFormat="1" applyFont="1" applyFill="1" applyBorder="1" applyAlignment="1">
      <alignment horizontal="left"/>
    </xf>
    <xf numFmtId="0" fontId="26" fillId="5" borderId="0" xfId="0" applyFont="1" applyFill="1" applyAlignment="1">
      <alignment wrapText="1"/>
    </xf>
    <xf numFmtId="0" fontId="0" fillId="0" borderId="0" xfId="0" applyAlignment="1"/>
    <xf numFmtId="165" fontId="18" fillId="0" borderId="0" xfId="0" applyNumberFormat="1" applyFont="1" applyBorder="1" applyAlignment="1">
      <alignment horizontal="left"/>
    </xf>
    <xf numFmtId="165" fontId="18" fillId="0" borderId="3" xfId="0" applyNumberFormat="1" applyFont="1" applyBorder="1" applyAlignment="1">
      <alignment horizontal="left"/>
    </xf>
    <xf numFmtId="0" fontId="11" fillId="6" borderId="4" xfId="0" applyFont="1" applyFill="1" applyBorder="1" applyAlignment="1">
      <alignment vertical="center"/>
    </xf>
    <xf numFmtId="165" fontId="18" fillId="6" borderId="5" xfId="0" applyNumberFormat="1" applyFont="1" applyFill="1" applyBorder="1" applyAlignment="1">
      <alignment horizontal="left"/>
    </xf>
    <xf numFmtId="165" fontId="18" fillId="0" borderId="7" xfId="0" applyNumberFormat="1" applyFont="1" applyBorder="1" applyAlignment="1">
      <alignment horizontal="left"/>
    </xf>
    <xf numFmtId="0" fontId="11" fillId="6" borderId="2" xfId="0" applyFont="1" applyFill="1" applyBorder="1" applyAlignment="1">
      <alignment vertical="center"/>
    </xf>
    <xf numFmtId="6" fontId="25" fillId="6" borderId="3" xfId="0" applyNumberFormat="1" applyFont="1" applyFill="1" applyBorder="1" applyAlignment="1">
      <alignment horizontal="left"/>
    </xf>
    <xf numFmtId="6" fontId="16" fillId="6" borderId="5" xfId="0" applyNumberFormat="1" applyFont="1" applyFill="1" applyBorder="1" applyAlignment="1">
      <alignment horizontal="left"/>
    </xf>
    <xf numFmtId="165" fontId="19" fillId="6" borderId="5" xfId="2" applyNumberFormat="1" applyFont="1" applyFill="1" applyBorder="1" applyAlignment="1">
      <alignment horizontal="left"/>
    </xf>
    <xf numFmtId="8" fontId="19" fillId="6" borderId="5" xfId="0" applyNumberFormat="1" applyFont="1" applyFill="1" applyBorder="1" applyAlignment="1">
      <alignment horizontal="left"/>
    </xf>
    <xf numFmtId="0" fontId="19" fillId="6" borderId="5" xfId="0" applyFont="1" applyFill="1" applyBorder="1" applyAlignment="1">
      <alignment horizontal="left"/>
    </xf>
    <xf numFmtId="0" fontId="11" fillId="6" borderId="6" xfId="0" applyFont="1" applyFill="1" applyBorder="1" applyAlignment="1">
      <alignment vertical="center"/>
    </xf>
    <xf numFmtId="0" fontId="18" fillId="0" borderId="0" xfId="0" applyFont="1" applyBorder="1" applyAlignment="1">
      <alignment horizontal="left"/>
    </xf>
    <xf numFmtId="0" fontId="16" fillId="0" borderId="3" xfId="0" applyFont="1" applyBorder="1" applyAlignment="1">
      <alignment horizontal="left"/>
    </xf>
    <xf numFmtId="0" fontId="16" fillId="0" borderId="5" xfId="0" applyFont="1" applyBorder="1" applyAlignment="1">
      <alignment horizontal="left"/>
    </xf>
    <xf numFmtId="0" fontId="18" fillId="0" borderId="7" xfId="0" applyFont="1" applyBorder="1" applyAlignment="1">
      <alignment horizontal="left"/>
    </xf>
    <xf numFmtId="0" fontId="40" fillId="0" borderId="0" xfId="0" applyFont="1" applyAlignment="1">
      <alignment vertical="center"/>
    </xf>
    <xf numFmtId="0" fontId="11" fillId="3" borderId="4" xfId="0" applyFont="1" applyFill="1" applyBorder="1" applyAlignment="1">
      <alignment vertical="center"/>
    </xf>
    <xf numFmtId="6" fontId="16" fillId="3" borderId="5" xfId="0" applyNumberFormat="1" applyFont="1" applyFill="1" applyBorder="1" applyAlignment="1">
      <alignment horizontal="left"/>
    </xf>
    <xf numFmtId="9" fontId="19" fillId="3" borderId="5" xfId="2" applyFont="1" applyFill="1" applyBorder="1" applyAlignment="1">
      <alignment horizontal="left"/>
    </xf>
    <xf numFmtId="165" fontId="19" fillId="3" borderId="5" xfId="2" applyNumberFormat="1" applyFont="1" applyFill="1" applyBorder="1" applyAlignment="1">
      <alignment horizontal="left"/>
    </xf>
    <xf numFmtId="10" fontId="19" fillId="3" borderId="5" xfId="2" applyNumberFormat="1" applyFont="1" applyFill="1" applyBorder="1" applyAlignment="1">
      <alignment horizontal="left"/>
    </xf>
    <xf numFmtId="0" fontId="11" fillId="14" borderId="2" xfId="0" applyFont="1" applyFill="1" applyBorder="1" applyAlignment="1">
      <alignment vertical="center"/>
    </xf>
    <xf numFmtId="0" fontId="11" fillId="14" borderId="4" xfId="0" applyFont="1" applyFill="1" applyBorder="1" applyAlignment="1">
      <alignment vertical="center"/>
    </xf>
    <xf numFmtId="0" fontId="11" fillId="14" borderId="6" xfId="0" applyFont="1" applyFill="1" applyBorder="1" applyAlignment="1">
      <alignment vertical="center"/>
    </xf>
    <xf numFmtId="0" fontId="39" fillId="14" borderId="2" xfId="0" applyFont="1" applyFill="1" applyBorder="1" applyAlignment="1">
      <alignment vertical="center"/>
    </xf>
    <xf numFmtId="0" fontId="39" fillId="14" borderId="6" xfId="0" applyFont="1" applyFill="1" applyBorder="1" applyAlignment="1">
      <alignment vertical="center"/>
    </xf>
    <xf numFmtId="14" fontId="42" fillId="0" borderId="0" xfId="0" applyNumberFormat="1" applyFont="1" applyAlignment="1">
      <alignment horizontal="left" wrapText="1"/>
    </xf>
    <xf numFmtId="0" fontId="40" fillId="0" borderId="0" xfId="0" applyFont="1" applyFill="1" applyAlignment="1">
      <alignment vertical="center" wrapText="1"/>
    </xf>
    <xf numFmtId="0" fontId="11" fillId="6" borderId="2" xfId="0" applyFont="1" applyFill="1" applyBorder="1"/>
    <xf numFmtId="165" fontId="18" fillId="6" borderId="3" xfId="0" applyNumberFormat="1" applyFont="1" applyFill="1" applyBorder="1" applyAlignment="1">
      <alignment horizontal="left"/>
    </xf>
    <xf numFmtId="165" fontId="18" fillId="6" borderId="7" xfId="0" applyNumberFormat="1" applyFont="1" applyFill="1" applyBorder="1" applyAlignment="1">
      <alignment horizontal="left"/>
    </xf>
    <xf numFmtId="165" fontId="18" fillId="3" borderId="5" xfId="0" applyNumberFormat="1" applyFont="1" applyFill="1" applyBorder="1" applyAlignment="1">
      <alignment horizontal="left"/>
    </xf>
    <xf numFmtId="0" fontId="40" fillId="3" borderId="0" xfId="0" applyFont="1" applyFill="1" applyAlignment="1">
      <alignment vertical="center"/>
    </xf>
    <xf numFmtId="0" fontId="11" fillId="9" borderId="2" xfId="0" applyFont="1" applyFill="1" applyBorder="1" applyAlignment="1">
      <alignment vertical="center"/>
    </xf>
    <xf numFmtId="165" fontId="17" fillId="0" borderId="3" xfId="0" applyNumberFormat="1" applyFont="1" applyBorder="1" applyAlignment="1">
      <alignment horizontal="left"/>
    </xf>
    <xf numFmtId="0" fontId="11" fillId="9" borderId="6" xfId="0" applyFont="1" applyFill="1" applyBorder="1" applyAlignment="1">
      <alignment vertical="center"/>
    </xf>
    <xf numFmtId="165" fontId="17" fillId="0" borderId="7" xfId="0" applyNumberFormat="1" applyFont="1" applyBorder="1" applyAlignment="1">
      <alignment horizontal="left"/>
    </xf>
    <xf numFmtId="165" fontId="43" fillId="0" borderId="0" xfId="0" applyNumberFormat="1" applyFont="1" applyBorder="1" applyAlignment="1">
      <alignment horizontal="left"/>
    </xf>
    <xf numFmtId="14" fontId="41" fillId="3" borderId="3" xfId="0" applyNumberFormat="1" applyFont="1" applyFill="1" applyBorder="1" applyAlignment="1">
      <alignment horizontal="left"/>
    </xf>
    <xf numFmtId="14" fontId="3" fillId="3" borderId="7" xfId="0" applyNumberFormat="1" applyFont="1" applyFill="1" applyBorder="1" applyAlignment="1">
      <alignment horizontal="left"/>
    </xf>
    <xf numFmtId="3" fontId="5" fillId="0" borderId="10" xfId="0" applyNumberFormat="1" applyFont="1" applyBorder="1" applyAlignment="1">
      <alignment horizontal="left"/>
    </xf>
    <xf numFmtId="0" fontId="11" fillId="0" borderId="0" xfId="0" applyFont="1" applyBorder="1" applyAlignment="1">
      <alignment vertical="center"/>
    </xf>
    <xf numFmtId="0" fontId="16" fillId="0" borderId="0" xfId="0" applyFont="1" applyBorder="1" applyAlignment="1">
      <alignment horizontal="left"/>
    </xf>
    <xf numFmtId="165" fontId="17" fillId="0" borderId="0" xfId="0" applyNumberFormat="1" applyFont="1" applyBorder="1" applyAlignment="1">
      <alignment horizontal="left"/>
    </xf>
    <xf numFmtId="0" fontId="14" fillId="0" borderId="0" xfId="0" applyFont="1" applyBorder="1"/>
    <xf numFmtId="0" fontId="40" fillId="3" borderId="0" xfId="0" applyFont="1" applyFill="1" applyBorder="1" applyAlignment="1">
      <alignment vertical="center" wrapText="1"/>
    </xf>
    <xf numFmtId="14" fontId="42" fillId="3" borderId="0" xfId="0" applyNumberFormat="1" applyFont="1" applyFill="1" applyBorder="1" applyAlignment="1">
      <alignment horizontal="left" wrapText="1"/>
    </xf>
    <xf numFmtId="0" fontId="40" fillId="0" borderId="0" xfId="0" applyFont="1" applyBorder="1" applyAlignment="1">
      <alignment vertical="center"/>
    </xf>
    <xf numFmtId="8" fontId="19" fillId="3" borderId="5" xfId="0" applyNumberFormat="1" applyFont="1" applyFill="1" applyBorder="1" applyAlignment="1">
      <alignment horizontal="left"/>
    </xf>
    <xf numFmtId="8" fontId="23" fillId="3" borderId="5" xfId="0" applyNumberFormat="1" applyFont="1" applyFill="1" applyBorder="1" applyAlignment="1">
      <alignment horizontal="left"/>
    </xf>
    <xf numFmtId="0" fontId="11" fillId="3" borderId="6" xfId="0" applyFont="1" applyFill="1" applyBorder="1" applyAlignment="1">
      <alignment vertical="center"/>
    </xf>
    <xf numFmtId="165" fontId="18" fillId="3" borderId="7" xfId="0" applyNumberFormat="1" applyFont="1" applyFill="1" applyBorder="1" applyAlignment="1">
      <alignment horizontal="left"/>
    </xf>
    <xf numFmtId="6" fontId="16" fillId="6" borderId="3" xfId="0" applyNumberFormat="1" applyFont="1" applyFill="1" applyBorder="1" applyAlignment="1">
      <alignment horizontal="left"/>
    </xf>
    <xf numFmtId="0" fontId="11" fillId="6" borderId="5" xfId="0" applyFont="1" applyFill="1" applyBorder="1" applyAlignment="1">
      <alignment horizontal="left"/>
    </xf>
    <xf numFmtId="0" fontId="40" fillId="3" borderId="0" xfId="0" applyFont="1" applyFill="1" applyBorder="1" applyAlignment="1">
      <alignment vertical="center"/>
    </xf>
    <xf numFmtId="165" fontId="45" fillId="6" borderId="5" xfId="0" applyNumberFormat="1" applyFont="1" applyFill="1" applyBorder="1" applyAlignment="1">
      <alignment horizontal="left"/>
    </xf>
    <xf numFmtId="0" fontId="0" fillId="0" borderId="0" xfId="0" applyBorder="1" applyAlignment="1">
      <alignment horizontal="left" wrapText="1"/>
    </xf>
    <xf numFmtId="0" fontId="0" fillId="0" borderId="0" xfId="0" applyBorder="1" applyAlignment="1">
      <alignment wrapText="1"/>
    </xf>
    <xf numFmtId="0" fontId="0" fillId="0" borderId="0" xfId="0" applyBorder="1"/>
    <xf numFmtId="165" fontId="18" fillId="6" borderId="3" xfId="0" applyNumberFormat="1" applyFont="1" applyFill="1" applyBorder="1" applyAlignment="1">
      <alignment horizontal="left" vertical="center"/>
    </xf>
    <xf numFmtId="14" fontId="9" fillId="0" borderId="0" xfId="0" applyNumberFormat="1" applyFont="1" applyBorder="1" applyAlignment="1">
      <alignment horizontal="left" wrapText="1"/>
    </xf>
    <xf numFmtId="0" fontId="6" fillId="0" borderId="0" xfId="0" applyFont="1" applyBorder="1" applyAlignment="1">
      <alignment vertical="center" wrapText="1"/>
    </xf>
    <xf numFmtId="0" fontId="13" fillId="0" borderId="0" xfId="0" applyFont="1" applyBorder="1"/>
    <xf numFmtId="0" fontId="2" fillId="3" borderId="0" xfId="0" applyFont="1" applyFill="1" applyBorder="1" applyAlignment="1">
      <alignment horizontal="left" wrapText="1"/>
    </xf>
    <xf numFmtId="0" fontId="4" fillId="6" borderId="2" xfId="0" applyFont="1" applyFill="1" applyBorder="1" applyAlignment="1">
      <alignment vertical="center"/>
    </xf>
    <xf numFmtId="6" fontId="0" fillId="6" borderId="3" xfId="0" applyNumberFormat="1" applyFill="1" applyBorder="1" applyAlignment="1">
      <alignment horizontal="left"/>
    </xf>
    <xf numFmtId="0" fontId="4" fillId="3" borderId="4" xfId="0" applyFont="1" applyFill="1" applyBorder="1" applyAlignment="1">
      <alignment vertical="center" wrapText="1"/>
    </xf>
    <xf numFmtId="0" fontId="4" fillId="6" borderId="4" xfId="0" applyFont="1" applyFill="1" applyBorder="1" applyAlignment="1">
      <alignment vertical="center" wrapText="1"/>
    </xf>
    <xf numFmtId="164" fontId="6" fillId="6" borderId="5" xfId="2" applyNumberFormat="1" applyFont="1" applyFill="1" applyBorder="1" applyAlignment="1">
      <alignment horizontal="left" wrapText="1"/>
    </xf>
    <xf numFmtId="0" fontId="6" fillId="3" borderId="5" xfId="0" applyFont="1" applyFill="1" applyBorder="1" applyAlignment="1">
      <alignment horizontal="left" wrapText="1"/>
    </xf>
    <xf numFmtId="8" fontId="6" fillId="6" borderId="5" xfId="0" applyNumberFormat="1" applyFont="1" applyFill="1" applyBorder="1" applyAlignment="1">
      <alignment horizontal="left" wrapText="1"/>
    </xf>
    <xf numFmtId="0" fontId="4" fillId="6" borderId="6" xfId="0" applyFont="1" applyFill="1" applyBorder="1" applyAlignment="1">
      <alignment vertical="center" wrapText="1"/>
    </xf>
    <xf numFmtId="0" fontId="0" fillId="0" borderId="0" xfId="0" applyBorder="1" applyAlignment="1">
      <alignment horizontal="left"/>
    </xf>
    <xf numFmtId="0" fontId="4" fillId="14" borderId="2" xfId="0" applyFont="1" applyFill="1" applyBorder="1" applyAlignment="1">
      <alignment vertical="center"/>
    </xf>
    <xf numFmtId="0" fontId="0" fillId="0" borderId="3" xfId="0" applyBorder="1" applyAlignment="1">
      <alignment horizontal="left"/>
    </xf>
    <xf numFmtId="0" fontId="4" fillId="14" borderId="4" xfId="0" applyFont="1" applyFill="1" applyBorder="1" applyAlignment="1">
      <alignment vertical="center" wrapText="1"/>
    </xf>
    <xf numFmtId="0" fontId="0" fillId="0" borderId="5" xfId="0" applyBorder="1" applyAlignment="1">
      <alignment horizontal="left" wrapText="1"/>
    </xf>
    <xf numFmtId="0" fontId="4" fillId="14" borderId="6" xfId="0" applyFont="1" applyFill="1" applyBorder="1" applyAlignment="1">
      <alignment vertical="center" wrapText="1"/>
    </xf>
    <xf numFmtId="0" fontId="2" fillId="0" borderId="7" xfId="0" applyFont="1" applyBorder="1" applyAlignment="1">
      <alignment horizontal="left" wrapText="1"/>
    </xf>
    <xf numFmtId="0" fontId="39" fillId="14" borderId="2" xfId="0" applyFont="1" applyFill="1" applyBorder="1" applyAlignment="1">
      <alignment vertical="center" wrapText="1"/>
    </xf>
    <xf numFmtId="14" fontId="41" fillId="3" borderId="3" xfId="0" applyNumberFormat="1" applyFont="1" applyFill="1" applyBorder="1" applyAlignment="1">
      <alignment horizontal="left" wrapText="1"/>
    </xf>
    <xf numFmtId="14" fontId="14" fillId="3" borderId="7" xfId="0" applyNumberFormat="1" applyFont="1" applyFill="1" applyBorder="1" applyAlignment="1">
      <alignment horizontal="left"/>
    </xf>
    <xf numFmtId="0" fontId="4" fillId="14" borderId="2" xfId="0" applyFont="1" applyFill="1" applyBorder="1" applyAlignment="1">
      <alignment vertical="center" wrapText="1"/>
    </xf>
    <xf numFmtId="0" fontId="4" fillId="9" borderId="12" xfId="0" applyFont="1" applyFill="1" applyBorder="1" applyAlignment="1">
      <alignment vertical="center" wrapText="1"/>
    </xf>
    <xf numFmtId="0" fontId="13" fillId="0" borderId="0" xfId="0" applyFont="1" applyBorder="1" applyAlignment="1"/>
    <xf numFmtId="165" fontId="6" fillId="3" borderId="5" xfId="2" applyNumberFormat="1" applyFont="1" applyFill="1" applyBorder="1" applyAlignment="1">
      <alignment horizontal="left" wrapText="1"/>
    </xf>
    <xf numFmtId="9" fontId="6" fillId="6" borderId="5" xfId="2" applyFont="1" applyFill="1" applyBorder="1" applyAlignment="1">
      <alignment horizontal="left" wrapText="1"/>
    </xf>
    <xf numFmtId="165" fontId="2" fillId="3" borderId="5" xfId="0" applyNumberFormat="1" applyFont="1" applyFill="1" applyBorder="1" applyAlignment="1">
      <alignment horizontal="left" wrapText="1"/>
    </xf>
    <xf numFmtId="165" fontId="2" fillId="6" borderId="5" xfId="0" applyNumberFormat="1" applyFont="1" applyFill="1" applyBorder="1" applyAlignment="1">
      <alignment horizontal="left" wrapText="1"/>
    </xf>
    <xf numFmtId="165" fontId="2" fillId="6" borderId="7" xfId="0" applyNumberFormat="1" applyFont="1" applyFill="1" applyBorder="1" applyAlignment="1">
      <alignment horizontal="left" wrapText="1"/>
    </xf>
    <xf numFmtId="165" fontId="2" fillId="3" borderId="3" xfId="0" applyNumberFormat="1" applyFont="1" applyFill="1" applyBorder="1" applyAlignment="1">
      <alignment horizontal="left" wrapText="1"/>
    </xf>
    <xf numFmtId="165" fontId="2" fillId="3" borderId="7" xfId="0" applyNumberFormat="1" applyFont="1" applyFill="1" applyBorder="1" applyAlignment="1">
      <alignment horizontal="left" wrapText="1"/>
    </xf>
    <xf numFmtId="165" fontId="5" fillId="0" borderId="13" xfId="0" applyNumberFormat="1" applyFont="1" applyBorder="1" applyAlignment="1">
      <alignment horizontal="left" wrapText="1"/>
    </xf>
    <xf numFmtId="0" fontId="48" fillId="15" borderId="14" xfId="0" applyFont="1" applyFill="1" applyBorder="1" applyAlignment="1">
      <alignment horizontal="center" wrapText="1"/>
    </xf>
    <xf numFmtId="10" fontId="0" fillId="14" borderId="15" xfId="2" applyNumberFormat="1" applyFont="1" applyFill="1" applyBorder="1" applyAlignment="1">
      <alignment wrapText="1"/>
    </xf>
    <xf numFmtId="0" fontId="11" fillId="3" borderId="0" xfId="0" applyFont="1" applyFill="1" applyBorder="1" applyAlignment="1">
      <alignment vertical="center"/>
    </xf>
    <xf numFmtId="165" fontId="18" fillId="3" borderId="0" xfId="0" applyNumberFormat="1" applyFont="1" applyFill="1" applyBorder="1" applyAlignment="1">
      <alignment horizontal="left"/>
    </xf>
    <xf numFmtId="14" fontId="14" fillId="3" borderId="0" xfId="0" applyNumberFormat="1" applyFont="1" applyFill="1" applyBorder="1" applyAlignment="1">
      <alignment horizontal="left"/>
    </xf>
    <xf numFmtId="10" fontId="19" fillId="6" borderId="5" xfId="2" applyNumberFormat="1" applyFont="1" applyFill="1" applyBorder="1" applyAlignment="1">
      <alignment horizontal="left"/>
    </xf>
    <xf numFmtId="165" fontId="45" fillId="0" borderId="7" xfId="0" applyNumberFormat="1" applyFont="1" applyBorder="1" applyAlignment="1">
      <alignment horizontal="left"/>
    </xf>
    <xf numFmtId="0" fontId="18" fillId="3" borderId="0" xfId="0" applyFont="1" applyFill="1" applyBorder="1" applyAlignment="1">
      <alignment horizontal="left"/>
    </xf>
    <xf numFmtId="0" fontId="16" fillId="3" borderId="0" xfId="0" applyFont="1" applyFill="1" applyBorder="1" applyAlignment="1">
      <alignment horizontal="left"/>
    </xf>
    <xf numFmtId="10" fontId="19" fillId="3" borderId="0" xfId="2" applyNumberFormat="1" applyFont="1" applyFill="1" applyBorder="1" applyAlignment="1">
      <alignment horizontal="left"/>
    </xf>
    <xf numFmtId="0" fontId="11" fillId="3" borderId="2" xfId="0" applyFont="1" applyFill="1" applyBorder="1" applyAlignment="1">
      <alignment vertical="center"/>
    </xf>
    <xf numFmtId="0" fontId="16" fillId="3" borderId="3" xfId="0" applyFont="1" applyFill="1" applyBorder="1" applyAlignment="1">
      <alignment horizontal="left"/>
    </xf>
    <xf numFmtId="0" fontId="18" fillId="3" borderId="5" xfId="0" applyFont="1" applyFill="1" applyBorder="1" applyAlignment="1">
      <alignment horizontal="left"/>
    </xf>
    <xf numFmtId="165" fontId="18" fillId="3" borderId="3" xfId="0" applyNumberFormat="1" applyFont="1" applyFill="1" applyBorder="1" applyAlignment="1">
      <alignment horizontal="left"/>
    </xf>
    <xf numFmtId="165" fontId="19" fillId="6" borderId="0" xfId="2" applyNumberFormat="1" applyFont="1" applyFill="1" applyBorder="1" applyAlignment="1">
      <alignment horizontal="left"/>
    </xf>
    <xf numFmtId="165" fontId="19" fillId="3" borderId="0" xfId="2" applyNumberFormat="1" applyFont="1" applyFill="1" applyBorder="1" applyAlignment="1">
      <alignment horizontal="left"/>
    </xf>
    <xf numFmtId="8" fontId="19" fillId="6" borderId="0" xfId="0" applyNumberFormat="1" applyFont="1" applyFill="1" applyBorder="1" applyAlignment="1">
      <alignment horizontal="left"/>
    </xf>
    <xf numFmtId="10" fontId="12" fillId="10" borderId="17" xfId="2" applyNumberFormat="1" applyFont="1" applyFill="1" applyBorder="1" applyAlignment="1">
      <alignment horizontal="center"/>
    </xf>
    <xf numFmtId="3" fontId="21" fillId="12" borderId="16" xfId="0" applyNumberFormat="1" applyFont="1" applyFill="1" applyBorder="1" applyAlignment="1">
      <alignment horizontal="left"/>
    </xf>
    <xf numFmtId="165" fontId="16" fillId="3" borderId="0" xfId="2" applyNumberFormat="1" applyFont="1" applyFill="1" applyBorder="1" applyAlignment="1">
      <alignment horizontal="left"/>
    </xf>
    <xf numFmtId="8" fontId="16" fillId="3" borderId="0" xfId="0" applyNumberFormat="1" applyFont="1" applyFill="1" applyBorder="1" applyAlignment="1">
      <alignment horizontal="left"/>
    </xf>
    <xf numFmtId="9" fontId="16" fillId="3" borderId="0" xfId="2" applyFont="1" applyFill="1" applyBorder="1" applyAlignment="1">
      <alignment horizontal="left"/>
    </xf>
    <xf numFmtId="9" fontId="19" fillId="6" borderId="0" xfId="2" applyFont="1" applyFill="1" applyBorder="1" applyAlignment="1">
      <alignment horizontal="left"/>
    </xf>
    <xf numFmtId="0" fontId="16" fillId="6" borderId="5" xfId="0" applyFont="1" applyFill="1" applyBorder="1" applyAlignment="1">
      <alignment horizontal="left"/>
    </xf>
    <xf numFmtId="165" fontId="16" fillId="6" borderId="5" xfId="0" applyNumberFormat="1" applyFont="1" applyFill="1" applyBorder="1" applyAlignment="1">
      <alignment horizontal="left"/>
    </xf>
    <xf numFmtId="165" fontId="17" fillId="6" borderId="5" xfId="0" applyNumberFormat="1" applyFont="1" applyFill="1" applyBorder="1" applyAlignment="1">
      <alignment horizontal="left"/>
    </xf>
    <xf numFmtId="8" fontId="45" fillId="0" borderId="5" xfId="0" applyNumberFormat="1" applyFont="1" applyBorder="1" applyAlignment="1">
      <alignment horizontal="left"/>
    </xf>
    <xf numFmtId="166" fontId="12" fillId="10" borderId="17" xfId="2" applyNumberFormat="1" applyFont="1" applyFill="1" applyBorder="1" applyAlignment="1">
      <alignment horizontal="center"/>
    </xf>
    <xf numFmtId="0" fontId="45" fillId="6" borderId="5" xfId="0" applyFont="1" applyFill="1" applyBorder="1" applyAlignment="1">
      <alignment horizontal="left"/>
    </xf>
    <xf numFmtId="166" fontId="16" fillId="6" borderId="0" xfId="0" applyNumberFormat="1" applyFont="1" applyFill="1" applyBorder="1" applyAlignment="1">
      <alignment horizontal="left"/>
    </xf>
    <xf numFmtId="0" fontId="0" fillId="0" borderId="0" xfId="0" applyAlignment="1">
      <alignment horizontal="right"/>
    </xf>
    <xf numFmtId="0" fontId="48" fillId="15" borderId="0" xfId="0" applyFont="1" applyFill="1" applyAlignment="1">
      <alignment horizontal="right"/>
    </xf>
    <xf numFmtId="0" fontId="11" fillId="14" borderId="19" xfId="0" applyFont="1" applyFill="1" applyBorder="1" applyAlignment="1">
      <alignment vertical="center"/>
    </xf>
    <xf numFmtId="0" fontId="0" fillId="0" borderId="7" xfId="0" applyBorder="1" applyAlignment="1">
      <alignment horizontal="left"/>
    </xf>
    <xf numFmtId="0" fontId="16" fillId="0" borderId="8" xfId="0" applyFont="1" applyBorder="1" applyAlignment="1">
      <alignment horizontal="left"/>
    </xf>
    <xf numFmtId="0" fontId="18" fillId="0" borderId="9" xfId="0" applyFont="1" applyBorder="1" applyAlignment="1">
      <alignment horizontal="left"/>
    </xf>
    <xf numFmtId="8" fontId="19" fillId="3" borderId="0" xfId="0" applyNumberFormat="1" applyFont="1" applyFill="1" applyBorder="1" applyAlignment="1">
      <alignment horizontal="left"/>
    </xf>
    <xf numFmtId="165" fontId="16" fillId="3" borderId="0" xfId="0" applyNumberFormat="1" applyFont="1" applyFill="1" applyBorder="1" applyAlignment="1">
      <alignment horizontal="left"/>
    </xf>
    <xf numFmtId="165" fontId="17" fillId="3" borderId="3" xfId="0" applyNumberFormat="1" applyFont="1" applyFill="1" applyBorder="1" applyAlignment="1">
      <alignment horizontal="left"/>
    </xf>
    <xf numFmtId="0" fontId="21" fillId="6" borderId="2" xfId="0" applyFont="1" applyFill="1" applyBorder="1" applyAlignment="1">
      <alignment vertical="center"/>
    </xf>
    <xf numFmtId="10" fontId="21" fillId="10" borderId="17" xfId="2" applyNumberFormat="1" applyFont="1" applyFill="1" applyBorder="1" applyAlignment="1">
      <alignment horizontal="center"/>
    </xf>
    <xf numFmtId="0" fontId="0" fillId="3" borderId="0" xfId="0" applyFill="1" applyBorder="1" applyAlignment="1">
      <alignment wrapText="1"/>
    </xf>
    <xf numFmtId="0" fontId="4" fillId="3" borderId="2" xfId="0" applyFont="1" applyFill="1" applyBorder="1" applyAlignment="1">
      <alignment vertical="center" wrapText="1"/>
    </xf>
    <xf numFmtId="0" fontId="4" fillId="9" borderId="2" xfId="0" applyFont="1" applyFill="1" applyBorder="1" applyAlignment="1">
      <alignment vertical="center" wrapText="1"/>
    </xf>
    <xf numFmtId="0" fontId="4" fillId="9" borderId="6" xfId="0" applyFont="1" applyFill="1" applyBorder="1" applyAlignment="1">
      <alignment vertical="center" wrapText="1"/>
    </xf>
    <xf numFmtId="0" fontId="4" fillId="14" borderId="6" xfId="0" applyFont="1" applyFill="1" applyBorder="1" applyAlignment="1">
      <alignment vertical="center"/>
    </xf>
    <xf numFmtId="165" fontId="2" fillId="3" borderId="5" xfId="0" applyNumberFormat="1" applyFont="1" applyFill="1" applyBorder="1" applyAlignment="1">
      <alignment horizontal="left" vertical="center" wrapText="1"/>
    </xf>
    <xf numFmtId="6" fontId="0" fillId="6" borderId="3" xfId="0" applyNumberFormat="1" applyFill="1" applyBorder="1" applyAlignment="1">
      <alignment horizontal="left" vertical="center"/>
    </xf>
    <xf numFmtId="9" fontId="6" fillId="3" borderId="5" xfId="2" applyFont="1" applyFill="1" applyBorder="1" applyAlignment="1">
      <alignment horizontal="left" vertical="center" wrapText="1"/>
    </xf>
    <xf numFmtId="165" fontId="6" fillId="6" borderId="5" xfId="2" applyNumberFormat="1" applyFont="1" applyFill="1" applyBorder="1" applyAlignment="1">
      <alignment horizontal="left" vertical="center" wrapText="1"/>
    </xf>
    <xf numFmtId="165" fontId="6" fillId="3" borderId="5" xfId="2" applyNumberFormat="1" applyFont="1" applyFill="1" applyBorder="1" applyAlignment="1">
      <alignment horizontal="left" vertical="center" wrapText="1"/>
    </xf>
    <xf numFmtId="164" fontId="6" fillId="6" borderId="5" xfId="2" applyNumberFormat="1"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6" borderId="5" xfId="0" applyFont="1" applyFill="1" applyBorder="1" applyAlignment="1">
      <alignment horizontal="left" vertical="center" wrapText="1"/>
    </xf>
    <xf numFmtId="8" fontId="6" fillId="3" borderId="0" xfId="0" applyNumberFormat="1" applyFont="1" applyFill="1" applyBorder="1" applyAlignment="1">
      <alignment horizontal="left" vertical="center" wrapText="1"/>
    </xf>
    <xf numFmtId="165" fontId="2" fillId="3" borderId="3" xfId="0" applyNumberFormat="1" applyFont="1" applyFill="1" applyBorder="1" applyAlignment="1">
      <alignment horizontal="left" vertical="center" wrapText="1"/>
    </xf>
    <xf numFmtId="165" fontId="2" fillId="6" borderId="5" xfId="0" applyNumberFormat="1" applyFont="1" applyFill="1" applyBorder="1" applyAlignment="1">
      <alignment horizontal="left" vertical="center" wrapText="1"/>
    </xf>
    <xf numFmtId="165" fontId="2" fillId="3" borderId="7" xfId="0" applyNumberFormat="1" applyFont="1" applyFill="1" applyBorder="1" applyAlignment="1">
      <alignment horizontal="left" vertical="center" wrapText="1"/>
    </xf>
    <xf numFmtId="0" fontId="2" fillId="3" borderId="0" xfId="0" applyFont="1" applyFill="1" applyBorder="1" applyAlignment="1">
      <alignment horizontal="left" vertical="center" wrapText="1"/>
    </xf>
    <xf numFmtId="0" fontId="0" fillId="0" borderId="0" xfId="0" applyBorder="1" applyAlignment="1">
      <alignment horizontal="left" vertical="center" wrapText="1"/>
    </xf>
    <xf numFmtId="165" fontId="5" fillId="0" borderId="3" xfId="0" applyNumberFormat="1" applyFont="1" applyBorder="1" applyAlignment="1">
      <alignment horizontal="left" vertical="center" wrapText="1"/>
    </xf>
    <xf numFmtId="165" fontId="5" fillId="0" borderId="7" xfId="0" applyNumberFormat="1" applyFont="1" applyBorder="1" applyAlignment="1">
      <alignment horizontal="left" vertical="center" wrapText="1"/>
    </xf>
    <xf numFmtId="165" fontId="55" fillId="3" borderId="3" xfId="0" applyNumberFormat="1" applyFont="1" applyFill="1" applyBorder="1" applyAlignment="1">
      <alignment horizontal="left" vertical="center" wrapText="1"/>
    </xf>
    <xf numFmtId="0" fontId="13" fillId="3" borderId="0" xfId="0" applyFont="1" applyFill="1"/>
    <xf numFmtId="0" fontId="4" fillId="3" borderId="0" xfId="0" applyFont="1" applyFill="1" applyBorder="1" applyAlignment="1">
      <alignment vertical="center"/>
    </xf>
    <xf numFmtId="0" fontId="6" fillId="3" borderId="0" xfId="0" applyFont="1" applyFill="1" applyBorder="1" applyAlignment="1">
      <alignment vertical="center"/>
    </xf>
    <xf numFmtId="0" fontId="39" fillId="3" borderId="0" xfId="0" applyFont="1" applyFill="1" applyBorder="1" applyAlignment="1">
      <alignment vertical="center"/>
    </xf>
    <xf numFmtId="0" fontId="48" fillId="15" borderId="14" xfId="0" applyFont="1" applyFill="1" applyBorder="1" applyAlignment="1">
      <alignment horizontal="center"/>
    </xf>
    <xf numFmtId="0" fontId="0" fillId="0" borderId="0" xfId="0" applyAlignment="1">
      <alignment horizontal="center" wrapText="1"/>
    </xf>
    <xf numFmtId="10" fontId="0" fillId="14" borderId="15" xfId="2" applyNumberFormat="1" applyFont="1" applyFill="1" applyBorder="1" applyAlignment="1">
      <alignment horizontal="center"/>
    </xf>
    <xf numFmtId="165" fontId="5" fillId="0" borderId="3" xfId="0" applyNumberFormat="1" applyFont="1" applyBorder="1" applyAlignment="1">
      <alignment horizontal="left" wrapText="1"/>
    </xf>
    <xf numFmtId="165" fontId="54" fillId="0" borderId="7" xfId="0" applyNumberFormat="1" applyFont="1" applyBorder="1" applyAlignment="1">
      <alignment horizontal="left" wrapText="1"/>
    </xf>
    <xf numFmtId="0" fontId="16" fillId="0" borderId="0" xfId="0" applyFont="1" applyBorder="1" applyAlignment="1">
      <alignment horizontal="left" wrapText="1"/>
    </xf>
    <xf numFmtId="0" fontId="14" fillId="0" borderId="0" xfId="0" applyFont="1" applyBorder="1" applyAlignment="1"/>
    <xf numFmtId="8" fontId="19" fillId="3" borderId="7" xfId="0" applyNumberFormat="1" applyFont="1" applyFill="1" applyBorder="1" applyAlignment="1">
      <alignment horizontal="left"/>
    </xf>
    <xf numFmtId="165" fontId="18" fillId="6" borderId="5" xfId="0" applyNumberFormat="1" applyFont="1" applyFill="1" applyBorder="1" applyAlignment="1">
      <alignment horizontal="left" vertical="center"/>
    </xf>
    <xf numFmtId="0" fontId="14" fillId="0" borderId="23" xfId="0" applyFont="1" applyBorder="1"/>
    <xf numFmtId="0" fontId="14" fillId="6" borderId="21" xfId="0" applyFont="1" applyFill="1" applyBorder="1"/>
    <xf numFmtId="0" fontId="14" fillId="6" borderId="23" xfId="0" applyFont="1" applyFill="1" applyBorder="1"/>
    <xf numFmtId="0" fontId="16" fillId="6" borderId="24" xfId="0" applyFont="1" applyFill="1" applyBorder="1" applyAlignment="1">
      <alignment horizontal="left"/>
    </xf>
    <xf numFmtId="8" fontId="0" fillId="6" borderId="15" xfId="0" applyNumberFormat="1" applyFill="1" applyBorder="1" applyAlignment="1">
      <alignment horizontal="center" vertical="center"/>
    </xf>
    <xf numFmtId="0" fontId="48" fillId="15" borderId="14" xfId="0" applyFont="1" applyFill="1" applyBorder="1" applyAlignment="1">
      <alignment horizontal="center" vertical="center"/>
    </xf>
    <xf numFmtId="8" fontId="19" fillId="6" borderId="7" xfId="0" applyNumberFormat="1" applyFont="1" applyFill="1" applyBorder="1" applyAlignment="1">
      <alignment horizontal="left"/>
    </xf>
    <xf numFmtId="8" fontId="16" fillId="6" borderId="15" xfId="0" applyNumberFormat="1" applyFont="1" applyFill="1" applyBorder="1" applyAlignment="1">
      <alignment horizontal="center"/>
    </xf>
    <xf numFmtId="165" fontId="23" fillId="10" borderId="17" xfId="1" applyNumberFormat="1" applyFont="1" applyFill="1" applyBorder="1" applyAlignment="1">
      <alignment horizontal="center"/>
    </xf>
    <xf numFmtId="3" fontId="21" fillId="12" borderId="16" xfId="0" applyNumberFormat="1" applyFont="1" applyFill="1" applyBorder="1" applyAlignment="1">
      <alignment horizontal="center"/>
    </xf>
    <xf numFmtId="14" fontId="14" fillId="3" borderId="7" xfId="0" applyNumberFormat="1" applyFont="1" applyFill="1" applyBorder="1" applyAlignment="1">
      <alignment horizontal="left"/>
    </xf>
    <xf numFmtId="14" fontId="41" fillId="3" borderId="3" xfId="0" applyNumberFormat="1" applyFont="1" applyFill="1" applyBorder="1" applyAlignment="1">
      <alignment horizontal="left"/>
    </xf>
    <xf numFmtId="0" fontId="4" fillId="3" borderId="4" xfId="0" applyFont="1" applyFill="1" applyBorder="1" applyAlignment="1">
      <alignment vertical="center"/>
    </xf>
    <xf numFmtId="0" fontId="4" fillId="3" borderId="6" xfId="0" applyFont="1" applyFill="1" applyBorder="1" applyAlignment="1">
      <alignment vertical="center"/>
    </xf>
    <xf numFmtId="0" fontId="4" fillId="6" borderId="4" xfId="0" applyFont="1" applyFill="1" applyBorder="1" applyAlignment="1">
      <alignment vertical="center"/>
    </xf>
    <xf numFmtId="0" fontId="4" fillId="14" borderId="4" xfId="0" applyFont="1" applyFill="1" applyBorder="1" applyAlignment="1">
      <alignment vertical="center"/>
    </xf>
    <xf numFmtId="0" fontId="0" fillId="0" borderId="0" xfId="0" applyAlignment="1">
      <alignment vertical="center"/>
    </xf>
    <xf numFmtId="14" fontId="9" fillId="3" borderId="0" xfId="0" applyNumberFormat="1" applyFont="1" applyFill="1" applyBorder="1" applyAlignment="1">
      <alignment horizontal="left" vertical="center"/>
    </xf>
    <xf numFmtId="14" fontId="41" fillId="3" borderId="3" xfId="0" applyNumberFormat="1" applyFont="1" applyFill="1" applyBorder="1" applyAlignment="1">
      <alignment horizontal="left" vertical="center"/>
    </xf>
    <xf numFmtId="14" fontId="3" fillId="3" borderId="7" xfId="0" applyNumberFormat="1" applyFont="1" applyFill="1" applyBorder="1" applyAlignment="1">
      <alignment horizontal="left" vertical="center"/>
    </xf>
    <xf numFmtId="0" fontId="0" fillId="3" borderId="0" xfId="0" applyFill="1" applyBorder="1" applyAlignment="1">
      <alignment horizontal="left" vertical="center"/>
    </xf>
    <xf numFmtId="0" fontId="0" fillId="3" borderId="3" xfId="0" applyFill="1" applyBorder="1" applyAlignment="1">
      <alignment horizontal="left" vertical="center"/>
    </xf>
    <xf numFmtId="0" fontId="0" fillId="3" borderId="5" xfId="0" applyFill="1" applyBorder="1" applyAlignment="1">
      <alignment horizontal="left" vertical="center" wrapText="1"/>
    </xf>
    <xf numFmtId="0" fontId="2" fillId="3" borderId="7" xfId="0" applyFont="1" applyFill="1" applyBorder="1" applyAlignment="1">
      <alignment horizontal="left" vertical="center" wrapText="1"/>
    </xf>
    <xf numFmtId="165" fontId="6" fillId="6" borderId="5" xfId="2" applyNumberFormat="1" applyFont="1" applyFill="1" applyBorder="1" applyAlignment="1">
      <alignment horizontal="left" vertical="center"/>
    </xf>
    <xf numFmtId="165" fontId="6" fillId="3" borderId="5" xfId="2" applyNumberFormat="1" applyFont="1" applyFill="1" applyBorder="1" applyAlignment="1">
      <alignment horizontal="left" vertical="center"/>
    </xf>
    <xf numFmtId="0" fontId="6" fillId="3" borderId="5" xfId="0" applyFont="1" applyFill="1" applyBorder="1" applyAlignment="1">
      <alignment horizontal="left" vertical="center"/>
    </xf>
    <xf numFmtId="10" fontId="6" fillId="6" borderId="5" xfId="2" applyNumberFormat="1" applyFont="1" applyFill="1" applyBorder="1" applyAlignment="1">
      <alignment horizontal="left" vertical="center"/>
    </xf>
    <xf numFmtId="8" fontId="6" fillId="3" borderId="0" xfId="0" applyNumberFormat="1" applyFont="1" applyFill="1" applyBorder="1" applyAlignment="1">
      <alignment horizontal="left" vertical="center"/>
    </xf>
    <xf numFmtId="165" fontId="2" fillId="6" borderId="5" xfId="0" applyNumberFormat="1" applyFont="1" applyFill="1" applyBorder="1" applyAlignment="1">
      <alignment horizontal="left" vertical="center"/>
    </xf>
    <xf numFmtId="165" fontId="2" fillId="3" borderId="5" xfId="0" applyNumberFormat="1" applyFont="1" applyFill="1" applyBorder="1" applyAlignment="1">
      <alignment horizontal="left" vertical="center"/>
    </xf>
    <xf numFmtId="165" fontId="2" fillId="3" borderId="7" xfId="0" applyNumberFormat="1" applyFont="1" applyFill="1" applyBorder="1" applyAlignment="1">
      <alignment horizontal="left" vertical="center"/>
    </xf>
    <xf numFmtId="165" fontId="2" fillId="3" borderId="0" xfId="0" applyNumberFormat="1" applyFont="1" applyFill="1" applyBorder="1" applyAlignment="1">
      <alignment horizontal="left" vertical="center"/>
    </xf>
    <xf numFmtId="165" fontId="2" fillId="3" borderId="3" xfId="0" applyNumberFormat="1" applyFont="1" applyFill="1" applyBorder="1" applyAlignment="1">
      <alignment horizontal="left" vertical="center"/>
    </xf>
    <xf numFmtId="165" fontId="5" fillId="3" borderId="3" xfId="0" applyNumberFormat="1" applyFont="1" applyFill="1" applyBorder="1" applyAlignment="1">
      <alignment horizontal="left" vertical="center"/>
    </xf>
    <xf numFmtId="0" fontId="0" fillId="3" borderId="0" xfId="0" applyFill="1" applyAlignment="1">
      <alignment horizontal="left" vertical="center"/>
    </xf>
    <xf numFmtId="0" fontId="13" fillId="0" borderId="23" xfId="0" applyFont="1" applyBorder="1"/>
    <xf numFmtId="0" fontId="0" fillId="0" borderId="24" xfId="0" applyBorder="1" applyAlignment="1">
      <alignment horizontal="left" vertical="center"/>
    </xf>
    <xf numFmtId="0" fontId="13" fillId="0" borderId="25" xfId="0" applyFont="1" applyBorder="1"/>
    <xf numFmtId="0" fontId="0" fillId="0" borderId="26" xfId="0" applyBorder="1" applyAlignment="1">
      <alignment horizontal="left" vertical="center"/>
    </xf>
    <xf numFmtId="0" fontId="13" fillId="6" borderId="21" xfId="0" applyFont="1" applyFill="1" applyBorder="1"/>
    <xf numFmtId="0" fontId="0" fillId="6" borderId="22" xfId="0" applyFill="1" applyBorder="1" applyAlignment="1">
      <alignment horizontal="left" vertical="center" wrapText="1"/>
    </xf>
    <xf numFmtId="0" fontId="7" fillId="3" borderId="0" xfId="0" applyFont="1" applyFill="1" applyBorder="1" applyAlignment="1">
      <alignment vertical="center"/>
    </xf>
    <xf numFmtId="14" fontId="3" fillId="3" borderId="0" xfId="0" applyNumberFormat="1" applyFont="1" applyFill="1" applyBorder="1" applyAlignment="1">
      <alignment horizontal="left" vertical="center"/>
    </xf>
    <xf numFmtId="8" fontId="0" fillId="0" borderId="0" xfId="0" applyNumberFormat="1" applyAlignment="1">
      <alignment horizontal="center"/>
    </xf>
    <xf numFmtId="0" fontId="57" fillId="15" borderId="27" xfId="0" applyFont="1" applyFill="1" applyBorder="1" applyAlignment="1">
      <alignment horizontal="center"/>
    </xf>
    <xf numFmtId="9" fontId="0" fillId="6" borderId="28" xfId="2" applyNumberFormat="1" applyFont="1" applyFill="1" applyBorder="1" applyAlignment="1">
      <alignment horizontal="center"/>
    </xf>
    <xf numFmtId="9" fontId="0" fillId="0" borderId="29" xfId="0" applyNumberFormat="1" applyBorder="1" applyAlignment="1">
      <alignment horizontal="center"/>
    </xf>
    <xf numFmtId="8" fontId="0" fillId="6" borderId="29" xfId="0" applyNumberFormat="1" applyFill="1" applyBorder="1" applyAlignment="1">
      <alignment horizontal="center"/>
    </xf>
    <xf numFmtId="0" fontId="49" fillId="15" borderId="1" xfId="0" applyFont="1" applyFill="1" applyBorder="1" applyAlignment="1">
      <alignment horizontal="center"/>
    </xf>
    <xf numFmtId="10" fontId="14" fillId="6" borderId="1" xfId="2" applyNumberFormat="1" applyFont="1" applyFill="1" applyBorder="1" applyAlignment="1">
      <alignment horizontal="center"/>
    </xf>
    <xf numFmtId="3" fontId="48" fillId="15" borderId="1" xfId="0" applyNumberFormat="1" applyFont="1" applyFill="1" applyBorder="1" applyAlignment="1">
      <alignment horizontal="center"/>
    </xf>
    <xf numFmtId="9" fontId="15" fillId="6" borderId="5" xfId="2" applyFont="1" applyFill="1" applyBorder="1" applyAlignment="1">
      <alignment horizontal="left" vertical="center"/>
    </xf>
    <xf numFmtId="9" fontId="6" fillId="6" borderId="5" xfId="2" applyFont="1" applyFill="1" applyBorder="1" applyAlignment="1">
      <alignment horizontal="left" vertical="center"/>
    </xf>
    <xf numFmtId="8" fontId="6" fillId="3" borderId="5" xfId="0" applyNumberFormat="1" applyFont="1" applyFill="1" applyBorder="1" applyAlignment="1">
      <alignment horizontal="left" vertical="center"/>
    </xf>
    <xf numFmtId="165" fontId="3" fillId="3" borderId="5" xfId="0" applyNumberFormat="1" applyFont="1" applyFill="1" applyBorder="1" applyAlignment="1">
      <alignment horizontal="left" vertical="center"/>
    </xf>
    <xf numFmtId="0" fontId="3" fillId="6" borderId="30" xfId="0" applyFont="1" applyFill="1" applyBorder="1" applyAlignment="1"/>
    <xf numFmtId="165" fontId="54" fillId="6" borderId="31" xfId="0" applyNumberFormat="1" applyFont="1" applyFill="1" applyBorder="1" applyAlignment="1">
      <alignment horizontal="left" vertical="center"/>
    </xf>
    <xf numFmtId="0" fontId="58" fillId="0" borderId="0" xfId="0" applyFont="1" applyAlignment="1">
      <alignment wrapText="1"/>
    </xf>
    <xf numFmtId="0" fontId="39" fillId="14" borderId="4" xfId="0" applyFont="1" applyFill="1" applyBorder="1" applyAlignment="1">
      <alignment vertical="center"/>
    </xf>
    <xf numFmtId="14" fontId="14" fillId="3" borderId="5" xfId="0" applyNumberFormat="1" applyFont="1" applyFill="1" applyBorder="1" applyAlignment="1">
      <alignment horizontal="left"/>
    </xf>
    <xf numFmtId="0" fontId="59" fillId="0" borderId="21" xfId="0" applyFont="1" applyBorder="1"/>
    <xf numFmtId="0" fontId="16" fillId="0" borderId="22" xfId="0" applyFont="1" applyBorder="1" applyAlignment="1">
      <alignment horizontal="left"/>
    </xf>
    <xf numFmtId="0" fontId="16" fillId="0" borderId="24" xfId="0" applyFont="1" applyBorder="1" applyAlignment="1">
      <alignment horizontal="left"/>
    </xf>
    <xf numFmtId="0" fontId="14" fillId="0" borderId="25" xfId="0" applyFont="1" applyBorder="1"/>
    <xf numFmtId="0" fontId="16" fillId="0" borderId="26" xfId="0" applyFont="1" applyBorder="1" applyAlignment="1">
      <alignment horizontal="left"/>
    </xf>
    <xf numFmtId="6" fontId="60" fillId="6" borderId="3" xfId="0" applyNumberFormat="1" applyFont="1" applyFill="1" applyBorder="1" applyAlignment="1">
      <alignment horizontal="left"/>
    </xf>
    <xf numFmtId="165" fontId="18" fillId="3" borderId="5" xfId="1" applyNumberFormat="1" applyFont="1" applyFill="1" applyBorder="1" applyAlignment="1">
      <alignment horizontal="left" vertical="center"/>
    </xf>
    <xf numFmtId="165" fontId="59" fillId="3" borderId="7" xfId="0" applyNumberFormat="1" applyFont="1" applyFill="1" applyBorder="1" applyAlignment="1">
      <alignment horizontal="left"/>
    </xf>
    <xf numFmtId="165" fontId="59" fillId="3" borderId="5" xfId="0" applyNumberFormat="1" applyFont="1" applyFill="1" applyBorder="1" applyAlignment="1">
      <alignment horizontal="left"/>
    </xf>
    <xf numFmtId="0" fontId="18" fillId="3" borderId="7" xfId="0" applyFont="1" applyFill="1" applyBorder="1" applyAlignment="1">
      <alignment horizontal="left"/>
    </xf>
    <xf numFmtId="0" fontId="59" fillId="0" borderId="23" xfId="0" applyFont="1" applyBorder="1"/>
    <xf numFmtId="0" fontId="0" fillId="17" borderId="0" xfId="0" applyFill="1" applyAlignment="1">
      <alignment horizontal="center" wrapText="1"/>
    </xf>
    <xf numFmtId="0" fontId="0" fillId="17" borderId="0" xfId="0" applyFill="1" applyAlignment="1">
      <alignment horizontal="center"/>
    </xf>
    <xf numFmtId="0" fontId="0" fillId="17" borderId="0" xfId="0" applyFill="1"/>
    <xf numFmtId="0" fontId="49" fillId="15" borderId="27" xfId="0" applyFont="1" applyFill="1" applyBorder="1" applyAlignment="1">
      <alignment horizontal="center" vertical="center"/>
    </xf>
    <xf numFmtId="0" fontId="21" fillId="6" borderId="28" xfId="0" applyFont="1" applyFill="1" applyBorder="1" applyAlignment="1">
      <alignment horizontal="left"/>
    </xf>
    <xf numFmtId="0" fontId="14" fillId="16" borderId="28" xfId="0" applyFont="1" applyFill="1" applyBorder="1" applyAlignment="1">
      <alignment horizontal="left"/>
    </xf>
    <xf numFmtId="0" fontId="14" fillId="8" borderId="29" xfId="0" applyFont="1" applyFill="1" applyBorder="1" applyAlignment="1">
      <alignment horizontal="left"/>
    </xf>
    <xf numFmtId="3" fontId="49" fillId="15" borderId="1" xfId="0" applyNumberFormat="1" applyFont="1" applyFill="1" applyBorder="1" applyAlignment="1">
      <alignment horizontal="center"/>
    </xf>
    <xf numFmtId="8" fontId="16" fillId="6" borderId="32" xfId="0" applyNumberFormat="1" applyFont="1" applyFill="1" applyBorder="1" applyAlignment="1">
      <alignment horizontal="center"/>
    </xf>
    <xf numFmtId="165" fontId="23" fillId="6" borderId="1" xfId="1" applyNumberFormat="1" applyFont="1" applyFill="1" applyBorder="1" applyAlignment="1">
      <alignment horizontal="center"/>
    </xf>
    <xf numFmtId="10" fontId="21" fillId="6" borderId="1" xfId="2" applyNumberFormat="1" applyFont="1" applyFill="1" applyBorder="1" applyAlignment="1">
      <alignment horizontal="center"/>
    </xf>
    <xf numFmtId="167" fontId="19" fillId="6" borderId="5" xfId="2" applyNumberFormat="1" applyFont="1" applyFill="1" applyBorder="1" applyAlignment="1">
      <alignment horizontal="left"/>
    </xf>
    <xf numFmtId="167" fontId="19" fillId="3" borderId="5" xfId="2" applyNumberFormat="1" applyFont="1" applyFill="1" applyBorder="1" applyAlignment="1">
      <alignment horizontal="left"/>
    </xf>
    <xf numFmtId="167" fontId="19" fillId="3" borderId="5" xfId="0" applyNumberFormat="1" applyFont="1" applyFill="1" applyBorder="1" applyAlignment="1">
      <alignment horizontal="left"/>
    </xf>
    <xf numFmtId="167" fontId="19" fillId="6" borderId="5" xfId="0" applyNumberFormat="1" applyFont="1" applyFill="1" applyBorder="1" applyAlignment="1">
      <alignment horizontal="left"/>
    </xf>
    <xf numFmtId="6" fontId="59" fillId="3" borderId="5" xfId="0" applyNumberFormat="1" applyFont="1" applyFill="1" applyBorder="1" applyAlignment="1">
      <alignment horizontal="left"/>
    </xf>
    <xf numFmtId="167" fontId="18" fillId="6" borderId="5" xfId="0" applyNumberFormat="1" applyFont="1" applyFill="1" applyBorder="1" applyAlignment="1">
      <alignment horizontal="left"/>
    </xf>
    <xf numFmtId="167" fontId="18" fillId="0" borderId="3" xfId="0" applyNumberFormat="1" applyFont="1" applyBorder="1" applyAlignment="1">
      <alignment horizontal="left"/>
    </xf>
    <xf numFmtId="167" fontId="18" fillId="0" borderId="7" xfId="0" applyNumberFormat="1" applyFont="1" applyBorder="1" applyAlignment="1">
      <alignment horizontal="left"/>
    </xf>
    <xf numFmtId="14" fontId="41" fillId="3" borderId="3" xfId="0" applyNumberFormat="1" applyFont="1" applyFill="1" applyBorder="1" applyAlignment="1">
      <alignment horizontal="left"/>
    </xf>
    <xf numFmtId="3" fontId="15" fillId="2" borderId="0" xfId="0" applyNumberFormat="1" applyFont="1" applyFill="1" applyBorder="1" applyAlignment="1">
      <alignment horizontal="left"/>
    </xf>
    <xf numFmtId="10" fontId="15" fillId="10" borderId="0" xfId="2" applyNumberFormat="1" applyFont="1" applyFill="1" applyBorder="1" applyAlignment="1">
      <alignment horizontal="center"/>
    </xf>
    <xf numFmtId="165" fontId="5" fillId="0" borderId="0" xfId="0" applyNumberFormat="1" applyFont="1" applyBorder="1" applyAlignment="1">
      <alignment horizontal="left"/>
    </xf>
    <xf numFmtId="0" fontId="16" fillId="3" borderId="0" xfId="0" applyFont="1" applyFill="1" applyBorder="1"/>
    <xf numFmtId="0" fontId="19" fillId="3" borderId="0" xfId="0" applyFont="1" applyFill="1" applyBorder="1" applyAlignment="1">
      <alignment vertical="center"/>
    </xf>
    <xf numFmtId="0" fontId="14" fillId="3" borderId="0" xfId="0" applyFont="1" applyFill="1" applyBorder="1"/>
    <xf numFmtId="14" fontId="42" fillId="3" borderId="0" xfId="0" applyNumberFormat="1" applyFont="1" applyFill="1" applyBorder="1" applyAlignment="1">
      <alignment horizontal="left"/>
    </xf>
    <xf numFmtId="165" fontId="17" fillId="3" borderId="3" xfId="0" applyNumberFormat="1" applyFont="1" applyFill="1" applyBorder="1" applyAlignment="1">
      <alignment horizontal="left" vertical="center"/>
    </xf>
    <xf numFmtId="8" fontId="20" fillId="3" borderId="7" xfId="0" applyNumberFormat="1" applyFont="1" applyFill="1" applyBorder="1" applyAlignment="1">
      <alignment horizontal="left"/>
    </xf>
    <xf numFmtId="165" fontId="2" fillId="3" borderId="0" xfId="0" applyNumberFormat="1" applyFont="1" applyFill="1" applyBorder="1" applyAlignment="1">
      <alignment horizontal="left" vertical="center" wrapText="1"/>
    </xf>
    <xf numFmtId="0" fontId="0" fillId="3" borderId="3" xfId="0" applyFont="1" applyFill="1" applyBorder="1" applyAlignment="1">
      <alignment horizontal="left"/>
    </xf>
    <xf numFmtId="0" fontId="2" fillId="3" borderId="7" xfId="0" applyFont="1" applyFill="1" applyBorder="1" applyAlignment="1">
      <alignment horizontal="left"/>
    </xf>
    <xf numFmtId="9" fontId="6" fillId="3" borderId="5" xfId="2" applyFont="1" applyFill="1" applyBorder="1" applyAlignment="1">
      <alignment horizontal="left"/>
    </xf>
    <xf numFmtId="164" fontId="6" fillId="3" borderId="5" xfId="2" applyNumberFormat="1" applyFont="1" applyFill="1" applyBorder="1" applyAlignment="1">
      <alignment horizontal="left"/>
    </xf>
    <xf numFmtId="0" fontId="6" fillId="3" borderId="5" xfId="0" applyFont="1" applyFill="1" applyBorder="1" applyAlignment="1">
      <alignment horizontal="left"/>
    </xf>
    <xf numFmtId="165" fontId="2" fillId="3" borderId="5" xfId="0" applyNumberFormat="1" applyFont="1" applyFill="1" applyBorder="1" applyAlignment="1">
      <alignment horizontal="left"/>
    </xf>
    <xf numFmtId="165" fontId="2" fillId="3" borderId="7" xfId="0" applyNumberFormat="1" applyFont="1" applyFill="1" applyBorder="1" applyAlignment="1">
      <alignment horizontal="left"/>
    </xf>
    <xf numFmtId="0" fontId="12" fillId="6" borderId="2" xfId="0" applyFont="1" applyFill="1" applyBorder="1" applyAlignment="1">
      <alignment vertical="center"/>
    </xf>
    <xf numFmtId="165" fontId="2" fillId="6" borderId="3" xfId="0" applyNumberFormat="1" applyFont="1" applyFill="1" applyBorder="1" applyAlignment="1">
      <alignment horizontal="left"/>
    </xf>
    <xf numFmtId="0" fontId="4" fillId="6" borderId="4" xfId="0" applyFont="1" applyFill="1" applyBorder="1"/>
    <xf numFmtId="165" fontId="2" fillId="6" borderId="5" xfId="0" applyNumberFormat="1" applyFont="1" applyFill="1" applyBorder="1" applyAlignment="1">
      <alignment horizontal="left"/>
    </xf>
    <xf numFmtId="6" fontId="0" fillId="6" borderId="3" xfId="0" applyNumberFormat="1" applyFont="1" applyFill="1" applyBorder="1" applyAlignment="1">
      <alignment horizontal="left"/>
    </xf>
    <xf numFmtId="164" fontId="6" fillId="6" borderId="5" xfId="2" applyNumberFormat="1" applyFont="1" applyFill="1" applyBorder="1" applyAlignment="1">
      <alignment horizontal="left"/>
    </xf>
    <xf numFmtId="8" fontId="6" fillId="6" borderId="5" xfId="0" applyNumberFormat="1" applyFont="1" applyFill="1" applyBorder="1" applyAlignment="1">
      <alignment horizontal="left"/>
    </xf>
    <xf numFmtId="0" fontId="4" fillId="6" borderId="6" xfId="0" applyFont="1" applyFill="1" applyBorder="1" applyAlignment="1">
      <alignment vertical="center"/>
    </xf>
    <xf numFmtId="8" fontId="6" fillId="6" borderId="7" xfId="0" applyNumberFormat="1" applyFont="1" applyFill="1" applyBorder="1" applyAlignment="1">
      <alignment horizontal="left"/>
    </xf>
    <xf numFmtId="0" fontId="48" fillId="15" borderId="27" xfId="0" applyFont="1" applyFill="1" applyBorder="1" applyAlignment="1">
      <alignment horizontal="center" wrapText="1"/>
    </xf>
    <xf numFmtId="9" fontId="0" fillId="14" borderId="28" xfId="2" applyNumberFormat="1" applyFont="1" applyFill="1" applyBorder="1" applyAlignment="1">
      <alignment horizontal="center" wrapText="1"/>
    </xf>
    <xf numFmtId="10" fontId="0" fillId="14" borderId="29" xfId="2" applyNumberFormat="1" applyFont="1" applyFill="1" applyBorder="1" applyAlignment="1">
      <alignment horizontal="center" wrapText="1"/>
    </xf>
    <xf numFmtId="9" fontId="0" fillId="6" borderId="29" xfId="0" applyNumberFormat="1" applyFill="1" applyBorder="1" applyAlignment="1">
      <alignment horizontal="center" wrapText="1"/>
    </xf>
    <xf numFmtId="165" fontId="2" fillId="6" borderId="7" xfId="0" applyNumberFormat="1" applyFont="1" applyFill="1" applyBorder="1" applyAlignment="1">
      <alignment horizontal="left" vertical="center" wrapText="1"/>
    </xf>
    <xf numFmtId="0" fontId="16" fillId="6" borderId="22" xfId="0" applyFont="1" applyFill="1" applyBorder="1" applyAlignment="1">
      <alignment horizontal="left" wrapText="1"/>
    </xf>
    <xf numFmtId="0" fontId="14" fillId="6" borderId="25" xfId="0" applyFont="1" applyFill="1" applyBorder="1" applyAlignment="1"/>
    <xf numFmtId="0" fontId="16" fillId="6" borderId="26" xfId="0" applyFont="1" applyFill="1" applyBorder="1" applyAlignment="1">
      <alignment horizontal="left"/>
    </xf>
    <xf numFmtId="0" fontId="54" fillId="0" borderId="0" xfId="0" applyFont="1"/>
    <xf numFmtId="9" fontId="19" fillId="6" borderId="5" xfId="2" applyFont="1" applyFill="1" applyBorder="1" applyAlignment="1">
      <alignment horizontal="left"/>
    </xf>
    <xf numFmtId="0" fontId="11" fillId="14" borderId="2" xfId="0" applyFont="1" applyFill="1" applyBorder="1" applyAlignment="1">
      <alignment vertical="center" wrapText="1"/>
    </xf>
    <xf numFmtId="165" fontId="53" fillId="3" borderId="3" xfId="0" applyNumberFormat="1" applyFont="1" applyFill="1" applyBorder="1" applyAlignment="1">
      <alignment horizontal="left" vertical="center" wrapText="1"/>
    </xf>
    <xf numFmtId="0" fontId="11" fillId="14" borderId="4" xfId="0" applyFont="1" applyFill="1" applyBorder="1" applyAlignment="1">
      <alignment vertical="center" wrapText="1"/>
    </xf>
    <xf numFmtId="165" fontId="18" fillId="3" borderId="5" xfId="0" applyNumberFormat="1" applyFont="1" applyFill="1" applyBorder="1" applyAlignment="1">
      <alignment horizontal="left" vertical="center" wrapText="1"/>
    </xf>
    <xf numFmtId="165" fontId="18" fillId="3" borderId="7" xfId="0" applyNumberFormat="1" applyFont="1" applyFill="1" applyBorder="1" applyAlignment="1">
      <alignment horizontal="left" vertical="center" wrapText="1"/>
    </xf>
    <xf numFmtId="0" fontId="0" fillId="3" borderId="0" xfId="0" applyFill="1" applyBorder="1" applyAlignment="1">
      <alignment horizontal="left"/>
    </xf>
    <xf numFmtId="165" fontId="18" fillId="3" borderId="3" xfId="1" applyNumberFormat="1" applyFont="1" applyFill="1" applyBorder="1" applyAlignment="1">
      <alignment horizontal="left"/>
    </xf>
    <xf numFmtId="165" fontId="18" fillId="3" borderId="5" xfId="1" applyNumberFormat="1" applyFont="1" applyFill="1" applyBorder="1" applyAlignment="1">
      <alignment horizontal="left"/>
    </xf>
    <xf numFmtId="165" fontId="18" fillId="3" borderId="7" xfId="1" applyNumberFormat="1" applyFont="1" applyFill="1" applyBorder="1" applyAlignment="1">
      <alignment horizontal="left"/>
    </xf>
    <xf numFmtId="0" fontId="21" fillId="3" borderId="4" xfId="0" applyFont="1" applyFill="1" applyBorder="1" applyAlignment="1">
      <alignment horizontal="right" vertical="center"/>
    </xf>
    <xf numFmtId="0" fontId="49" fillId="15" borderId="1" xfId="0" applyFont="1" applyFill="1" applyBorder="1" applyAlignment="1">
      <alignment horizontal="center" vertical="center"/>
    </xf>
    <xf numFmtId="166" fontId="16" fillId="6" borderId="1" xfId="2" applyNumberFormat="1" applyFont="1" applyFill="1" applyBorder="1" applyAlignment="1">
      <alignment horizontal="center" vertical="center"/>
    </xf>
    <xf numFmtId="3" fontId="57" fillId="15" borderId="1" xfId="0" applyNumberFormat="1" applyFont="1" applyFill="1" applyBorder="1" applyAlignment="1">
      <alignment horizontal="left"/>
    </xf>
    <xf numFmtId="10" fontId="19" fillId="3" borderId="7" xfId="2" applyNumberFormat="1" applyFont="1" applyFill="1" applyBorder="1" applyAlignment="1">
      <alignment horizontal="left"/>
    </xf>
    <xf numFmtId="165" fontId="62" fillId="6" borderId="5" xfId="2" applyNumberFormat="1" applyFont="1" applyFill="1" applyBorder="1" applyAlignment="1">
      <alignment horizontal="left"/>
    </xf>
    <xf numFmtId="165" fontId="45" fillId="0" borderId="23" xfId="0" applyNumberFormat="1" applyFont="1" applyBorder="1" applyAlignment="1">
      <alignment horizontal="left"/>
    </xf>
    <xf numFmtId="165" fontId="45" fillId="0" borderId="24" xfId="0" applyNumberFormat="1" applyFont="1" applyBorder="1" applyAlignment="1">
      <alignment horizontal="left"/>
    </xf>
    <xf numFmtId="165" fontId="45" fillId="6" borderId="21" xfId="0" applyNumberFormat="1" applyFont="1" applyFill="1" applyBorder="1" applyAlignment="1">
      <alignment horizontal="left"/>
    </xf>
    <xf numFmtId="165" fontId="45" fillId="6" borderId="22" xfId="0" applyNumberFormat="1" applyFont="1" applyFill="1" applyBorder="1" applyAlignment="1">
      <alignment horizontal="left"/>
    </xf>
    <xf numFmtId="0" fontId="14" fillId="6" borderId="25" xfId="0" applyFont="1" applyFill="1" applyBorder="1"/>
    <xf numFmtId="14" fontId="41" fillId="3" borderId="5" xfId="0" applyNumberFormat="1" applyFont="1" applyFill="1" applyBorder="1" applyAlignment="1">
      <alignment horizontal="left" vertical="center"/>
    </xf>
    <xf numFmtId="8" fontId="6" fillId="6" borderId="7" xfId="0" applyNumberFormat="1" applyFont="1" applyFill="1" applyBorder="1" applyAlignment="1">
      <alignment horizontal="left" vertical="center"/>
    </xf>
    <xf numFmtId="165" fontId="18" fillId="0" borderId="5" xfId="0" applyNumberFormat="1" applyFont="1" applyBorder="1" applyAlignment="1">
      <alignment horizontal="left"/>
    </xf>
    <xf numFmtId="165" fontId="14" fillId="3" borderId="0" xfId="0" applyNumberFormat="1" applyFont="1" applyFill="1" applyBorder="1" applyAlignment="1">
      <alignment horizontal="left"/>
    </xf>
    <xf numFmtId="0" fontId="63" fillId="3" borderId="0" xfId="0" applyFont="1" applyFill="1" applyBorder="1" applyAlignment="1">
      <alignment vertical="center"/>
    </xf>
    <xf numFmtId="0" fontId="14" fillId="3" borderId="21" xfId="0" applyFont="1" applyFill="1" applyBorder="1"/>
    <xf numFmtId="0" fontId="16" fillId="3" borderId="22" xfId="0" applyFont="1" applyFill="1" applyBorder="1" applyAlignment="1">
      <alignment horizontal="left"/>
    </xf>
    <xf numFmtId="0" fontId="14" fillId="3" borderId="25" xfId="0" applyFont="1" applyFill="1" applyBorder="1"/>
    <xf numFmtId="0" fontId="16" fillId="3" borderId="26" xfId="0" applyFont="1" applyFill="1" applyBorder="1" applyAlignment="1">
      <alignment horizontal="left"/>
    </xf>
    <xf numFmtId="10" fontId="19" fillId="6" borderId="7" xfId="2" applyNumberFormat="1" applyFont="1" applyFill="1" applyBorder="1" applyAlignment="1">
      <alignment horizontal="left"/>
    </xf>
    <xf numFmtId="0" fontId="14" fillId="0" borderId="4" xfId="0" applyFont="1" applyBorder="1"/>
    <xf numFmtId="165" fontId="45" fillId="0" borderId="0" xfId="0" applyNumberFormat="1" applyFont="1" applyBorder="1" applyAlignment="1">
      <alignment horizontal="left"/>
    </xf>
    <xf numFmtId="0" fontId="11" fillId="6" borderId="0" xfId="0" applyFont="1" applyFill="1" applyBorder="1" applyAlignment="1">
      <alignment vertical="center"/>
    </xf>
    <xf numFmtId="0" fontId="11" fillId="6" borderId="9" xfId="0" applyFont="1" applyFill="1" applyBorder="1" applyAlignment="1">
      <alignment vertical="center"/>
    </xf>
    <xf numFmtId="0" fontId="11" fillId="14" borderId="8" xfId="0" applyFont="1" applyFill="1" applyBorder="1" applyAlignment="1">
      <alignment vertical="center"/>
    </xf>
    <xf numFmtId="0" fontId="11" fillId="14" borderId="9" xfId="0" applyFont="1" applyFill="1" applyBorder="1" applyAlignment="1">
      <alignment vertical="center"/>
    </xf>
    <xf numFmtId="0" fontId="17" fillId="6" borderId="8" xfId="0" applyFont="1" applyFill="1" applyBorder="1"/>
    <xf numFmtId="165" fontId="45" fillId="0" borderId="3" xfId="0" applyNumberFormat="1" applyFont="1" applyBorder="1" applyAlignment="1">
      <alignment horizontal="left"/>
    </xf>
    <xf numFmtId="8" fontId="53" fillId="6" borderId="5" xfId="0" applyNumberFormat="1" applyFont="1" applyFill="1" applyBorder="1" applyAlignment="1">
      <alignment horizontal="left"/>
    </xf>
    <xf numFmtId="165" fontId="44" fillId="6" borderId="5" xfId="0" applyNumberFormat="1" applyFont="1" applyFill="1" applyBorder="1" applyAlignment="1">
      <alignment horizontal="left" vertical="center"/>
    </xf>
    <xf numFmtId="0" fontId="6" fillId="3" borderId="0" xfId="0" applyFont="1" applyFill="1" applyBorder="1" applyAlignment="1">
      <alignment vertical="center" wrapText="1"/>
    </xf>
    <xf numFmtId="0" fontId="39" fillId="3" borderId="0" xfId="0" applyFont="1" applyFill="1" applyBorder="1" applyAlignment="1">
      <alignment vertical="center" wrapText="1"/>
    </xf>
    <xf numFmtId="14" fontId="14" fillId="3" borderId="5" xfId="0" applyNumberFormat="1" applyFont="1" applyFill="1" applyBorder="1" applyAlignment="1">
      <alignment horizontal="left" vertical="center"/>
    </xf>
    <xf numFmtId="0" fontId="0" fillId="3" borderId="3" xfId="0" applyFill="1" applyBorder="1" applyAlignment="1">
      <alignment horizontal="left"/>
    </xf>
    <xf numFmtId="0" fontId="7" fillId="3" borderId="0" xfId="0" applyFont="1" applyFill="1" applyBorder="1" applyAlignment="1">
      <alignment horizontal="left" vertical="center"/>
    </xf>
    <xf numFmtId="0" fontId="49" fillId="15" borderId="1" xfId="0" applyFont="1" applyFill="1" applyBorder="1" applyAlignment="1">
      <alignment horizontal="center" wrapText="1"/>
    </xf>
    <xf numFmtId="10" fontId="14" fillId="6" borderId="1" xfId="2" applyNumberFormat="1" applyFont="1" applyFill="1" applyBorder="1" applyAlignment="1">
      <alignment horizontal="center" wrapText="1"/>
    </xf>
    <xf numFmtId="165" fontId="45" fillId="3" borderId="5" xfId="0" applyNumberFormat="1" applyFont="1" applyFill="1" applyBorder="1" applyAlignment="1">
      <alignment horizontal="left" vertical="center" wrapText="1"/>
    </xf>
    <xf numFmtId="14" fontId="41" fillId="3" borderId="3" xfId="0" applyNumberFormat="1" applyFont="1" applyFill="1" applyBorder="1" applyAlignment="1">
      <alignment horizontal="left"/>
    </xf>
    <xf numFmtId="3" fontId="57" fillId="15" borderId="1" xfId="0" applyNumberFormat="1"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9" fontId="0" fillId="6" borderId="29" xfId="2" applyFont="1" applyFill="1" applyBorder="1" applyAlignment="1">
      <alignment horizontal="center"/>
    </xf>
    <xf numFmtId="14" fontId="42" fillId="3" borderId="0" xfId="0" applyNumberFormat="1" applyFont="1" applyFill="1" applyBorder="1" applyAlignment="1">
      <alignment horizontal="left" vertical="center" wrapText="1"/>
    </xf>
    <xf numFmtId="165" fontId="23" fillId="3" borderId="5" xfId="2" applyNumberFormat="1" applyFont="1" applyFill="1" applyBorder="1" applyAlignment="1">
      <alignment horizontal="left"/>
    </xf>
    <xf numFmtId="165" fontId="45" fillId="3" borderId="5" xfId="0" applyNumberFormat="1" applyFont="1" applyFill="1" applyBorder="1" applyAlignment="1">
      <alignment horizontal="left"/>
    </xf>
    <xf numFmtId="0" fontId="11" fillId="3" borderId="5" xfId="0" applyFont="1" applyFill="1" applyBorder="1" applyAlignment="1">
      <alignment horizontal="left"/>
    </xf>
    <xf numFmtId="165" fontId="18" fillId="3" borderId="3" xfId="0" applyNumberFormat="1" applyFont="1" applyFill="1" applyBorder="1" applyAlignment="1">
      <alignment horizontal="left" vertical="center"/>
    </xf>
    <xf numFmtId="165" fontId="18" fillId="3" borderId="5" xfId="0" applyNumberFormat="1" applyFont="1" applyFill="1" applyBorder="1" applyAlignment="1">
      <alignment horizontal="left" vertical="center"/>
    </xf>
    <xf numFmtId="14" fontId="14" fillId="3" borderId="7" xfId="0" applyNumberFormat="1" applyFont="1" applyFill="1" applyBorder="1" applyAlignment="1">
      <alignment horizontal="left"/>
    </xf>
    <xf numFmtId="14" fontId="41" fillId="3" borderId="3" xfId="0" applyNumberFormat="1" applyFont="1" applyFill="1" applyBorder="1" applyAlignment="1">
      <alignment horizontal="left"/>
    </xf>
    <xf numFmtId="0" fontId="0" fillId="3" borderId="0" xfId="0" applyFill="1" applyBorder="1"/>
    <xf numFmtId="3" fontId="57" fillId="15" borderId="27" xfId="0" applyNumberFormat="1" applyFont="1" applyFill="1" applyBorder="1" applyAlignment="1">
      <alignment horizontal="left"/>
    </xf>
    <xf numFmtId="10" fontId="15" fillId="6" borderId="29" xfId="2" applyNumberFormat="1" applyFont="1" applyFill="1" applyBorder="1" applyAlignment="1">
      <alignment horizontal="center"/>
    </xf>
    <xf numFmtId="165" fontId="22" fillId="3" borderId="7" xfId="0" applyNumberFormat="1" applyFont="1" applyFill="1" applyBorder="1" applyAlignment="1">
      <alignment horizontal="left"/>
    </xf>
    <xf numFmtId="0" fontId="11" fillId="9" borderId="4" xfId="0" applyFont="1" applyFill="1" applyBorder="1" applyAlignment="1">
      <alignment vertical="center"/>
    </xf>
    <xf numFmtId="165" fontId="17" fillId="0" borderId="5" xfId="0" applyNumberFormat="1" applyFont="1" applyBorder="1" applyAlignment="1">
      <alignment horizontal="left"/>
    </xf>
    <xf numFmtId="10" fontId="6" fillId="3" borderId="0" xfId="2" applyNumberFormat="1" applyFont="1" applyFill="1" applyBorder="1" applyAlignment="1">
      <alignment horizontal="left"/>
    </xf>
    <xf numFmtId="0" fontId="7" fillId="3" borderId="0" xfId="0" applyFont="1" applyFill="1" applyBorder="1" applyAlignment="1">
      <alignment wrapText="1"/>
    </xf>
    <xf numFmtId="165" fontId="2" fillId="3" borderId="0" xfId="1" applyNumberFormat="1" applyFont="1" applyFill="1" applyBorder="1" applyAlignment="1">
      <alignment horizontal="left"/>
    </xf>
    <xf numFmtId="165" fontId="0" fillId="3" borderId="0" xfId="0" applyNumberFormat="1" applyFill="1" applyBorder="1" applyAlignment="1">
      <alignment horizontal="left"/>
    </xf>
    <xf numFmtId="10" fontId="15" fillId="6" borderId="29" xfId="2" applyNumberFormat="1" applyFont="1" applyFill="1" applyBorder="1" applyAlignment="1">
      <alignment horizontal="center" vertical="center"/>
    </xf>
    <xf numFmtId="0" fontId="0" fillId="0" borderId="0" xfId="0" applyAlignment="1">
      <alignment horizontal="center" vertical="center"/>
    </xf>
    <xf numFmtId="0" fontId="0" fillId="3" borderId="0" xfId="0" applyFill="1" applyBorder="1" applyAlignment="1">
      <alignment horizontal="center" vertical="center" wrapText="1"/>
    </xf>
    <xf numFmtId="14" fontId="9" fillId="3" borderId="0" xfId="0" applyNumberFormat="1" applyFont="1" applyFill="1" applyBorder="1" applyAlignment="1">
      <alignment horizontal="center" vertical="center" wrapText="1"/>
    </xf>
    <xf numFmtId="14" fontId="3" fillId="3" borderId="0" xfId="0" applyNumberFormat="1" applyFont="1" applyFill="1" applyBorder="1" applyAlignment="1">
      <alignment horizontal="center" vertical="center"/>
    </xf>
    <xf numFmtId="0" fontId="0" fillId="3" borderId="0" xfId="0" applyFill="1" applyBorder="1" applyAlignment="1">
      <alignment horizontal="center" vertical="center"/>
    </xf>
    <xf numFmtId="0" fontId="2" fillId="3" borderId="0" xfId="0" applyFont="1" applyFill="1" applyBorder="1" applyAlignment="1">
      <alignment horizontal="center" vertical="center"/>
    </xf>
    <xf numFmtId="8"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xf>
    <xf numFmtId="3" fontId="57" fillId="15" borderId="27" xfId="0" applyNumberFormat="1" applyFont="1" applyFill="1" applyBorder="1" applyAlignment="1">
      <alignment horizontal="center" vertical="center"/>
    </xf>
    <xf numFmtId="6" fontId="2" fillId="3" borderId="0" xfId="0" applyNumberFormat="1" applyFont="1" applyFill="1" applyBorder="1" applyAlignment="1">
      <alignment horizontal="center" vertical="center"/>
    </xf>
    <xf numFmtId="3" fontId="2" fillId="3" borderId="0"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0" fontId="0" fillId="3" borderId="8" xfId="0" applyFill="1" applyBorder="1" applyAlignment="1">
      <alignment horizontal="left"/>
    </xf>
    <xf numFmtId="0" fontId="2" fillId="3" borderId="9" xfId="0" applyFont="1" applyFill="1" applyBorder="1" applyAlignment="1">
      <alignment horizontal="left"/>
    </xf>
    <xf numFmtId="0" fontId="0" fillId="3" borderId="5" xfId="0" applyFill="1" applyBorder="1" applyAlignment="1">
      <alignment horizontal="left"/>
    </xf>
    <xf numFmtId="0" fontId="57" fillId="15" borderId="27" xfId="0" applyFont="1" applyFill="1" applyBorder="1" applyAlignment="1">
      <alignment horizontal="center" vertical="center"/>
    </xf>
    <xf numFmtId="8" fontId="0" fillId="6" borderId="29" xfId="0" applyNumberFormat="1" applyFont="1" applyFill="1" applyBorder="1" applyAlignment="1">
      <alignment horizontal="center" vertical="center"/>
    </xf>
    <xf numFmtId="0" fontId="66" fillId="14" borderId="2" xfId="0" applyFont="1" applyFill="1" applyBorder="1" applyAlignment="1">
      <alignment vertical="center"/>
    </xf>
    <xf numFmtId="0" fontId="66" fillId="14" borderId="4" xfId="0" applyFont="1" applyFill="1" applyBorder="1" applyAlignment="1">
      <alignment vertical="center"/>
    </xf>
    <xf numFmtId="0" fontId="66" fillId="14" borderId="6" xfId="0" applyFont="1" applyFill="1" applyBorder="1" applyAlignment="1">
      <alignment vertical="center"/>
    </xf>
    <xf numFmtId="0" fontId="11" fillId="6" borderId="2" xfId="0" applyFont="1" applyFill="1" applyBorder="1" applyAlignment="1">
      <alignment vertical="center" wrapText="1"/>
    </xf>
    <xf numFmtId="0" fontId="11" fillId="3" borderId="4" xfId="0" applyFont="1" applyFill="1" applyBorder="1" applyAlignment="1">
      <alignment vertical="center" wrapText="1"/>
    </xf>
    <xf numFmtId="0" fontId="11" fillId="6" borderId="4" xfId="0" applyFont="1" applyFill="1" applyBorder="1" applyAlignment="1">
      <alignment vertical="center" wrapText="1"/>
    </xf>
    <xf numFmtId="0" fontId="11" fillId="3" borderId="6" xfId="0" applyFont="1" applyFill="1" applyBorder="1" applyAlignment="1">
      <alignment vertical="center" wrapText="1"/>
    </xf>
    <xf numFmtId="0" fontId="11" fillId="14" borderId="6" xfId="0" applyFont="1" applyFill="1" applyBorder="1" applyAlignment="1">
      <alignment vertical="center" wrapText="1"/>
    </xf>
    <xf numFmtId="0" fontId="11" fillId="9" borderId="12" xfId="0" applyFont="1" applyFill="1" applyBorder="1" applyAlignment="1">
      <alignment vertical="center"/>
    </xf>
    <xf numFmtId="165" fontId="17" fillId="0" borderId="13" xfId="0" applyNumberFormat="1" applyFont="1" applyBorder="1" applyAlignment="1">
      <alignment horizontal="left"/>
    </xf>
    <xf numFmtId="165" fontId="18" fillId="6" borderId="5" xfId="1" applyNumberFormat="1" applyFont="1" applyFill="1" applyBorder="1" applyAlignment="1">
      <alignment horizontal="left"/>
    </xf>
    <xf numFmtId="14" fontId="3" fillId="3" borderId="5" xfId="0" applyNumberFormat="1" applyFont="1" applyFill="1" applyBorder="1" applyAlignment="1">
      <alignment horizontal="left"/>
    </xf>
    <xf numFmtId="14" fontId="41" fillId="3" borderId="5" xfId="0" applyNumberFormat="1" applyFont="1" applyFill="1" applyBorder="1" applyAlignment="1">
      <alignment horizontal="left"/>
    </xf>
    <xf numFmtId="14" fontId="3" fillId="3" borderId="5" xfId="0" applyNumberFormat="1" applyFont="1" applyFill="1" applyBorder="1" applyAlignment="1">
      <alignment horizontal="left" wrapText="1"/>
    </xf>
    <xf numFmtId="0" fontId="18" fillId="0" borderId="7" xfId="0" applyFont="1" applyBorder="1" applyAlignment="1">
      <alignment horizontal="left" wrapText="1"/>
    </xf>
    <xf numFmtId="6" fontId="16" fillId="6" borderId="3" xfId="0" applyNumberFormat="1" applyFont="1" applyFill="1" applyBorder="1" applyAlignment="1">
      <alignment horizontal="left" vertical="center"/>
    </xf>
    <xf numFmtId="9" fontId="19" fillId="3" borderId="5" xfId="2" applyFont="1" applyFill="1" applyBorder="1" applyAlignment="1">
      <alignment horizontal="left" vertical="center" wrapText="1"/>
    </xf>
    <xf numFmtId="165" fontId="19" fillId="6" borderId="5" xfId="2" applyNumberFormat="1" applyFont="1" applyFill="1" applyBorder="1" applyAlignment="1">
      <alignment horizontal="left" vertical="center" wrapText="1"/>
    </xf>
    <xf numFmtId="165" fontId="19" fillId="3" borderId="5" xfId="2" applyNumberFormat="1" applyFont="1" applyFill="1" applyBorder="1" applyAlignment="1">
      <alignment horizontal="left" vertical="center" wrapText="1"/>
    </xf>
    <xf numFmtId="164" fontId="19" fillId="6" borderId="5" xfId="2" applyNumberFormat="1" applyFont="1" applyFill="1" applyBorder="1" applyAlignment="1">
      <alignment horizontal="left" vertical="center" wrapText="1"/>
    </xf>
    <xf numFmtId="0" fontId="19" fillId="3" borderId="5" xfId="2" applyNumberFormat="1" applyFont="1" applyFill="1" applyBorder="1" applyAlignment="1">
      <alignment horizontal="left" vertical="center" wrapText="1"/>
    </xf>
    <xf numFmtId="0" fontId="19" fillId="6" borderId="5" xfId="0" applyFont="1" applyFill="1" applyBorder="1" applyAlignment="1">
      <alignment horizontal="left" vertical="center" wrapText="1"/>
    </xf>
    <xf numFmtId="165" fontId="19" fillId="3" borderId="5" xfId="0" applyNumberFormat="1" applyFont="1" applyFill="1" applyBorder="1" applyAlignment="1">
      <alignment horizontal="left" vertical="center" wrapText="1"/>
    </xf>
    <xf numFmtId="165" fontId="19" fillId="6" borderId="5" xfId="0" applyNumberFormat="1" applyFont="1" applyFill="1" applyBorder="1" applyAlignment="1">
      <alignment horizontal="left" vertical="center" wrapText="1"/>
    </xf>
    <xf numFmtId="0" fontId="19" fillId="3" borderId="7" xfId="0" applyFont="1" applyFill="1" applyBorder="1" applyAlignment="1">
      <alignment horizontal="left" vertical="center" wrapText="1"/>
    </xf>
    <xf numFmtId="0" fontId="11" fillId="3" borderId="2" xfId="0" applyFont="1" applyFill="1" applyBorder="1" applyAlignment="1">
      <alignment vertical="center" wrapText="1"/>
    </xf>
    <xf numFmtId="165" fontId="18" fillId="3" borderId="3" xfId="0" applyNumberFormat="1" applyFont="1" applyFill="1" applyBorder="1" applyAlignment="1">
      <alignment horizontal="left" vertical="center" wrapText="1"/>
    </xf>
    <xf numFmtId="165" fontId="18" fillId="6" borderId="5" xfId="0" applyNumberFormat="1" applyFont="1" applyFill="1" applyBorder="1" applyAlignment="1">
      <alignment horizontal="left" vertical="center" wrapText="1"/>
    </xf>
    <xf numFmtId="0" fontId="11" fillId="6" borderId="6" xfId="0" applyFont="1" applyFill="1" applyBorder="1" applyAlignment="1">
      <alignment vertical="center" wrapText="1"/>
    </xf>
    <xf numFmtId="165" fontId="18" fillId="6" borderId="7" xfId="0" applyNumberFormat="1" applyFont="1" applyFill="1" applyBorder="1" applyAlignment="1">
      <alignment horizontal="left" vertical="center" wrapText="1"/>
    </xf>
    <xf numFmtId="0" fontId="11" fillId="9" borderId="2" xfId="0" applyFont="1" applyFill="1" applyBorder="1" applyAlignment="1">
      <alignment vertical="center" wrapText="1"/>
    </xf>
    <xf numFmtId="165" fontId="17" fillId="0" borderId="3" xfId="0" applyNumberFormat="1" applyFont="1" applyBorder="1" applyAlignment="1">
      <alignment horizontal="left" vertical="center" wrapText="1"/>
    </xf>
    <xf numFmtId="0" fontId="11" fillId="9" borderId="6" xfId="0" applyFont="1" applyFill="1" applyBorder="1" applyAlignment="1">
      <alignment vertical="center" wrapText="1"/>
    </xf>
    <xf numFmtId="165" fontId="17" fillId="0" borderId="7" xfId="0" applyNumberFormat="1" applyFont="1" applyBorder="1" applyAlignment="1">
      <alignment horizontal="left" vertical="center" wrapText="1"/>
    </xf>
    <xf numFmtId="164" fontId="19" fillId="3" borderId="5" xfId="2" applyNumberFormat="1" applyFont="1" applyFill="1" applyBorder="1" applyAlignment="1">
      <alignment horizontal="left" vertical="center" wrapText="1"/>
    </xf>
    <xf numFmtId="164" fontId="0" fillId="6" borderId="29" xfId="0" applyNumberFormat="1" applyFill="1" applyBorder="1" applyAlignment="1">
      <alignment horizontal="center" wrapText="1"/>
    </xf>
    <xf numFmtId="165" fontId="43" fillId="0" borderId="0" xfId="0" applyNumberFormat="1" applyFont="1" applyBorder="1" applyAlignment="1">
      <alignment horizontal="left" vertical="center"/>
    </xf>
    <xf numFmtId="0" fontId="19" fillId="3" borderId="5" xfId="0" applyFont="1" applyFill="1" applyBorder="1" applyAlignment="1">
      <alignment horizontal="left" vertical="center" wrapText="1"/>
    </xf>
    <xf numFmtId="0" fontId="19" fillId="6" borderId="7" xfId="0" applyFont="1" applyFill="1" applyBorder="1" applyAlignment="1">
      <alignment horizontal="left" vertical="center" wrapText="1"/>
    </xf>
    <xf numFmtId="0" fontId="14" fillId="6" borderId="21" xfId="0" applyFont="1" applyFill="1" applyBorder="1" applyAlignment="1">
      <alignment vertical="top"/>
    </xf>
    <xf numFmtId="0" fontId="14" fillId="6" borderId="22" xfId="0" applyFont="1" applyFill="1" applyBorder="1" applyAlignment="1">
      <alignment horizontal="left" vertical="top" wrapText="1"/>
    </xf>
    <xf numFmtId="0" fontId="14" fillId="6" borderId="23" xfId="0" applyFont="1" applyFill="1" applyBorder="1" applyAlignment="1">
      <alignment vertical="top"/>
    </xf>
    <xf numFmtId="0" fontId="14" fillId="6" borderId="24" xfId="0" applyFont="1" applyFill="1" applyBorder="1" applyAlignment="1">
      <alignment horizontal="left" vertical="top"/>
    </xf>
    <xf numFmtId="0" fontId="45" fillId="6" borderId="5" xfId="0" applyFont="1" applyFill="1" applyBorder="1" applyAlignment="1">
      <alignment horizontal="left" vertical="center" wrapText="1"/>
    </xf>
    <xf numFmtId="8" fontId="19" fillId="3" borderId="0" xfId="0" applyNumberFormat="1" applyFont="1" applyFill="1" applyBorder="1" applyAlignment="1">
      <alignment horizontal="left" vertical="center" wrapText="1"/>
    </xf>
    <xf numFmtId="0" fontId="18" fillId="3" borderId="0" xfId="0" applyFont="1" applyFill="1" applyBorder="1" applyAlignment="1">
      <alignment horizontal="left" vertical="center" wrapText="1"/>
    </xf>
    <xf numFmtId="165" fontId="45" fillId="3" borderId="3" xfId="0" applyNumberFormat="1" applyFont="1" applyFill="1" applyBorder="1" applyAlignment="1">
      <alignment horizontal="left" vertical="center" wrapText="1"/>
    </xf>
    <xf numFmtId="0" fontId="16" fillId="0" borderId="0" xfId="0" applyFont="1" applyBorder="1" applyAlignment="1">
      <alignment horizontal="left" vertical="center" wrapText="1"/>
    </xf>
    <xf numFmtId="10" fontId="0" fillId="14" borderId="28" xfId="2" applyNumberFormat="1" applyFont="1" applyFill="1" applyBorder="1" applyAlignment="1">
      <alignment wrapText="1"/>
    </xf>
    <xf numFmtId="165" fontId="0" fillId="6" borderId="29" xfId="0" applyNumberFormat="1" applyFill="1" applyBorder="1" applyAlignment="1">
      <alignment wrapText="1"/>
    </xf>
    <xf numFmtId="0" fontId="48" fillId="15" borderId="14" xfId="0" applyFont="1" applyFill="1" applyBorder="1" applyAlignment="1">
      <alignment horizontal="center" vertical="center" wrapText="1"/>
    </xf>
    <xf numFmtId="0" fontId="0" fillId="0" borderId="0" xfId="0" applyAlignment="1">
      <alignment horizontal="center" vertical="center" wrapText="1"/>
    </xf>
    <xf numFmtId="14" fontId="14" fillId="3" borderId="7" xfId="0" applyNumberFormat="1" applyFont="1" applyFill="1" applyBorder="1" applyAlignment="1">
      <alignment horizontal="left"/>
    </xf>
    <xf numFmtId="14" fontId="14" fillId="3" borderId="5" xfId="0" applyNumberFormat="1" applyFont="1" applyFill="1" applyBorder="1" applyAlignment="1">
      <alignment horizontal="left" wrapText="1"/>
    </xf>
    <xf numFmtId="165" fontId="18" fillId="6" borderId="3" xfId="0" applyNumberFormat="1" applyFont="1" applyFill="1" applyBorder="1" applyAlignment="1">
      <alignment horizontal="left" vertical="center" wrapText="1"/>
    </xf>
    <xf numFmtId="10" fontId="19" fillId="3" borderId="5" xfId="2" applyNumberFormat="1" applyFont="1" applyFill="1" applyBorder="1" applyAlignment="1">
      <alignment horizontal="left" vertical="center" wrapText="1"/>
    </xf>
    <xf numFmtId="165" fontId="17" fillId="0" borderId="5" xfId="0" applyNumberFormat="1" applyFont="1" applyBorder="1" applyAlignment="1">
      <alignment horizontal="left" vertical="center"/>
    </xf>
    <xf numFmtId="165" fontId="45" fillId="0" borderId="7" xfId="0" applyNumberFormat="1" applyFont="1" applyBorder="1" applyAlignment="1">
      <alignment horizontal="left" vertical="center"/>
    </xf>
    <xf numFmtId="0" fontId="16" fillId="0" borderId="3" xfId="0" applyFont="1" applyBorder="1" applyAlignment="1">
      <alignment horizontal="left" vertical="center"/>
    </xf>
    <xf numFmtId="0" fontId="16" fillId="0" borderId="5" xfId="0" applyFont="1" applyBorder="1" applyAlignment="1">
      <alignment horizontal="left" vertical="center"/>
    </xf>
    <xf numFmtId="0" fontId="18" fillId="0" borderId="7" xfId="0" applyFont="1" applyBorder="1" applyAlignment="1">
      <alignment horizontal="left" vertical="center"/>
    </xf>
    <xf numFmtId="0" fontId="18" fillId="0" borderId="0" xfId="0" applyFont="1" applyAlignment="1">
      <alignment horizontal="left" vertical="center"/>
    </xf>
    <xf numFmtId="6" fontId="16" fillId="3" borderId="5" xfId="0" applyNumberFormat="1" applyFont="1" applyFill="1" applyBorder="1" applyAlignment="1">
      <alignment horizontal="left" vertical="center"/>
    </xf>
    <xf numFmtId="165" fontId="19" fillId="6" borderId="5" xfId="2" applyNumberFormat="1" applyFont="1" applyFill="1" applyBorder="1" applyAlignment="1">
      <alignment horizontal="left" vertical="center"/>
    </xf>
    <xf numFmtId="165" fontId="19" fillId="3" borderId="5" xfId="2" applyNumberFormat="1" applyFont="1" applyFill="1" applyBorder="1" applyAlignment="1">
      <alignment horizontal="left" vertical="center"/>
    </xf>
    <xf numFmtId="8" fontId="19" fillId="3" borderId="5" xfId="0" applyNumberFormat="1" applyFont="1" applyFill="1" applyBorder="1" applyAlignment="1">
      <alignment horizontal="left" vertical="center"/>
    </xf>
    <xf numFmtId="0" fontId="19" fillId="3" borderId="5" xfId="0" applyFont="1" applyFill="1" applyBorder="1" applyAlignment="1">
      <alignment horizontal="left" vertical="center"/>
    </xf>
    <xf numFmtId="0" fontId="7" fillId="0" borderId="0" xfId="0" applyFont="1" applyAlignment="1">
      <alignment vertical="center"/>
    </xf>
    <xf numFmtId="165" fontId="18" fillId="3" borderId="7" xfId="0" applyNumberFormat="1" applyFont="1" applyFill="1" applyBorder="1" applyAlignment="1">
      <alignment horizontal="left" vertical="center"/>
    </xf>
    <xf numFmtId="165" fontId="18" fillId="0" borderId="0" xfId="0" applyNumberFormat="1" applyFont="1" applyAlignment="1">
      <alignment horizontal="left" vertical="center"/>
    </xf>
    <xf numFmtId="165" fontId="45" fillId="0" borderId="3" xfId="0" applyNumberFormat="1" applyFont="1" applyBorder="1" applyAlignment="1">
      <alignment horizontal="left" vertical="center"/>
    </xf>
    <xf numFmtId="165" fontId="18" fillId="0" borderId="5" xfId="0" applyNumberFormat="1" applyFont="1" applyBorder="1" applyAlignment="1">
      <alignment horizontal="left" vertical="center"/>
    </xf>
    <xf numFmtId="165" fontId="18" fillId="0" borderId="7" xfId="0" applyNumberFormat="1" applyFont="1" applyBorder="1" applyAlignment="1">
      <alignment horizontal="left" vertical="center"/>
    </xf>
    <xf numFmtId="165" fontId="18" fillId="0" borderId="0" xfId="0" applyNumberFormat="1" applyFont="1" applyBorder="1"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10" fontId="19" fillId="6" borderId="5" xfId="0" applyNumberFormat="1" applyFont="1" applyFill="1" applyBorder="1" applyAlignment="1">
      <alignment horizontal="left"/>
    </xf>
    <xf numFmtId="14" fontId="14" fillId="3" borderId="7" xfId="0" applyNumberFormat="1" applyFont="1" applyFill="1" applyBorder="1" applyAlignment="1">
      <alignment horizontal="left"/>
    </xf>
    <xf numFmtId="14" fontId="14" fillId="3" borderId="5" xfId="0" applyNumberFormat="1" applyFont="1" applyFill="1" applyBorder="1" applyAlignment="1">
      <alignment horizontal="left"/>
    </xf>
    <xf numFmtId="165" fontId="6" fillId="6" borderId="7" xfId="0" applyNumberFormat="1" applyFont="1" applyFill="1" applyBorder="1" applyAlignment="1">
      <alignment horizontal="left" vertical="center" wrapText="1"/>
    </xf>
    <xf numFmtId="0" fontId="57" fillId="15" borderId="27" xfId="0" applyFont="1" applyFill="1" applyBorder="1" applyAlignment="1">
      <alignment horizontal="center" vertical="center" wrapText="1"/>
    </xf>
    <xf numFmtId="169" fontId="0" fillId="6" borderId="29" xfId="0" applyNumberFormat="1" applyFill="1" applyBorder="1" applyAlignment="1">
      <alignment horizontal="center" vertical="center" wrapText="1"/>
    </xf>
    <xf numFmtId="10" fontId="0" fillId="14" borderId="29" xfId="2" applyNumberFormat="1" applyFont="1" applyFill="1" applyBorder="1" applyAlignment="1">
      <alignment horizontal="center" vertical="center" wrapText="1"/>
    </xf>
    <xf numFmtId="0" fontId="4" fillId="3" borderId="2" xfId="0" applyFont="1" applyFill="1" applyBorder="1" applyAlignment="1">
      <alignment vertical="center"/>
    </xf>
    <xf numFmtId="6" fontId="0" fillId="3" borderId="3" xfId="0" applyNumberFormat="1" applyFill="1" applyBorder="1" applyAlignment="1">
      <alignment horizontal="left" vertical="center"/>
    </xf>
    <xf numFmtId="6" fontId="0" fillId="6" borderId="5" xfId="0" applyNumberFormat="1" applyFill="1" applyBorder="1" applyAlignment="1">
      <alignment horizontal="left" vertical="center"/>
    </xf>
    <xf numFmtId="8" fontId="54" fillId="3" borderId="3" xfId="0" applyNumberFormat="1" applyFont="1" applyFill="1" applyBorder="1" applyAlignment="1">
      <alignment horizontal="left" vertical="center"/>
    </xf>
    <xf numFmtId="8" fontId="54" fillId="6" borderId="5" xfId="0" applyNumberFormat="1" applyFont="1" applyFill="1" applyBorder="1" applyAlignment="1">
      <alignment horizontal="left" vertical="center"/>
    </xf>
    <xf numFmtId="14" fontId="14" fillId="3" borderId="7" xfId="0" applyNumberFormat="1" applyFont="1" applyFill="1" applyBorder="1" applyAlignment="1">
      <alignment horizontal="left"/>
    </xf>
    <xf numFmtId="14" fontId="41" fillId="3" borderId="3" xfId="0" applyNumberFormat="1" applyFont="1" applyFill="1" applyBorder="1" applyAlignment="1">
      <alignment horizontal="left"/>
    </xf>
    <xf numFmtId="0" fontId="19" fillId="3" borderId="5" xfId="0" applyFont="1" applyFill="1" applyBorder="1" applyAlignment="1">
      <alignment horizontal="left"/>
    </xf>
    <xf numFmtId="14" fontId="14" fillId="3" borderId="5" xfId="0" applyNumberFormat="1" applyFont="1" applyFill="1" applyBorder="1" applyAlignment="1">
      <alignment horizontal="left"/>
    </xf>
    <xf numFmtId="170" fontId="6" fillId="3" borderId="5" xfId="2" applyNumberFormat="1" applyFont="1" applyFill="1" applyBorder="1" applyAlignment="1">
      <alignment horizontal="left" vertical="center" wrapText="1"/>
    </xf>
    <xf numFmtId="165" fontId="54" fillId="0" borderId="7" xfId="0" applyNumberFormat="1" applyFont="1" applyBorder="1" applyAlignment="1">
      <alignment horizontal="left" vertical="center" wrapText="1"/>
    </xf>
    <xf numFmtId="165" fontId="0" fillId="6" borderId="29" xfId="0" applyNumberFormat="1" applyFill="1" applyBorder="1" applyAlignment="1">
      <alignment horizontal="center" vertical="center" wrapText="1"/>
    </xf>
    <xf numFmtId="8" fontId="6" fillId="6" borderId="5" xfId="0" applyNumberFormat="1" applyFont="1" applyFill="1" applyBorder="1" applyAlignment="1">
      <alignment horizontal="left" vertical="center" wrapText="1"/>
    </xf>
    <xf numFmtId="171" fontId="6" fillId="6" borderId="5" xfId="2" applyNumberFormat="1" applyFont="1" applyFill="1" applyBorder="1" applyAlignment="1">
      <alignment horizontal="left" vertical="center"/>
    </xf>
    <xf numFmtId="14" fontId="9" fillId="3" borderId="0" xfId="0" applyNumberFormat="1" applyFont="1" applyFill="1" applyBorder="1" applyAlignment="1">
      <alignment horizontal="left" vertical="center" wrapText="1"/>
    </xf>
    <xf numFmtId="14" fontId="14" fillId="3" borderId="7" xfId="0" applyNumberFormat="1" applyFont="1" applyFill="1" applyBorder="1" applyAlignment="1">
      <alignment horizontal="left" vertical="center"/>
    </xf>
    <xf numFmtId="0" fontId="16" fillId="3" borderId="0" xfId="0" applyFont="1" applyFill="1" applyBorder="1" applyAlignment="1">
      <alignment horizontal="left" vertical="center"/>
    </xf>
    <xf numFmtId="0" fontId="16" fillId="3" borderId="3" xfId="0" applyFont="1" applyFill="1" applyBorder="1" applyAlignment="1">
      <alignment horizontal="left" vertical="center"/>
    </xf>
    <xf numFmtId="0" fontId="16" fillId="3" borderId="5" xfId="0" applyFont="1" applyFill="1" applyBorder="1" applyAlignment="1">
      <alignment horizontal="left" vertical="center"/>
    </xf>
    <xf numFmtId="0" fontId="18" fillId="3" borderId="5" xfId="0" applyFont="1" applyFill="1" applyBorder="1" applyAlignment="1">
      <alignment horizontal="left" vertical="center"/>
    </xf>
    <xf numFmtId="0" fontId="21" fillId="3" borderId="7" xfId="0" applyFont="1" applyFill="1" applyBorder="1" applyAlignment="1">
      <alignment horizontal="left" vertical="center"/>
    </xf>
    <xf numFmtId="0" fontId="18" fillId="3" borderId="0" xfId="0" applyFont="1" applyFill="1" applyBorder="1" applyAlignment="1">
      <alignment horizontal="left" vertical="center"/>
    </xf>
    <xf numFmtId="10" fontId="19" fillId="3" borderId="0" xfId="2" applyNumberFormat="1" applyFont="1" applyFill="1" applyBorder="1" applyAlignment="1">
      <alignment horizontal="left" vertical="center"/>
    </xf>
    <xf numFmtId="165" fontId="43" fillId="3" borderId="0" xfId="0" applyNumberFormat="1" applyFont="1" applyFill="1" applyBorder="1" applyAlignment="1">
      <alignment horizontal="left" vertical="center"/>
    </xf>
    <xf numFmtId="165" fontId="18" fillId="3" borderId="0" xfId="0" applyNumberFormat="1" applyFont="1" applyFill="1" applyBorder="1" applyAlignment="1">
      <alignment horizontal="left" vertical="center"/>
    </xf>
    <xf numFmtId="165" fontId="14" fillId="0" borderId="0" xfId="0" applyNumberFormat="1" applyFont="1" applyBorder="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4" fillId="6" borderId="21" xfId="0" applyFont="1" applyFill="1" applyBorder="1" applyAlignment="1">
      <alignment vertical="center"/>
    </xf>
    <xf numFmtId="0" fontId="14" fillId="6" borderId="23" xfId="0" applyFont="1" applyFill="1" applyBorder="1" applyAlignment="1">
      <alignment vertical="center"/>
    </xf>
    <xf numFmtId="0" fontId="16" fillId="6" borderId="24" xfId="0" applyFont="1" applyFill="1" applyBorder="1" applyAlignment="1">
      <alignment horizontal="left" vertical="center"/>
    </xf>
    <xf numFmtId="10" fontId="19" fillId="3" borderId="5" xfId="2" applyNumberFormat="1" applyFont="1" applyFill="1" applyBorder="1" applyAlignment="1">
      <alignment horizontal="left" vertical="center"/>
    </xf>
    <xf numFmtId="0" fontId="19" fillId="6" borderId="5" xfId="0" applyFont="1" applyFill="1" applyBorder="1" applyAlignment="1">
      <alignment horizontal="left" vertical="center"/>
    </xf>
    <xf numFmtId="165" fontId="18" fillId="6" borderId="7" xfId="0" applyNumberFormat="1" applyFont="1" applyFill="1" applyBorder="1" applyAlignment="1">
      <alignment horizontal="left" vertical="center"/>
    </xf>
    <xf numFmtId="165" fontId="45" fillId="0" borderId="5" xfId="0" applyNumberFormat="1" applyFont="1" applyBorder="1" applyAlignment="1">
      <alignment horizontal="left" vertical="center"/>
    </xf>
    <xf numFmtId="165" fontId="18" fillId="6" borderId="3" xfId="1" applyNumberFormat="1" applyFont="1" applyFill="1" applyBorder="1" applyAlignment="1">
      <alignment horizontal="left"/>
    </xf>
    <xf numFmtId="165" fontId="19" fillId="3" borderId="0" xfId="2" applyNumberFormat="1" applyFont="1" applyFill="1" applyBorder="1" applyAlignment="1">
      <alignment horizontal="left" vertical="center" wrapText="1"/>
    </xf>
    <xf numFmtId="165" fontId="45" fillId="3" borderId="0" xfId="0" applyNumberFormat="1" applyFont="1" applyFill="1" applyBorder="1" applyAlignment="1">
      <alignment horizontal="left" vertical="center" wrapText="1"/>
    </xf>
    <xf numFmtId="165" fontId="17" fillId="0" borderId="0" xfId="0" applyNumberFormat="1" applyFont="1" applyBorder="1" applyAlignment="1">
      <alignment horizontal="left" vertical="center" wrapText="1"/>
    </xf>
    <xf numFmtId="165" fontId="17" fillId="0" borderId="5" xfId="0" applyNumberFormat="1" applyFont="1" applyBorder="1" applyAlignment="1">
      <alignment horizontal="left" vertical="center" wrapText="1"/>
    </xf>
    <xf numFmtId="9" fontId="0" fillId="6" borderId="1" xfId="2" applyFont="1" applyFill="1" applyBorder="1" applyAlignment="1">
      <alignment horizontal="center"/>
    </xf>
    <xf numFmtId="0" fontId="52" fillId="6" borderId="1" xfId="0" applyFont="1" applyFill="1" applyBorder="1" applyAlignment="1">
      <alignment horizontal="center" vertical="center"/>
    </xf>
    <xf numFmtId="0" fontId="11" fillId="9" borderId="4" xfId="0" applyFont="1" applyFill="1" applyBorder="1" applyAlignment="1">
      <alignment vertical="center" wrapText="1"/>
    </xf>
    <xf numFmtId="165" fontId="45" fillId="0" borderId="7" xfId="0" applyNumberFormat="1" applyFont="1" applyBorder="1" applyAlignment="1">
      <alignment horizontal="left" vertical="center" wrapText="1"/>
    </xf>
    <xf numFmtId="0" fontId="19" fillId="3" borderId="5" xfId="0" applyFont="1" applyFill="1" applyBorder="1" applyAlignment="1">
      <alignment horizontal="left"/>
    </xf>
    <xf numFmtId="165" fontId="19" fillId="6" borderId="5" xfId="2" applyNumberFormat="1" applyFont="1" applyFill="1" applyBorder="1" applyAlignment="1">
      <alignment horizontal="left" vertical="center" wrapText="1"/>
    </xf>
    <xf numFmtId="165" fontId="19" fillId="3" borderId="5" xfId="2" applyNumberFormat="1" applyFont="1" applyFill="1" applyBorder="1" applyAlignment="1">
      <alignment horizontal="left" vertical="center" wrapText="1"/>
    </xf>
    <xf numFmtId="9" fontId="19" fillId="3" borderId="5" xfId="2" applyFont="1" applyFill="1" applyBorder="1" applyAlignment="1">
      <alignment horizontal="left" vertical="center" wrapText="1"/>
    </xf>
    <xf numFmtId="6" fontId="16" fillId="6" borderId="3" xfId="0" applyNumberFormat="1" applyFont="1" applyFill="1" applyBorder="1" applyAlignment="1">
      <alignment horizontal="left" vertical="center"/>
    </xf>
    <xf numFmtId="165" fontId="18" fillId="6" borderId="5" xfId="0" applyNumberFormat="1" applyFont="1" applyFill="1" applyBorder="1" applyAlignment="1">
      <alignment horizontal="left" vertical="center" wrapText="1"/>
    </xf>
    <xf numFmtId="165" fontId="18" fillId="3" borderId="3" xfId="0" applyNumberFormat="1" applyFont="1" applyFill="1" applyBorder="1" applyAlignment="1">
      <alignment horizontal="left" vertical="center" wrapText="1"/>
    </xf>
    <xf numFmtId="0" fontId="19" fillId="3" borderId="5" xfId="0" applyFont="1" applyFill="1" applyBorder="1" applyAlignment="1">
      <alignment horizontal="left" vertical="center" wrapText="1"/>
    </xf>
    <xf numFmtId="165" fontId="18" fillId="3" borderId="5" xfId="0" applyNumberFormat="1" applyFont="1" applyFill="1" applyBorder="1" applyAlignment="1">
      <alignment horizontal="left" vertical="center" wrapText="1"/>
    </xf>
    <xf numFmtId="6" fontId="16" fillId="6" borderId="8" xfId="0" applyNumberFormat="1" applyFont="1" applyFill="1" applyBorder="1" applyAlignment="1">
      <alignment horizontal="left"/>
    </xf>
    <xf numFmtId="6" fontId="16" fillId="3" borderId="0" xfId="0" applyNumberFormat="1" applyFont="1" applyFill="1" applyBorder="1" applyAlignment="1">
      <alignment horizontal="left"/>
    </xf>
    <xf numFmtId="165" fontId="19" fillId="3" borderId="0" xfId="0" applyNumberFormat="1" applyFont="1" applyFill="1" applyBorder="1" applyAlignment="1">
      <alignment horizontal="left"/>
    </xf>
    <xf numFmtId="9" fontId="11" fillId="3" borderId="5" xfId="2" applyFont="1" applyFill="1" applyBorder="1" applyAlignment="1">
      <alignment horizontal="left"/>
    </xf>
    <xf numFmtId="165" fontId="19" fillId="6" borderId="0" xfId="0" applyNumberFormat="1" applyFont="1" applyFill="1" applyBorder="1" applyAlignment="1">
      <alignment horizontal="left"/>
    </xf>
    <xf numFmtId="9" fontId="11" fillId="6" borderId="5" xfId="2" applyFont="1" applyFill="1" applyBorder="1" applyAlignment="1">
      <alignment horizontal="left"/>
    </xf>
    <xf numFmtId="0" fontId="19" fillId="6" borderId="0" xfId="0" applyFont="1" applyFill="1" applyBorder="1" applyAlignment="1">
      <alignment horizontal="left"/>
    </xf>
    <xf numFmtId="165" fontId="19" fillId="6" borderId="9" xfId="2" applyNumberFormat="1" applyFont="1" applyFill="1" applyBorder="1" applyAlignment="1">
      <alignment horizontal="left"/>
    </xf>
    <xf numFmtId="165" fontId="18" fillId="6" borderId="8" xfId="1" applyNumberFormat="1" applyFont="1" applyFill="1" applyBorder="1" applyAlignment="1">
      <alignment horizontal="left"/>
    </xf>
    <xf numFmtId="165" fontId="18" fillId="3" borderId="0" xfId="1" applyNumberFormat="1" applyFont="1" applyFill="1" applyBorder="1" applyAlignment="1">
      <alignment horizontal="left"/>
    </xf>
    <xf numFmtId="165" fontId="18" fillId="6" borderId="0" xfId="1" applyNumberFormat="1" applyFont="1" applyFill="1" applyBorder="1" applyAlignment="1">
      <alignment horizontal="left"/>
    </xf>
    <xf numFmtId="165" fontId="18" fillId="3" borderId="9" xfId="1" applyNumberFormat="1" applyFont="1" applyFill="1" applyBorder="1" applyAlignment="1">
      <alignment horizontal="left"/>
    </xf>
    <xf numFmtId="165" fontId="18" fillId="3" borderId="8" xfId="1" applyNumberFormat="1" applyFont="1" applyFill="1" applyBorder="1" applyAlignment="1">
      <alignment horizontal="left"/>
    </xf>
    <xf numFmtId="0" fontId="21" fillId="9" borderId="2" xfId="0" applyFont="1" applyFill="1" applyBorder="1" applyAlignment="1">
      <alignment vertical="center" wrapText="1"/>
    </xf>
    <xf numFmtId="0" fontId="21" fillId="9" borderId="6" xfId="0" applyFont="1" applyFill="1" applyBorder="1" applyAlignment="1">
      <alignment vertical="center" wrapText="1"/>
    </xf>
    <xf numFmtId="165" fontId="18" fillId="6" borderId="9" xfId="0" applyNumberFormat="1" applyFont="1" applyFill="1" applyBorder="1" applyAlignment="1">
      <alignment horizontal="left" vertical="center" wrapText="1"/>
    </xf>
    <xf numFmtId="0" fontId="0" fillId="0" borderId="0" xfId="0" applyAlignment="1">
      <alignment vertical="center" wrapText="1"/>
    </xf>
    <xf numFmtId="0" fontId="16" fillId="3" borderId="5"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0" fillId="3" borderId="0" xfId="0" applyFill="1" applyBorder="1" applyAlignment="1">
      <alignment horizontal="left" vertical="center" wrapText="1"/>
    </xf>
    <xf numFmtId="8" fontId="45" fillId="6" borderId="5" xfId="0" applyNumberFormat="1" applyFont="1" applyFill="1" applyBorder="1" applyAlignment="1">
      <alignment horizontal="left" vertical="center" wrapText="1"/>
    </xf>
    <xf numFmtId="10" fontId="19" fillId="6" borderId="5" xfId="2" applyNumberFormat="1" applyFont="1" applyFill="1" applyBorder="1" applyAlignment="1">
      <alignment horizontal="left" vertical="center" wrapText="1"/>
    </xf>
    <xf numFmtId="8" fontId="19" fillId="3" borderId="7" xfId="0" applyNumberFormat="1" applyFont="1" applyFill="1" applyBorder="1" applyAlignment="1">
      <alignment horizontal="left" vertical="center" wrapText="1"/>
    </xf>
    <xf numFmtId="165" fontId="0" fillId="3" borderId="0" xfId="0" applyNumberFormat="1" applyFill="1" applyBorder="1" applyAlignment="1">
      <alignment horizontal="left" vertical="center" wrapText="1"/>
    </xf>
    <xf numFmtId="0" fontId="0" fillId="3" borderId="0" xfId="0" applyFill="1" applyBorder="1" applyAlignment="1">
      <alignment vertical="center" wrapText="1"/>
    </xf>
    <xf numFmtId="0" fontId="14" fillId="3" borderId="23" xfId="0" applyFont="1" applyFill="1" applyBorder="1" applyAlignment="1">
      <alignment vertical="center"/>
    </xf>
    <xf numFmtId="0" fontId="16" fillId="3" borderId="24" xfId="0" applyFont="1" applyFill="1" applyBorder="1" applyAlignment="1">
      <alignment horizontal="left" vertical="center" wrapText="1"/>
    </xf>
    <xf numFmtId="0" fontId="14" fillId="3" borderId="25" xfId="0" applyFont="1" applyFill="1" applyBorder="1" applyAlignment="1">
      <alignment vertical="center"/>
    </xf>
    <xf numFmtId="0" fontId="16" fillId="3" borderId="26" xfId="0" applyFont="1" applyFill="1" applyBorder="1" applyAlignment="1">
      <alignment horizontal="left" vertical="center" wrapText="1"/>
    </xf>
    <xf numFmtId="165" fontId="17" fillId="3" borderId="7" xfId="0" applyNumberFormat="1" applyFont="1" applyFill="1" applyBorder="1" applyAlignment="1">
      <alignment horizontal="left" vertical="center"/>
    </xf>
    <xf numFmtId="165" fontId="21" fillId="3" borderId="3" xfId="0" applyNumberFormat="1" applyFont="1" applyFill="1" applyBorder="1" applyAlignment="1">
      <alignment horizontal="left" vertical="center"/>
    </xf>
    <xf numFmtId="165" fontId="18" fillId="6" borderId="0" xfId="0" applyNumberFormat="1" applyFont="1" applyFill="1" applyBorder="1" applyAlignment="1">
      <alignment horizontal="left" vertical="center"/>
    </xf>
    <xf numFmtId="0" fontId="79"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Border="1" applyAlignment="1">
      <alignment vertical="center"/>
    </xf>
    <xf numFmtId="8" fontId="19" fillId="3" borderId="0" xfId="0" applyNumberFormat="1" applyFont="1" applyFill="1" applyBorder="1" applyAlignment="1">
      <alignment horizontal="left" vertical="center"/>
    </xf>
    <xf numFmtId="165" fontId="18" fillId="3" borderId="8" xfId="0" applyNumberFormat="1" applyFont="1" applyFill="1" applyBorder="1" applyAlignment="1">
      <alignment horizontal="left" vertical="center"/>
    </xf>
    <xf numFmtId="10" fontId="18" fillId="3" borderId="3" xfId="2" applyNumberFormat="1" applyFont="1" applyFill="1" applyBorder="1" applyAlignment="1">
      <alignment horizontal="left" vertical="center"/>
    </xf>
    <xf numFmtId="0" fontId="81" fillId="0" borderId="0" xfId="0" applyFont="1" applyBorder="1" applyAlignment="1">
      <alignment horizontal="left" vertical="center"/>
    </xf>
    <xf numFmtId="0" fontId="81" fillId="0" borderId="0" xfId="0" applyFont="1" applyBorder="1" applyAlignment="1">
      <alignment vertical="center"/>
    </xf>
    <xf numFmtId="0" fontId="14" fillId="9" borderId="2" xfId="0" applyFont="1" applyFill="1" applyBorder="1" applyAlignment="1">
      <alignment vertical="center"/>
    </xf>
    <xf numFmtId="0" fontId="0" fillId="0" borderId="24" xfId="0" applyBorder="1" applyAlignment="1">
      <alignment vertical="center"/>
    </xf>
    <xf numFmtId="0" fontId="80" fillId="0" borderId="23" xfId="0" applyFont="1" applyBorder="1" applyAlignment="1">
      <alignment horizontal="left" vertical="center"/>
    </xf>
    <xf numFmtId="0" fontId="80" fillId="0" borderId="25" xfId="0" applyFont="1" applyBorder="1" applyAlignment="1">
      <alignment horizontal="left" vertical="center"/>
    </xf>
    <xf numFmtId="0" fontId="0" fillId="0" borderId="34" xfId="0" applyBorder="1" applyAlignment="1">
      <alignment vertical="center"/>
    </xf>
    <xf numFmtId="0" fontId="0" fillId="0" borderId="26" xfId="0" applyBorder="1" applyAlignment="1">
      <alignment vertical="center"/>
    </xf>
    <xf numFmtId="0" fontId="45" fillId="0" borderId="23" xfId="0" applyFont="1" applyBorder="1" applyAlignment="1">
      <alignment vertical="center"/>
    </xf>
    <xf numFmtId="0" fontId="0" fillId="5" borderId="0" xfId="0" applyFill="1" applyAlignment="1">
      <alignment horizontal="center" vertical="center"/>
    </xf>
    <xf numFmtId="165" fontId="18" fillId="6" borderId="7" xfId="0" applyNumberFormat="1" applyFont="1" applyFill="1" applyBorder="1" applyAlignment="1">
      <alignment vertical="center" wrapText="1"/>
    </xf>
    <xf numFmtId="0" fontId="5" fillId="0" borderId="0" xfId="0" applyFont="1" applyAlignment="1">
      <alignment vertical="center"/>
    </xf>
    <xf numFmtId="14" fontId="14" fillId="3" borderId="0" xfId="0" applyNumberFormat="1" applyFont="1" applyFill="1" applyBorder="1" applyAlignment="1">
      <alignment horizontal="left" vertical="center"/>
    </xf>
    <xf numFmtId="10" fontId="19" fillId="6" borderId="0" xfId="2" applyNumberFormat="1" applyFont="1" applyFill="1" applyBorder="1" applyAlignment="1">
      <alignment horizontal="left" vertical="center"/>
    </xf>
    <xf numFmtId="10" fontId="19" fillId="6" borderId="5" xfId="2" applyNumberFormat="1" applyFont="1" applyFill="1" applyBorder="1" applyAlignment="1">
      <alignment horizontal="left" vertical="center"/>
    </xf>
    <xf numFmtId="6" fontId="16" fillId="6" borderId="0" xfId="0" applyNumberFormat="1" applyFont="1" applyFill="1" applyBorder="1" applyAlignment="1">
      <alignment horizontal="left" vertical="center"/>
    </xf>
    <xf numFmtId="6" fontId="16" fillId="3" borderId="0" xfId="0" applyNumberFormat="1" applyFont="1" applyFill="1" applyBorder="1" applyAlignment="1">
      <alignment horizontal="left" vertical="center"/>
    </xf>
    <xf numFmtId="165" fontId="19" fillId="6" borderId="0" xfId="2" applyNumberFormat="1" applyFont="1" applyFill="1" applyBorder="1" applyAlignment="1">
      <alignment horizontal="left" vertical="center"/>
    </xf>
    <xf numFmtId="165" fontId="19" fillId="3" borderId="0" xfId="2" applyNumberFormat="1" applyFont="1" applyFill="1" applyBorder="1" applyAlignment="1">
      <alignment horizontal="left" vertical="center"/>
    </xf>
    <xf numFmtId="0" fontId="19" fillId="3" borderId="0" xfId="0" applyFont="1" applyFill="1" applyBorder="1" applyAlignment="1">
      <alignment horizontal="left" vertical="center"/>
    </xf>
    <xf numFmtId="165" fontId="53" fillId="3" borderId="0" xfId="2" applyNumberFormat="1" applyFont="1" applyFill="1" applyBorder="1" applyAlignment="1">
      <alignment horizontal="left" vertical="center"/>
    </xf>
    <xf numFmtId="0" fontId="40" fillId="0" borderId="0" xfId="0" applyFont="1" applyFill="1" applyBorder="1" applyAlignment="1">
      <alignment vertical="center" wrapText="1"/>
    </xf>
    <xf numFmtId="6" fontId="16" fillId="3" borderId="0" xfId="0" applyNumberFormat="1" applyFont="1" applyFill="1" applyBorder="1" applyAlignment="1">
      <alignment vertical="center"/>
    </xf>
    <xf numFmtId="6" fontId="25" fillId="3" borderId="0" xfId="0" applyNumberFormat="1" applyFont="1" applyFill="1" applyBorder="1" applyAlignment="1">
      <alignment vertical="center"/>
    </xf>
    <xf numFmtId="165" fontId="44" fillId="3" borderId="0" xfId="0" applyNumberFormat="1" applyFont="1" applyFill="1" applyBorder="1" applyAlignment="1">
      <alignment horizontal="left" vertical="center"/>
    </xf>
    <xf numFmtId="6" fontId="16" fillId="3" borderId="5" xfId="0" applyNumberFormat="1" applyFont="1" applyFill="1" applyBorder="1" applyAlignment="1">
      <alignment vertical="center"/>
    </xf>
    <xf numFmtId="165" fontId="44" fillId="3" borderId="5" xfId="0" applyNumberFormat="1" applyFont="1" applyFill="1" applyBorder="1" applyAlignment="1">
      <alignment horizontal="left" vertical="center"/>
    </xf>
    <xf numFmtId="9" fontId="11" fillId="3" borderId="0" xfId="2" applyFont="1" applyFill="1" applyBorder="1" applyAlignment="1">
      <alignment horizontal="left" vertical="center"/>
    </xf>
    <xf numFmtId="9" fontId="45" fillId="3" borderId="5" xfId="2" applyFont="1" applyFill="1" applyBorder="1" applyAlignment="1">
      <alignment horizontal="left" vertical="center"/>
    </xf>
    <xf numFmtId="9" fontId="45" fillId="6" borderId="5" xfId="2" applyFont="1" applyFill="1" applyBorder="1" applyAlignment="1">
      <alignment horizontal="left" vertical="center"/>
    </xf>
    <xf numFmtId="6" fontId="25" fillId="6" borderId="8" xfId="0" applyNumberFormat="1" applyFont="1" applyFill="1" applyBorder="1" applyAlignment="1">
      <alignment vertical="center"/>
    </xf>
    <xf numFmtId="6" fontId="25" fillId="6" borderId="3" xfId="0" applyNumberFormat="1" applyFont="1" applyFill="1" applyBorder="1" applyAlignment="1">
      <alignment vertical="center"/>
    </xf>
    <xf numFmtId="6" fontId="16" fillId="6" borderId="5" xfId="0" applyNumberFormat="1" applyFont="1" applyFill="1" applyBorder="1" applyAlignment="1">
      <alignment vertical="center"/>
    </xf>
    <xf numFmtId="8" fontId="19" fillId="6" borderId="0" xfId="0" applyNumberFormat="1" applyFont="1" applyFill="1" applyBorder="1" applyAlignment="1">
      <alignment horizontal="left" vertical="center"/>
    </xf>
    <xf numFmtId="8" fontId="19" fillId="6" borderId="5" xfId="0" applyNumberFormat="1" applyFont="1" applyFill="1" applyBorder="1" applyAlignment="1">
      <alignment horizontal="left" vertical="center"/>
    </xf>
    <xf numFmtId="165" fontId="18" fillId="6" borderId="9" xfId="0" applyNumberFormat="1" applyFont="1" applyFill="1" applyBorder="1" applyAlignment="1">
      <alignment horizontal="left" vertical="center"/>
    </xf>
    <xf numFmtId="165" fontId="53" fillId="6" borderId="9" xfId="2" applyNumberFormat="1" applyFont="1" applyFill="1" applyBorder="1" applyAlignment="1">
      <alignment horizontal="left" vertical="center"/>
    </xf>
    <xf numFmtId="165" fontId="53" fillId="6" borderId="7" xfId="2" applyNumberFormat="1" applyFont="1" applyFill="1" applyBorder="1" applyAlignment="1">
      <alignment horizontal="left" vertical="center"/>
    </xf>
    <xf numFmtId="14" fontId="42" fillId="0" borderId="0" xfId="0" applyNumberFormat="1" applyFont="1" applyBorder="1" applyAlignment="1">
      <alignment horizontal="left" vertical="center" wrapText="1"/>
    </xf>
    <xf numFmtId="14" fontId="42" fillId="0" borderId="0" xfId="0" applyNumberFormat="1" applyFont="1" applyAlignment="1">
      <alignment horizontal="left" vertical="center" wrapText="1"/>
    </xf>
    <xf numFmtId="14" fontId="41" fillId="3" borderId="8" xfId="0" applyNumberFormat="1" applyFont="1" applyFill="1" applyBorder="1" applyAlignment="1">
      <alignment horizontal="left" vertical="center"/>
    </xf>
    <xf numFmtId="14" fontId="41" fillId="3" borderId="0" xfId="0" applyNumberFormat="1" applyFont="1" applyFill="1" applyBorder="1" applyAlignment="1">
      <alignment horizontal="left" vertical="center"/>
    </xf>
    <xf numFmtId="0" fontId="16" fillId="0" borderId="8"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Border="1" applyAlignment="1">
      <alignment horizontal="left" vertical="center"/>
    </xf>
    <xf numFmtId="0" fontId="0" fillId="3" borderId="0" xfId="0" applyFill="1" applyBorder="1" applyAlignment="1">
      <alignment vertical="center"/>
    </xf>
    <xf numFmtId="0" fontId="0" fillId="3" borderId="0" xfId="0" applyFill="1" applyAlignment="1">
      <alignment vertical="center"/>
    </xf>
    <xf numFmtId="9" fontId="18" fillId="3" borderId="0" xfId="2" applyFont="1" applyFill="1" applyBorder="1" applyAlignment="1">
      <alignment horizontal="left" vertical="center"/>
    </xf>
    <xf numFmtId="165" fontId="45" fillId="0" borderId="8" xfId="0" applyNumberFormat="1" applyFont="1" applyBorder="1" applyAlignment="1">
      <alignment horizontal="left" vertical="center"/>
    </xf>
    <xf numFmtId="165" fontId="45" fillId="0" borderId="0" xfId="0" applyNumberFormat="1" applyFont="1" applyBorder="1" applyAlignment="1">
      <alignment horizontal="left" vertical="center"/>
    </xf>
    <xf numFmtId="0" fontId="0" fillId="0" borderId="0" xfId="0" applyAlignment="1">
      <alignment horizontal="left" vertical="center" wrapText="1"/>
    </xf>
    <xf numFmtId="165" fontId="18" fillId="0" borderId="9" xfId="0" applyNumberFormat="1" applyFont="1" applyBorder="1" applyAlignment="1">
      <alignment horizontal="left" vertical="center"/>
    </xf>
    <xf numFmtId="165" fontId="17" fillId="0" borderId="0" xfId="0" applyNumberFormat="1" applyFont="1"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vertical="center" wrapText="1"/>
    </xf>
    <xf numFmtId="8" fontId="45" fillId="6" borderId="0" xfId="0" applyNumberFormat="1" applyFont="1" applyFill="1" applyBorder="1" applyAlignment="1">
      <alignment horizontal="left" vertical="center"/>
    </xf>
    <xf numFmtId="165" fontId="16" fillId="0" borderId="29" xfId="0" applyNumberFormat="1" applyFont="1" applyBorder="1" applyAlignment="1">
      <alignment horizontal="center" vertical="center"/>
    </xf>
    <xf numFmtId="0" fontId="16" fillId="0" borderId="0" xfId="0" applyFont="1" applyAlignment="1">
      <alignment horizontal="center" vertical="center"/>
    </xf>
    <xf numFmtId="8" fontId="16" fillId="0" borderId="29" xfId="0" applyNumberFormat="1" applyFont="1" applyBorder="1" applyAlignment="1">
      <alignment horizontal="center" vertical="center"/>
    </xf>
    <xf numFmtId="8" fontId="16" fillId="0" borderId="0" xfId="0" applyNumberFormat="1" applyFont="1" applyAlignment="1">
      <alignment horizontal="center" vertical="center"/>
    </xf>
    <xf numFmtId="165" fontId="17" fillId="0" borderId="8" xfId="0" applyNumberFormat="1" applyFont="1" applyBorder="1" applyAlignment="1">
      <alignment horizontal="left" vertical="center"/>
    </xf>
    <xf numFmtId="165" fontId="17" fillId="0" borderId="3" xfId="0" applyNumberFormat="1" applyFont="1" applyBorder="1" applyAlignment="1">
      <alignment horizontal="left" vertical="center"/>
    </xf>
    <xf numFmtId="165" fontId="18" fillId="6" borderId="8" xfId="0" applyNumberFormat="1" applyFont="1" applyFill="1" applyBorder="1" applyAlignment="1">
      <alignment horizontal="left" vertical="center"/>
    </xf>
    <xf numFmtId="165" fontId="18" fillId="6" borderId="3" xfId="0" applyNumberFormat="1" applyFont="1" applyFill="1" applyBorder="1" applyAlignment="1">
      <alignment horizontal="left" vertical="center"/>
    </xf>
    <xf numFmtId="6" fontId="16" fillId="6" borderId="0" xfId="0" applyNumberFormat="1" applyFont="1" applyFill="1" applyBorder="1" applyAlignment="1">
      <alignment horizontal="left" vertical="center"/>
    </xf>
    <xf numFmtId="6" fontId="16" fillId="6" borderId="8" xfId="0" applyNumberFormat="1" applyFont="1" applyFill="1" applyBorder="1" applyAlignment="1">
      <alignment horizontal="left" vertical="center"/>
    </xf>
    <xf numFmtId="6" fontId="16" fillId="6" borderId="3" xfId="0" applyNumberFormat="1" applyFont="1" applyFill="1" applyBorder="1" applyAlignment="1">
      <alignment horizontal="left" vertical="center"/>
    </xf>
    <xf numFmtId="14" fontId="14" fillId="3" borderId="9" xfId="0" applyNumberFormat="1" applyFont="1" applyFill="1" applyBorder="1" applyAlignment="1">
      <alignment horizontal="left" vertical="center"/>
    </xf>
    <xf numFmtId="14" fontId="14" fillId="3" borderId="7" xfId="0" applyNumberFormat="1" applyFont="1" applyFill="1" applyBorder="1" applyAlignment="1">
      <alignment horizontal="left" vertical="center"/>
    </xf>
    <xf numFmtId="14" fontId="14" fillId="3" borderId="0" xfId="0" applyNumberFormat="1" applyFont="1" applyFill="1" applyBorder="1" applyAlignment="1">
      <alignment horizontal="left" vertical="center"/>
    </xf>
    <xf numFmtId="14" fontId="14" fillId="3" borderId="5" xfId="0" applyNumberFormat="1" applyFont="1" applyFill="1" applyBorder="1" applyAlignment="1">
      <alignment horizontal="left" vertical="center"/>
    </xf>
    <xf numFmtId="8" fontId="19" fillId="3" borderId="9" xfId="0" applyNumberFormat="1" applyFont="1" applyFill="1" applyBorder="1" applyAlignment="1">
      <alignment horizontal="left" vertical="center"/>
    </xf>
    <xf numFmtId="8" fontId="19" fillId="3" borderId="7" xfId="0" applyNumberFormat="1" applyFont="1" applyFill="1" applyBorder="1" applyAlignment="1">
      <alignment horizontal="left" vertical="center"/>
    </xf>
    <xf numFmtId="10" fontId="19" fillId="6" borderId="0" xfId="2" applyNumberFormat="1" applyFont="1" applyFill="1" applyBorder="1" applyAlignment="1">
      <alignment horizontal="left" vertical="center"/>
    </xf>
    <xf numFmtId="10" fontId="19" fillId="6" borderId="5" xfId="2" applyNumberFormat="1" applyFont="1" applyFill="1" applyBorder="1" applyAlignment="1">
      <alignment horizontal="left" vertical="center"/>
    </xf>
    <xf numFmtId="10" fontId="21" fillId="3" borderId="5" xfId="2" applyNumberFormat="1" applyFont="1" applyFill="1" applyBorder="1" applyAlignment="1">
      <alignment horizontal="left" vertical="center"/>
    </xf>
    <xf numFmtId="10" fontId="21" fillId="6" borderId="5" xfId="2" applyNumberFormat="1" applyFont="1" applyFill="1" applyBorder="1" applyAlignment="1">
      <alignment horizontal="left" vertical="center"/>
    </xf>
    <xf numFmtId="0" fontId="11" fillId="6" borderId="36" xfId="0" applyFont="1" applyFill="1" applyBorder="1" applyAlignment="1">
      <alignment vertical="center"/>
    </xf>
    <xf numFmtId="165" fontId="19" fillId="6" borderId="34" xfId="2" applyNumberFormat="1" applyFont="1" applyFill="1" applyBorder="1" applyAlignment="1">
      <alignment horizontal="left" vertical="center"/>
    </xf>
    <xf numFmtId="165" fontId="19" fillId="6" borderId="37" xfId="2" applyNumberFormat="1" applyFont="1" applyFill="1" applyBorder="1" applyAlignment="1">
      <alignment horizontal="left" vertical="center"/>
    </xf>
    <xf numFmtId="0" fontId="11" fillId="0" borderId="2" xfId="0" applyFont="1" applyBorder="1" applyAlignment="1">
      <alignment vertical="center"/>
    </xf>
    <xf numFmtId="14" fontId="9" fillId="0" borderId="0" xfId="0" applyNumberFormat="1" applyFont="1" applyBorder="1" applyAlignment="1">
      <alignment horizontal="left" vertical="center"/>
    </xf>
    <xf numFmtId="0" fontId="18" fillId="0" borderId="5" xfId="0" applyFont="1" applyBorder="1" applyAlignment="1">
      <alignment horizontal="left" vertical="center"/>
    </xf>
    <xf numFmtId="6" fontId="19" fillId="3" borderId="5" xfId="0" applyNumberFormat="1" applyFont="1" applyFill="1" applyBorder="1" applyAlignment="1">
      <alignment horizontal="left" vertical="center"/>
    </xf>
    <xf numFmtId="6" fontId="19" fillId="3" borderId="0" xfId="0" applyNumberFormat="1" applyFont="1" applyFill="1" applyBorder="1" applyAlignment="1">
      <alignment horizontal="left" vertical="center"/>
    </xf>
    <xf numFmtId="0" fontId="19" fillId="6" borderId="0" xfId="0" applyFont="1" applyFill="1" applyBorder="1" applyAlignment="1">
      <alignment horizontal="left" vertical="center"/>
    </xf>
    <xf numFmtId="165" fontId="23" fillId="6" borderId="5" xfId="0" applyNumberFormat="1" applyFont="1" applyFill="1" applyBorder="1" applyAlignment="1">
      <alignment horizontal="left" vertical="center"/>
    </xf>
    <xf numFmtId="165" fontId="23" fillId="6" borderId="0" xfId="0" applyNumberFormat="1" applyFont="1" applyFill="1" applyBorder="1" applyAlignment="1">
      <alignment horizontal="left" vertical="center"/>
    </xf>
    <xf numFmtId="164" fontId="23" fillId="6" borderId="5" xfId="2" applyNumberFormat="1" applyFont="1" applyFill="1" applyBorder="1" applyAlignment="1">
      <alignment horizontal="left" vertical="center"/>
    </xf>
    <xf numFmtId="165" fontId="23" fillId="3" borderId="0" xfId="0" applyNumberFormat="1" applyFont="1" applyFill="1" applyBorder="1" applyAlignment="1">
      <alignment horizontal="left" vertical="center"/>
    </xf>
    <xf numFmtId="164" fontId="23" fillId="3" borderId="5" xfId="2" applyNumberFormat="1" applyFont="1" applyFill="1" applyBorder="1" applyAlignment="1">
      <alignment horizontal="left" vertical="center"/>
    </xf>
    <xf numFmtId="165" fontId="18" fillId="3" borderId="9" xfId="0" applyNumberFormat="1" applyFont="1" applyFill="1" applyBorder="1" applyAlignment="1">
      <alignment horizontal="left" vertical="center"/>
    </xf>
    <xf numFmtId="9" fontId="18" fillId="3" borderId="5" xfId="2" applyFont="1" applyFill="1" applyBorder="1" applyAlignment="1">
      <alignment horizontal="left" vertical="center"/>
    </xf>
    <xf numFmtId="0" fontId="14" fillId="0" borderId="0" xfId="0" applyFont="1" applyBorder="1" applyAlignment="1">
      <alignment vertical="center"/>
    </xf>
    <xf numFmtId="165" fontId="45" fillId="0" borderId="9" xfId="0" applyNumberFormat="1" applyFont="1" applyBorder="1" applyAlignment="1">
      <alignment horizontal="left" vertical="center"/>
    </xf>
    <xf numFmtId="164" fontId="11" fillId="6" borderId="5" xfId="0" applyNumberFormat="1" applyFont="1" applyFill="1" applyBorder="1" applyAlignment="1">
      <alignment horizontal="left" vertical="center"/>
    </xf>
    <xf numFmtId="10" fontId="11" fillId="3" borderId="5" xfId="2" applyNumberFormat="1" applyFont="1" applyFill="1" applyBorder="1" applyAlignment="1">
      <alignment horizontal="left" vertical="center"/>
    </xf>
    <xf numFmtId="165" fontId="18" fillId="6" borderId="3" xfId="0" applyNumberFormat="1" applyFont="1" applyFill="1" applyBorder="1" applyAlignment="1">
      <alignment horizontal="left" vertical="center"/>
    </xf>
    <xf numFmtId="0" fontId="11" fillId="6" borderId="38" xfId="0" applyFont="1" applyFill="1" applyBorder="1" applyAlignment="1">
      <alignment vertical="center"/>
    </xf>
    <xf numFmtId="0" fontId="11" fillId="3" borderId="36" xfId="0" applyFont="1" applyFill="1" applyBorder="1" applyAlignment="1">
      <alignment vertical="center"/>
    </xf>
    <xf numFmtId="0" fontId="0" fillId="0" borderId="0" xfId="0"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165" fontId="19" fillId="6" borderId="33" xfId="2" applyNumberFormat="1" applyFont="1" applyFill="1" applyBorder="1" applyAlignment="1">
      <alignment horizontal="left" vertical="center"/>
    </xf>
    <xf numFmtId="0" fontId="16" fillId="6" borderId="39" xfId="0" applyFont="1" applyFill="1" applyBorder="1" applyAlignment="1">
      <alignment horizontal="left" vertical="center"/>
    </xf>
    <xf numFmtId="0" fontId="16" fillId="6" borderId="5" xfId="0" applyFont="1" applyFill="1" applyBorder="1" applyAlignment="1">
      <alignment horizontal="left" vertical="center"/>
    </xf>
    <xf numFmtId="9" fontId="0" fillId="6" borderId="1" xfId="2" applyFont="1" applyFill="1" applyBorder="1" applyAlignment="1">
      <alignment horizontal="center" vertical="center"/>
    </xf>
    <xf numFmtId="165" fontId="16" fillId="6" borderId="0" xfId="2" applyNumberFormat="1" applyFont="1" applyFill="1" applyBorder="1" applyAlignment="1">
      <alignment horizontal="left" vertical="center"/>
    </xf>
    <xf numFmtId="8" fontId="16" fillId="3" borderId="34" xfId="0" applyNumberFormat="1" applyFont="1" applyFill="1" applyBorder="1" applyAlignment="1">
      <alignment horizontal="left" vertical="center"/>
    </xf>
    <xf numFmtId="0" fontId="16" fillId="0" borderId="37" xfId="0" applyFont="1" applyBorder="1" applyAlignment="1">
      <alignment horizontal="left" vertical="center"/>
    </xf>
    <xf numFmtId="166" fontId="16" fillId="6" borderId="0" xfId="0" applyNumberFormat="1" applyFont="1" applyFill="1" applyBorder="1" applyAlignment="1">
      <alignment horizontal="left" vertical="center"/>
    </xf>
    <xf numFmtId="165" fontId="45" fillId="6" borderId="5" xfId="0" applyNumberFormat="1" applyFont="1" applyFill="1" applyBorder="1" applyAlignment="1">
      <alignment horizontal="left" vertical="center"/>
    </xf>
    <xf numFmtId="9" fontId="16" fillId="3" borderId="0" xfId="2" applyFont="1" applyFill="1" applyBorder="1" applyAlignment="1">
      <alignment horizontal="left" vertical="center"/>
    </xf>
    <xf numFmtId="8" fontId="23" fillId="0" borderId="5" xfId="0" applyNumberFormat="1" applyFont="1" applyBorder="1" applyAlignment="1">
      <alignment horizontal="left" vertical="center"/>
    </xf>
    <xf numFmtId="9" fontId="19" fillId="6" borderId="0" xfId="2" applyFont="1" applyFill="1" applyBorder="1" applyAlignment="1">
      <alignment horizontal="left" vertical="center"/>
    </xf>
    <xf numFmtId="165" fontId="17" fillId="6" borderId="5" xfId="0" applyNumberFormat="1" applyFont="1" applyFill="1" applyBorder="1" applyAlignment="1">
      <alignment horizontal="left" vertical="center"/>
    </xf>
    <xf numFmtId="0" fontId="14" fillId="0" borderId="6" xfId="0" applyFont="1" applyBorder="1" applyAlignment="1">
      <alignment vertical="center"/>
    </xf>
    <xf numFmtId="0" fontId="16" fillId="0" borderId="7" xfId="0" applyFont="1" applyBorder="1" applyAlignment="1">
      <alignment horizontal="left" vertical="center"/>
    </xf>
    <xf numFmtId="0" fontId="49" fillId="15" borderId="0" xfId="0" applyFont="1" applyFill="1" applyAlignment="1">
      <alignment horizontal="center" vertical="center"/>
    </xf>
    <xf numFmtId="166" fontId="18" fillId="6" borderId="5" xfId="2" applyNumberFormat="1" applyFont="1" applyFill="1" applyBorder="1" applyAlignment="1">
      <alignment horizontal="left" vertical="center"/>
    </xf>
    <xf numFmtId="166" fontId="18" fillId="3" borderId="5" xfId="2" applyNumberFormat="1" applyFont="1" applyFill="1" applyBorder="1" applyAlignment="1">
      <alignment horizontal="left" vertical="center"/>
    </xf>
    <xf numFmtId="10" fontId="11" fillId="6" borderId="0" xfId="2" applyNumberFormat="1" applyFont="1" applyFill="1" applyBorder="1" applyAlignment="1">
      <alignment horizontal="left" vertical="center" wrapText="1"/>
    </xf>
    <xf numFmtId="8" fontId="18" fillId="6" borderId="0" xfId="0" applyNumberFormat="1" applyFont="1" applyFill="1" applyBorder="1" applyAlignment="1">
      <alignment horizontal="left" vertical="center"/>
    </xf>
    <xf numFmtId="0" fontId="18" fillId="0" borderId="0" xfId="0" applyFont="1" applyBorder="1" applyAlignment="1">
      <alignment horizontal="left" vertical="center"/>
    </xf>
    <xf numFmtId="165" fontId="17" fillId="0" borderId="9" xfId="0" applyNumberFormat="1" applyFont="1" applyBorder="1" applyAlignment="1">
      <alignment horizontal="left" vertical="center"/>
    </xf>
    <xf numFmtId="165" fontId="17" fillId="0" borderId="7" xfId="0" applyNumberFormat="1" applyFont="1" applyBorder="1" applyAlignment="1">
      <alignment horizontal="left" vertical="center"/>
    </xf>
    <xf numFmtId="165" fontId="16" fillId="0" borderId="0" xfId="0" applyNumberFormat="1" applyFont="1" applyAlignment="1">
      <alignment horizontal="center" vertical="center"/>
    </xf>
    <xf numFmtId="9" fontId="19" fillId="3" borderId="0" xfId="2" applyFont="1" applyFill="1" applyBorder="1" applyAlignment="1">
      <alignment horizontal="left" vertical="center" wrapText="1"/>
    </xf>
    <xf numFmtId="165" fontId="19" fillId="6" borderId="0" xfId="2" applyNumberFormat="1" applyFont="1" applyFill="1" applyBorder="1" applyAlignment="1">
      <alignment horizontal="left" vertical="center" wrapText="1"/>
    </xf>
    <xf numFmtId="164" fontId="19" fillId="3" borderId="0" xfId="2" applyNumberFormat="1" applyFont="1" applyFill="1" applyBorder="1" applyAlignment="1">
      <alignment horizontal="left" vertical="center" wrapText="1"/>
    </xf>
    <xf numFmtId="14" fontId="9" fillId="0" borderId="0" xfId="0" applyNumberFormat="1" applyFont="1" applyBorder="1" applyAlignment="1">
      <alignment horizontal="left" vertical="center" wrapText="1"/>
    </xf>
    <xf numFmtId="0" fontId="16" fillId="0" borderId="0" xfId="0" applyFont="1" applyAlignment="1">
      <alignment vertical="center" wrapText="1"/>
    </xf>
    <xf numFmtId="0" fontId="16" fillId="0" borderId="0" xfId="0" applyFont="1" applyAlignment="1">
      <alignment horizontal="right" vertical="center" wrapText="1"/>
    </xf>
    <xf numFmtId="0" fontId="42" fillId="0" borderId="0" xfId="0" applyFont="1" applyAlignment="1">
      <alignment vertical="center" wrapText="1"/>
    </xf>
    <xf numFmtId="165" fontId="0" fillId="0" borderId="0" xfId="0" applyNumberFormat="1" applyAlignment="1">
      <alignment vertical="center"/>
    </xf>
    <xf numFmtId="10" fontId="11" fillId="6" borderId="0" xfId="2" applyNumberFormat="1" applyFont="1" applyFill="1" applyBorder="1" applyAlignment="1">
      <alignment horizontal="right" vertical="center" wrapText="1"/>
    </xf>
    <xf numFmtId="165" fontId="44" fillId="3" borderId="9" xfId="0" applyNumberFormat="1" applyFont="1" applyFill="1" applyBorder="1" applyAlignment="1">
      <alignment horizontal="left" vertical="center"/>
    </xf>
    <xf numFmtId="165" fontId="44" fillId="3" borderId="7" xfId="0" applyNumberFormat="1" applyFont="1" applyFill="1" applyBorder="1" applyAlignment="1">
      <alignment horizontal="left" vertical="center"/>
    </xf>
    <xf numFmtId="165" fontId="16" fillId="3" borderId="0" xfId="0" applyNumberFormat="1" applyFont="1" applyFill="1" applyBorder="1" applyAlignment="1">
      <alignment horizontal="left" vertical="center"/>
    </xf>
    <xf numFmtId="8" fontId="14" fillId="3" borderId="5" xfId="0" applyNumberFormat="1" applyFont="1" applyFill="1" applyBorder="1" applyAlignment="1">
      <alignment horizontal="left" vertical="center"/>
    </xf>
    <xf numFmtId="0" fontId="14" fillId="0" borderId="0" xfId="0" applyFont="1" applyAlignment="1">
      <alignment vertical="center"/>
    </xf>
    <xf numFmtId="8" fontId="17" fillId="3" borderId="7" xfId="0" applyNumberFormat="1" applyFont="1" applyFill="1" applyBorder="1" applyAlignment="1">
      <alignment horizontal="left" vertical="center"/>
    </xf>
    <xf numFmtId="0" fontId="0" fillId="0" borderId="0" xfId="0" applyBorder="1" applyAlignment="1">
      <alignment horizontal="left" vertical="center"/>
    </xf>
    <xf numFmtId="165" fontId="18" fillId="0" borderId="8" xfId="0" applyNumberFormat="1" applyFont="1" applyBorder="1" applyAlignment="1">
      <alignment horizontal="left" vertical="center"/>
    </xf>
    <xf numFmtId="165" fontId="18" fillId="0" borderId="3" xfId="0" applyNumberFormat="1" applyFont="1" applyBorder="1" applyAlignment="1">
      <alignment horizontal="left" vertical="center"/>
    </xf>
    <xf numFmtId="0" fontId="16" fillId="0" borderId="8" xfId="0" applyFont="1" applyBorder="1" applyAlignment="1">
      <alignment horizontal="left" vertical="center"/>
    </xf>
    <xf numFmtId="165" fontId="19" fillId="3" borderId="5" xfId="2" applyNumberFormat="1" applyFont="1" applyFill="1" applyBorder="1" applyAlignment="1">
      <alignment horizontal="left" vertical="center" wrapText="1"/>
    </xf>
    <xf numFmtId="165" fontId="16" fillId="0" borderId="28" xfId="0" applyNumberFormat="1" applyFont="1" applyBorder="1" applyAlignment="1">
      <alignment horizontal="center" vertical="center"/>
    </xf>
    <xf numFmtId="14" fontId="3" fillId="3" borderId="5" xfId="0" applyNumberFormat="1" applyFont="1" applyFill="1" applyBorder="1" applyAlignment="1">
      <alignment horizontal="left" vertical="center"/>
    </xf>
    <xf numFmtId="9" fontId="19" fillId="3" borderId="0" xfId="0" applyNumberFormat="1" applyFont="1" applyFill="1" applyBorder="1" applyAlignment="1">
      <alignment horizontal="left" vertical="center"/>
    </xf>
    <xf numFmtId="9" fontId="19" fillId="3" borderId="5" xfId="0" applyNumberFormat="1" applyFont="1" applyFill="1" applyBorder="1" applyAlignment="1">
      <alignment horizontal="left" vertical="center"/>
    </xf>
    <xf numFmtId="164" fontId="19" fillId="3" borderId="0" xfId="0" applyNumberFormat="1" applyFont="1" applyFill="1" applyBorder="1" applyAlignment="1">
      <alignment horizontal="left" vertical="center"/>
    </xf>
    <xf numFmtId="164" fontId="19" fillId="3" borderId="5" xfId="0" applyNumberFormat="1" applyFont="1" applyFill="1" applyBorder="1" applyAlignment="1">
      <alignment horizontal="left" vertical="center"/>
    </xf>
    <xf numFmtId="10" fontId="19" fillId="6" borderId="5" xfId="0" applyNumberFormat="1" applyFont="1" applyFill="1" applyBorder="1" applyAlignment="1">
      <alignment horizontal="left" vertical="center"/>
    </xf>
    <xf numFmtId="164" fontId="19" fillId="6" borderId="7" xfId="0" applyNumberFormat="1" applyFont="1" applyFill="1" applyBorder="1" applyAlignment="1">
      <alignment horizontal="left" vertical="center"/>
    </xf>
    <xf numFmtId="165" fontId="18" fillId="6" borderId="3" xfId="1" applyNumberFormat="1" applyFont="1" applyFill="1" applyBorder="1" applyAlignment="1">
      <alignment horizontal="left" vertical="center"/>
    </xf>
    <xf numFmtId="164" fontId="19" fillId="6" borderId="9" xfId="0" applyNumberFormat="1" applyFont="1" applyFill="1" applyBorder="1" applyAlignment="1">
      <alignment horizontal="left" vertical="center"/>
    </xf>
    <xf numFmtId="165" fontId="18" fillId="6" borderId="5" xfId="1" applyNumberFormat="1" applyFont="1" applyFill="1" applyBorder="1" applyAlignment="1">
      <alignment horizontal="left" vertical="center"/>
    </xf>
    <xf numFmtId="165" fontId="18" fillId="3" borderId="8" xfId="1" applyNumberFormat="1" applyFont="1" applyFill="1" applyBorder="1" applyAlignment="1">
      <alignment horizontal="left" vertical="center"/>
    </xf>
    <xf numFmtId="10" fontId="18" fillId="3" borderId="8" xfId="2" applyNumberFormat="1" applyFont="1" applyFill="1" applyBorder="1" applyAlignment="1">
      <alignment horizontal="left" vertical="center"/>
    </xf>
    <xf numFmtId="165" fontId="18" fillId="6" borderId="0" xfId="1" applyNumberFormat="1" applyFont="1" applyFill="1" applyBorder="1" applyAlignment="1">
      <alignment horizontal="left" vertical="center"/>
    </xf>
    <xf numFmtId="165" fontId="18" fillId="6" borderId="7" xfId="1" applyNumberFormat="1" applyFont="1" applyFill="1" applyBorder="1" applyAlignment="1">
      <alignment horizontal="left" vertical="center"/>
    </xf>
    <xf numFmtId="165" fontId="18" fillId="3" borderId="0" xfId="1" applyNumberFormat="1" applyFont="1" applyFill="1" applyBorder="1" applyAlignment="1">
      <alignment horizontal="left" vertical="center"/>
    </xf>
    <xf numFmtId="165" fontId="18" fillId="3" borderId="3" xfId="1" applyNumberFormat="1" applyFont="1" applyFill="1" applyBorder="1" applyAlignment="1">
      <alignment horizontal="left" vertical="center"/>
    </xf>
    <xf numFmtId="165" fontId="18" fillId="3" borderId="9" xfId="1" applyNumberFormat="1" applyFont="1" applyFill="1" applyBorder="1" applyAlignment="1">
      <alignment horizontal="left" vertical="center"/>
    </xf>
    <xf numFmtId="165" fontId="18" fillId="3" borderId="7" xfId="1" applyNumberFormat="1" applyFont="1" applyFill="1" applyBorder="1" applyAlignment="1">
      <alignment horizontal="left" vertical="center"/>
    </xf>
    <xf numFmtId="165" fontId="17" fillId="3" borderId="3" xfId="1" applyNumberFormat="1" applyFont="1" applyFill="1" applyBorder="1" applyAlignment="1">
      <alignment horizontal="left" vertical="center"/>
    </xf>
    <xf numFmtId="8" fontId="45" fillId="3" borderId="7" xfId="0" applyNumberFormat="1" applyFont="1" applyFill="1" applyBorder="1" applyAlignment="1">
      <alignment horizontal="left" vertical="center"/>
    </xf>
    <xf numFmtId="0" fontId="3" fillId="3" borderId="0" xfId="0" applyFont="1" applyFill="1" applyBorder="1" applyAlignment="1">
      <alignment vertical="center"/>
    </xf>
    <xf numFmtId="165" fontId="17" fillId="3" borderId="8" xfId="1" applyNumberFormat="1" applyFont="1" applyFill="1" applyBorder="1" applyAlignment="1">
      <alignment horizontal="left" vertical="center"/>
    </xf>
    <xf numFmtId="165" fontId="14" fillId="3" borderId="8" xfId="1" applyNumberFormat="1" applyFont="1" applyFill="1" applyBorder="1" applyAlignment="1">
      <alignment horizontal="left" vertical="center"/>
    </xf>
    <xf numFmtId="0" fontId="3" fillId="3" borderId="21" xfId="0" applyFont="1" applyFill="1" applyBorder="1" applyAlignment="1">
      <alignment vertical="center"/>
    </xf>
    <xf numFmtId="0" fontId="0" fillId="3" borderId="22" xfId="0" applyFill="1" applyBorder="1" applyAlignment="1">
      <alignment horizontal="left" vertical="center"/>
    </xf>
    <xf numFmtId="8" fontId="17" fillId="3" borderId="9" xfId="0" applyNumberFormat="1" applyFont="1" applyFill="1" applyBorder="1" applyAlignment="1">
      <alignment horizontal="left" vertical="center"/>
    </xf>
    <xf numFmtId="0" fontId="3" fillId="3" borderId="25" xfId="0" applyFont="1" applyFill="1" applyBorder="1" applyAlignment="1">
      <alignment vertical="center"/>
    </xf>
    <xf numFmtId="0" fontId="0" fillId="3" borderId="26" xfId="0" applyFill="1" applyBorder="1" applyAlignment="1">
      <alignment horizontal="left" vertical="center"/>
    </xf>
    <xf numFmtId="0" fontId="3" fillId="0" borderId="0" xfId="0" applyFont="1" applyAlignment="1">
      <alignment vertical="center"/>
    </xf>
    <xf numFmtId="165" fontId="14" fillId="3" borderId="3" xfId="1" applyNumberFormat="1" applyFont="1" applyFill="1" applyBorder="1" applyAlignment="1">
      <alignment horizontal="center" vertical="center"/>
    </xf>
    <xf numFmtId="10" fontId="14" fillId="6" borderId="0" xfId="0" applyNumberFormat="1" applyFont="1" applyFill="1" applyBorder="1" applyAlignment="1">
      <alignment horizontal="left" vertical="center"/>
    </xf>
    <xf numFmtId="9" fontId="19" fillId="3" borderId="0" xfId="2" applyFont="1" applyFill="1" applyBorder="1" applyAlignment="1">
      <alignment horizontal="left" vertical="center"/>
    </xf>
    <xf numFmtId="165" fontId="17" fillId="3" borderId="5" xfId="0" applyNumberFormat="1" applyFont="1" applyFill="1" applyBorder="1" applyAlignment="1">
      <alignment horizontal="left" vertical="center"/>
    </xf>
    <xf numFmtId="0" fontId="14" fillId="6" borderId="6" xfId="0" applyFont="1" applyFill="1" applyBorder="1" applyAlignment="1">
      <alignment vertical="center"/>
    </xf>
    <xf numFmtId="165" fontId="45" fillId="6" borderId="9" xfId="0" applyNumberFormat="1" applyFont="1" applyFill="1" applyBorder="1" applyAlignment="1">
      <alignment horizontal="left" vertical="center"/>
    </xf>
    <xf numFmtId="0" fontId="16" fillId="6" borderId="7" xfId="0" applyFont="1" applyFill="1" applyBorder="1" applyAlignment="1">
      <alignment horizontal="left" vertical="center"/>
    </xf>
    <xf numFmtId="10" fontId="11" fillId="3" borderId="0" xfId="2" applyNumberFormat="1" applyFont="1" applyFill="1" applyBorder="1" applyAlignment="1">
      <alignment horizontal="left" vertical="center" wrapText="1"/>
    </xf>
    <xf numFmtId="10" fontId="11" fillId="3" borderId="0" xfId="2" applyNumberFormat="1" applyFont="1" applyFill="1" applyBorder="1" applyAlignment="1">
      <alignment horizontal="right" vertical="center" wrapText="1"/>
    </xf>
    <xf numFmtId="10" fontId="16" fillId="3" borderId="5" xfId="2" applyNumberFormat="1" applyFont="1" applyFill="1" applyBorder="1" applyAlignment="1">
      <alignment horizontal="left" vertical="center"/>
    </xf>
    <xf numFmtId="10" fontId="16" fillId="6" borderId="5" xfId="2" applyNumberFormat="1" applyFont="1" applyFill="1" applyBorder="1" applyAlignment="1">
      <alignment horizontal="left" vertical="center"/>
    </xf>
    <xf numFmtId="165" fontId="18" fillId="6" borderId="8" xfId="0" applyNumberFormat="1" applyFont="1" applyFill="1" applyBorder="1" applyAlignment="1">
      <alignment horizontal="left" vertical="center"/>
    </xf>
    <xf numFmtId="165" fontId="18" fillId="6" borderId="3" xfId="0" applyNumberFormat="1" applyFont="1" applyFill="1" applyBorder="1" applyAlignment="1">
      <alignment horizontal="left" vertical="center"/>
    </xf>
    <xf numFmtId="0" fontId="21" fillId="3" borderId="6" xfId="0" applyFont="1" applyFill="1" applyBorder="1" applyAlignment="1">
      <alignment vertical="center"/>
    </xf>
    <xf numFmtId="166" fontId="23" fillId="3" borderId="7" xfId="2" applyNumberFormat="1" applyFont="1" applyFill="1" applyBorder="1" applyAlignment="1">
      <alignment horizontal="left" vertical="center"/>
    </xf>
    <xf numFmtId="0" fontId="19" fillId="3" borderId="0" xfId="0" applyFont="1" applyFill="1" applyBorder="1" applyAlignment="1">
      <alignment horizontal="left" vertical="center" wrapText="1"/>
    </xf>
    <xf numFmtId="164" fontId="19" fillId="3" borderId="23" xfId="0" applyNumberFormat="1" applyFont="1" applyFill="1" applyBorder="1" applyAlignment="1">
      <alignment horizontal="left" vertical="center"/>
    </xf>
    <xf numFmtId="165" fontId="17" fillId="3" borderId="41" xfId="1" applyNumberFormat="1" applyFont="1" applyFill="1" applyBorder="1" applyAlignment="1">
      <alignment horizontal="left" vertical="center"/>
    </xf>
    <xf numFmtId="8" fontId="17" fillId="3" borderId="40" xfId="0" applyNumberFormat="1" applyFont="1" applyFill="1" applyBorder="1" applyAlignment="1">
      <alignment horizontal="left" vertical="center"/>
    </xf>
    <xf numFmtId="10" fontId="19" fillId="3" borderId="0" xfId="0" applyNumberFormat="1" applyFont="1" applyFill="1" applyBorder="1" applyAlignment="1">
      <alignment horizontal="left" vertical="center"/>
    </xf>
    <xf numFmtId="10" fontId="19" fillId="3" borderId="5" xfId="0" applyNumberFormat="1" applyFont="1" applyFill="1" applyBorder="1" applyAlignment="1">
      <alignment horizontal="left" vertical="center"/>
    </xf>
    <xf numFmtId="165" fontId="17" fillId="0" borderId="9" xfId="0" applyNumberFormat="1" applyFont="1" applyBorder="1" applyAlignment="1">
      <alignment horizontal="left" vertical="center"/>
    </xf>
    <xf numFmtId="165" fontId="17" fillId="0" borderId="7" xfId="0" applyNumberFormat="1" applyFont="1" applyBorder="1" applyAlignment="1">
      <alignment horizontal="left" vertical="center"/>
    </xf>
    <xf numFmtId="165" fontId="18" fillId="6" borderId="8" xfId="0" applyNumberFormat="1" applyFont="1" applyFill="1" applyBorder="1" applyAlignment="1">
      <alignment horizontal="left" vertical="center"/>
    </xf>
    <xf numFmtId="165" fontId="18" fillId="0" borderId="9" xfId="0" applyNumberFormat="1" applyFont="1" applyBorder="1" applyAlignment="1">
      <alignment horizontal="left" vertical="center"/>
    </xf>
    <xf numFmtId="165" fontId="18" fillId="0" borderId="7" xfId="0" applyNumberFormat="1" applyFont="1" applyBorder="1" applyAlignment="1">
      <alignment horizontal="left" vertical="center"/>
    </xf>
    <xf numFmtId="14" fontId="41" fillId="3" borderId="8" xfId="0" applyNumberFormat="1" applyFont="1" applyFill="1" applyBorder="1" applyAlignment="1">
      <alignment horizontal="left" vertical="center"/>
    </xf>
    <xf numFmtId="14" fontId="41" fillId="3" borderId="3" xfId="0" applyNumberFormat="1" applyFont="1" applyFill="1" applyBorder="1" applyAlignment="1">
      <alignment horizontal="left" vertical="center"/>
    </xf>
    <xf numFmtId="14" fontId="41" fillId="3" borderId="0" xfId="0" applyNumberFormat="1" applyFont="1" applyFill="1" applyBorder="1" applyAlignment="1">
      <alignment horizontal="left" vertical="center"/>
    </xf>
    <xf numFmtId="14" fontId="14" fillId="3" borderId="9" xfId="0" applyNumberFormat="1" applyFont="1" applyFill="1" applyBorder="1" applyAlignment="1">
      <alignment horizontal="left" vertical="center"/>
    </xf>
    <xf numFmtId="14" fontId="14" fillId="3" borderId="7" xfId="0" applyNumberFormat="1" applyFont="1" applyFill="1" applyBorder="1" applyAlignment="1">
      <alignment horizontal="left" vertical="center"/>
    </xf>
    <xf numFmtId="6" fontId="16" fillId="6" borderId="0" xfId="0" applyNumberFormat="1" applyFont="1" applyFill="1" applyBorder="1" applyAlignment="1">
      <alignment horizontal="left" vertical="center"/>
    </xf>
    <xf numFmtId="0" fontId="16" fillId="0" borderId="8" xfId="0" applyFont="1" applyBorder="1" applyAlignment="1">
      <alignment horizontal="left" vertical="center"/>
    </xf>
    <xf numFmtId="0" fontId="16" fillId="0" borderId="3" xfId="0" applyFont="1" applyBorder="1" applyAlignment="1">
      <alignment horizontal="left" vertical="center"/>
    </xf>
    <xf numFmtId="165" fontId="18" fillId="0" borderId="0" xfId="0" applyNumberFormat="1" applyFont="1" applyBorder="1" applyAlignment="1">
      <alignment horizontal="left" vertical="center"/>
    </xf>
    <xf numFmtId="14" fontId="14" fillId="3" borderId="0" xfId="0" applyNumberFormat="1" applyFont="1" applyFill="1" applyBorder="1" applyAlignment="1">
      <alignment horizontal="left" vertical="center"/>
    </xf>
    <xf numFmtId="14" fontId="14" fillId="3" borderId="5" xfId="0" applyNumberFormat="1" applyFont="1" applyFill="1" applyBorder="1" applyAlignment="1">
      <alignment horizontal="left" vertical="center"/>
    </xf>
    <xf numFmtId="8" fontId="19" fillId="3" borderId="9" xfId="0" applyNumberFormat="1" applyFont="1" applyFill="1" applyBorder="1" applyAlignment="1">
      <alignment horizontal="left" vertical="center"/>
    </xf>
    <xf numFmtId="8" fontId="19" fillId="3" borderId="7" xfId="0" applyNumberFormat="1" applyFont="1" applyFill="1" applyBorder="1" applyAlignment="1">
      <alignment horizontal="left" vertical="center"/>
    </xf>
    <xf numFmtId="10" fontId="19" fillId="6" borderId="0" xfId="2" applyNumberFormat="1" applyFont="1" applyFill="1" applyBorder="1" applyAlignment="1">
      <alignment horizontal="left" vertical="center"/>
    </xf>
    <xf numFmtId="10" fontId="19" fillId="6" borderId="5" xfId="2" applyNumberFormat="1" applyFont="1" applyFill="1" applyBorder="1" applyAlignment="1">
      <alignment horizontal="left" vertical="center"/>
    </xf>
    <xf numFmtId="165" fontId="17" fillId="0" borderId="0" xfId="0" applyNumberFormat="1" applyFont="1" applyBorder="1" applyAlignment="1">
      <alignment horizontal="left" vertical="center"/>
    </xf>
    <xf numFmtId="0" fontId="18" fillId="3" borderId="0" xfId="0" applyFont="1" applyFill="1" applyBorder="1" applyAlignment="1">
      <alignment horizontal="left" vertical="center" wrapText="1"/>
    </xf>
    <xf numFmtId="14" fontId="14" fillId="3" borderId="9" xfId="0" applyNumberFormat="1" applyFont="1" applyFill="1" applyBorder="1" applyAlignment="1">
      <alignment horizontal="left" vertical="center"/>
    </xf>
    <xf numFmtId="14" fontId="14" fillId="3" borderId="7" xfId="0" applyNumberFormat="1" applyFont="1" applyFill="1" applyBorder="1" applyAlignment="1">
      <alignment horizontal="left" vertical="center"/>
    </xf>
    <xf numFmtId="165" fontId="18" fillId="6" borderId="0" xfId="0" applyNumberFormat="1" applyFont="1" applyFill="1" applyBorder="1" applyAlignment="1">
      <alignment horizontal="left" vertical="center" wrapText="1"/>
    </xf>
    <xf numFmtId="165" fontId="18" fillId="6" borderId="5" xfId="0" applyNumberFormat="1" applyFont="1" applyFill="1" applyBorder="1" applyAlignment="1">
      <alignment horizontal="left" vertical="center" wrapText="1"/>
    </xf>
    <xf numFmtId="165" fontId="18" fillId="3" borderId="0" xfId="0" applyNumberFormat="1" applyFont="1" applyFill="1" applyBorder="1" applyAlignment="1">
      <alignment horizontal="left" vertical="center" wrapText="1"/>
    </xf>
    <xf numFmtId="165" fontId="18" fillId="3" borderId="5" xfId="0" applyNumberFormat="1" applyFont="1" applyFill="1" applyBorder="1" applyAlignment="1">
      <alignment horizontal="left" vertical="center" wrapText="1"/>
    </xf>
    <xf numFmtId="164" fontId="19" fillId="3" borderId="5" xfId="2" applyNumberFormat="1" applyFont="1" applyFill="1" applyBorder="1" applyAlignment="1">
      <alignment horizontal="left" vertical="center" wrapText="1"/>
    </xf>
    <xf numFmtId="0" fontId="19" fillId="6" borderId="5" xfId="0" applyFont="1" applyFill="1" applyBorder="1" applyAlignment="1">
      <alignment horizontal="left" vertical="center" wrapText="1"/>
    </xf>
    <xf numFmtId="0" fontId="19" fillId="3" borderId="5" xfId="0" applyFont="1" applyFill="1" applyBorder="1" applyAlignment="1">
      <alignment horizontal="left" vertical="center" wrapText="1"/>
    </xf>
    <xf numFmtId="165" fontId="18" fillId="3" borderId="8" xfId="0" applyNumberFormat="1" applyFont="1" applyFill="1" applyBorder="1" applyAlignment="1">
      <alignment horizontal="left" vertical="center" wrapText="1"/>
    </xf>
    <xf numFmtId="165" fontId="18" fillId="3" borderId="3" xfId="0" applyNumberFormat="1" applyFont="1" applyFill="1" applyBorder="1" applyAlignment="1">
      <alignment horizontal="left" vertical="center" wrapText="1"/>
    </xf>
    <xf numFmtId="165" fontId="19" fillId="6" borderId="5" xfId="2" applyNumberFormat="1" applyFont="1" applyFill="1" applyBorder="1" applyAlignment="1">
      <alignment horizontal="left" vertical="center" wrapText="1"/>
    </xf>
    <xf numFmtId="165" fontId="19" fillId="3" borderId="5" xfId="2" applyNumberFormat="1" applyFont="1" applyFill="1" applyBorder="1" applyAlignment="1">
      <alignment horizontal="left" vertical="center" wrapText="1"/>
    </xf>
    <xf numFmtId="14" fontId="41" fillId="3" borderId="8" xfId="0" applyNumberFormat="1" applyFont="1" applyFill="1" applyBorder="1" applyAlignment="1">
      <alignment horizontal="left" vertical="center" wrapText="1"/>
    </xf>
    <xf numFmtId="14" fontId="41" fillId="3" borderId="3" xfId="0" applyNumberFormat="1" applyFont="1" applyFill="1" applyBorder="1" applyAlignment="1">
      <alignment horizontal="left" vertical="center" wrapText="1"/>
    </xf>
    <xf numFmtId="6" fontId="16" fillId="6" borderId="8" xfId="0" applyNumberFormat="1" applyFont="1" applyFill="1" applyBorder="1" applyAlignment="1">
      <alignment horizontal="left" vertical="center"/>
    </xf>
    <xf numFmtId="6" fontId="16" fillId="6" borderId="3" xfId="0" applyNumberFormat="1" applyFont="1" applyFill="1" applyBorder="1" applyAlignment="1">
      <alignment horizontal="left" vertical="center"/>
    </xf>
    <xf numFmtId="0" fontId="18" fillId="0" borderId="9" xfId="0" applyFont="1" applyBorder="1" applyAlignment="1">
      <alignment horizontal="left" vertical="center" wrapText="1"/>
    </xf>
    <xf numFmtId="0" fontId="18" fillId="0" borderId="7" xfId="0" applyFont="1" applyBorder="1" applyAlignment="1">
      <alignment horizontal="left" vertical="center" wrapText="1"/>
    </xf>
    <xf numFmtId="0" fontId="16" fillId="0" borderId="8" xfId="0" applyFont="1" applyBorder="1" applyAlignment="1">
      <alignment horizontal="left" vertical="center"/>
    </xf>
    <xf numFmtId="0" fontId="16" fillId="0" borderId="3" xfId="0" applyFont="1" applyBorder="1" applyAlignment="1">
      <alignment horizontal="left" vertical="center"/>
    </xf>
    <xf numFmtId="9" fontId="19" fillId="3" borderId="5" xfId="2" applyFont="1" applyFill="1" applyBorder="1" applyAlignment="1">
      <alignment horizontal="left" vertical="center" wrapText="1"/>
    </xf>
    <xf numFmtId="0" fontId="19" fillId="6" borderId="0" xfId="0" applyFont="1" applyFill="1" applyBorder="1" applyAlignment="1">
      <alignment horizontal="left" vertical="center" wrapText="1"/>
    </xf>
    <xf numFmtId="165" fontId="55" fillId="3" borderId="0" xfId="0" applyNumberFormat="1" applyFont="1" applyFill="1" applyBorder="1" applyAlignment="1">
      <alignment horizontal="left" vertical="center" wrapText="1"/>
    </xf>
    <xf numFmtId="165" fontId="5" fillId="0" borderId="0" xfId="0" applyNumberFormat="1" applyFont="1" applyBorder="1" applyAlignment="1">
      <alignment horizontal="left" vertical="center" wrapText="1"/>
    </xf>
    <xf numFmtId="0" fontId="2" fillId="0" borderId="7" xfId="0" applyFont="1" applyBorder="1" applyAlignment="1">
      <alignment horizontal="left" vertical="center" wrapText="1"/>
    </xf>
    <xf numFmtId="10" fontId="0" fillId="14" borderId="15" xfId="2" applyNumberFormat="1" applyFont="1" applyFill="1" applyBorder="1" applyAlignment="1">
      <alignment vertical="center" wrapText="1"/>
    </xf>
    <xf numFmtId="0" fontId="16" fillId="6" borderId="0" xfId="0" applyFont="1" applyFill="1" applyBorder="1" applyAlignment="1">
      <alignment horizontal="left" vertical="center"/>
    </xf>
    <xf numFmtId="0" fontId="45" fillId="6" borderId="26" xfId="0" applyFont="1" applyFill="1" applyBorder="1" applyAlignment="1">
      <alignment horizontal="left" vertical="center" wrapText="1"/>
    </xf>
    <xf numFmtId="0" fontId="21" fillId="14" borderId="6" xfId="0" applyFont="1" applyFill="1" applyBorder="1" applyAlignment="1">
      <alignment vertical="center" wrapText="1"/>
    </xf>
    <xf numFmtId="9" fontId="19" fillId="6" borderId="5" xfId="2" applyFont="1" applyFill="1" applyBorder="1" applyAlignment="1">
      <alignment horizontal="left" vertical="center" wrapText="1"/>
    </xf>
    <xf numFmtId="8" fontId="19" fillId="6" borderId="7" xfId="0" applyNumberFormat="1" applyFont="1" applyFill="1" applyBorder="1" applyAlignment="1">
      <alignment horizontal="left" vertical="center" wrapText="1"/>
    </xf>
    <xf numFmtId="0" fontId="39" fillId="14" borderId="6" xfId="0" applyFont="1" applyFill="1" applyBorder="1" applyAlignment="1">
      <alignment vertical="center" wrapText="1"/>
    </xf>
    <xf numFmtId="8" fontId="19" fillId="6" borderId="5" xfId="0" applyNumberFormat="1" applyFont="1" applyFill="1" applyBorder="1" applyAlignment="1">
      <alignment horizontal="left" vertical="center" wrapText="1"/>
    </xf>
    <xf numFmtId="8" fontId="19" fillId="6" borderId="9" xfId="0" applyNumberFormat="1" applyFont="1" applyFill="1" applyBorder="1" applyAlignment="1">
      <alignment horizontal="left" vertical="center" wrapText="1"/>
    </xf>
    <xf numFmtId="165" fontId="18" fillId="3" borderId="9" xfId="0" applyNumberFormat="1" applyFont="1" applyFill="1" applyBorder="1" applyAlignment="1">
      <alignment horizontal="left" vertical="center" wrapText="1"/>
    </xf>
    <xf numFmtId="14" fontId="14" fillId="3" borderId="8" xfId="0" applyNumberFormat="1" applyFont="1" applyFill="1" applyBorder="1" applyAlignment="1">
      <alignment horizontal="left" vertical="center" wrapText="1"/>
    </xf>
    <xf numFmtId="0" fontId="39" fillId="14" borderId="4" xfId="0" applyFont="1" applyFill="1" applyBorder="1" applyAlignment="1">
      <alignment vertical="center" wrapText="1"/>
    </xf>
    <xf numFmtId="14" fontId="41" fillId="3" borderId="5" xfId="0" applyNumberFormat="1" applyFont="1" applyFill="1" applyBorder="1" applyAlignment="1">
      <alignment horizontal="left" vertical="center" wrapText="1"/>
    </xf>
    <xf numFmtId="14" fontId="14" fillId="3" borderId="0" xfId="0" applyNumberFormat="1" applyFont="1" applyFill="1" applyBorder="1" applyAlignment="1">
      <alignment horizontal="left" vertical="center" wrapText="1"/>
    </xf>
    <xf numFmtId="0" fontId="14" fillId="3" borderId="0" xfId="0" applyFont="1" applyFill="1" applyBorder="1" applyAlignment="1">
      <alignment vertical="center" wrapText="1"/>
    </xf>
    <xf numFmtId="0" fontId="16" fillId="6" borderId="33"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11" fillId="6" borderId="36" xfId="0" applyFont="1" applyFill="1" applyBorder="1" applyAlignment="1">
      <alignment vertical="center" wrapText="1"/>
    </xf>
    <xf numFmtId="165" fontId="53" fillId="3" borderId="0" xfId="0" applyNumberFormat="1" applyFont="1" applyFill="1" applyBorder="1" applyAlignment="1">
      <alignment horizontal="left" vertical="center" wrapText="1"/>
    </xf>
    <xf numFmtId="165" fontId="19" fillId="6" borderId="37" xfId="2" applyNumberFormat="1" applyFont="1" applyFill="1" applyBorder="1" applyAlignment="1">
      <alignment horizontal="left" vertical="center" wrapText="1"/>
    </xf>
    <xf numFmtId="165" fontId="17" fillId="3" borderId="0" xfId="0" applyNumberFormat="1" applyFont="1" applyFill="1" applyBorder="1" applyAlignment="1">
      <alignment horizontal="left" vertical="center"/>
    </xf>
    <xf numFmtId="165" fontId="21" fillId="3" borderId="0" xfId="0" applyNumberFormat="1" applyFont="1" applyFill="1" applyBorder="1" applyAlignment="1">
      <alignment horizontal="center" vertical="center"/>
    </xf>
    <xf numFmtId="165" fontId="21" fillId="6" borderId="0" xfId="0" applyNumberFormat="1" applyFont="1" applyFill="1" applyBorder="1" applyAlignment="1">
      <alignment horizontal="center" vertical="center"/>
    </xf>
    <xf numFmtId="8" fontId="14" fillId="3" borderId="0" xfId="0" applyNumberFormat="1" applyFont="1" applyFill="1" applyBorder="1" applyAlignment="1">
      <alignment horizontal="left" vertical="center"/>
    </xf>
    <xf numFmtId="8" fontId="17" fillId="3" borderId="0" xfId="0" applyNumberFormat="1" applyFont="1" applyFill="1" applyBorder="1" applyAlignment="1">
      <alignment horizontal="left" vertical="center"/>
    </xf>
    <xf numFmtId="8" fontId="45" fillId="3" borderId="0" xfId="0" applyNumberFormat="1" applyFont="1" applyFill="1" applyBorder="1" applyAlignment="1">
      <alignment horizontal="left" vertical="center"/>
    </xf>
    <xf numFmtId="165" fontId="11" fillId="3" borderId="0" xfId="2" applyNumberFormat="1" applyFont="1" applyFill="1" applyBorder="1" applyAlignment="1">
      <alignment horizontal="left" vertical="center"/>
    </xf>
    <xf numFmtId="165" fontId="11" fillId="6" borderId="0" xfId="2" applyNumberFormat="1" applyFont="1" applyFill="1" applyBorder="1" applyAlignment="1">
      <alignment horizontal="left" vertical="center"/>
    </xf>
    <xf numFmtId="165" fontId="21" fillId="3" borderId="0" xfId="0" applyNumberFormat="1" applyFont="1" applyFill="1" applyBorder="1" applyAlignment="1">
      <alignment vertical="center"/>
    </xf>
    <xf numFmtId="165" fontId="21" fillId="6" borderId="0" xfId="0" applyNumberFormat="1" applyFont="1" applyFill="1" applyBorder="1" applyAlignment="1">
      <alignment vertical="center"/>
    </xf>
    <xf numFmtId="165" fontId="18" fillId="3" borderId="9" xfId="0" applyNumberFormat="1" applyFont="1" applyFill="1" applyBorder="1" applyAlignment="1">
      <alignment horizontal="left" vertical="center"/>
    </xf>
    <xf numFmtId="165" fontId="18" fillId="3" borderId="7" xfId="0" applyNumberFormat="1" applyFont="1" applyFill="1" applyBorder="1" applyAlignment="1">
      <alignment horizontal="left" vertical="center"/>
    </xf>
    <xf numFmtId="165" fontId="18" fillId="6" borderId="0" xfId="0" applyNumberFormat="1" applyFont="1" applyFill="1" applyBorder="1" applyAlignment="1">
      <alignment horizontal="left" vertical="center"/>
    </xf>
    <xf numFmtId="165" fontId="18" fillId="6" borderId="5" xfId="0" applyNumberFormat="1" applyFont="1" applyFill="1" applyBorder="1" applyAlignment="1">
      <alignment horizontal="left" vertical="center"/>
    </xf>
    <xf numFmtId="165" fontId="18" fillId="3" borderId="0" xfId="0" applyNumberFormat="1" applyFont="1" applyFill="1" applyBorder="1" applyAlignment="1">
      <alignment horizontal="left" vertical="center"/>
    </xf>
    <xf numFmtId="165" fontId="18" fillId="3" borderId="5" xfId="0" applyNumberFormat="1" applyFont="1" applyFill="1" applyBorder="1" applyAlignment="1">
      <alignment horizontal="left" vertical="center"/>
    </xf>
    <xf numFmtId="0" fontId="45" fillId="3" borderId="0" xfId="0" applyFont="1" applyFill="1" applyBorder="1" applyAlignment="1">
      <alignment horizontal="left" vertical="center" wrapText="1"/>
    </xf>
    <xf numFmtId="0" fontId="18" fillId="3" borderId="0" xfId="0" applyFont="1" applyFill="1" applyBorder="1" applyAlignment="1">
      <alignment horizontal="left" vertical="center" wrapText="1"/>
    </xf>
    <xf numFmtId="165" fontId="21" fillId="6" borderId="0" xfId="0" applyNumberFormat="1" applyFont="1" applyFill="1" applyBorder="1" applyAlignment="1">
      <alignment horizontal="left" vertical="center" wrapText="1"/>
    </xf>
    <xf numFmtId="165" fontId="21" fillId="3" borderId="0" xfId="0" applyNumberFormat="1" applyFont="1" applyFill="1" applyBorder="1" applyAlignment="1">
      <alignment horizontal="left" vertical="center" wrapText="1"/>
    </xf>
    <xf numFmtId="10" fontId="17" fillId="6" borderId="5" xfId="2" applyNumberFormat="1" applyFont="1" applyFill="1" applyBorder="1" applyAlignment="1">
      <alignment horizontal="left" vertical="center" wrapText="1"/>
    </xf>
    <xf numFmtId="10" fontId="17" fillId="3" borderId="5" xfId="2" applyNumberFormat="1" applyFont="1" applyFill="1" applyBorder="1" applyAlignment="1">
      <alignment horizontal="left" vertical="center" wrapText="1"/>
    </xf>
    <xf numFmtId="165" fontId="11" fillId="6" borderId="0" xfId="2" applyNumberFormat="1" applyFont="1" applyFill="1" applyBorder="1" applyAlignment="1">
      <alignment horizontal="left" vertical="center" wrapText="1"/>
    </xf>
    <xf numFmtId="0" fontId="16" fillId="0" borderId="8" xfId="0" applyFont="1" applyBorder="1" applyAlignment="1">
      <alignment horizontal="left" vertical="center"/>
    </xf>
    <xf numFmtId="0" fontId="0" fillId="12" borderId="27" xfId="0" applyFill="1" applyBorder="1" applyAlignment="1">
      <alignment horizontal="center" vertical="center"/>
    </xf>
    <xf numFmtId="165" fontId="0" fillId="0" borderId="29" xfId="0" applyNumberFormat="1" applyBorder="1" applyAlignment="1">
      <alignment horizontal="center" vertical="center"/>
    </xf>
    <xf numFmtId="6" fontId="16" fillId="3" borderId="8" xfId="0" applyNumberFormat="1" applyFont="1" applyFill="1" applyBorder="1" applyAlignment="1">
      <alignment horizontal="left" vertical="center"/>
    </xf>
    <xf numFmtId="6" fontId="16" fillId="3" borderId="3" xfId="0" applyNumberFormat="1" applyFont="1" applyFill="1" applyBorder="1" applyAlignment="1">
      <alignment horizontal="left" vertical="center"/>
    </xf>
    <xf numFmtId="165" fontId="18" fillId="3" borderId="0" xfId="0" applyNumberFormat="1" applyFont="1" applyFill="1" applyBorder="1" applyAlignment="1">
      <alignment horizontal="left" vertical="center"/>
    </xf>
    <xf numFmtId="165" fontId="18" fillId="3" borderId="5" xfId="0" applyNumberFormat="1" applyFont="1" applyFill="1" applyBorder="1" applyAlignment="1">
      <alignment horizontal="left" vertical="center"/>
    </xf>
    <xf numFmtId="165" fontId="18" fillId="3" borderId="0" xfId="0" applyNumberFormat="1" applyFont="1" applyFill="1" applyBorder="1" applyAlignment="1">
      <alignment horizontal="left" vertical="center" wrapText="1"/>
    </xf>
    <xf numFmtId="165" fontId="18" fillId="3" borderId="5" xfId="0" applyNumberFormat="1" applyFont="1" applyFill="1" applyBorder="1" applyAlignment="1">
      <alignment horizontal="left" vertical="center" wrapText="1"/>
    </xf>
    <xf numFmtId="165" fontId="18" fillId="0" borderId="0" xfId="0" applyNumberFormat="1" applyFont="1" applyBorder="1" applyAlignment="1">
      <alignment horizontal="left" vertical="center"/>
    </xf>
    <xf numFmtId="0" fontId="45" fillId="3" borderId="0" xfId="0" applyFont="1" applyFill="1" applyBorder="1" applyAlignment="1">
      <alignment horizontal="left" vertical="center" wrapText="1"/>
    </xf>
    <xf numFmtId="165" fontId="18" fillId="3" borderId="9" xfId="0" applyNumberFormat="1" applyFont="1" applyFill="1" applyBorder="1" applyAlignment="1">
      <alignment horizontal="left" vertical="center"/>
    </xf>
    <xf numFmtId="165" fontId="18" fillId="3" borderId="7" xfId="0" applyNumberFormat="1" applyFont="1" applyFill="1" applyBorder="1" applyAlignment="1">
      <alignment horizontal="left" vertical="center"/>
    </xf>
    <xf numFmtId="165" fontId="18" fillId="6" borderId="0" xfId="0" applyNumberFormat="1" applyFont="1" applyFill="1" applyBorder="1" applyAlignment="1">
      <alignment horizontal="left" vertical="center"/>
    </xf>
    <xf numFmtId="165" fontId="18" fillId="6" borderId="5" xfId="0" applyNumberFormat="1" applyFont="1" applyFill="1" applyBorder="1" applyAlignment="1">
      <alignment horizontal="left" vertical="center"/>
    </xf>
    <xf numFmtId="165" fontId="18" fillId="6" borderId="8" xfId="0" applyNumberFormat="1" applyFont="1" applyFill="1" applyBorder="1" applyAlignment="1">
      <alignment horizontal="left" vertical="center"/>
    </xf>
    <xf numFmtId="165" fontId="18" fillId="6" borderId="3" xfId="0" applyNumberFormat="1" applyFont="1" applyFill="1" applyBorder="1" applyAlignment="1">
      <alignment horizontal="left" vertical="center"/>
    </xf>
    <xf numFmtId="165" fontId="17" fillId="0" borderId="8" xfId="0" applyNumberFormat="1" applyFont="1" applyBorder="1" applyAlignment="1">
      <alignment horizontal="left" vertical="center"/>
    </xf>
    <xf numFmtId="0" fontId="18" fillId="3" borderId="0" xfId="0" applyFont="1" applyFill="1" applyBorder="1" applyAlignment="1">
      <alignment horizontal="left" vertical="center" wrapText="1"/>
    </xf>
    <xf numFmtId="165" fontId="23" fillId="3" borderId="8" xfId="0" applyNumberFormat="1" applyFont="1" applyFill="1" applyBorder="1" applyAlignment="1">
      <alignment horizontal="left" vertical="center"/>
    </xf>
    <xf numFmtId="0" fontId="18" fillId="6" borderId="23" xfId="0" applyFont="1" applyFill="1" applyBorder="1" applyAlignment="1">
      <alignment horizontal="left" vertical="center"/>
    </xf>
    <xf numFmtId="0" fontId="18" fillId="6" borderId="0" xfId="0" applyFont="1" applyFill="1" applyBorder="1" applyAlignment="1">
      <alignment horizontal="left" vertical="center"/>
    </xf>
    <xf numFmtId="0" fontId="16" fillId="0" borderId="0" xfId="0" applyFont="1" applyAlignment="1">
      <alignment horizontal="left" vertical="center" wrapText="1"/>
    </xf>
    <xf numFmtId="0" fontId="11" fillId="6" borderId="4" xfId="0" applyFont="1" applyFill="1" applyBorder="1" applyAlignment="1">
      <alignment horizontal="left" vertical="center"/>
    </xf>
    <xf numFmtId="6" fontId="16" fillId="6" borderId="0" xfId="0" applyNumberFormat="1" applyFont="1" applyFill="1" applyBorder="1" applyAlignment="1">
      <alignment horizontal="left" vertical="center"/>
    </xf>
    <xf numFmtId="6" fontId="16" fillId="6" borderId="5" xfId="0" applyNumberFormat="1" applyFont="1" applyFill="1" applyBorder="1" applyAlignment="1">
      <alignment horizontal="left" vertical="center"/>
    </xf>
    <xf numFmtId="0" fontId="11" fillId="6" borderId="4" xfId="0" applyFont="1" applyFill="1" applyBorder="1" applyAlignment="1">
      <alignment horizontal="left" vertical="center" wrapText="1"/>
    </xf>
    <xf numFmtId="0" fontId="11" fillId="3" borderId="6" xfId="0" applyFont="1" applyFill="1" applyBorder="1" applyAlignment="1">
      <alignment horizontal="left" vertical="center" wrapText="1"/>
    </xf>
    <xf numFmtId="6" fontId="16" fillId="6" borderId="8" xfId="0" applyNumberFormat="1" applyFont="1" applyFill="1" applyBorder="1" applyAlignment="1">
      <alignment horizontal="left" vertical="center"/>
    </xf>
    <xf numFmtId="6" fontId="16" fillId="6" borderId="3" xfId="0" applyNumberFormat="1" applyFont="1" applyFill="1" applyBorder="1" applyAlignment="1">
      <alignment horizontal="left" vertical="center"/>
    </xf>
    <xf numFmtId="0" fontId="18" fillId="0" borderId="9" xfId="0" applyFont="1" applyBorder="1" applyAlignment="1">
      <alignment horizontal="left" vertical="center" wrapText="1"/>
    </xf>
    <xf numFmtId="0" fontId="18" fillId="0" borderId="7" xfId="0" applyFont="1" applyBorder="1" applyAlignment="1">
      <alignment horizontal="left" vertical="center" wrapText="1"/>
    </xf>
    <xf numFmtId="0" fontId="11" fillId="3" borderId="2" xfId="0" applyFont="1" applyFill="1" applyBorder="1" applyAlignment="1">
      <alignment horizontal="left" vertical="center"/>
    </xf>
    <xf numFmtId="0" fontId="11" fillId="6" borderId="2" xfId="0" applyFont="1" applyFill="1" applyBorder="1" applyAlignment="1">
      <alignment horizontal="left" vertical="center"/>
    </xf>
    <xf numFmtId="8" fontId="16" fillId="3" borderId="0" xfId="0" applyNumberFormat="1" applyFont="1" applyFill="1" applyBorder="1" applyAlignment="1">
      <alignment horizontal="left" vertical="center"/>
    </xf>
    <xf numFmtId="8" fontId="16" fillId="3" borderId="5" xfId="0" applyNumberFormat="1" applyFont="1" applyFill="1" applyBorder="1" applyAlignment="1">
      <alignment horizontal="left" vertical="center"/>
    </xf>
    <xf numFmtId="165" fontId="17" fillId="0" borderId="0" xfId="0" applyNumberFormat="1" applyFont="1" applyBorder="1" applyAlignment="1">
      <alignment horizontal="left" vertical="center"/>
    </xf>
    <xf numFmtId="165" fontId="23" fillId="6" borderId="0" xfId="1" applyNumberFormat="1" applyFont="1" applyFill="1" applyBorder="1" applyAlignment="1">
      <alignment horizontal="left" vertical="center"/>
    </xf>
    <xf numFmtId="165" fontId="23" fillId="3" borderId="0" xfId="1" applyNumberFormat="1" applyFont="1" applyFill="1" applyBorder="1" applyAlignment="1">
      <alignment horizontal="left" vertical="center"/>
    </xf>
    <xf numFmtId="165" fontId="23" fillId="6" borderId="9" xfId="1" applyNumberFormat="1" applyFont="1" applyFill="1" applyBorder="1" applyAlignment="1">
      <alignment vertical="center"/>
    </xf>
    <xf numFmtId="8" fontId="19" fillId="3" borderId="0" xfId="0" applyNumberFormat="1" applyFont="1" applyFill="1" applyBorder="1" applyAlignment="1">
      <alignment horizontal="left" vertical="center"/>
    </xf>
    <xf numFmtId="6" fontId="16" fillId="3" borderId="0" xfId="0" applyNumberFormat="1" applyFont="1" applyFill="1" applyBorder="1" applyAlignment="1">
      <alignment horizontal="left" vertical="center"/>
    </xf>
    <xf numFmtId="6" fontId="16" fillId="3" borderId="5" xfId="0" applyNumberFormat="1" applyFont="1" applyFill="1" applyBorder="1" applyAlignment="1">
      <alignment horizontal="left" vertical="center"/>
    </xf>
    <xf numFmtId="165" fontId="11" fillId="3" borderId="0" xfId="2" applyNumberFormat="1" applyFont="1" applyFill="1" applyBorder="1" applyAlignment="1">
      <alignment horizontal="left" vertical="center" wrapText="1"/>
    </xf>
    <xf numFmtId="0" fontId="11" fillId="6" borderId="38" xfId="0" applyFont="1" applyFill="1" applyBorder="1" applyAlignment="1">
      <alignment vertical="center" wrapText="1"/>
    </xf>
    <xf numFmtId="0" fontId="14" fillId="3" borderId="4" xfId="0" applyFont="1" applyFill="1" applyBorder="1" applyAlignment="1">
      <alignment vertical="center"/>
    </xf>
    <xf numFmtId="0" fontId="14" fillId="6" borderId="4" xfId="0" applyFont="1" applyFill="1" applyBorder="1" applyAlignment="1">
      <alignment vertical="center"/>
    </xf>
    <xf numFmtId="164" fontId="18" fillId="0" borderId="0" xfId="2" applyNumberFormat="1" applyFont="1" applyAlignment="1">
      <alignment horizontal="left" vertical="center"/>
    </xf>
    <xf numFmtId="8" fontId="16" fillId="0" borderId="0" xfId="0" applyNumberFormat="1" applyFont="1" applyAlignment="1">
      <alignment horizontal="left" vertical="center"/>
    </xf>
    <xf numFmtId="0" fontId="14" fillId="0" borderId="34" xfId="0" applyFont="1" applyBorder="1" applyAlignment="1">
      <alignment vertical="center"/>
    </xf>
    <xf numFmtId="8" fontId="16" fillId="0" borderId="34" xfId="0" applyNumberFormat="1" applyFont="1" applyBorder="1" applyAlignment="1">
      <alignment horizontal="left" vertical="center"/>
    </xf>
    <xf numFmtId="8" fontId="18" fillId="0" borderId="0" xfId="0" applyNumberFormat="1" applyFont="1" applyAlignment="1">
      <alignment horizontal="left" vertical="center"/>
    </xf>
    <xf numFmtId="8" fontId="14" fillId="0" borderId="0" xfId="0" applyNumberFormat="1" applyFont="1" applyAlignment="1">
      <alignment horizontal="left" vertical="center"/>
    </xf>
    <xf numFmtId="2" fontId="16" fillId="0" borderId="0" xfId="2" applyNumberFormat="1" applyFont="1" applyAlignment="1">
      <alignment horizontal="left" vertical="center"/>
    </xf>
    <xf numFmtId="0" fontId="14" fillId="3" borderId="36" xfId="0" applyFont="1" applyFill="1" applyBorder="1" applyAlignment="1">
      <alignment vertical="center"/>
    </xf>
    <xf numFmtId="0" fontId="21" fillId="6" borderId="4" xfId="0" applyFont="1" applyFill="1" applyBorder="1" applyAlignment="1">
      <alignment vertical="center"/>
    </xf>
    <xf numFmtId="0" fontId="21" fillId="3" borderId="2" xfId="0" applyFont="1" applyFill="1" applyBorder="1" applyAlignment="1">
      <alignment vertical="center"/>
    </xf>
    <xf numFmtId="8" fontId="16" fillId="6" borderId="0" xfId="0" applyNumberFormat="1" applyFont="1" applyFill="1" applyBorder="1" applyAlignment="1">
      <alignment horizontal="left" vertical="center"/>
    </xf>
    <xf numFmtId="0" fontId="14" fillId="3" borderId="6" xfId="0" applyFont="1" applyFill="1" applyBorder="1" applyAlignment="1">
      <alignment vertical="center"/>
    </xf>
    <xf numFmtId="8" fontId="16" fillId="3" borderId="8" xfId="0" applyNumberFormat="1" applyFont="1" applyFill="1" applyBorder="1" applyAlignment="1">
      <alignment horizontal="left" vertical="center"/>
    </xf>
    <xf numFmtId="8" fontId="16" fillId="3" borderId="3" xfId="0" applyNumberFormat="1" applyFont="1" applyFill="1" applyBorder="1" applyAlignment="1">
      <alignment horizontal="left" vertical="center"/>
    </xf>
    <xf numFmtId="8" fontId="16" fillId="6" borderId="5" xfId="0" applyNumberFormat="1" applyFont="1" applyFill="1" applyBorder="1" applyAlignment="1">
      <alignment horizontal="left" vertical="center"/>
    </xf>
    <xf numFmtId="165" fontId="23" fillId="6" borderId="8" xfId="0" applyNumberFormat="1" applyFont="1" applyFill="1" applyBorder="1" applyAlignment="1">
      <alignment horizontal="left" vertical="center"/>
    </xf>
    <xf numFmtId="165" fontId="23" fillId="3" borderId="9" xfId="0" applyNumberFormat="1" applyFont="1" applyFill="1" applyBorder="1" applyAlignment="1">
      <alignment horizontal="left" vertical="center"/>
    </xf>
    <xf numFmtId="10" fontId="17" fillId="3" borderId="5" xfId="2" applyNumberFormat="1" applyFont="1" applyFill="1" applyBorder="1" applyAlignment="1">
      <alignment horizontal="left" vertical="center"/>
    </xf>
    <xf numFmtId="10" fontId="17" fillId="6" borderId="5" xfId="2" applyNumberFormat="1" applyFont="1" applyFill="1" applyBorder="1" applyAlignment="1">
      <alignment horizontal="left" vertical="center"/>
    </xf>
    <xf numFmtId="165" fontId="21" fillId="0" borderId="3" xfId="0" applyNumberFormat="1" applyFont="1" applyBorder="1" applyAlignment="1">
      <alignment horizontal="left" vertical="center" wrapText="1"/>
    </xf>
    <xf numFmtId="165" fontId="21" fillId="0" borderId="7" xfId="0" applyNumberFormat="1" applyFont="1" applyBorder="1" applyAlignment="1">
      <alignment horizontal="left" vertical="center" wrapText="1"/>
    </xf>
    <xf numFmtId="9" fontId="17" fillId="3" borderId="5" xfId="2" applyFont="1" applyFill="1" applyBorder="1" applyAlignment="1">
      <alignment horizontal="left" vertical="center" wrapText="1"/>
    </xf>
    <xf numFmtId="165" fontId="17" fillId="3" borderId="0" xfId="0" applyNumberFormat="1" applyFont="1" applyFill="1" applyBorder="1" applyAlignment="1">
      <alignment horizontal="left" vertical="center" wrapText="1"/>
    </xf>
    <xf numFmtId="165" fontId="23" fillId="6" borderId="0" xfId="0" applyNumberFormat="1" applyFont="1" applyFill="1" applyBorder="1" applyAlignment="1">
      <alignment horizontal="left" vertical="center" wrapText="1"/>
    </xf>
    <xf numFmtId="165" fontId="23" fillId="3" borderId="0" xfId="0" applyNumberFormat="1" applyFont="1" applyFill="1" applyBorder="1" applyAlignment="1">
      <alignment horizontal="left" vertical="center" wrapText="1"/>
    </xf>
    <xf numFmtId="165" fontId="16" fillId="6" borderId="0" xfId="0" applyNumberFormat="1" applyFont="1" applyFill="1" applyBorder="1" applyAlignment="1">
      <alignment horizontal="left" vertical="center"/>
    </xf>
    <xf numFmtId="9" fontId="17" fillId="6" borderId="5" xfId="2" applyFont="1" applyFill="1" applyBorder="1" applyAlignment="1">
      <alignment horizontal="left" vertical="center" wrapText="1"/>
    </xf>
    <xf numFmtId="0" fontId="0" fillId="21" borderId="0" xfId="0" applyFill="1" applyAlignment="1">
      <alignment vertical="center" wrapText="1"/>
    </xf>
    <xf numFmtId="0" fontId="0" fillId="21" borderId="0" xfId="0" applyFill="1" applyAlignment="1">
      <alignment vertical="center"/>
    </xf>
    <xf numFmtId="165" fontId="23" fillId="6" borderId="9" xfId="0" applyNumberFormat="1" applyFont="1" applyFill="1" applyBorder="1" applyAlignment="1">
      <alignment horizontal="left" vertical="center"/>
    </xf>
    <xf numFmtId="6" fontId="18" fillId="3" borderId="8" xfId="0" applyNumberFormat="1" applyFont="1" applyFill="1" applyBorder="1" applyAlignment="1">
      <alignment horizontal="left" vertical="center"/>
    </xf>
    <xf numFmtId="8" fontId="18" fillId="3" borderId="8" xfId="0" applyNumberFormat="1" applyFont="1" applyFill="1" applyBorder="1" applyAlignment="1">
      <alignment horizontal="left" vertical="center"/>
    </xf>
    <xf numFmtId="165" fontId="23" fillId="6" borderId="9" xfId="1" applyNumberFormat="1" applyFont="1" applyFill="1" applyBorder="1" applyAlignment="1">
      <alignment horizontal="left" vertical="center"/>
    </xf>
    <xf numFmtId="10" fontId="17" fillId="6" borderId="0" xfId="2" applyNumberFormat="1" applyFont="1" applyFill="1" applyBorder="1" applyAlignment="1">
      <alignment horizontal="left" vertical="center" wrapText="1"/>
    </xf>
    <xf numFmtId="10" fontId="17" fillId="3" borderId="0" xfId="2" applyNumberFormat="1" applyFont="1" applyFill="1" applyBorder="1" applyAlignment="1">
      <alignment horizontal="left" vertical="center" wrapText="1"/>
    </xf>
    <xf numFmtId="165" fontId="18" fillId="3" borderId="9" xfId="0" applyNumberFormat="1" applyFont="1" applyFill="1" applyBorder="1" applyAlignment="1">
      <alignment vertical="center" wrapText="1"/>
    </xf>
    <xf numFmtId="0" fontId="11" fillId="3" borderId="4" xfId="0" applyFont="1" applyFill="1" applyBorder="1" applyAlignment="1">
      <alignment horizontal="left" vertical="center"/>
    </xf>
    <xf numFmtId="6" fontId="18" fillId="3" borderId="0" xfId="0" applyNumberFormat="1" applyFont="1" applyFill="1" applyBorder="1" applyAlignment="1">
      <alignment horizontal="left" vertical="center"/>
    </xf>
    <xf numFmtId="9" fontId="17" fillId="6" borderId="0" xfId="2" applyFont="1" applyFill="1" applyBorder="1" applyAlignment="1">
      <alignment horizontal="left" vertical="center" wrapText="1"/>
    </xf>
    <xf numFmtId="165" fontId="23" fillId="6" borderId="23" xfId="0" applyNumberFormat="1" applyFont="1" applyFill="1" applyBorder="1" applyAlignment="1">
      <alignment horizontal="left" vertical="center" wrapText="1"/>
    </xf>
    <xf numFmtId="165" fontId="23" fillId="3" borderId="23" xfId="0" applyNumberFormat="1" applyFont="1" applyFill="1" applyBorder="1" applyAlignment="1">
      <alignment horizontal="left" vertical="center" wrapText="1"/>
    </xf>
    <xf numFmtId="165" fontId="23" fillId="3" borderId="23" xfId="0" applyNumberFormat="1" applyFont="1" applyFill="1" applyBorder="1" applyAlignment="1">
      <alignment horizontal="left" vertical="center"/>
    </xf>
    <xf numFmtId="165" fontId="23" fillId="6" borderId="40" xfId="0" applyNumberFormat="1" applyFont="1" applyFill="1" applyBorder="1" applyAlignment="1">
      <alignment horizontal="left" vertical="center"/>
    </xf>
    <xf numFmtId="165" fontId="16" fillId="6" borderId="23" xfId="0" applyNumberFormat="1" applyFont="1" applyFill="1" applyBorder="1" applyAlignment="1">
      <alignment horizontal="left" vertical="center"/>
    </xf>
    <xf numFmtId="0" fontId="14" fillId="0" borderId="4" xfId="0" applyFont="1" applyBorder="1" applyAlignment="1">
      <alignment vertical="center"/>
    </xf>
    <xf numFmtId="0" fontId="63" fillId="3" borderId="0" xfId="0" applyFont="1" applyFill="1" applyBorder="1" applyAlignment="1">
      <alignment vertical="center" wrapText="1"/>
    </xf>
    <xf numFmtId="8" fontId="14" fillId="6" borderId="9" xfId="0" applyNumberFormat="1" applyFont="1" applyFill="1" applyBorder="1" applyAlignment="1">
      <alignment horizontal="left" vertical="center"/>
    </xf>
    <xf numFmtId="8" fontId="18" fillId="6" borderId="9" xfId="0" applyNumberFormat="1" applyFont="1" applyFill="1" applyBorder="1" applyAlignment="1">
      <alignment horizontal="left" vertical="center"/>
    </xf>
    <xf numFmtId="8" fontId="18" fillId="6" borderId="7" xfId="0" applyNumberFormat="1" applyFont="1" applyFill="1" applyBorder="1" applyAlignment="1">
      <alignment horizontal="left" vertical="center"/>
    </xf>
    <xf numFmtId="6" fontId="18" fillId="6" borderId="8" xfId="0" applyNumberFormat="1" applyFont="1" applyFill="1" applyBorder="1" applyAlignment="1">
      <alignment horizontal="left" vertical="center"/>
    </xf>
    <xf numFmtId="165" fontId="21" fillId="0" borderId="5" xfId="0" applyNumberFormat="1" applyFont="1" applyBorder="1" applyAlignment="1">
      <alignment horizontal="left" vertical="center" wrapText="1"/>
    </xf>
    <xf numFmtId="0" fontId="85" fillId="0" borderId="0" xfId="0" applyFont="1" applyAlignment="1">
      <alignment vertical="center" wrapText="1"/>
    </xf>
    <xf numFmtId="14" fontId="85" fillId="3" borderId="0" xfId="0" applyNumberFormat="1" applyFont="1" applyFill="1" applyBorder="1" applyAlignment="1">
      <alignment horizontal="left" vertical="center"/>
    </xf>
    <xf numFmtId="0" fontId="85" fillId="21" borderId="0" xfId="0" applyFont="1" applyFill="1" applyAlignment="1">
      <alignment vertical="center" wrapText="1"/>
    </xf>
    <xf numFmtId="0" fontId="63" fillId="0" borderId="0" xfId="0" applyFont="1" applyFill="1" applyAlignment="1">
      <alignment vertical="center" wrapText="1"/>
    </xf>
    <xf numFmtId="14" fontId="85" fillId="0" borderId="0" xfId="0" applyNumberFormat="1" applyFont="1" applyAlignment="1">
      <alignment horizontal="left" vertical="center" wrapText="1"/>
    </xf>
    <xf numFmtId="165" fontId="45" fillId="6" borderId="0" xfId="0" applyNumberFormat="1" applyFont="1" applyFill="1" applyBorder="1" applyAlignment="1">
      <alignment horizontal="left" vertical="center"/>
    </xf>
    <xf numFmtId="164" fontId="18" fillId="6" borderId="0" xfId="2" applyNumberFormat="1" applyFont="1" applyFill="1" applyBorder="1" applyAlignment="1">
      <alignment horizontal="left" vertical="center"/>
    </xf>
    <xf numFmtId="164" fontId="18" fillId="6" borderId="5" xfId="2" applyNumberFormat="1" applyFont="1" applyFill="1" applyBorder="1" applyAlignment="1">
      <alignment horizontal="left" vertical="center"/>
    </xf>
    <xf numFmtId="6" fontId="18" fillId="6" borderId="0" xfId="0" applyNumberFormat="1" applyFont="1" applyFill="1" applyBorder="1" applyAlignment="1">
      <alignment horizontal="left" vertical="center"/>
    </xf>
    <xf numFmtId="165" fontId="23" fillId="6" borderId="0" xfId="2" applyNumberFormat="1" applyFont="1" applyFill="1" applyBorder="1" applyAlignment="1">
      <alignment horizontal="left" vertical="center"/>
    </xf>
    <xf numFmtId="165" fontId="21" fillId="3" borderId="0" xfId="2" applyNumberFormat="1" applyFont="1" applyFill="1" applyBorder="1" applyAlignment="1">
      <alignment horizontal="left" vertical="center"/>
    </xf>
    <xf numFmtId="165" fontId="21" fillId="6" borderId="0" xfId="2" applyNumberFormat="1" applyFont="1" applyFill="1" applyBorder="1" applyAlignment="1">
      <alignment horizontal="left" vertical="center"/>
    </xf>
    <xf numFmtId="165" fontId="18" fillId="6" borderId="0" xfId="2" applyNumberFormat="1" applyFont="1" applyFill="1" applyBorder="1" applyAlignment="1">
      <alignment horizontal="left" vertical="center"/>
    </xf>
    <xf numFmtId="165" fontId="18" fillId="6" borderId="34" xfId="2" applyNumberFormat="1" applyFont="1" applyFill="1" applyBorder="1" applyAlignment="1">
      <alignment horizontal="left" vertical="center"/>
    </xf>
    <xf numFmtId="165" fontId="53" fillId="3" borderId="0" xfId="0" applyNumberFormat="1" applyFont="1" applyFill="1" applyBorder="1" applyAlignment="1">
      <alignment horizontal="left" vertical="center"/>
    </xf>
    <xf numFmtId="165" fontId="53" fillId="3" borderId="5" xfId="0" applyNumberFormat="1" applyFont="1" applyFill="1" applyBorder="1" applyAlignment="1">
      <alignment horizontal="left" vertical="center"/>
    </xf>
    <xf numFmtId="165" fontId="45" fillId="3" borderId="7" xfId="0" applyNumberFormat="1" applyFont="1" applyFill="1" applyBorder="1" applyAlignment="1">
      <alignment horizontal="left" vertical="center"/>
    </xf>
    <xf numFmtId="165" fontId="21" fillId="0" borderId="3" xfId="0" applyNumberFormat="1" applyFont="1" applyBorder="1" applyAlignment="1">
      <alignment horizontal="left" vertical="center"/>
    </xf>
    <xf numFmtId="165" fontId="21" fillId="0" borderId="5" xfId="0" applyNumberFormat="1" applyFont="1" applyBorder="1" applyAlignment="1">
      <alignment horizontal="left" vertical="center"/>
    </xf>
    <xf numFmtId="165" fontId="17" fillId="3" borderId="8" xfId="0" applyNumberFormat="1" applyFont="1" applyFill="1" applyBorder="1" applyAlignment="1">
      <alignment horizontal="left" vertical="center" wrapText="1"/>
    </xf>
    <xf numFmtId="8" fontId="21" fillId="3" borderId="7" xfId="0" applyNumberFormat="1" applyFont="1" applyFill="1" applyBorder="1" applyAlignment="1">
      <alignment horizontal="left" vertical="center"/>
    </xf>
    <xf numFmtId="165" fontId="21" fillId="0" borderId="7" xfId="0" applyNumberFormat="1" applyFont="1" applyBorder="1" applyAlignment="1">
      <alignment horizontal="left" vertical="center"/>
    </xf>
    <xf numFmtId="0" fontId="63" fillId="0" borderId="0" xfId="0" applyFont="1" applyBorder="1" applyAlignment="1">
      <alignment vertical="center"/>
    </xf>
    <xf numFmtId="0" fontId="85" fillId="0" borderId="0" xfId="0" applyFont="1" applyBorder="1" applyAlignment="1">
      <alignment horizontal="left" vertical="center" wrapText="1"/>
    </xf>
    <xf numFmtId="0" fontId="85" fillId="0" borderId="0" xfId="0" applyFont="1" applyAlignment="1">
      <alignment vertical="center"/>
    </xf>
    <xf numFmtId="0" fontId="85" fillId="3" borderId="0" xfId="0" applyFont="1" applyFill="1" applyBorder="1" applyAlignment="1">
      <alignment horizontal="left" vertical="center"/>
    </xf>
    <xf numFmtId="0" fontId="85" fillId="21" borderId="0" xfId="0" applyFont="1" applyFill="1" applyAlignment="1">
      <alignment vertical="center"/>
    </xf>
    <xf numFmtId="0" fontId="89" fillId="0" borderId="0" xfId="0" applyFont="1" applyBorder="1" applyAlignment="1">
      <alignment vertical="center"/>
    </xf>
    <xf numFmtId="8" fontId="90" fillId="3" borderId="0" xfId="0" applyNumberFormat="1" applyFont="1" applyFill="1" applyBorder="1" applyAlignment="1">
      <alignment horizontal="left" vertical="center" wrapText="1"/>
    </xf>
    <xf numFmtId="0" fontId="85" fillId="0" borderId="0" xfId="0" applyFont="1" applyBorder="1" applyAlignment="1">
      <alignment vertical="center"/>
    </xf>
    <xf numFmtId="0" fontId="85" fillId="0" borderId="0" xfId="0" applyFont="1" applyBorder="1" applyAlignment="1">
      <alignment horizontal="left" vertical="center"/>
    </xf>
    <xf numFmtId="165" fontId="91" fillId="0" borderId="0" xfId="0" applyNumberFormat="1" applyFont="1" applyBorder="1" applyAlignment="1">
      <alignment horizontal="left" vertical="center"/>
    </xf>
    <xf numFmtId="0" fontId="91" fillId="3" borderId="0" xfId="0" applyFont="1" applyFill="1" applyBorder="1" applyAlignment="1">
      <alignment horizontal="left" vertical="center" wrapText="1"/>
    </xf>
    <xf numFmtId="165" fontId="52" fillId="0" borderId="0" xfId="0" applyNumberFormat="1" applyFont="1" applyBorder="1" applyAlignment="1">
      <alignment horizontal="left" vertical="center"/>
    </xf>
    <xf numFmtId="0" fontId="63" fillId="3" borderId="0" xfId="0" applyFont="1" applyFill="1" applyAlignment="1">
      <alignment vertical="center"/>
    </xf>
    <xf numFmtId="165" fontId="18" fillId="6" borderId="33" xfId="2" applyNumberFormat="1" applyFont="1" applyFill="1" applyBorder="1" applyAlignment="1">
      <alignment horizontal="left" vertical="center"/>
    </xf>
    <xf numFmtId="165" fontId="18" fillId="3" borderId="0" xfId="2" applyNumberFormat="1" applyFont="1" applyFill="1" applyBorder="1" applyAlignment="1">
      <alignment horizontal="left" vertical="center"/>
    </xf>
    <xf numFmtId="166" fontId="17" fillId="6" borderId="0" xfId="0" applyNumberFormat="1" applyFont="1" applyFill="1" applyBorder="1" applyAlignment="1">
      <alignment horizontal="left" vertical="center"/>
    </xf>
    <xf numFmtId="165" fontId="21" fillId="6" borderId="5" xfId="0" applyNumberFormat="1" applyFont="1" applyFill="1" applyBorder="1" applyAlignment="1">
      <alignment horizontal="left" vertical="center"/>
    </xf>
    <xf numFmtId="165" fontId="21" fillId="0" borderId="9" xfId="0" applyNumberFormat="1" applyFont="1" applyBorder="1" applyAlignment="1">
      <alignment horizontal="left" vertical="center"/>
    </xf>
    <xf numFmtId="0" fontId="16" fillId="21" borderId="0" xfId="0" applyFont="1" applyFill="1" applyAlignment="1">
      <alignment horizontal="center" vertical="center"/>
    </xf>
    <xf numFmtId="0" fontId="49" fillId="21" borderId="0" xfId="0" applyFont="1" applyFill="1" applyBorder="1" applyAlignment="1">
      <alignment horizontal="center" vertical="center"/>
    </xf>
    <xf numFmtId="165" fontId="16" fillId="21" borderId="0" xfId="0" applyNumberFormat="1" applyFont="1" applyFill="1" applyBorder="1" applyAlignment="1">
      <alignment horizontal="center" vertical="center"/>
    </xf>
    <xf numFmtId="8" fontId="16" fillId="21" borderId="0" xfId="0" applyNumberFormat="1" applyFont="1" applyFill="1" applyAlignment="1">
      <alignment horizontal="center" vertical="center"/>
    </xf>
    <xf numFmtId="8" fontId="16" fillId="21" borderId="0" xfId="0" applyNumberFormat="1" applyFont="1" applyFill="1" applyBorder="1" applyAlignment="1">
      <alignment horizontal="center" vertical="center"/>
    </xf>
    <xf numFmtId="0" fontId="50" fillId="0" borderId="0" xfId="0" applyFont="1" applyBorder="1" applyAlignment="1">
      <alignment vertical="center" wrapText="1"/>
    </xf>
    <xf numFmtId="0" fontId="16" fillId="0" borderId="0" xfId="0" applyFont="1" applyBorder="1" applyAlignment="1">
      <alignment vertical="center" wrapText="1"/>
    </xf>
    <xf numFmtId="165" fontId="18" fillId="3" borderId="0" xfId="0" applyNumberFormat="1" applyFont="1" applyFill="1" applyBorder="1" applyAlignment="1">
      <alignment vertical="center" wrapText="1"/>
    </xf>
    <xf numFmtId="165" fontId="18" fillId="6" borderId="9" xfId="0" applyNumberFormat="1" applyFont="1" applyFill="1" applyBorder="1" applyAlignment="1">
      <alignment vertical="center" wrapText="1"/>
    </xf>
    <xf numFmtId="165" fontId="18" fillId="6" borderId="0" xfId="0" applyNumberFormat="1" applyFont="1" applyFill="1" applyBorder="1" applyAlignment="1">
      <alignment vertical="center" wrapText="1"/>
    </xf>
    <xf numFmtId="165" fontId="17" fillId="3" borderId="41" xfId="0" applyNumberFormat="1" applyFont="1" applyFill="1" applyBorder="1" applyAlignment="1">
      <alignment horizontal="left" vertical="center" wrapText="1"/>
    </xf>
    <xf numFmtId="165" fontId="18" fillId="6" borderId="33" xfId="0" applyNumberFormat="1" applyFont="1" applyFill="1" applyBorder="1" applyAlignment="1">
      <alignment vertical="center" wrapText="1"/>
    </xf>
    <xf numFmtId="165" fontId="23" fillId="6" borderId="23" xfId="1" applyNumberFormat="1" applyFont="1" applyFill="1" applyBorder="1" applyAlignment="1">
      <alignment horizontal="left" vertical="center"/>
    </xf>
    <xf numFmtId="165" fontId="23" fillId="6" borderId="8" xfId="0" applyNumberFormat="1" applyFont="1" applyFill="1" applyBorder="1" applyAlignment="1">
      <alignment horizontal="left" vertical="center"/>
    </xf>
    <xf numFmtId="165" fontId="23" fillId="3" borderId="0" xfId="0" applyNumberFormat="1" applyFont="1" applyFill="1" applyBorder="1" applyAlignment="1">
      <alignment horizontal="left" vertical="center"/>
    </xf>
    <xf numFmtId="165" fontId="18" fillId="6" borderId="0" xfId="2" applyNumberFormat="1" applyFont="1" applyFill="1" applyBorder="1" applyAlignment="1">
      <alignment horizontal="left" vertical="center"/>
    </xf>
    <xf numFmtId="165" fontId="23" fillId="6" borderId="0" xfId="0" applyNumberFormat="1" applyFont="1" applyFill="1" applyBorder="1" applyAlignment="1">
      <alignment horizontal="left" vertical="center"/>
    </xf>
    <xf numFmtId="0" fontId="16" fillId="6" borderId="5" xfId="0" applyFont="1" applyFill="1" applyBorder="1" applyAlignment="1">
      <alignment horizontal="left" vertical="center"/>
    </xf>
    <xf numFmtId="8" fontId="16" fillId="3" borderId="34" xfId="0" applyNumberFormat="1" applyFont="1" applyFill="1" applyBorder="1" applyAlignment="1">
      <alignment horizontal="left" vertical="center"/>
    </xf>
    <xf numFmtId="0" fontId="16" fillId="3" borderId="5" xfId="0" applyFont="1" applyFill="1" applyBorder="1" applyAlignment="1">
      <alignment horizontal="left" vertical="center"/>
    </xf>
    <xf numFmtId="165" fontId="17" fillId="0" borderId="8" xfId="0" applyNumberFormat="1" applyFont="1" applyBorder="1" applyAlignment="1">
      <alignment horizontal="left" vertical="center"/>
    </xf>
    <xf numFmtId="165" fontId="18" fillId="6" borderId="3" xfId="0" applyNumberFormat="1" applyFont="1" applyFill="1" applyBorder="1" applyAlignment="1">
      <alignment horizontal="left" vertical="center"/>
    </xf>
    <xf numFmtId="165" fontId="18" fillId="0" borderId="9" xfId="0" applyNumberFormat="1" applyFont="1" applyBorder="1" applyAlignment="1">
      <alignment horizontal="left" vertical="center"/>
    </xf>
    <xf numFmtId="165" fontId="18" fillId="0" borderId="7" xfId="0" applyNumberFormat="1" applyFont="1" applyBorder="1" applyAlignment="1">
      <alignment horizontal="left" vertical="center"/>
    </xf>
    <xf numFmtId="165" fontId="19" fillId="6" borderId="5" xfId="2" applyNumberFormat="1" applyFont="1" applyFill="1" applyBorder="1" applyAlignment="1">
      <alignment horizontal="left" vertical="center" wrapText="1"/>
    </xf>
    <xf numFmtId="165" fontId="18" fillId="0" borderId="0" xfId="0" applyNumberFormat="1" applyFont="1" applyBorder="1" applyAlignment="1">
      <alignment horizontal="left" vertical="center"/>
    </xf>
    <xf numFmtId="165" fontId="23" fillId="6" borderId="0" xfId="0" applyNumberFormat="1" applyFont="1" applyFill="1" applyBorder="1" applyAlignment="1">
      <alignment horizontal="left" vertical="center"/>
    </xf>
    <xf numFmtId="165" fontId="23" fillId="3" borderId="0" xfId="0" applyNumberFormat="1" applyFont="1" applyFill="1" applyBorder="1" applyAlignment="1">
      <alignment horizontal="left" vertical="center"/>
    </xf>
    <xf numFmtId="14" fontId="14" fillId="3" borderId="0" xfId="0" applyNumberFormat="1" applyFont="1" applyFill="1" applyBorder="1" applyAlignment="1">
      <alignment horizontal="left" vertical="center"/>
    </xf>
    <xf numFmtId="8" fontId="16" fillId="3" borderId="0" xfId="0" applyNumberFormat="1" applyFont="1" applyFill="1" applyBorder="1" applyAlignment="1">
      <alignment horizontal="left" vertical="center"/>
    </xf>
    <xf numFmtId="165" fontId="53" fillId="3" borderId="0" xfId="0" applyNumberFormat="1" applyFont="1" applyFill="1" applyBorder="1" applyAlignment="1">
      <alignment horizontal="left" vertical="center" wrapText="1"/>
    </xf>
    <xf numFmtId="0" fontId="45" fillId="3" borderId="0" xfId="0" applyFont="1" applyFill="1" applyBorder="1" applyAlignment="1">
      <alignment horizontal="left" vertical="center" wrapText="1"/>
    </xf>
    <xf numFmtId="8" fontId="14" fillId="3" borderId="0" xfId="0" applyNumberFormat="1" applyFont="1" applyFill="1" applyBorder="1" applyAlignment="1">
      <alignment horizontal="left" vertical="center"/>
    </xf>
    <xf numFmtId="165" fontId="18" fillId="3" borderId="0" xfId="0" applyNumberFormat="1" applyFont="1" applyFill="1" applyBorder="1" applyAlignment="1">
      <alignment horizontal="left" vertical="center"/>
    </xf>
    <xf numFmtId="164" fontId="18" fillId="3" borderId="0" xfId="2" applyNumberFormat="1" applyFont="1" applyFill="1" applyBorder="1" applyAlignment="1">
      <alignment horizontal="left" vertical="center"/>
    </xf>
    <xf numFmtId="8" fontId="19" fillId="6" borderId="0" xfId="0" applyNumberFormat="1" applyFont="1" applyFill="1" applyBorder="1" applyAlignment="1">
      <alignment horizontal="left" vertical="center"/>
    </xf>
    <xf numFmtId="8" fontId="19" fillId="6" borderId="5" xfId="0" applyNumberFormat="1" applyFont="1" applyFill="1" applyBorder="1" applyAlignment="1">
      <alignment horizontal="left" vertical="center"/>
    </xf>
    <xf numFmtId="6" fontId="18" fillId="3" borderId="0" xfId="0" applyNumberFormat="1" applyFont="1" applyFill="1" applyBorder="1" applyAlignment="1">
      <alignment horizontal="left" vertical="center"/>
    </xf>
    <xf numFmtId="14" fontId="41" fillId="3" borderId="3" xfId="0" applyNumberFormat="1" applyFont="1" applyFill="1" applyBorder="1" applyAlignment="1">
      <alignment horizontal="left" vertical="center"/>
    </xf>
    <xf numFmtId="0" fontId="14" fillId="3" borderId="0" xfId="0" applyFont="1" applyFill="1" applyBorder="1" applyAlignment="1">
      <alignment horizontal="left" vertical="center" wrapText="1"/>
    </xf>
    <xf numFmtId="165" fontId="17" fillId="0" borderId="8" xfId="0" applyNumberFormat="1" applyFont="1" applyBorder="1" applyAlignment="1">
      <alignment horizontal="left" vertical="center"/>
    </xf>
    <xf numFmtId="0" fontId="18" fillId="3" borderId="0" xfId="0" applyFont="1" applyFill="1" applyBorder="1" applyAlignment="1">
      <alignment horizontal="left" vertical="center" wrapText="1"/>
    </xf>
    <xf numFmtId="165" fontId="17" fillId="0" borderId="0" xfId="0" applyNumberFormat="1" applyFont="1" applyBorder="1" applyAlignment="1">
      <alignment horizontal="left" vertical="center"/>
    </xf>
    <xf numFmtId="0" fontId="7" fillId="0" borderId="34" xfId="0" applyFont="1" applyBorder="1" applyAlignment="1">
      <alignment horizontal="center" vertical="center"/>
    </xf>
    <xf numFmtId="165" fontId="18" fillId="3" borderId="0" xfId="0" applyNumberFormat="1" applyFont="1" applyFill="1" applyBorder="1" applyAlignment="1">
      <alignment horizontal="left" vertical="center"/>
    </xf>
    <xf numFmtId="165" fontId="18" fillId="3" borderId="0" xfId="0" applyNumberFormat="1" applyFont="1" applyFill="1" applyBorder="1" applyAlignment="1">
      <alignment horizontal="left" vertical="center" wrapText="1"/>
    </xf>
    <xf numFmtId="165" fontId="18" fillId="3" borderId="9" xfId="0" applyNumberFormat="1" applyFont="1" applyFill="1" applyBorder="1" applyAlignment="1">
      <alignment horizontal="left" vertical="center"/>
    </xf>
    <xf numFmtId="165" fontId="18" fillId="3" borderId="23" xfId="0" applyNumberFormat="1" applyFont="1" applyFill="1" applyBorder="1" applyAlignment="1">
      <alignment horizontal="left" vertical="center" wrapText="1"/>
    </xf>
    <xf numFmtId="165" fontId="18" fillId="0" borderId="0" xfId="0" applyNumberFormat="1" applyFont="1" applyBorder="1" applyAlignment="1">
      <alignment horizontal="left" vertical="center"/>
    </xf>
    <xf numFmtId="10" fontId="17" fillId="3" borderId="0" xfId="2" applyNumberFormat="1" applyFont="1" applyFill="1" applyBorder="1" applyAlignment="1">
      <alignment horizontal="left" vertical="center"/>
    </xf>
    <xf numFmtId="165" fontId="17" fillId="6" borderId="0" xfId="0" applyNumberFormat="1" applyFont="1" applyFill="1" applyBorder="1" applyAlignment="1">
      <alignment horizontal="left" vertical="center"/>
    </xf>
    <xf numFmtId="14" fontId="41" fillId="3" borderId="0" xfId="0" applyNumberFormat="1" applyFont="1" applyFill="1" applyBorder="1" applyAlignment="1">
      <alignment horizontal="left" vertical="center" wrapText="1"/>
    </xf>
    <xf numFmtId="10" fontId="21" fillId="3" borderId="0" xfId="2" applyNumberFormat="1" applyFont="1" applyFill="1" applyBorder="1" applyAlignment="1">
      <alignment horizontal="left" vertical="center"/>
    </xf>
    <xf numFmtId="0" fontId="0" fillId="3" borderId="0" xfId="0" applyFill="1" applyAlignment="1">
      <alignment horizontal="left" vertical="center" wrapText="1"/>
    </xf>
    <xf numFmtId="0" fontId="87" fillId="3" borderId="0" xfId="0" applyFont="1" applyFill="1" applyBorder="1" applyAlignment="1">
      <alignment horizontal="center" vertical="center" wrapText="1"/>
    </xf>
    <xf numFmtId="0" fontId="43" fillId="3" borderId="0" xfId="0" applyFont="1" applyFill="1" applyBorder="1" applyAlignment="1">
      <alignment horizontal="center" vertical="center"/>
    </xf>
    <xf numFmtId="14" fontId="85" fillId="3" borderId="0" xfId="0" applyNumberFormat="1" applyFont="1" applyFill="1" applyAlignment="1">
      <alignment horizontal="left" vertical="center" wrapText="1"/>
    </xf>
    <xf numFmtId="0" fontId="85" fillId="3" borderId="0" xfId="0" applyFont="1" applyFill="1" applyBorder="1" applyAlignment="1">
      <alignment horizontal="left" vertical="center" wrapText="1"/>
    </xf>
    <xf numFmtId="165" fontId="91" fillId="3" borderId="0" xfId="0" applyNumberFormat="1" applyFont="1" applyFill="1" applyBorder="1" applyAlignment="1">
      <alignment horizontal="left" vertical="center"/>
    </xf>
    <xf numFmtId="0" fontId="16" fillId="3" borderId="0" xfId="0" applyFont="1" applyFill="1" applyAlignment="1">
      <alignment horizontal="left" vertical="center"/>
    </xf>
    <xf numFmtId="0" fontId="0" fillId="21" borderId="0" xfId="0" applyFill="1" applyAlignment="1">
      <alignment horizontal="center" vertical="center"/>
    </xf>
    <xf numFmtId="166" fontId="16" fillId="21" borderId="0" xfId="2" applyNumberFormat="1" applyFont="1" applyFill="1" applyBorder="1" applyAlignment="1">
      <alignment horizontal="center" vertical="center"/>
    </xf>
    <xf numFmtId="6" fontId="18" fillId="3" borderId="8" xfId="0" applyNumberFormat="1" applyFont="1" applyFill="1" applyBorder="1" applyAlignment="1">
      <alignment horizontal="left" vertical="center"/>
    </xf>
    <xf numFmtId="6" fontId="18" fillId="6" borderId="0" xfId="0" applyNumberFormat="1" applyFont="1" applyFill="1" applyBorder="1" applyAlignment="1">
      <alignment horizontal="left" vertical="center"/>
    </xf>
    <xf numFmtId="0" fontId="14" fillId="3" borderId="0" xfId="0" applyFont="1" applyFill="1" applyBorder="1" applyAlignment="1">
      <alignment horizontal="left" vertical="center"/>
    </xf>
    <xf numFmtId="165" fontId="23" fillId="6" borderId="0" xfId="0" applyNumberFormat="1" applyFont="1" applyFill="1" applyBorder="1" applyAlignment="1">
      <alignment horizontal="left" vertical="center"/>
    </xf>
    <xf numFmtId="165" fontId="23" fillId="3" borderId="0" xfId="0" applyNumberFormat="1" applyFont="1" applyFill="1" applyBorder="1" applyAlignment="1">
      <alignment horizontal="left" vertical="center"/>
    </xf>
    <xf numFmtId="165" fontId="18" fillId="6" borderId="0" xfId="0" applyNumberFormat="1" applyFont="1" applyFill="1" applyBorder="1" applyAlignment="1">
      <alignment horizontal="left" vertical="center"/>
    </xf>
    <xf numFmtId="165" fontId="18" fillId="3" borderId="0" xfId="0" applyNumberFormat="1" applyFont="1" applyFill="1" applyBorder="1" applyAlignment="1">
      <alignment horizontal="left" vertical="center"/>
    </xf>
    <xf numFmtId="165" fontId="23" fillId="3" borderId="0" xfId="0" applyNumberFormat="1" applyFont="1" applyFill="1" applyBorder="1" applyAlignment="1">
      <alignment horizontal="left" vertical="center" wrapText="1"/>
    </xf>
    <xf numFmtId="0" fontId="16" fillId="6" borderId="5" xfId="0" applyFont="1" applyFill="1" applyBorder="1" applyAlignment="1">
      <alignment horizontal="left" vertical="center"/>
    </xf>
    <xf numFmtId="0" fontId="16" fillId="3" borderId="5" xfId="0" applyFont="1" applyFill="1" applyBorder="1" applyAlignment="1">
      <alignment horizontal="left" vertical="center"/>
    </xf>
    <xf numFmtId="165" fontId="23" fillId="6" borderId="0" xfId="0" applyNumberFormat="1" applyFont="1" applyFill="1" applyBorder="1" applyAlignment="1">
      <alignment horizontal="left" vertical="center" wrapText="1"/>
    </xf>
    <xf numFmtId="165" fontId="18" fillId="3" borderId="0" xfId="0" applyNumberFormat="1" applyFont="1" applyFill="1" applyBorder="1" applyAlignment="1">
      <alignment horizontal="left" vertical="center" wrapText="1"/>
    </xf>
    <xf numFmtId="8" fontId="16" fillId="3" borderId="0" xfId="0" applyNumberFormat="1" applyFont="1" applyFill="1" applyBorder="1" applyAlignment="1">
      <alignment horizontal="left" vertical="center"/>
    </xf>
    <xf numFmtId="165" fontId="23" fillId="6" borderId="8" xfId="0" applyNumberFormat="1" applyFont="1" applyFill="1" applyBorder="1" applyAlignment="1">
      <alignment horizontal="left" vertical="center"/>
    </xf>
    <xf numFmtId="165" fontId="18" fillId="6" borderId="0" xfId="2" applyNumberFormat="1" applyFont="1" applyFill="1" applyBorder="1" applyAlignment="1">
      <alignment horizontal="left" vertical="center"/>
    </xf>
    <xf numFmtId="165" fontId="17" fillId="3" borderId="23" xfId="0" applyNumberFormat="1" applyFont="1" applyFill="1" applyBorder="1" applyAlignment="1">
      <alignment horizontal="left" vertical="center" wrapText="1"/>
    </xf>
    <xf numFmtId="165" fontId="17" fillId="3" borderId="0" xfId="0" applyNumberFormat="1" applyFont="1" applyFill="1" applyBorder="1" applyAlignment="1">
      <alignment horizontal="left" vertical="center" wrapText="1"/>
    </xf>
    <xf numFmtId="165" fontId="18" fillId="3" borderId="9" xfId="0" applyNumberFormat="1" applyFont="1" applyFill="1" applyBorder="1" applyAlignment="1">
      <alignment horizontal="left" vertical="center"/>
    </xf>
    <xf numFmtId="165" fontId="18" fillId="3" borderId="0" xfId="2" applyNumberFormat="1" applyFont="1" applyFill="1" applyBorder="1" applyAlignment="1">
      <alignment horizontal="left" vertical="center"/>
    </xf>
    <xf numFmtId="0" fontId="18" fillId="6" borderId="23" xfId="0" applyFont="1" applyFill="1" applyBorder="1" applyAlignment="1">
      <alignment horizontal="left" vertical="center"/>
    </xf>
    <xf numFmtId="0" fontId="18" fillId="6" borderId="0" xfId="0" applyFont="1" applyFill="1" applyBorder="1" applyAlignment="1">
      <alignment horizontal="left" vertical="center"/>
    </xf>
    <xf numFmtId="165" fontId="18" fillId="3" borderId="23" xfId="0" applyNumberFormat="1" applyFont="1" applyFill="1" applyBorder="1" applyAlignment="1">
      <alignment horizontal="left" vertical="center" wrapText="1"/>
    </xf>
    <xf numFmtId="165" fontId="19" fillId="6" borderId="5" xfId="2" applyNumberFormat="1" applyFont="1" applyFill="1" applyBorder="1" applyAlignment="1">
      <alignment horizontal="left" vertical="center" wrapText="1"/>
    </xf>
    <xf numFmtId="165" fontId="18" fillId="0" borderId="0" xfId="0" applyNumberFormat="1" applyFont="1" applyBorder="1" applyAlignment="1">
      <alignment horizontal="left" vertical="center"/>
    </xf>
    <xf numFmtId="165" fontId="17" fillId="3" borderId="0" xfId="1" applyNumberFormat="1" applyFont="1" applyFill="1" applyBorder="1" applyAlignment="1">
      <alignment horizontal="left" vertical="center"/>
    </xf>
    <xf numFmtId="165" fontId="18" fillId="6" borderId="8" xfId="1" applyNumberFormat="1" applyFont="1" applyFill="1" applyBorder="1" applyAlignment="1">
      <alignment horizontal="left" vertical="center"/>
    </xf>
    <xf numFmtId="165" fontId="18" fillId="6" borderId="9" xfId="1" applyNumberFormat="1" applyFont="1" applyFill="1" applyBorder="1" applyAlignment="1">
      <alignment horizontal="left" vertical="center"/>
    </xf>
    <xf numFmtId="165" fontId="23" fillId="3" borderId="0" xfId="1" applyNumberFormat="1" applyFont="1" applyFill="1" applyBorder="1" applyAlignment="1">
      <alignment horizontal="left" vertical="center"/>
    </xf>
    <xf numFmtId="8" fontId="45" fillId="3" borderId="9" xfId="0" applyNumberFormat="1" applyFont="1" applyFill="1" applyBorder="1" applyAlignment="1">
      <alignment horizontal="left" vertical="center"/>
    </xf>
    <xf numFmtId="8" fontId="45" fillId="3" borderId="40" xfId="0" applyNumberFormat="1" applyFont="1" applyFill="1" applyBorder="1" applyAlignment="1">
      <alignment horizontal="left" vertical="center"/>
    </xf>
    <xf numFmtId="10" fontId="18" fillId="3" borderId="5" xfId="2" applyNumberFormat="1" applyFont="1" applyFill="1" applyBorder="1" applyAlignment="1">
      <alignment horizontal="left" vertical="center"/>
    </xf>
    <xf numFmtId="10" fontId="18" fillId="6" borderId="5" xfId="2" applyNumberFormat="1" applyFont="1" applyFill="1" applyBorder="1" applyAlignment="1">
      <alignment horizontal="left" vertical="center"/>
    </xf>
    <xf numFmtId="10" fontId="18" fillId="3" borderId="0" xfId="2" applyNumberFormat="1" applyFont="1" applyFill="1" applyBorder="1" applyAlignment="1">
      <alignment horizontal="left" vertical="center"/>
    </xf>
    <xf numFmtId="10" fontId="18" fillId="6" borderId="0" xfId="2" applyNumberFormat="1" applyFont="1" applyFill="1" applyBorder="1" applyAlignment="1">
      <alignment horizontal="left" vertical="center"/>
    </xf>
    <xf numFmtId="165" fontId="23" fillId="3" borderId="23" xfId="1" applyNumberFormat="1" applyFont="1" applyFill="1" applyBorder="1" applyAlignment="1">
      <alignment horizontal="left" vertical="center"/>
    </xf>
    <xf numFmtId="165" fontId="23" fillId="6" borderId="8" xfId="1" applyNumberFormat="1" applyFont="1" applyFill="1" applyBorder="1" applyAlignment="1">
      <alignment horizontal="left" vertical="center"/>
    </xf>
    <xf numFmtId="164" fontId="18" fillId="3" borderId="0" xfId="0" applyNumberFormat="1" applyFont="1" applyFill="1" applyBorder="1" applyAlignment="1">
      <alignment horizontal="left" vertical="center"/>
    </xf>
    <xf numFmtId="164" fontId="18" fillId="3" borderId="23" xfId="0" applyNumberFormat="1" applyFont="1" applyFill="1" applyBorder="1" applyAlignment="1">
      <alignment horizontal="left" vertical="center"/>
    </xf>
    <xf numFmtId="164" fontId="23" fillId="3" borderId="0" xfId="0" applyNumberFormat="1" applyFont="1" applyFill="1" applyBorder="1" applyAlignment="1">
      <alignment horizontal="left" vertical="center"/>
    </xf>
    <xf numFmtId="164" fontId="23" fillId="3" borderId="23" xfId="0" applyNumberFormat="1" applyFont="1" applyFill="1" applyBorder="1" applyAlignment="1">
      <alignment horizontal="left" vertical="center"/>
    </xf>
    <xf numFmtId="9" fontId="18" fillId="3" borderId="0" xfId="0" applyNumberFormat="1" applyFont="1" applyFill="1" applyBorder="1" applyAlignment="1">
      <alignment horizontal="left" vertical="center"/>
    </xf>
    <xf numFmtId="165" fontId="23" fillId="3" borderId="8" xfId="1" applyNumberFormat="1" applyFont="1" applyFill="1" applyBorder="1" applyAlignment="1">
      <alignment horizontal="left" vertical="center"/>
    </xf>
    <xf numFmtId="10" fontId="17" fillId="6" borderId="0" xfId="2" applyNumberFormat="1" applyFont="1" applyFill="1" applyBorder="1" applyAlignment="1">
      <alignment horizontal="left" vertical="center"/>
    </xf>
    <xf numFmtId="165" fontId="14" fillId="3" borderId="0" xfId="1" applyNumberFormat="1" applyFont="1" applyFill="1" applyBorder="1" applyAlignment="1">
      <alignment horizontal="left" vertical="center"/>
    </xf>
    <xf numFmtId="165" fontId="17" fillId="3" borderId="23" xfId="1" applyNumberFormat="1" applyFont="1" applyFill="1" applyBorder="1" applyAlignment="1">
      <alignment horizontal="left" vertical="center"/>
    </xf>
    <xf numFmtId="165" fontId="14" fillId="3" borderId="5" xfId="1" applyNumberFormat="1" applyFont="1" applyFill="1" applyBorder="1" applyAlignment="1">
      <alignment horizontal="center" vertical="center"/>
    </xf>
    <xf numFmtId="165" fontId="21" fillId="3" borderId="8" xfId="1" applyNumberFormat="1" applyFont="1" applyFill="1" applyBorder="1" applyAlignment="1">
      <alignment horizontal="left" vertical="center"/>
    </xf>
    <xf numFmtId="165" fontId="21" fillId="3" borderId="3" xfId="1" applyNumberFormat="1" applyFont="1" applyFill="1" applyBorder="1" applyAlignment="1">
      <alignment horizontal="center" vertical="center"/>
    </xf>
    <xf numFmtId="165" fontId="23" fillId="3" borderId="41" xfId="1" applyNumberFormat="1" applyFont="1" applyFill="1" applyBorder="1" applyAlignment="1">
      <alignment horizontal="left" vertical="center"/>
    </xf>
    <xf numFmtId="0" fontId="7" fillId="0" borderId="0" xfId="0" applyFont="1" applyBorder="1" applyAlignment="1">
      <alignment horizontal="center" vertical="center"/>
    </xf>
    <xf numFmtId="0" fontId="0" fillId="25" borderId="0" xfId="0" applyFill="1" applyAlignment="1">
      <alignment vertical="center" wrapText="1"/>
    </xf>
    <xf numFmtId="0" fontId="16" fillId="25" borderId="0" xfId="0" applyFont="1" applyFill="1" applyAlignment="1">
      <alignment vertical="center"/>
    </xf>
    <xf numFmtId="0" fontId="85" fillId="25" borderId="0" xfId="0" applyFont="1" applyFill="1" applyAlignment="1">
      <alignment vertical="center" wrapText="1"/>
    </xf>
    <xf numFmtId="0" fontId="0" fillId="25" borderId="0" xfId="0" applyFill="1" applyAlignment="1">
      <alignment vertical="center"/>
    </xf>
    <xf numFmtId="0" fontId="85" fillId="25" borderId="0" xfId="0" applyFont="1" applyFill="1" applyAlignment="1">
      <alignment vertical="center"/>
    </xf>
    <xf numFmtId="0" fontId="23" fillId="0" borderId="9" xfId="0" applyFont="1" applyBorder="1" applyAlignment="1">
      <alignment horizontal="left" vertical="center" wrapText="1"/>
    </xf>
    <xf numFmtId="0" fontId="23" fillId="0" borderId="7" xfId="0" applyFont="1" applyBorder="1" applyAlignment="1">
      <alignment horizontal="left" vertical="center" wrapText="1"/>
    </xf>
    <xf numFmtId="165" fontId="18" fillId="3" borderId="40" xfId="0" applyNumberFormat="1" applyFont="1" applyFill="1" applyBorder="1" applyAlignment="1">
      <alignment horizontal="left" vertical="center" wrapText="1"/>
    </xf>
    <xf numFmtId="6" fontId="18" fillId="6" borderId="8" xfId="0" applyNumberFormat="1" applyFont="1" applyFill="1" applyBorder="1" applyAlignment="1">
      <alignment horizontal="left" vertical="center"/>
    </xf>
    <xf numFmtId="8" fontId="14" fillId="3" borderId="5" xfId="0" applyNumberFormat="1" applyFont="1" applyFill="1" applyBorder="1" applyAlignment="1">
      <alignment horizontal="left" vertical="center"/>
    </xf>
    <xf numFmtId="8" fontId="16" fillId="6" borderId="0" xfId="0" applyNumberFormat="1" applyFont="1" applyFill="1" applyBorder="1" applyAlignment="1">
      <alignment horizontal="left" vertical="center"/>
    </xf>
    <xf numFmtId="8" fontId="16" fillId="6" borderId="5" xfId="0" applyNumberFormat="1" applyFont="1" applyFill="1" applyBorder="1" applyAlignment="1">
      <alignment horizontal="left" vertical="center"/>
    </xf>
    <xf numFmtId="165" fontId="18" fillId="3" borderId="0" xfId="0" applyNumberFormat="1" applyFont="1" applyFill="1" applyBorder="1" applyAlignment="1">
      <alignment horizontal="left" vertical="center" wrapText="1"/>
    </xf>
    <xf numFmtId="8" fontId="16" fillId="0" borderId="0" xfId="0" applyNumberFormat="1" applyFont="1" applyBorder="1" applyAlignment="1">
      <alignment horizontal="left" vertical="center"/>
    </xf>
    <xf numFmtId="164" fontId="18" fillId="6" borderId="0" xfId="2" applyNumberFormat="1" applyFont="1" applyFill="1" applyBorder="1" applyAlignment="1">
      <alignment horizontal="left" vertical="center"/>
    </xf>
    <xf numFmtId="8" fontId="16" fillId="3" borderId="0" xfId="0" applyNumberFormat="1" applyFont="1" applyFill="1" applyBorder="1" applyAlignment="1">
      <alignment horizontal="left" vertical="center"/>
    </xf>
    <xf numFmtId="8" fontId="18" fillId="6" borderId="0" xfId="0" applyNumberFormat="1" applyFont="1" applyFill="1" applyBorder="1" applyAlignment="1">
      <alignment horizontal="left" vertical="center"/>
    </xf>
    <xf numFmtId="8" fontId="14" fillId="0" borderId="0" xfId="0" applyNumberFormat="1" applyFont="1" applyBorder="1" applyAlignment="1">
      <alignment horizontal="left" vertical="center"/>
    </xf>
    <xf numFmtId="0" fontId="18" fillId="3" borderId="0" xfId="0" applyFont="1" applyFill="1" applyBorder="1" applyAlignment="1">
      <alignment horizontal="left" vertical="center"/>
    </xf>
    <xf numFmtId="6" fontId="18" fillId="3" borderId="8" xfId="0" applyNumberFormat="1" applyFont="1" applyFill="1" applyBorder="1" applyAlignment="1">
      <alignment horizontal="left" vertical="center"/>
    </xf>
    <xf numFmtId="0" fontId="18" fillId="6" borderId="0" xfId="0" applyFont="1" applyFill="1" applyBorder="1" applyAlignment="1">
      <alignment horizontal="left" vertical="center"/>
    </xf>
    <xf numFmtId="165" fontId="18" fillId="3" borderId="23" xfId="0" applyNumberFormat="1" applyFont="1" applyFill="1" applyBorder="1" applyAlignment="1">
      <alignment horizontal="left" vertical="center" wrapText="1"/>
    </xf>
    <xf numFmtId="0" fontId="16" fillId="6" borderId="0" xfId="0" applyFont="1" applyFill="1" applyBorder="1" applyAlignment="1">
      <alignment horizontal="left"/>
    </xf>
    <xf numFmtId="0" fontId="16" fillId="6" borderId="5" xfId="0" applyFont="1" applyFill="1" applyBorder="1" applyAlignment="1">
      <alignment horizontal="left"/>
    </xf>
    <xf numFmtId="0" fontId="31" fillId="0" borderId="0" xfId="0" applyFont="1" applyAlignment="1">
      <alignment horizontal="center"/>
    </xf>
    <xf numFmtId="0" fontId="31" fillId="3" borderId="0" xfId="0" applyFont="1" applyFill="1" applyAlignment="1"/>
    <xf numFmtId="0" fontId="38" fillId="0" borderId="0" xfId="0" applyFont="1" applyAlignment="1">
      <alignment horizontal="right"/>
    </xf>
    <xf numFmtId="0" fontId="31" fillId="0" borderId="0" xfId="0" applyFont="1" applyAlignment="1"/>
    <xf numFmtId="0" fontId="31" fillId="0" borderId="0" xfId="0" applyFont="1" applyAlignment="1">
      <alignment horizontal="left"/>
    </xf>
    <xf numFmtId="0" fontId="31" fillId="13" borderId="0" xfId="0" applyFont="1" applyFill="1" applyAlignment="1"/>
    <xf numFmtId="0" fontId="75" fillId="0" borderId="0" xfId="0" applyFont="1" applyAlignment="1"/>
    <xf numFmtId="0" fontId="76" fillId="0" borderId="0" xfId="0" applyFont="1" applyAlignment="1">
      <alignment horizontal="left"/>
    </xf>
    <xf numFmtId="0" fontId="76" fillId="0" borderId="0" xfId="0" applyFont="1" applyAlignment="1"/>
    <xf numFmtId="0" fontId="76" fillId="3" borderId="0" xfId="0" applyFont="1" applyFill="1" applyAlignment="1"/>
    <xf numFmtId="22" fontId="37" fillId="0" borderId="0" xfId="0" applyNumberFormat="1" applyFont="1" applyAlignment="1">
      <alignment horizontal="left"/>
    </xf>
    <xf numFmtId="0" fontId="47" fillId="15" borderId="0" xfId="0" applyFont="1" applyFill="1" applyAlignment="1">
      <alignment horizontal="center"/>
    </xf>
    <xf numFmtId="0" fontId="46" fillId="13" borderId="0" xfId="0" applyFont="1" applyFill="1" applyAlignment="1">
      <alignment horizontal="right"/>
    </xf>
    <xf numFmtId="22" fontId="37" fillId="14" borderId="2" xfId="0" applyNumberFormat="1" applyFont="1" applyFill="1" applyBorder="1" applyAlignment="1">
      <alignment horizontal="left"/>
    </xf>
    <xf numFmtId="0" fontId="76" fillId="3" borderId="0" xfId="0" applyFont="1" applyFill="1" applyBorder="1" applyAlignment="1"/>
    <xf numFmtId="167" fontId="75" fillId="3" borderId="0" xfId="0" applyNumberFormat="1" applyFont="1" applyFill="1" applyBorder="1" applyAlignment="1">
      <alignment horizontal="left"/>
    </xf>
    <xf numFmtId="167" fontId="76" fillId="3" borderId="0" xfId="0" applyNumberFormat="1" applyFont="1" applyFill="1" applyBorder="1" applyAlignment="1">
      <alignment horizontal="left"/>
    </xf>
    <xf numFmtId="165" fontId="31" fillId="13" borderId="0" xfId="0" applyNumberFormat="1" applyFont="1" applyFill="1" applyAlignment="1">
      <alignment horizontal="center"/>
    </xf>
    <xf numFmtId="22" fontId="37" fillId="14" borderId="4" xfId="0" applyNumberFormat="1" applyFont="1" applyFill="1" applyBorder="1" applyAlignment="1">
      <alignment horizontal="left"/>
    </xf>
    <xf numFmtId="0" fontId="46" fillId="0" borderId="0" xfId="0" applyFont="1" applyAlignment="1">
      <alignment horizontal="left"/>
    </xf>
    <xf numFmtId="165" fontId="31" fillId="14" borderId="0" xfId="0" applyNumberFormat="1" applyFont="1" applyFill="1" applyAlignment="1">
      <alignment horizontal="center"/>
    </xf>
    <xf numFmtId="0" fontId="37" fillId="14" borderId="6" xfId="0" applyFont="1" applyFill="1" applyBorder="1" applyAlignment="1"/>
    <xf numFmtId="0" fontId="76" fillId="6" borderId="0" xfId="0" applyFont="1" applyFill="1" applyBorder="1" applyAlignment="1"/>
    <xf numFmtId="9" fontId="75" fillId="3" borderId="0" xfId="2" applyFont="1" applyFill="1" applyBorder="1" applyAlignment="1"/>
    <xf numFmtId="167" fontId="77" fillId="3" borderId="0" xfId="0" applyNumberFormat="1" applyFont="1" applyFill="1" applyBorder="1" applyAlignment="1">
      <alignment horizontal="left"/>
    </xf>
    <xf numFmtId="0" fontId="34" fillId="0" borderId="0" xfId="0" applyFont="1" applyAlignment="1">
      <alignment horizontal="center"/>
    </xf>
    <xf numFmtId="0" fontId="34" fillId="3" borderId="0" xfId="0" applyFont="1" applyFill="1" applyAlignment="1"/>
    <xf numFmtId="0" fontId="46" fillId="0" borderId="0" xfId="0" applyFont="1" applyAlignment="1">
      <alignment horizontal="right"/>
    </xf>
    <xf numFmtId="0" fontId="34" fillId="0" borderId="0" xfId="0" applyFont="1" applyAlignment="1"/>
    <xf numFmtId="0" fontId="34" fillId="13" borderId="0" xfId="0" applyFont="1" applyFill="1" applyAlignment="1"/>
    <xf numFmtId="0" fontId="76" fillId="3" borderId="34" xfId="0" applyFont="1" applyFill="1" applyBorder="1" applyAlignment="1"/>
    <xf numFmtId="168" fontId="76" fillId="3" borderId="0" xfId="0" applyNumberFormat="1" applyFont="1" applyFill="1" applyAlignment="1">
      <alignment horizontal="left"/>
    </xf>
    <xf numFmtId="10" fontId="76" fillId="3" borderId="0" xfId="2" applyNumberFormat="1" applyFont="1" applyFill="1" applyBorder="1" applyAlignment="1">
      <alignment horizontal="left"/>
    </xf>
    <xf numFmtId="9" fontId="77" fillId="3" borderId="0" xfId="0" applyNumberFormat="1" applyFont="1" applyFill="1" applyAlignment="1">
      <alignment horizontal="left"/>
    </xf>
    <xf numFmtId="0" fontId="33" fillId="0" borderId="0" xfId="0" applyFont="1" applyAlignment="1"/>
    <xf numFmtId="0" fontId="34" fillId="0" borderId="0" xfId="0" applyFont="1" applyAlignment="1">
      <alignment horizontal="left"/>
    </xf>
    <xf numFmtId="168" fontId="76" fillId="3" borderId="0" xfId="0" applyNumberFormat="1" applyFont="1" applyFill="1" applyBorder="1" applyAlignment="1">
      <alignment horizontal="left"/>
    </xf>
    <xf numFmtId="168" fontId="76" fillId="0" borderId="0" xfId="0" applyNumberFormat="1" applyFont="1" applyAlignment="1">
      <alignment horizontal="left"/>
    </xf>
    <xf numFmtId="6" fontId="69" fillId="14" borderId="0" xfId="0" applyNumberFormat="1" applyFont="1" applyFill="1" applyAlignment="1">
      <alignment horizontal="center"/>
    </xf>
    <xf numFmtId="10" fontId="76" fillId="6" borderId="0" xfId="2" applyNumberFormat="1" applyFont="1" applyFill="1" applyBorder="1" applyAlignment="1">
      <alignment horizontal="left"/>
    </xf>
    <xf numFmtId="9" fontId="76" fillId="3" borderId="0" xfId="0" applyNumberFormat="1" applyFont="1" applyFill="1" applyAlignment="1">
      <alignment horizontal="left"/>
    </xf>
    <xf numFmtId="10" fontId="76" fillId="3" borderId="0" xfId="0" applyNumberFormat="1" applyFont="1" applyFill="1" applyAlignment="1">
      <alignment horizontal="left"/>
    </xf>
    <xf numFmtId="0" fontId="46" fillId="0" borderId="0" xfId="0" applyFont="1" applyAlignment="1">
      <alignment horizontal="center"/>
    </xf>
    <xf numFmtId="0" fontId="28" fillId="6" borderId="4" xfId="0" applyFont="1" applyFill="1" applyBorder="1" applyAlignment="1">
      <alignment horizontal="left"/>
    </xf>
    <xf numFmtId="8" fontId="47" fillId="15" borderId="0" xfId="0" applyNumberFormat="1" applyFont="1" applyFill="1" applyAlignment="1">
      <alignment horizontal="center"/>
    </xf>
    <xf numFmtId="0" fontId="28" fillId="0" borderId="4" xfId="0" applyFont="1" applyBorder="1" applyAlignment="1">
      <alignment horizontal="left"/>
    </xf>
    <xf numFmtId="9" fontId="76" fillId="6" borderId="0" xfId="0" applyNumberFormat="1" applyFont="1" applyFill="1" applyBorder="1" applyAlignment="1">
      <alignment horizontal="left"/>
    </xf>
    <xf numFmtId="10" fontId="76" fillId="6" borderId="0" xfId="0" applyNumberFormat="1" applyFont="1" applyFill="1" applyBorder="1" applyAlignment="1">
      <alignment horizontal="left"/>
    </xf>
    <xf numFmtId="167" fontId="75" fillId="6" borderId="0" xfId="0" applyNumberFormat="1" applyFont="1" applyFill="1" applyBorder="1" applyAlignment="1">
      <alignment horizontal="left"/>
    </xf>
    <xf numFmtId="167" fontId="76" fillId="6" borderId="0" xfId="0" applyNumberFormat="1" applyFont="1" applyFill="1" applyBorder="1" applyAlignment="1">
      <alignment horizontal="left"/>
    </xf>
    <xf numFmtId="0" fontId="76" fillId="0" borderId="0" xfId="0" applyFont="1" applyBorder="1" applyAlignment="1"/>
    <xf numFmtId="0" fontId="76" fillId="6" borderId="33" xfId="0" applyFont="1" applyFill="1" applyBorder="1" applyAlignment="1"/>
    <xf numFmtId="167" fontId="75" fillId="6" borderId="33" xfId="0" applyNumberFormat="1" applyFont="1" applyFill="1" applyBorder="1" applyAlignment="1">
      <alignment horizontal="left"/>
    </xf>
    <xf numFmtId="10" fontId="77" fillId="0" borderId="0" xfId="2" applyNumberFormat="1" applyFont="1" applyAlignment="1">
      <alignment horizontal="left"/>
    </xf>
    <xf numFmtId="0" fontId="28" fillId="3" borderId="4" xfId="0" applyFont="1" applyFill="1" applyBorder="1" applyAlignment="1">
      <alignment horizontal="left"/>
    </xf>
    <xf numFmtId="168" fontId="76" fillId="6" borderId="0" xfId="0" applyNumberFormat="1" applyFont="1" applyFill="1" applyAlignment="1">
      <alignment horizontal="left"/>
    </xf>
    <xf numFmtId="9" fontId="77" fillId="6" borderId="0" xfId="0" applyNumberFormat="1" applyFont="1" applyFill="1" applyAlignment="1">
      <alignment horizontal="left"/>
    </xf>
    <xf numFmtId="9" fontId="77" fillId="0" borderId="0" xfId="0" applyNumberFormat="1" applyFont="1" applyAlignment="1">
      <alignment horizontal="left"/>
    </xf>
    <xf numFmtId="165" fontId="31" fillId="0" borderId="0" xfId="0" applyNumberFormat="1" applyFont="1" applyAlignment="1">
      <alignment horizontal="center"/>
    </xf>
    <xf numFmtId="0" fontId="28" fillId="6" borderId="6" xfId="0" applyFont="1" applyFill="1" applyBorder="1" applyAlignment="1">
      <alignment horizontal="left"/>
    </xf>
    <xf numFmtId="0" fontId="28" fillId="0" borderId="0" xfId="0" applyFont="1" applyAlignment="1">
      <alignment horizontal="left"/>
    </xf>
    <xf numFmtId="9" fontId="76" fillId="6" borderId="0" xfId="0" applyNumberFormat="1" applyFont="1" applyFill="1" applyAlignment="1">
      <alignment horizontal="left"/>
    </xf>
    <xf numFmtId="10" fontId="76" fillId="6" borderId="0" xfId="0" applyNumberFormat="1" applyFont="1" applyFill="1" applyAlignment="1">
      <alignment horizontal="left"/>
    </xf>
    <xf numFmtId="0" fontId="27" fillId="0" borderId="0" xfId="0" applyFont="1" applyAlignment="1">
      <alignment horizontal="left"/>
    </xf>
    <xf numFmtId="0" fontId="32" fillId="0" borderId="0" xfId="0" applyFont="1" applyAlignment="1"/>
    <xf numFmtId="0" fontId="76" fillId="6" borderId="23" xfId="0" applyFont="1" applyFill="1" applyBorder="1" applyAlignment="1"/>
    <xf numFmtId="0" fontId="27" fillId="0" borderId="0" xfId="0" applyFont="1" applyAlignment="1"/>
    <xf numFmtId="10" fontId="75" fillId="3" borderId="0" xfId="2" applyNumberFormat="1" applyFont="1" applyFill="1" applyBorder="1" applyAlignment="1"/>
    <xf numFmtId="167" fontId="76" fillId="3" borderId="0" xfId="0" applyNumberFormat="1" applyFont="1" applyFill="1" applyBorder="1" applyAlignment="1"/>
    <xf numFmtId="0" fontId="76" fillId="3" borderId="23" xfId="0" applyFont="1" applyFill="1" applyBorder="1" applyAlignment="1"/>
    <xf numFmtId="0" fontId="33" fillId="0" borderId="0" xfId="0" applyFont="1" applyAlignment="1">
      <alignment horizontal="left"/>
    </xf>
    <xf numFmtId="168" fontId="76" fillId="6" borderId="0" xfId="0" applyNumberFormat="1" applyFont="1" applyFill="1" applyBorder="1" applyAlignment="1">
      <alignment horizontal="left"/>
    </xf>
    <xf numFmtId="0" fontId="77" fillId="6" borderId="23" xfId="0" applyFont="1" applyFill="1" applyBorder="1" applyAlignment="1"/>
    <xf numFmtId="168" fontId="77" fillId="6" borderId="0" xfId="0" applyNumberFormat="1" applyFont="1" applyFill="1" applyBorder="1" applyAlignment="1">
      <alignment horizontal="left"/>
    </xf>
    <xf numFmtId="10" fontId="78" fillId="6" borderId="0" xfId="2" applyNumberFormat="1" applyFont="1" applyFill="1" applyBorder="1" applyAlignment="1">
      <alignment horizontal="left"/>
    </xf>
    <xf numFmtId="9" fontId="76" fillId="3" borderId="23" xfId="0" applyNumberFormat="1" applyFont="1" applyFill="1" applyBorder="1" applyAlignment="1">
      <alignment horizontal="left"/>
    </xf>
    <xf numFmtId="10" fontId="76" fillId="3" borderId="0" xfId="0" applyNumberFormat="1" applyFont="1" applyFill="1" applyBorder="1" applyAlignment="1">
      <alignment horizontal="left"/>
    </xf>
    <xf numFmtId="167" fontId="78" fillId="6" borderId="0" xfId="0" applyNumberFormat="1" applyFont="1" applyFill="1" applyAlignment="1">
      <alignment horizontal="left"/>
    </xf>
    <xf numFmtId="0" fontId="67" fillId="13" borderId="0" xfId="0" applyFont="1" applyFill="1" applyAlignment="1">
      <alignment horizontal="right"/>
    </xf>
    <xf numFmtId="9" fontId="75" fillId="6" borderId="0" xfId="2" applyFont="1" applyFill="1" applyBorder="1" applyAlignment="1"/>
    <xf numFmtId="167" fontId="77" fillId="6" borderId="0" xfId="0" applyNumberFormat="1" applyFont="1" applyFill="1" applyBorder="1" applyAlignment="1">
      <alignment horizontal="left"/>
    </xf>
    <xf numFmtId="0" fontId="56" fillId="0" borderId="0" xfId="0" applyFont="1" applyBorder="1" applyAlignment="1">
      <alignment horizontal="left"/>
    </xf>
    <xf numFmtId="0" fontId="31" fillId="6" borderId="8" xfId="0" applyFont="1" applyFill="1" applyBorder="1" applyAlignment="1"/>
    <xf numFmtId="0" fontId="31" fillId="6" borderId="3" xfId="0" applyFont="1" applyFill="1" applyBorder="1" applyAlignment="1"/>
    <xf numFmtId="0" fontId="27" fillId="0" borderId="0" xfId="0" applyFont="1" applyBorder="1" applyAlignment="1"/>
    <xf numFmtId="0" fontId="31" fillId="0" borderId="0" xfId="0" applyFont="1" applyBorder="1" applyAlignment="1"/>
    <xf numFmtId="0" fontId="31" fillId="0" borderId="5" xfId="0" applyFont="1" applyBorder="1" applyAlignment="1"/>
    <xf numFmtId="0" fontId="27" fillId="0" borderId="9" xfId="0" applyFont="1" applyBorder="1" applyAlignment="1"/>
    <xf numFmtId="0" fontId="31" fillId="0" borderId="9" xfId="0" applyFont="1" applyBorder="1" applyAlignment="1"/>
    <xf numFmtId="0" fontId="31" fillId="0" borderId="7" xfId="0" applyFont="1" applyBorder="1" applyAlignment="1"/>
    <xf numFmtId="0" fontId="28" fillId="0" borderId="0" xfId="0" applyFont="1" applyAlignment="1"/>
    <xf numFmtId="0" fontId="31" fillId="13" borderId="0" xfId="0" applyFont="1" applyFill="1" applyAlignment="1">
      <alignment horizontal="center"/>
    </xf>
    <xf numFmtId="0" fontId="38" fillId="13" borderId="0" xfId="0" applyFont="1" applyFill="1" applyAlignment="1">
      <alignment horizontal="right"/>
    </xf>
    <xf numFmtId="0" fontId="31" fillId="13" borderId="0" xfId="0" applyFont="1" applyFill="1" applyAlignment="1">
      <alignment horizontal="left"/>
    </xf>
    <xf numFmtId="165" fontId="18" fillId="6" borderId="23" xfId="1" applyNumberFormat="1" applyFont="1" applyFill="1" applyBorder="1" applyAlignment="1">
      <alignment horizontal="left" vertical="center"/>
    </xf>
    <xf numFmtId="0" fontId="17" fillId="3" borderId="0" xfId="1" applyNumberFormat="1" applyFont="1" applyFill="1" applyBorder="1" applyAlignment="1">
      <alignment horizontal="left" vertical="center"/>
    </xf>
    <xf numFmtId="0" fontId="17" fillId="6" borderId="9" xfId="1" applyNumberFormat="1" applyFont="1" applyFill="1" applyBorder="1" applyAlignment="1">
      <alignment horizontal="left" vertical="center"/>
    </xf>
    <xf numFmtId="0" fontId="17" fillId="3" borderId="5" xfId="1" applyNumberFormat="1" applyFont="1" applyFill="1" applyBorder="1" applyAlignment="1">
      <alignment horizontal="left" vertical="center"/>
    </xf>
    <xf numFmtId="0" fontId="17" fillId="6" borderId="7" xfId="1" applyNumberFormat="1" applyFont="1" applyFill="1" applyBorder="1" applyAlignment="1">
      <alignment horizontal="left" vertical="center"/>
    </xf>
    <xf numFmtId="8" fontId="18" fillId="3" borderId="0" xfId="0" applyNumberFormat="1" applyFont="1" applyFill="1" applyBorder="1" applyAlignment="1">
      <alignment horizontal="left" vertical="center"/>
    </xf>
    <xf numFmtId="165" fontId="16" fillId="6" borderId="34" xfId="2" applyNumberFormat="1" applyFont="1" applyFill="1" applyBorder="1" applyAlignment="1">
      <alignment horizontal="left" vertical="center"/>
    </xf>
    <xf numFmtId="0" fontId="16" fillId="6" borderId="37" xfId="0" applyFont="1" applyFill="1" applyBorder="1" applyAlignment="1">
      <alignment horizontal="left" vertical="center"/>
    </xf>
    <xf numFmtId="165" fontId="21" fillId="6" borderId="0" xfId="0" applyNumberFormat="1" applyFont="1" applyFill="1" applyBorder="1" applyAlignment="1">
      <alignment horizontal="left" vertical="center"/>
    </xf>
    <xf numFmtId="165" fontId="21" fillId="3" borderId="7" xfId="0" applyNumberFormat="1" applyFont="1" applyFill="1" applyBorder="1" applyAlignment="1">
      <alignment horizontal="left" vertical="center"/>
    </xf>
    <xf numFmtId="165" fontId="18" fillId="6" borderId="9" xfId="0" applyNumberFormat="1" applyFont="1" applyFill="1" applyBorder="1" applyAlignment="1">
      <alignment horizontal="left" vertical="center" wrapText="1"/>
    </xf>
    <xf numFmtId="165" fontId="18" fillId="6" borderId="33" xfId="0" applyNumberFormat="1" applyFont="1" applyFill="1" applyBorder="1" applyAlignment="1">
      <alignment horizontal="left" vertical="center" wrapText="1"/>
    </xf>
    <xf numFmtId="8" fontId="21" fillId="3" borderId="5" xfId="0" applyNumberFormat="1" applyFont="1" applyFill="1" applyBorder="1" applyAlignment="1">
      <alignment horizontal="left" vertical="center"/>
    </xf>
    <xf numFmtId="8" fontId="18" fillId="0" borderId="0" xfId="0" applyNumberFormat="1" applyFont="1" applyBorder="1" applyAlignment="1">
      <alignment horizontal="left" vertical="center"/>
    </xf>
    <xf numFmtId="0" fontId="11" fillId="6" borderId="6" xfId="0" applyFont="1" applyFill="1" applyBorder="1" applyAlignment="1">
      <alignment horizontal="left" vertical="center" wrapText="1"/>
    </xf>
    <xf numFmtId="8" fontId="14" fillId="0" borderId="9" xfId="0" applyNumberFormat="1" applyFont="1" applyBorder="1" applyAlignment="1">
      <alignment horizontal="left" vertical="center"/>
    </xf>
    <xf numFmtId="165" fontId="23" fillId="3" borderId="0" xfId="0" applyNumberFormat="1" applyFont="1" applyFill="1" applyBorder="1" applyAlignment="1">
      <alignment horizontal="left" vertical="center" wrapText="1"/>
    </xf>
    <xf numFmtId="165" fontId="23" fillId="6" borderId="0" xfId="0" applyNumberFormat="1" applyFont="1" applyFill="1" applyBorder="1" applyAlignment="1">
      <alignment horizontal="left" vertical="center" wrapText="1"/>
    </xf>
    <xf numFmtId="165" fontId="18" fillId="3" borderId="0" xfId="0" applyNumberFormat="1" applyFont="1" applyFill="1" applyBorder="1" applyAlignment="1">
      <alignment horizontal="left" vertical="center" wrapText="1"/>
    </xf>
    <xf numFmtId="165" fontId="17" fillId="3" borderId="23" xfId="0" applyNumberFormat="1" applyFont="1" applyFill="1" applyBorder="1" applyAlignment="1">
      <alignment horizontal="left" vertical="center" wrapText="1"/>
    </xf>
    <xf numFmtId="165" fontId="17" fillId="3" borderId="0" xfId="0" applyNumberFormat="1"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6" borderId="23" xfId="0" applyFont="1" applyFill="1" applyBorder="1" applyAlignment="1">
      <alignment horizontal="left" vertical="center"/>
    </xf>
    <xf numFmtId="0" fontId="18" fillId="6" borderId="0" xfId="0" applyFont="1" applyFill="1" applyBorder="1" applyAlignment="1">
      <alignment horizontal="left" vertical="center"/>
    </xf>
    <xf numFmtId="165" fontId="18" fillId="6" borderId="9" xfId="0" applyNumberFormat="1" applyFont="1" applyFill="1" applyBorder="1" applyAlignment="1">
      <alignment horizontal="left" vertical="center" wrapText="1"/>
    </xf>
    <xf numFmtId="165" fontId="23" fillId="3" borderId="23" xfId="0" applyNumberFormat="1" applyFont="1" applyFill="1" applyBorder="1" applyAlignment="1">
      <alignment horizontal="left" vertical="center" wrapText="1"/>
    </xf>
    <xf numFmtId="165" fontId="18" fillId="3" borderId="23" xfId="0" applyNumberFormat="1" applyFont="1" applyFill="1" applyBorder="1" applyAlignment="1">
      <alignment horizontal="left" vertical="center" wrapText="1"/>
    </xf>
    <xf numFmtId="0" fontId="64" fillId="3" borderId="0" xfId="0" applyFont="1" applyFill="1" applyBorder="1" applyAlignment="1">
      <alignment horizontal="left" wrapText="1"/>
    </xf>
    <xf numFmtId="0" fontId="18" fillId="6" borderId="23" xfId="0" applyFont="1" applyFill="1" applyBorder="1" applyAlignment="1">
      <alignment horizontal="left" vertical="center"/>
    </xf>
    <xf numFmtId="0" fontId="18" fillId="6" borderId="0" xfId="0" applyFont="1" applyFill="1" applyBorder="1" applyAlignment="1">
      <alignment horizontal="left" vertical="center"/>
    </xf>
    <xf numFmtId="0" fontId="7" fillId="0" borderId="34" xfId="0" applyFont="1" applyBorder="1" applyAlignment="1">
      <alignment horizontal="center" vertical="center"/>
    </xf>
    <xf numFmtId="165" fontId="23" fillId="6" borderId="8" xfId="0" applyNumberFormat="1" applyFont="1" applyFill="1" applyBorder="1" applyAlignment="1">
      <alignment horizontal="left" vertical="center"/>
    </xf>
    <xf numFmtId="165" fontId="23" fillId="3" borderId="0" xfId="0" applyNumberFormat="1" applyFont="1" applyFill="1" applyBorder="1" applyAlignment="1">
      <alignment horizontal="left" vertical="center"/>
    </xf>
    <xf numFmtId="8" fontId="14" fillId="3" borderId="0" xfId="0" applyNumberFormat="1" applyFont="1" applyFill="1" applyBorder="1" applyAlignment="1">
      <alignment horizontal="left" vertical="center"/>
    </xf>
    <xf numFmtId="8" fontId="14" fillId="3" borderId="5" xfId="0" applyNumberFormat="1" applyFont="1" applyFill="1" applyBorder="1" applyAlignment="1">
      <alignment horizontal="left" vertical="center"/>
    </xf>
    <xf numFmtId="8" fontId="16" fillId="6" borderId="0" xfId="0" applyNumberFormat="1" applyFont="1" applyFill="1" applyBorder="1" applyAlignment="1">
      <alignment horizontal="left" vertical="center"/>
    </xf>
    <xf numFmtId="8" fontId="16" fillId="6" borderId="5" xfId="0" applyNumberFormat="1" applyFont="1" applyFill="1" applyBorder="1" applyAlignment="1">
      <alignment horizontal="left" vertical="center"/>
    </xf>
    <xf numFmtId="165" fontId="23" fillId="3" borderId="9" xfId="0" applyNumberFormat="1" applyFont="1" applyFill="1" applyBorder="1" applyAlignment="1">
      <alignment horizontal="left" vertical="center"/>
    </xf>
    <xf numFmtId="165" fontId="23" fillId="6" borderId="0" xfId="0" applyNumberFormat="1" applyFont="1" applyFill="1" applyBorder="1" applyAlignment="1">
      <alignment horizontal="left" vertical="center"/>
    </xf>
    <xf numFmtId="165" fontId="23" fillId="3" borderId="0" xfId="0" applyNumberFormat="1" applyFont="1" applyFill="1" applyBorder="1" applyAlignment="1">
      <alignment horizontal="left" vertical="center" wrapText="1"/>
    </xf>
    <xf numFmtId="0" fontId="45" fillId="3" borderId="0" xfId="0" applyFont="1" applyFill="1" applyBorder="1" applyAlignment="1">
      <alignment horizontal="left" vertical="center" wrapText="1"/>
    </xf>
    <xf numFmtId="165" fontId="23" fillId="6" borderId="0" xfId="0" applyNumberFormat="1" applyFont="1" applyFill="1" applyBorder="1" applyAlignment="1">
      <alignment horizontal="left" vertical="center" wrapText="1"/>
    </xf>
    <xf numFmtId="165" fontId="18" fillId="3" borderId="0" xfId="0" applyNumberFormat="1" applyFont="1" applyFill="1" applyBorder="1" applyAlignment="1">
      <alignment horizontal="left" vertical="center" wrapText="1"/>
    </xf>
    <xf numFmtId="165" fontId="18" fillId="6" borderId="0" xfId="0" applyNumberFormat="1" applyFont="1" applyFill="1" applyBorder="1" applyAlignment="1">
      <alignment horizontal="left" vertical="center"/>
    </xf>
    <xf numFmtId="165" fontId="18" fillId="6" borderId="5" xfId="0" applyNumberFormat="1" applyFont="1" applyFill="1" applyBorder="1" applyAlignment="1">
      <alignment horizontal="left" vertical="center"/>
    </xf>
    <xf numFmtId="165" fontId="18" fillId="3" borderId="0" xfId="0" applyNumberFormat="1" applyFont="1" applyFill="1" applyBorder="1" applyAlignment="1">
      <alignment horizontal="left" vertical="center"/>
    </xf>
    <xf numFmtId="8" fontId="18" fillId="6" borderId="0" xfId="0" applyNumberFormat="1" applyFont="1" applyFill="1" applyBorder="1" applyAlignment="1">
      <alignment horizontal="left" vertical="center"/>
    </xf>
    <xf numFmtId="0" fontId="21" fillId="0" borderId="9" xfId="0" applyFont="1" applyBorder="1" applyAlignment="1">
      <alignment horizontal="left" vertical="center" wrapText="1"/>
    </xf>
    <xf numFmtId="0" fontId="21" fillId="0" borderId="7" xfId="0" applyFont="1" applyBorder="1" applyAlignment="1">
      <alignment horizontal="left" vertical="center" wrapText="1"/>
    </xf>
    <xf numFmtId="0" fontId="18" fillId="3" borderId="0" xfId="0" applyFont="1" applyFill="1" applyBorder="1" applyAlignment="1">
      <alignment horizontal="left" vertical="center" wrapText="1"/>
    </xf>
    <xf numFmtId="165" fontId="18" fillId="6" borderId="8" xfId="0" applyNumberFormat="1" applyFont="1" applyFill="1" applyBorder="1" applyAlignment="1">
      <alignment horizontal="left" vertical="center"/>
    </xf>
    <xf numFmtId="165" fontId="18" fillId="6" borderId="3" xfId="0" applyNumberFormat="1" applyFont="1" applyFill="1" applyBorder="1" applyAlignment="1">
      <alignment horizontal="left" vertical="center"/>
    </xf>
    <xf numFmtId="165" fontId="23" fillId="3" borderId="8" xfId="0" applyNumberFormat="1" applyFont="1" applyFill="1" applyBorder="1" applyAlignment="1">
      <alignment horizontal="left" vertical="center"/>
    </xf>
    <xf numFmtId="165" fontId="18" fillId="3" borderId="9" xfId="0" applyNumberFormat="1" applyFont="1" applyFill="1" applyBorder="1" applyAlignment="1">
      <alignment horizontal="left" vertical="center"/>
    </xf>
    <xf numFmtId="165" fontId="18" fillId="3" borderId="7" xfId="0" applyNumberFormat="1" applyFont="1" applyFill="1" applyBorder="1" applyAlignment="1">
      <alignment horizontal="left" vertical="center"/>
    </xf>
    <xf numFmtId="6" fontId="18" fillId="3" borderId="8" xfId="0" applyNumberFormat="1" applyFont="1" applyFill="1" applyBorder="1" applyAlignment="1">
      <alignment horizontal="left" vertical="center"/>
    </xf>
    <xf numFmtId="0" fontId="16" fillId="0" borderId="0" xfId="0" applyFont="1" applyBorder="1" applyAlignment="1">
      <alignment horizontal="left" vertical="center"/>
    </xf>
    <xf numFmtId="0" fontId="18" fillId="6" borderId="0" xfId="0" applyFont="1" applyFill="1" applyBorder="1" applyAlignment="1">
      <alignment horizontal="left" vertical="center"/>
    </xf>
    <xf numFmtId="0" fontId="18" fillId="3" borderId="0" xfId="0" applyFont="1" applyFill="1" applyBorder="1" applyAlignment="1">
      <alignment horizontal="left" vertical="center"/>
    </xf>
    <xf numFmtId="165" fontId="18" fillId="3" borderId="5" xfId="0" applyNumberFormat="1" applyFont="1" applyFill="1" applyBorder="1" applyAlignment="1">
      <alignment horizontal="left" vertical="center" wrapText="1"/>
    </xf>
    <xf numFmtId="0" fontId="27" fillId="14" borderId="0" xfId="0" applyFont="1" applyFill="1" applyAlignment="1"/>
    <xf numFmtId="0" fontId="56" fillId="0" borderId="0" xfId="0" applyFont="1" applyAlignment="1"/>
    <xf numFmtId="0" fontId="36" fillId="13" borderId="11" xfId="0" applyFont="1" applyFill="1" applyBorder="1" applyAlignment="1"/>
    <xf numFmtId="0" fontId="36" fillId="13" borderId="10" xfId="0" applyFont="1" applyFill="1" applyBorder="1" applyAlignment="1"/>
    <xf numFmtId="0" fontId="64" fillId="3" borderId="0" xfId="0" applyFont="1" applyFill="1" applyBorder="1" applyAlignment="1">
      <alignment wrapText="1"/>
    </xf>
    <xf numFmtId="0" fontId="28" fillId="6" borderId="2" xfId="0" applyFont="1" applyFill="1" applyBorder="1" applyAlignment="1">
      <alignment horizontal="left"/>
    </xf>
    <xf numFmtId="165" fontId="56" fillId="3" borderId="5" xfId="0" applyNumberFormat="1" applyFont="1" applyFill="1" applyBorder="1" applyAlignment="1">
      <alignment horizontal="left"/>
    </xf>
    <xf numFmtId="0" fontId="35" fillId="6" borderId="8" xfId="0" applyFont="1" applyFill="1" applyBorder="1" applyAlignment="1">
      <alignment horizontal="left"/>
    </xf>
    <xf numFmtId="0" fontId="28" fillId="6" borderId="46" xfId="0" applyFont="1" applyFill="1" applyBorder="1" applyAlignment="1"/>
    <xf numFmtId="0" fontId="28" fillId="0" borderId="47" xfId="0" applyFont="1" applyBorder="1" applyAlignment="1"/>
    <xf numFmtId="0" fontId="27" fillId="0" borderId="47" xfId="0" applyFont="1" applyBorder="1" applyAlignment="1"/>
    <xf numFmtId="0" fontId="27" fillId="0" borderId="48" xfId="0" applyFont="1" applyBorder="1" applyAlignment="1"/>
    <xf numFmtId="0" fontId="56" fillId="0" borderId="0" xfId="0" applyFont="1" applyBorder="1" applyAlignment="1"/>
    <xf numFmtId="0" fontId="101" fillId="6" borderId="2" xfId="0" applyFont="1" applyFill="1" applyBorder="1" applyAlignment="1">
      <alignment horizontal="left"/>
    </xf>
    <xf numFmtId="0" fontId="30" fillId="3" borderId="4" xfId="0" applyFont="1" applyFill="1" applyBorder="1" applyAlignment="1">
      <alignment horizontal="left"/>
    </xf>
    <xf numFmtId="0" fontId="30" fillId="6" borderId="4" xfId="0" applyFont="1" applyFill="1" applyBorder="1" applyAlignment="1">
      <alignment horizontal="left"/>
    </xf>
    <xf numFmtId="0" fontId="27" fillId="3" borderId="4" xfId="0" applyFont="1" applyFill="1" applyBorder="1" applyAlignment="1">
      <alignment horizontal="left"/>
    </xf>
    <xf numFmtId="0" fontId="27" fillId="6" borderId="36" xfId="0" applyFont="1" applyFill="1" applyBorder="1" applyAlignment="1">
      <alignment horizontal="left"/>
    </xf>
    <xf numFmtId="165" fontId="56" fillId="3" borderId="5" xfId="0" applyNumberFormat="1" applyFont="1" applyFill="1" applyBorder="1" applyAlignment="1"/>
    <xf numFmtId="165" fontId="35" fillId="3" borderId="0" xfId="0" applyNumberFormat="1" applyFont="1" applyFill="1" applyBorder="1" applyAlignment="1">
      <alignment horizontal="left"/>
    </xf>
    <xf numFmtId="165" fontId="56" fillId="3" borderId="0" xfId="0" applyNumberFormat="1" applyFont="1" applyFill="1" applyBorder="1" applyAlignment="1">
      <alignment horizontal="left"/>
    </xf>
    <xf numFmtId="165" fontId="18" fillId="6" borderId="0" xfId="0" applyNumberFormat="1" applyFont="1" applyFill="1" applyBorder="1" applyAlignment="1">
      <alignment horizontal="left" vertical="center"/>
    </xf>
    <xf numFmtId="165" fontId="23" fillId="6" borderId="0" xfId="0" applyNumberFormat="1" applyFont="1" applyFill="1" applyBorder="1" applyAlignment="1">
      <alignment horizontal="left" vertical="center"/>
    </xf>
    <xf numFmtId="165" fontId="23" fillId="3" borderId="0" xfId="0" applyNumberFormat="1" applyFont="1" applyFill="1" applyBorder="1" applyAlignment="1">
      <alignment horizontal="left" vertical="center"/>
    </xf>
    <xf numFmtId="14" fontId="14" fillId="3" borderId="0" xfId="0" applyNumberFormat="1" applyFont="1" applyFill="1" applyBorder="1" applyAlignment="1">
      <alignment horizontal="left" vertical="center"/>
    </xf>
    <xf numFmtId="8" fontId="16" fillId="0" borderId="0" xfId="0" applyNumberFormat="1" applyFont="1" applyBorder="1" applyAlignment="1">
      <alignment horizontal="left" vertical="center"/>
    </xf>
    <xf numFmtId="8" fontId="14" fillId="3" borderId="0" xfId="0" applyNumberFormat="1" applyFont="1" applyFill="1" applyBorder="1" applyAlignment="1">
      <alignment horizontal="left" vertical="center"/>
    </xf>
    <xf numFmtId="165" fontId="18" fillId="6" borderId="0" xfId="0" applyNumberFormat="1" applyFont="1" applyFill="1" applyBorder="1" applyAlignment="1">
      <alignment horizontal="left" vertical="center"/>
    </xf>
    <xf numFmtId="165" fontId="18" fillId="3" borderId="0" xfId="0" applyNumberFormat="1" applyFont="1" applyFill="1" applyBorder="1" applyAlignment="1">
      <alignment horizontal="left" vertical="center"/>
    </xf>
    <xf numFmtId="165" fontId="53" fillId="3" borderId="0" xfId="0" applyNumberFormat="1" applyFont="1" applyFill="1" applyBorder="1" applyAlignment="1">
      <alignment horizontal="left" vertical="center" wrapText="1"/>
    </xf>
    <xf numFmtId="0" fontId="45" fillId="3" borderId="0" xfId="0" applyFont="1" applyFill="1" applyBorder="1" applyAlignment="1">
      <alignment horizontal="left" vertical="center" wrapText="1"/>
    </xf>
    <xf numFmtId="164" fontId="18" fillId="3" borderId="0" xfId="2" applyNumberFormat="1" applyFont="1" applyFill="1" applyBorder="1" applyAlignment="1">
      <alignment horizontal="left" vertical="center"/>
    </xf>
    <xf numFmtId="8" fontId="16" fillId="3" borderId="0" xfId="0" applyNumberFormat="1" applyFont="1" applyFill="1" applyBorder="1" applyAlignment="1">
      <alignment horizontal="left" vertical="center"/>
    </xf>
    <xf numFmtId="164" fontId="18" fillId="0" borderId="0" xfId="2" applyNumberFormat="1" applyFont="1" applyBorder="1" applyAlignment="1">
      <alignment horizontal="left" vertical="center"/>
    </xf>
    <xf numFmtId="165" fontId="18" fillId="6" borderId="34" xfId="2" applyNumberFormat="1" applyFont="1" applyFill="1" applyBorder="1" applyAlignment="1">
      <alignment horizontal="left" vertical="center"/>
    </xf>
    <xf numFmtId="6" fontId="18" fillId="3" borderId="0" xfId="0" applyNumberFormat="1" applyFont="1" applyFill="1" applyBorder="1" applyAlignment="1">
      <alignment horizontal="left" vertical="center"/>
    </xf>
    <xf numFmtId="165" fontId="18" fillId="6" borderId="0" xfId="2" applyNumberFormat="1" applyFont="1" applyFill="1" applyBorder="1" applyAlignment="1">
      <alignment horizontal="left" vertical="center"/>
    </xf>
    <xf numFmtId="0" fontId="14" fillId="3" borderId="0" xfId="0" applyFont="1" applyFill="1" applyBorder="1" applyAlignment="1">
      <alignment horizontal="left" vertical="center" wrapText="1"/>
    </xf>
    <xf numFmtId="165" fontId="17" fillId="0" borderId="8" xfId="0" applyNumberFormat="1" applyFont="1" applyBorder="1" applyAlignment="1">
      <alignment horizontal="left" vertical="center"/>
    </xf>
    <xf numFmtId="165" fontId="18" fillId="0" borderId="0" xfId="0" applyNumberFormat="1" applyFont="1" applyBorder="1" applyAlignment="1">
      <alignment horizontal="left" vertical="center"/>
    </xf>
    <xf numFmtId="0" fontId="18" fillId="3" borderId="0" xfId="0" applyFont="1" applyFill="1" applyBorder="1" applyAlignment="1">
      <alignment horizontal="left" vertical="center" wrapText="1"/>
    </xf>
    <xf numFmtId="165" fontId="18" fillId="3" borderId="9" xfId="0" applyNumberFormat="1" applyFont="1" applyFill="1" applyBorder="1" applyAlignment="1">
      <alignment horizontal="left" vertical="center"/>
    </xf>
    <xf numFmtId="165" fontId="18" fillId="3" borderId="0" xfId="2" applyNumberFormat="1" applyFont="1" applyFill="1" applyBorder="1" applyAlignment="1">
      <alignment horizontal="left" vertical="center"/>
    </xf>
    <xf numFmtId="6" fontId="18" fillId="3" borderId="8" xfId="0" applyNumberFormat="1" applyFont="1" applyFill="1" applyBorder="1" applyAlignment="1">
      <alignment horizontal="left" vertical="center"/>
    </xf>
    <xf numFmtId="165" fontId="21" fillId="0" borderId="7" xfId="0" applyNumberFormat="1" applyFont="1" applyBorder="1" applyAlignment="1">
      <alignment horizontal="left" vertical="center"/>
    </xf>
    <xf numFmtId="165" fontId="21" fillId="0" borderId="3" xfId="0" applyNumberFormat="1" applyFont="1" applyBorder="1" applyAlignment="1">
      <alignment horizontal="left" vertical="center"/>
    </xf>
    <xf numFmtId="0" fontId="18" fillId="6" borderId="0" xfId="0" applyFont="1" applyFill="1" applyBorder="1" applyAlignment="1">
      <alignment horizontal="left" vertical="center"/>
    </xf>
    <xf numFmtId="0" fontId="18" fillId="3" borderId="0" xfId="0" applyFont="1" applyFill="1" applyBorder="1" applyAlignment="1">
      <alignment horizontal="left" vertical="center"/>
    </xf>
    <xf numFmtId="165" fontId="17" fillId="0" borderId="0" xfId="0" applyNumberFormat="1" applyFont="1" applyBorder="1" applyAlignment="1">
      <alignment horizontal="left" vertical="center"/>
    </xf>
    <xf numFmtId="165" fontId="18" fillId="6" borderId="34" xfId="2" applyNumberFormat="1" applyFont="1" applyFill="1" applyBorder="1" applyAlignment="1">
      <alignment horizontal="left" vertical="center"/>
    </xf>
    <xf numFmtId="6" fontId="18" fillId="3" borderId="0" xfId="0" applyNumberFormat="1" applyFont="1" applyFill="1" applyBorder="1" applyAlignment="1">
      <alignment horizontal="left" vertical="center"/>
    </xf>
    <xf numFmtId="165" fontId="18" fillId="6" borderId="0" xfId="2" applyNumberFormat="1" applyFont="1" applyFill="1" applyBorder="1" applyAlignment="1">
      <alignment horizontal="left" vertical="center"/>
    </xf>
    <xf numFmtId="165" fontId="23" fillId="3" borderId="9" xfId="0" applyNumberFormat="1" applyFont="1" applyFill="1" applyBorder="1" applyAlignment="1">
      <alignment horizontal="left" vertical="center"/>
    </xf>
    <xf numFmtId="165" fontId="23" fillId="6" borderId="0" xfId="0" applyNumberFormat="1" applyFont="1" applyFill="1" applyBorder="1" applyAlignment="1">
      <alignment horizontal="left" vertical="center"/>
    </xf>
    <xf numFmtId="165" fontId="18" fillId="3" borderId="0" xfId="0" applyNumberFormat="1" applyFont="1" applyFill="1" applyBorder="1" applyAlignment="1">
      <alignment horizontal="left" vertical="center" wrapText="1"/>
    </xf>
    <xf numFmtId="0" fontId="21" fillId="0" borderId="9" xfId="0" applyFont="1" applyBorder="1" applyAlignment="1">
      <alignment horizontal="left" vertical="center" wrapText="1"/>
    </xf>
    <xf numFmtId="0" fontId="21" fillId="0" borderId="7" xfId="0" applyFont="1" applyBorder="1" applyAlignment="1">
      <alignment horizontal="left" vertical="center" wrapText="1"/>
    </xf>
    <xf numFmtId="165" fontId="17" fillId="0" borderId="8" xfId="0" applyNumberFormat="1" applyFont="1" applyBorder="1" applyAlignment="1">
      <alignment horizontal="left" vertical="center"/>
    </xf>
    <xf numFmtId="165" fontId="17" fillId="0" borderId="3" xfId="0" applyNumberFormat="1" applyFont="1" applyBorder="1" applyAlignment="1">
      <alignment horizontal="left" vertical="center"/>
    </xf>
    <xf numFmtId="165" fontId="18" fillId="0" borderId="0" xfId="0" applyNumberFormat="1" applyFont="1" applyBorder="1" applyAlignment="1">
      <alignment horizontal="left" vertical="center"/>
    </xf>
    <xf numFmtId="6" fontId="18" fillId="3" borderId="8" xfId="0" applyNumberFormat="1" applyFont="1" applyFill="1" applyBorder="1" applyAlignment="1">
      <alignment horizontal="left" vertical="center"/>
    </xf>
    <xf numFmtId="165" fontId="21" fillId="0" borderId="9" xfId="0" applyNumberFormat="1" applyFont="1" applyBorder="1" applyAlignment="1">
      <alignment horizontal="left" vertical="center"/>
    </xf>
    <xf numFmtId="165" fontId="21" fillId="0" borderId="8" xfId="0" applyNumberFormat="1" applyFont="1" applyBorder="1" applyAlignment="1">
      <alignment horizontal="left" vertical="center"/>
    </xf>
    <xf numFmtId="165" fontId="17" fillId="0" borderId="0" xfId="0" applyNumberFormat="1" applyFont="1" applyBorder="1" applyAlignment="1">
      <alignment horizontal="left" vertical="center"/>
    </xf>
    <xf numFmtId="165" fontId="17" fillId="0" borderId="5" xfId="0" applyNumberFormat="1" applyFont="1" applyBorder="1" applyAlignment="1">
      <alignment horizontal="left" vertical="center"/>
    </xf>
    <xf numFmtId="8" fontId="16" fillId="6" borderId="9" xfId="0" applyNumberFormat="1" applyFont="1" applyFill="1" applyBorder="1" applyAlignment="1">
      <alignment horizontal="left" vertical="center"/>
    </xf>
    <xf numFmtId="165" fontId="21" fillId="0" borderId="0" xfId="0" applyNumberFormat="1" applyFont="1" applyBorder="1" applyAlignment="1">
      <alignment horizontal="left" vertical="center"/>
    </xf>
    <xf numFmtId="165" fontId="18" fillId="3" borderId="23" xfId="0" applyNumberFormat="1" applyFont="1" applyFill="1" applyBorder="1" applyAlignment="1">
      <alignment horizontal="left" vertical="center" wrapText="1"/>
    </xf>
    <xf numFmtId="165" fontId="18" fillId="3" borderId="0" xfId="0" applyNumberFormat="1" applyFont="1" applyFill="1" applyBorder="1" applyAlignment="1">
      <alignment horizontal="left" vertical="center" wrapText="1"/>
    </xf>
    <xf numFmtId="164" fontId="18" fillId="0" borderId="0" xfId="2" applyNumberFormat="1" applyFont="1" applyBorder="1" applyAlignment="1">
      <alignment horizontal="left" vertical="center"/>
    </xf>
    <xf numFmtId="165" fontId="23" fillId="3" borderId="0" xfId="0" applyNumberFormat="1" applyFont="1" applyFill="1" applyBorder="1" applyAlignment="1">
      <alignment horizontal="left" vertical="center"/>
    </xf>
    <xf numFmtId="165" fontId="18" fillId="6" borderId="34" xfId="2" applyNumberFormat="1" applyFont="1" applyFill="1" applyBorder="1" applyAlignment="1">
      <alignment horizontal="left" vertical="center"/>
    </xf>
    <xf numFmtId="6" fontId="18" fillId="3" borderId="0" xfId="0" applyNumberFormat="1" applyFont="1" applyFill="1" applyBorder="1" applyAlignment="1">
      <alignment horizontal="left" vertical="center"/>
    </xf>
    <xf numFmtId="165" fontId="18" fillId="6" borderId="0" xfId="2" applyNumberFormat="1" applyFont="1" applyFill="1" applyBorder="1" applyAlignment="1">
      <alignment horizontal="left" vertical="center"/>
    </xf>
    <xf numFmtId="8" fontId="14" fillId="3" borderId="0" xfId="0" applyNumberFormat="1" applyFont="1" applyFill="1" applyBorder="1" applyAlignment="1">
      <alignment horizontal="left" vertical="center"/>
    </xf>
    <xf numFmtId="165" fontId="53" fillId="3" borderId="0" xfId="0" applyNumberFormat="1" applyFont="1" applyFill="1" applyBorder="1" applyAlignment="1">
      <alignment horizontal="left" vertical="center" wrapText="1"/>
    </xf>
    <xf numFmtId="165" fontId="23" fillId="6" borderId="0" xfId="0" applyNumberFormat="1" applyFont="1" applyFill="1" applyBorder="1" applyAlignment="1">
      <alignment horizontal="left" vertical="center"/>
    </xf>
    <xf numFmtId="0" fontId="45" fillId="3" borderId="0" xfId="0" applyFont="1" applyFill="1" applyBorder="1" applyAlignment="1">
      <alignment horizontal="left" vertical="center" wrapText="1"/>
    </xf>
    <xf numFmtId="14" fontId="14" fillId="3" borderId="0" xfId="0" applyNumberFormat="1" applyFont="1" applyFill="1" applyBorder="1" applyAlignment="1">
      <alignment horizontal="left" vertical="center"/>
    </xf>
    <xf numFmtId="8" fontId="16" fillId="0" borderId="0" xfId="0" applyNumberFormat="1" applyFont="1" applyBorder="1" applyAlignment="1">
      <alignment horizontal="left" vertical="center"/>
    </xf>
    <xf numFmtId="165" fontId="18" fillId="3" borderId="0" xfId="0" applyNumberFormat="1" applyFont="1" applyFill="1" applyBorder="1" applyAlignment="1">
      <alignment horizontal="left" vertical="center"/>
    </xf>
    <xf numFmtId="8" fontId="16" fillId="3" borderId="0" xfId="0" applyNumberFormat="1" applyFont="1" applyFill="1" applyBorder="1" applyAlignment="1">
      <alignment horizontal="left" vertical="center"/>
    </xf>
    <xf numFmtId="164" fontId="18" fillId="3" borderId="0" xfId="2" applyNumberFormat="1" applyFont="1" applyFill="1" applyBorder="1" applyAlignment="1">
      <alignment horizontal="left" vertical="center"/>
    </xf>
    <xf numFmtId="8" fontId="16" fillId="6" borderId="9" xfId="0" applyNumberFormat="1" applyFont="1" applyFill="1" applyBorder="1" applyAlignment="1">
      <alignment horizontal="left" vertical="center"/>
    </xf>
    <xf numFmtId="0" fontId="14" fillId="3" borderId="0" xfId="0" applyFont="1" applyFill="1" applyBorder="1" applyAlignment="1">
      <alignment horizontal="left" vertical="center" wrapText="1"/>
    </xf>
    <xf numFmtId="165" fontId="17" fillId="0" borderId="8" xfId="0" applyNumberFormat="1" applyFont="1" applyBorder="1" applyAlignment="1">
      <alignment horizontal="left" vertical="center"/>
    </xf>
    <xf numFmtId="165" fontId="18" fillId="0" borderId="0" xfId="0" applyNumberFormat="1" applyFont="1" applyBorder="1" applyAlignment="1">
      <alignment horizontal="left" vertical="center"/>
    </xf>
    <xf numFmtId="0" fontId="18" fillId="3" borderId="0" xfId="0" applyFont="1" applyFill="1" applyBorder="1" applyAlignment="1">
      <alignment horizontal="left" vertical="center" wrapText="1"/>
    </xf>
    <xf numFmtId="165" fontId="18" fillId="3" borderId="9" xfId="0" applyNumberFormat="1" applyFont="1" applyFill="1" applyBorder="1" applyAlignment="1">
      <alignment horizontal="left" vertical="center"/>
    </xf>
    <xf numFmtId="6" fontId="18" fillId="3" borderId="8" xfId="0" applyNumberFormat="1" applyFont="1" applyFill="1" applyBorder="1" applyAlignment="1">
      <alignment horizontal="left" vertical="center"/>
    </xf>
    <xf numFmtId="165" fontId="18" fillId="3" borderId="0" xfId="2" applyNumberFormat="1" applyFont="1" applyFill="1" applyBorder="1" applyAlignment="1">
      <alignment horizontal="left" vertical="center"/>
    </xf>
    <xf numFmtId="165" fontId="21" fillId="0" borderId="7" xfId="0" applyNumberFormat="1" applyFont="1" applyBorder="1" applyAlignment="1">
      <alignment horizontal="left" vertical="center"/>
    </xf>
    <xf numFmtId="165" fontId="21" fillId="0" borderId="3" xfId="0" applyNumberFormat="1" applyFont="1" applyBorder="1" applyAlignment="1">
      <alignment horizontal="left" vertical="center"/>
    </xf>
    <xf numFmtId="0" fontId="18" fillId="6" borderId="0" xfId="0" applyFont="1" applyFill="1" applyBorder="1" applyAlignment="1">
      <alignment horizontal="left" vertical="center"/>
    </xf>
    <xf numFmtId="0" fontId="18" fillId="3" borderId="0" xfId="0" applyFont="1" applyFill="1" applyBorder="1" applyAlignment="1">
      <alignment horizontal="left" vertical="center"/>
    </xf>
    <xf numFmtId="165" fontId="17" fillId="0" borderId="0" xfId="0" applyNumberFormat="1" applyFont="1" applyBorder="1" applyAlignment="1">
      <alignment horizontal="left" vertical="center"/>
    </xf>
    <xf numFmtId="8" fontId="16" fillId="6" borderId="9" xfId="0" applyNumberFormat="1" applyFont="1" applyFill="1" applyBorder="1" applyAlignment="1">
      <alignment vertical="center"/>
    </xf>
    <xf numFmtId="8" fontId="16" fillId="6" borderId="7" xfId="0" applyNumberFormat="1" applyFont="1" applyFill="1" applyBorder="1" applyAlignment="1">
      <alignment vertical="center"/>
    </xf>
    <xf numFmtId="8" fontId="16" fillId="6" borderId="0" xfId="0" applyNumberFormat="1" applyFont="1" applyFill="1" applyBorder="1" applyAlignment="1">
      <alignment horizontal="left" vertical="center"/>
    </xf>
    <xf numFmtId="164" fontId="18" fillId="6" borderId="0" xfId="2" applyNumberFormat="1" applyFont="1" applyFill="1" applyBorder="1" applyAlignment="1">
      <alignment horizontal="left" vertical="center"/>
    </xf>
    <xf numFmtId="0" fontId="18" fillId="3" borderId="0" xfId="0" applyFont="1" applyFill="1" applyBorder="1" applyAlignment="1">
      <alignment horizontal="left" vertical="center"/>
    </xf>
    <xf numFmtId="8" fontId="16" fillId="3" borderId="9" xfId="0" applyNumberFormat="1" applyFont="1" applyFill="1" applyBorder="1" applyAlignment="1">
      <alignment horizontal="left" vertical="center"/>
    </xf>
    <xf numFmtId="165" fontId="23" fillId="6" borderId="8" xfId="0" applyNumberFormat="1" applyFont="1" applyFill="1" applyBorder="1" applyAlignment="1">
      <alignment horizontal="left" vertical="center"/>
    </xf>
    <xf numFmtId="165" fontId="23" fillId="0" borderId="9" xfId="0" applyNumberFormat="1" applyFont="1" applyBorder="1" applyAlignment="1">
      <alignment horizontal="left" vertical="center"/>
    </xf>
    <xf numFmtId="165" fontId="23" fillId="0" borderId="7" xfId="0" applyNumberFormat="1" applyFont="1" applyBorder="1" applyAlignment="1">
      <alignment horizontal="left" vertical="center"/>
    </xf>
    <xf numFmtId="165" fontId="17" fillId="0" borderId="8" xfId="0" applyNumberFormat="1" applyFont="1" applyBorder="1" applyAlignment="1">
      <alignment horizontal="left" vertical="center"/>
    </xf>
    <xf numFmtId="165" fontId="17" fillId="0" borderId="3" xfId="0" applyNumberFormat="1" applyFont="1" applyBorder="1" applyAlignment="1">
      <alignment horizontal="left" vertical="center"/>
    </xf>
    <xf numFmtId="165" fontId="21" fillId="0" borderId="9" xfId="0" applyNumberFormat="1" applyFont="1" applyBorder="1" applyAlignment="1">
      <alignment horizontal="left" vertical="center"/>
    </xf>
    <xf numFmtId="165" fontId="21" fillId="0" borderId="8" xfId="0" applyNumberFormat="1" applyFont="1" applyBorder="1" applyAlignment="1">
      <alignment horizontal="left" vertical="center"/>
    </xf>
    <xf numFmtId="8" fontId="16" fillId="6" borderId="9" xfId="0" applyNumberFormat="1" applyFont="1" applyFill="1" applyBorder="1" applyAlignment="1">
      <alignment horizontal="left" vertical="center"/>
    </xf>
    <xf numFmtId="8" fontId="18" fillId="3" borderId="9" xfId="0" applyNumberFormat="1" applyFont="1" applyFill="1" applyBorder="1" applyAlignment="1">
      <alignment horizontal="left" vertical="center"/>
    </xf>
    <xf numFmtId="0" fontId="23" fillId="6" borderId="0" xfId="2" applyNumberFormat="1" applyFont="1" applyFill="1" applyBorder="1" applyAlignment="1">
      <alignment horizontal="center" vertical="center"/>
    </xf>
    <xf numFmtId="165" fontId="23" fillId="6" borderId="5" xfId="2" applyNumberFormat="1" applyFont="1" applyFill="1" applyBorder="1" applyAlignment="1">
      <alignment vertical="center"/>
    </xf>
    <xf numFmtId="0" fontId="23" fillId="6" borderId="0" xfId="2" applyNumberFormat="1" applyFont="1" applyFill="1" applyBorder="1" applyAlignment="1">
      <alignment horizontal="left" vertical="center"/>
    </xf>
    <xf numFmtId="165" fontId="23" fillId="6" borderId="8" xfId="0" applyNumberFormat="1" applyFont="1" applyFill="1" applyBorder="1" applyAlignment="1">
      <alignment horizontal="left" vertical="center"/>
    </xf>
    <xf numFmtId="165" fontId="23" fillId="3" borderId="0" xfId="0" applyNumberFormat="1" applyFont="1" applyFill="1" applyBorder="1" applyAlignment="1">
      <alignment horizontal="left" vertical="center"/>
    </xf>
    <xf numFmtId="165" fontId="18" fillId="6" borderId="34" xfId="2" applyNumberFormat="1" applyFont="1" applyFill="1" applyBorder="1" applyAlignment="1">
      <alignment horizontal="left" vertical="center"/>
    </xf>
    <xf numFmtId="6" fontId="18" fillId="3" borderId="0" xfId="0" applyNumberFormat="1" applyFont="1" applyFill="1" applyBorder="1" applyAlignment="1">
      <alignment horizontal="left" vertical="center"/>
    </xf>
    <xf numFmtId="165" fontId="23" fillId="6" borderId="0" xfId="0" applyNumberFormat="1" applyFont="1" applyFill="1" applyBorder="1" applyAlignment="1">
      <alignment horizontal="left" vertical="center"/>
    </xf>
    <xf numFmtId="14" fontId="14" fillId="3" borderId="0" xfId="0" applyNumberFormat="1" applyFont="1" applyFill="1" applyBorder="1" applyAlignment="1">
      <alignment horizontal="left" vertical="center"/>
    </xf>
    <xf numFmtId="14" fontId="14" fillId="3" borderId="5" xfId="0" applyNumberFormat="1" applyFont="1" applyFill="1" applyBorder="1" applyAlignment="1">
      <alignment horizontal="left" vertical="center"/>
    </xf>
    <xf numFmtId="14" fontId="41" fillId="3" borderId="8" xfId="0" applyNumberFormat="1" applyFont="1" applyFill="1" applyBorder="1" applyAlignment="1">
      <alignment horizontal="left" vertical="center"/>
    </xf>
    <xf numFmtId="6" fontId="18" fillId="6" borderId="0" xfId="0" applyNumberFormat="1" applyFont="1" applyFill="1" applyBorder="1" applyAlignment="1">
      <alignment horizontal="left" vertical="center"/>
    </xf>
    <xf numFmtId="165" fontId="17" fillId="0" borderId="8" xfId="0" applyNumberFormat="1" applyFont="1" applyBorder="1" applyAlignment="1">
      <alignment horizontal="left" vertical="center"/>
    </xf>
    <xf numFmtId="165" fontId="18" fillId="3" borderId="0" xfId="2" applyNumberFormat="1" applyFont="1" applyFill="1" applyBorder="1" applyAlignment="1">
      <alignment horizontal="left" vertical="center"/>
    </xf>
    <xf numFmtId="165" fontId="18" fillId="6" borderId="34" xfId="2" applyNumberFormat="1" applyFont="1" applyFill="1" applyBorder="1" applyAlignment="1">
      <alignment horizontal="left" vertical="center"/>
    </xf>
    <xf numFmtId="6" fontId="18" fillId="3" borderId="0" xfId="0" applyNumberFormat="1" applyFont="1" applyFill="1" applyBorder="1" applyAlignment="1">
      <alignment horizontal="left" vertical="center"/>
    </xf>
    <xf numFmtId="165" fontId="18" fillId="6" borderId="0" xfId="2" applyNumberFormat="1" applyFont="1" applyFill="1" applyBorder="1" applyAlignment="1">
      <alignment horizontal="left" vertical="center"/>
    </xf>
    <xf numFmtId="6" fontId="18" fillId="3" borderId="8" xfId="0" applyNumberFormat="1" applyFont="1" applyFill="1" applyBorder="1" applyAlignment="1">
      <alignment horizontal="left" vertical="center"/>
    </xf>
    <xf numFmtId="0" fontId="18" fillId="6" borderId="0" xfId="0" applyFont="1" applyFill="1" applyBorder="1" applyAlignment="1">
      <alignment horizontal="left" vertical="center"/>
    </xf>
    <xf numFmtId="9" fontId="17" fillId="3" borderId="5" xfId="2" applyFont="1" applyFill="1" applyBorder="1" applyAlignment="1">
      <alignment horizontal="left" vertical="center"/>
    </xf>
    <xf numFmtId="9" fontId="17" fillId="6" borderId="5" xfId="2" applyFont="1" applyFill="1" applyBorder="1" applyAlignment="1">
      <alignment horizontal="left" vertical="center"/>
    </xf>
    <xf numFmtId="8" fontId="21" fillId="6" borderId="0" xfId="0" applyNumberFormat="1" applyFont="1" applyFill="1" applyBorder="1" applyAlignment="1">
      <alignment horizontal="left" vertical="center"/>
    </xf>
    <xf numFmtId="165" fontId="18" fillId="6" borderId="9" xfId="2" applyNumberFormat="1" applyFont="1" applyFill="1" applyBorder="1" applyAlignment="1">
      <alignment horizontal="left" vertical="center"/>
    </xf>
    <xf numFmtId="0" fontId="39" fillId="14" borderId="36" xfId="0" applyFont="1" applyFill="1" applyBorder="1" applyAlignment="1">
      <alignment vertical="center"/>
    </xf>
    <xf numFmtId="14" fontId="14" fillId="3" borderId="34" xfId="0" applyNumberFormat="1" applyFont="1" applyFill="1" applyBorder="1" applyAlignment="1">
      <alignment horizontal="left" vertical="center"/>
    </xf>
    <xf numFmtId="14" fontId="14" fillId="3" borderId="37" xfId="0" applyNumberFormat="1" applyFont="1" applyFill="1" applyBorder="1" applyAlignment="1">
      <alignment horizontal="left" vertical="center"/>
    </xf>
    <xf numFmtId="14" fontId="14" fillId="3" borderId="8" xfId="0" applyNumberFormat="1" applyFont="1" applyFill="1" applyBorder="1" applyAlignment="1">
      <alignment horizontal="left" vertical="center"/>
    </xf>
    <xf numFmtId="14" fontId="14" fillId="3" borderId="3" xfId="0" applyNumberFormat="1" applyFont="1" applyFill="1" applyBorder="1" applyAlignment="1">
      <alignment horizontal="left" vertical="center"/>
    </xf>
    <xf numFmtId="165" fontId="18" fillId="3" borderId="0" xfId="0" applyNumberFormat="1" applyFont="1" applyFill="1" applyBorder="1" applyAlignment="1">
      <alignment horizontal="left" vertical="center"/>
    </xf>
    <xf numFmtId="165" fontId="18" fillId="6" borderId="0" xfId="0" applyNumberFormat="1" applyFont="1" applyFill="1" applyBorder="1" applyAlignment="1">
      <alignment horizontal="left" vertical="center"/>
    </xf>
    <xf numFmtId="0" fontId="93" fillId="14" borderId="34" xfId="0" applyFont="1" applyFill="1" applyBorder="1" applyAlignment="1">
      <alignment horizontal="center" vertical="center"/>
    </xf>
    <xf numFmtId="0" fontId="97" fillId="15" borderId="34" xfId="0" applyFont="1" applyFill="1" applyBorder="1" applyAlignment="1">
      <alignment horizontal="center" vertical="center"/>
    </xf>
    <xf numFmtId="0" fontId="41" fillId="14" borderId="0" xfId="0" applyFont="1" applyFill="1" applyAlignment="1">
      <alignment horizontal="center" vertical="center"/>
    </xf>
    <xf numFmtId="0" fontId="7" fillId="0" borderId="34" xfId="0" applyFont="1" applyBorder="1" applyAlignment="1">
      <alignment horizontal="center" vertical="center"/>
    </xf>
    <xf numFmtId="0" fontId="97" fillId="15" borderId="0" xfId="0" applyFont="1" applyFill="1" applyAlignment="1">
      <alignment horizontal="center" vertical="center"/>
    </xf>
    <xf numFmtId="165" fontId="100" fillId="6" borderId="9" xfId="0" applyNumberFormat="1" applyFont="1" applyFill="1" applyBorder="1" applyAlignment="1">
      <alignment horizontal="left"/>
    </xf>
    <xf numFmtId="165" fontId="100" fillId="6" borderId="7" xfId="0" applyNumberFormat="1" applyFont="1" applyFill="1" applyBorder="1" applyAlignment="1">
      <alignment horizontal="left"/>
    </xf>
    <xf numFmtId="165" fontId="100" fillId="3" borderId="5" xfId="0" applyNumberFormat="1" applyFont="1" applyFill="1" applyBorder="1" applyAlignment="1">
      <alignment horizontal="left"/>
    </xf>
    <xf numFmtId="165" fontId="100" fillId="6" borderId="5" xfId="0" applyNumberFormat="1" applyFont="1" applyFill="1" applyBorder="1" applyAlignment="1">
      <alignment horizontal="left"/>
    </xf>
    <xf numFmtId="0" fontId="35" fillId="3" borderId="5" xfId="0" applyFont="1" applyFill="1" applyBorder="1" applyAlignment="1">
      <alignment horizontal="left"/>
    </xf>
    <xf numFmtId="165" fontId="35" fillId="6" borderId="5" xfId="0" applyNumberFormat="1" applyFont="1" applyFill="1" applyBorder="1" applyAlignment="1">
      <alignment horizontal="left"/>
    </xf>
    <xf numFmtId="165" fontId="98" fillId="6" borderId="5" xfId="0" applyNumberFormat="1" applyFont="1" applyFill="1" applyBorder="1" applyAlignment="1">
      <alignment horizontal="left"/>
    </xf>
    <xf numFmtId="165" fontId="56" fillId="6" borderId="8" xfId="0" applyNumberFormat="1" applyFont="1" applyFill="1" applyBorder="1" applyAlignment="1">
      <alignment horizontal="left"/>
    </xf>
    <xf numFmtId="165" fontId="56" fillId="6" borderId="3" xfId="0" applyNumberFormat="1" applyFont="1" applyFill="1" applyBorder="1" applyAlignment="1">
      <alignment horizontal="left"/>
    </xf>
    <xf numFmtId="0" fontId="28" fillId="3" borderId="4" xfId="0" applyFont="1" applyFill="1" applyBorder="1" applyAlignment="1">
      <alignment horizontal="center"/>
    </xf>
    <xf numFmtId="0" fontId="28" fillId="3" borderId="0" xfId="0" applyFont="1" applyFill="1" applyBorder="1" applyAlignment="1">
      <alignment horizontal="center"/>
    </xf>
    <xf numFmtId="0" fontId="28" fillId="3" borderId="5" xfId="0" applyFont="1" applyFill="1" applyBorder="1" applyAlignment="1">
      <alignment horizontal="center"/>
    </xf>
    <xf numFmtId="165" fontId="100" fillId="6" borderId="34" xfId="0" applyNumberFormat="1" applyFont="1" applyFill="1" applyBorder="1" applyAlignment="1">
      <alignment horizontal="left"/>
    </xf>
    <xf numFmtId="165" fontId="100" fillId="6" borderId="37" xfId="0" applyNumberFormat="1" applyFont="1" applyFill="1" applyBorder="1" applyAlignment="1">
      <alignment horizontal="left"/>
    </xf>
    <xf numFmtId="0" fontId="77" fillId="14" borderId="0" xfId="0" applyFont="1" applyFill="1" applyBorder="1" applyAlignment="1">
      <alignment horizontal="center"/>
    </xf>
    <xf numFmtId="0" fontId="76" fillId="6" borderId="0" xfId="0" applyFont="1" applyFill="1" applyBorder="1" applyAlignment="1">
      <alignment horizontal="left"/>
    </xf>
    <xf numFmtId="0" fontId="76" fillId="0" borderId="0" xfId="0" applyFont="1" applyBorder="1" applyAlignment="1">
      <alignment horizontal="left"/>
    </xf>
    <xf numFmtId="168" fontId="76" fillId="6" borderId="0" xfId="0" applyNumberFormat="1" applyFont="1" applyFill="1" applyBorder="1" applyAlignment="1">
      <alignment horizontal="left"/>
    </xf>
    <xf numFmtId="167" fontId="75" fillId="6" borderId="0" xfId="0" applyNumberFormat="1" applyFont="1" applyFill="1" applyBorder="1" applyAlignment="1">
      <alignment horizontal="left"/>
    </xf>
    <xf numFmtId="0" fontId="76" fillId="3" borderId="0" xfId="0" applyFont="1" applyFill="1" applyBorder="1" applyAlignment="1">
      <alignment horizontal="left"/>
    </xf>
    <xf numFmtId="167" fontId="76" fillId="3" borderId="34" xfId="0" applyNumberFormat="1" applyFont="1" applyFill="1" applyBorder="1" applyAlignment="1">
      <alignment horizontal="left"/>
    </xf>
    <xf numFmtId="0" fontId="64" fillId="3" borderId="0" xfId="0" applyFont="1" applyFill="1" applyBorder="1" applyAlignment="1">
      <alignment horizontal="left" wrapText="1"/>
    </xf>
    <xf numFmtId="0" fontId="35" fillId="6" borderId="9" xfId="0" applyFont="1" applyFill="1" applyBorder="1" applyAlignment="1">
      <alignment horizontal="left"/>
    </xf>
    <xf numFmtId="0" fontId="35" fillId="6" borderId="7" xfId="0" applyFont="1" applyFill="1" applyBorder="1" applyAlignment="1">
      <alignment horizontal="left"/>
    </xf>
    <xf numFmtId="165" fontId="35" fillId="3" borderId="5" xfId="0" applyNumberFormat="1" applyFont="1" applyFill="1" applyBorder="1" applyAlignment="1">
      <alignment horizontal="left"/>
    </xf>
    <xf numFmtId="9" fontId="35" fillId="6" borderId="5" xfId="0" applyNumberFormat="1" applyFont="1" applyFill="1" applyBorder="1" applyAlignment="1">
      <alignment horizontal="left"/>
    </xf>
    <xf numFmtId="165" fontId="99" fillId="3" borderId="5" xfId="1" applyNumberFormat="1" applyFont="1" applyFill="1" applyBorder="1" applyAlignment="1">
      <alignment horizontal="left"/>
    </xf>
    <xf numFmtId="10" fontId="56" fillId="6" borderId="5" xfId="2" applyNumberFormat="1" applyFont="1" applyFill="1" applyBorder="1" applyAlignment="1">
      <alignment horizontal="left"/>
    </xf>
    <xf numFmtId="165" fontId="56" fillId="0" borderId="5" xfId="1" applyNumberFormat="1" applyFont="1" applyBorder="1" applyAlignment="1">
      <alignment horizontal="left"/>
    </xf>
    <xf numFmtId="165" fontId="98" fillId="6" borderId="5" xfId="1" applyNumberFormat="1" applyFont="1" applyFill="1" applyBorder="1" applyAlignment="1">
      <alignment horizontal="left"/>
    </xf>
    <xf numFmtId="165" fontId="35" fillId="0" borderId="5" xfId="1" applyNumberFormat="1" applyFont="1" applyBorder="1" applyAlignment="1">
      <alignment horizontal="left"/>
    </xf>
    <xf numFmtId="165" fontId="98" fillId="3" borderId="5" xfId="1" applyNumberFormat="1" applyFont="1" applyFill="1" applyBorder="1" applyAlignment="1">
      <alignment horizontal="left"/>
    </xf>
    <xf numFmtId="0" fontId="64" fillId="3" borderId="5" xfId="0" applyFont="1" applyFill="1" applyBorder="1" applyAlignment="1">
      <alignment horizontal="left"/>
    </xf>
    <xf numFmtId="0" fontId="35" fillId="6" borderId="8" xfId="0" applyFont="1" applyFill="1" applyBorder="1" applyAlignment="1">
      <alignment horizontal="left"/>
    </xf>
    <xf numFmtId="0" fontId="35" fillId="6" borderId="3" xfId="0" applyFont="1" applyFill="1" applyBorder="1" applyAlignment="1">
      <alignment horizontal="left"/>
    </xf>
    <xf numFmtId="0" fontId="77" fillId="3" borderId="0" xfId="0" applyFont="1" applyFill="1" applyBorder="1" applyAlignment="1">
      <alignment horizontal="center"/>
    </xf>
    <xf numFmtId="168" fontId="77" fillId="3" borderId="0" xfId="0" applyNumberFormat="1" applyFont="1" applyFill="1" applyBorder="1" applyAlignment="1">
      <alignment horizontal="left"/>
    </xf>
    <xf numFmtId="10" fontId="77" fillId="0" borderId="0" xfId="2" applyNumberFormat="1" applyFont="1" applyBorder="1" applyAlignment="1">
      <alignment horizontal="left"/>
    </xf>
    <xf numFmtId="0" fontId="35" fillId="3" borderId="7" xfId="0" applyFont="1" applyFill="1" applyBorder="1" applyAlignment="1">
      <alignment horizontal="left"/>
    </xf>
    <xf numFmtId="0" fontId="37" fillId="3" borderId="8" xfId="0" applyFont="1" applyFill="1" applyBorder="1" applyAlignment="1">
      <alignment horizontal="left"/>
    </xf>
    <xf numFmtId="0" fontId="37" fillId="3" borderId="3" xfId="0" applyFont="1" applyFill="1" applyBorder="1" applyAlignment="1">
      <alignment horizontal="left"/>
    </xf>
    <xf numFmtId="167" fontId="75" fillId="3" borderId="0" xfId="0" applyNumberFormat="1" applyFont="1" applyFill="1" applyBorder="1" applyAlignment="1">
      <alignment horizontal="left"/>
    </xf>
    <xf numFmtId="167" fontId="76" fillId="6" borderId="0" xfId="0" applyNumberFormat="1" applyFont="1" applyFill="1" applyBorder="1" applyAlignment="1">
      <alignment horizontal="left"/>
    </xf>
    <xf numFmtId="0" fontId="43" fillId="4" borderId="11" xfId="0" applyFont="1" applyFill="1" applyBorder="1" applyAlignment="1">
      <alignment horizontal="center" vertical="center"/>
    </xf>
    <xf numFmtId="0" fontId="43" fillId="4" borderId="35" xfId="0" applyFont="1" applyFill="1" applyBorder="1" applyAlignment="1">
      <alignment horizontal="center" vertical="center"/>
    </xf>
    <xf numFmtId="0" fontId="43" fillId="4" borderId="10" xfId="0" applyFont="1" applyFill="1" applyBorder="1" applyAlignment="1">
      <alignment horizontal="center" vertical="center"/>
    </xf>
    <xf numFmtId="165" fontId="23" fillId="3" borderId="9" xfId="0" applyNumberFormat="1" applyFont="1" applyFill="1" applyBorder="1" applyAlignment="1">
      <alignment horizontal="left" vertical="center"/>
    </xf>
    <xf numFmtId="165" fontId="23" fillId="3" borderId="7" xfId="0" applyNumberFormat="1" applyFont="1" applyFill="1" applyBorder="1" applyAlignment="1">
      <alignment horizontal="left" vertical="center"/>
    </xf>
    <xf numFmtId="165" fontId="23" fillId="6" borderId="0" xfId="0" applyNumberFormat="1" applyFont="1" applyFill="1" applyBorder="1" applyAlignment="1">
      <alignment horizontal="left" vertical="center"/>
    </xf>
    <xf numFmtId="165" fontId="23" fillId="6" borderId="5" xfId="0" applyNumberFormat="1" applyFont="1" applyFill="1" applyBorder="1" applyAlignment="1">
      <alignment horizontal="left" vertical="center"/>
    </xf>
    <xf numFmtId="165" fontId="23" fillId="3" borderId="0" xfId="0" applyNumberFormat="1" applyFont="1" applyFill="1" applyBorder="1" applyAlignment="1">
      <alignment horizontal="left" vertical="center"/>
    </xf>
    <xf numFmtId="165" fontId="23" fillId="3" borderId="5" xfId="0" applyNumberFormat="1" applyFont="1" applyFill="1" applyBorder="1" applyAlignment="1">
      <alignment horizontal="left" vertical="center"/>
    </xf>
    <xf numFmtId="165" fontId="53" fillId="6" borderId="0" xfId="0" applyNumberFormat="1" applyFont="1" applyFill="1" applyBorder="1" applyAlignment="1">
      <alignment horizontal="left" vertical="center"/>
    </xf>
    <xf numFmtId="165" fontId="53" fillId="6" borderId="5" xfId="0" applyNumberFormat="1" applyFont="1" applyFill="1" applyBorder="1" applyAlignment="1">
      <alignment horizontal="left" vertical="center"/>
    </xf>
    <xf numFmtId="14" fontId="41" fillId="3" borderId="8" xfId="0" applyNumberFormat="1" applyFont="1" applyFill="1" applyBorder="1" applyAlignment="1">
      <alignment horizontal="left" vertical="center" wrapText="1"/>
    </xf>
    <xf numFmtId="14" fontId="41" fillId="3" borderId="3" xfId="0" applyNumberFormat="1" applyFont="1" applyFill="1" applyBorder="1" applyAlignment="1">
      <alignment horizontal="left" vertical="center" wrapText="1"/>
    </xf>
    <xf numFmtId="14" fontId="14" fillId="3" borderId="0" xfId="0" applyNumberFormat="1" applyFont="1" applyFill="1" applyBorder="1" applyAlignment="1">
      <alignment horizontal="left" vertical="center"/>
    </xf>
    <xf numFmtId="14" fontId="14" fillId="3" borderId="5" xfId="0" applyNumberFormat="1" applyFont="1" applyFill="1" applyBorder="1" applyAlignment="1">
      <alignment horizontal="left" vertical="center"/>
    </xf>
    <xf numFmtId="0" fontId="23" fillId="0" borderId="0" xfId="0" applyFont="1" applyBorder="1" applyAlignment="1">
      <alignment horizontal="left" vertical="center"/>
    </xf>
    <xf numFmtId="0" fontId="23" fillId="0" borderId="5" xfId="0" applyFont="1" applyBorder="1" applyAlignment="1">
      <alignment horizontal="left" vertical="center"/>
    </xf>
    <xf numFmtId="0" fontId="23" fillId="0" borderId="0" xfId="0" applyFont="1" applyBorder="1" applyAlignment="1">
      <alignment horizontal="left" vertical="center" wrapText="1"/>
    </xf>
    <xf numFmtId="0" fontId="23" fillId="0" borderId="5" xfId="0" applyFont="1" applyBorder="1" applyAlignment="1">
      <alignment horizontal="left" vertical="center" wrapText="1"/>
    </xf>
    <xf numFmtId="165" fontId="53" fillId="3" borderId="0" xfId="0" applyNumberFormat="1" applyFont="1" applyFill="1" applyBorder="1" applyAlignment="1">
      <alignment horizontal="left" vertical="center"/>
    </xf>
    <xf numFmtId="165" fontId="53" fillId="3" borderId="5" xfId="0" applyNumberFormat="1" applyFont="1" applyFill="1" applyBorder="1" applyAlignment="1">
      <alignment horizontal="left" vertical="center"/>
    </xf>
    <xf numFmtId="8" fontId="16" fillId="6" borderId="0" xfId="0" applyNumberFormat="1" applyFont="1" applyFill="1" applyBorder="1" applyAlignment="1">
      <alignment horizontal="left" vertical="center"/>
    </xf>
    <xf numFmtId="8" fontId="16" fillId="6" borderId="5" xfId="0" applyNumberFormat="1" applyFont="1" applyFill="1" applyBorder="1" applyAlignment="1">
      <alignment horizontal="left" vertical="center"/>
    </xf>
    <xf numFmtId="8" fontId="16" fillId="0" borderId="0" xfId="0" applyNumberFormat="1" applyFont="1" applyBorder="1" applyAlignment="1">
      <alignment horizontal="left" vertical="center"/>
    </xf>
    <xf numFmtId="8" fontId="16" fillId="0" borderId="5" xfId="0" applyNumberFormat="1" applyFont="1" applyBorder="1" applyAlignment="1">
      <alignment horizontal="left" vertical="center"/>
    </xf>
    <xf numFmtId="165" fontId="23" fillId="6" borderId="8" xfId="0" applyNumberFormat="1" applyFont="1" applyFill="1" applyBorder="1" applyAlignment="1">
      <alignment horizontal="left" vertical="center"/>
    </xf>
    <xf numFmtId="165" fontId="23" fillId="6" borderId="3" xfId="0" applyNumberFormat="1" applyFont="1" applyFill="1" applyBorder="1" applyAlignment="1">
      <alignment horizontal="left" vertical="center"/>
    </xf>
    <xf numFmtId="165" fontId="23" fillId="6" borderId="9" xfId="0" applyNumberFormat="1" applyFont="1" applyFill="1" applyBorder="1" applyAlignment="1">
      <alignment horizontal="left" vertical="center"/>
    </xf>
    <xf numFmtId="165" fontId="23" fillId="6" borderId="7" xfId="0" applyNumberFormat="1" applyFont="1" applyFill="1" applyBorder="1" applyAlignment="1">
      <alignment horizontal="left" vertical="center"/>
    </xf>
    <xf numFmtId="165" fontId="23" fillId="6" borderId="0" xfId="0" applyNumberFormat="1" applyFont="1" applyFill="1" applyBorder="1" applyAlignment="1">
      <alignment horizontal="left" vertical="center" wrapText="1"/>
    </xf>
    <xf numFmtId="165" fontId="23" fillId="6" borderId="5" xfId="0" applyNumberFormat="1" applyFont="1" applyFill="1" applyBorder="1" applyAlignment="1">
      <alignment horizontal="left" vertical="center" wrapText="1"/>
    </xf>
    <xf numFmtId="165" fontId="23" fillId="6" borderId="8" xfId="0" applyNumberFormat="1" applyFont="1" applyFill="1" applyBorder="1" applyAlignment="1">
      <alignment horizontal="left" vertical="center" wrapText="1"/>
    </xf>
    <xf numFmtId="165" fontId="23" fillId="6" borderId="3" xfId="0" applyNumberFormat="1" applyFont="1" applyFill="1" applyBorder="1" applyAlignment="1">
      <alignment horizontal="left" vertical="center" wrapText="1"/>
    </xf>
    <xf numFmtId="0" fontId="14" fillId="6" borderId="0" xfId="0" applyFont="1" applyFill="1" applyBorder="1" applyAlignment="1">
      <alignment horizontal="left"/>
    </xf>
    <xf numFmtId="0" fontId="14" fillId="6" borderId="5" xfId="0" applyFont="1" applyFill="1" applyBorder="1" applyAlignment="1">
      <alignment horizontal="left"/>
    </xf>
    <xf numFmtId="0" fontId="45" fillId="0" borderId="23" xfId="0" applyFont="1" applyBorder="1" applyAlignment="1">
      <alignment horizontal="left" vertical="center" wrapText="1"/>
    </xf>
    <xf numFmtId="0" fontId="45" fillId="0" borderId="0" xfId="0" applyFont="1" applyBorder="1" applyAlignment="1">
      <alignment horizontal="left" vertical="center" wrapText="1"/>
    </xf>
    <xf numFmtId="0" fontId="45" fillId="0" borderId="24" xfId="0" applyFont="1" applyBorder="1" applyAlignment="1">
      <alignment horizontal="left" vertical="center" wrapText="1"/>
    </xf>
    <xf numFmtId="0" fontId="45" fillId="0" borderId="25" xfId="0" applyFont="1" applyBorder="1" applyAlignment="1">
      <alignment horizontal="left" vertical="center" wrapText="1"/>
    </xf>
    <xf numFmtId="0" fontId="45" fillId="0" borderId="34" xfId="0" applyFont="1" applyBorder="1" applyAlignment="1">
      <alignment horizontal="left" vertical="center" wrapText="1"/>
    </xf>
    <xf numFmtId="0" fontId="45" fillId="0" borderId="26" xfId="0" applyFont="1" applyBorder="1" applyAlignment="1">
      <alignment horizontal="left" vertical="center" wrapText="1"/>
    </xf>
    <xf numFmtId="0" fontId="14" fillId="0" borderId="21" xfId="0" applyFont="1" applyBorder="1" applyAlignment="1">
      <alignment horizontal="left" vertical="center" wrapText="1"/>
    </xf>
    <xf numFmtId="0" fontId="14" fillId="0" borderId="33"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0" xfId="0" applyFont="1" applyBorder="1" applyAlignment="1">
      <alignment horizontal="left" vertical="center" wrapText="1"/>
    </xf>
    <xf numFmtId="0" fontId="14" fillId="0" borderId="24" xfId="0" applyFont="1" applyBorder="1" applyAlignment="1">
      <alignment horizontal="left" vertical="center" wrapText="1"/>
    </xf>
    <xf numFmtId="0" fontId="18" fillId="6" borderId="23"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24" xfId="0" applyFont="1" applyFill="1" applyBorder="1" applyAlignment="1">
      <alignment horizontal="left" vertical="center" wrapText="1"/>
    </xf>
    <xf numFmtId="165" fontId="23" fillId="0" borderId="0" xfId="0" applyNumberFormat="1" applyFont="1" applyBorder="1" applyAlignment="1">
      <alignment horizontal="left" vertical="center"/>
    </xf>
    <xf numFmtId="165" fontId="23" fillId="0" borderId="5" xfId="0" applyNumberFormat="1" applyFont="1" applyBorder="1" applyAlignment="1">
      <alignment horizontal="left" vertical="center"/>
    </xf>
    <xf numFmtId="165" fontId="53" fillId="3" borderId="0" xfId="0" applyNumberFormat="1" applyFont="1" applyFill="1" applyBorder="1" applyAlignment="1">
      <alignment horizontal="left" vertical="center" wrapText="1"/>
    </xf>
    <xf numFmtId="165" fontId="53" fillId="3" borderId="5" xfId="0" applyNumberFormat="1" applyFont="1" applyFill="1" applyBorder="1" applyAlignment="1">
      <alignment horizontal="left" vertical="center" wrapText="1"/>
    </xf>
    <xf numFmtId="165" fontId="53" fillId="3" borderId="8" xfId="0" applyNumberFormat="1" applyFont="1" applyFill="1" applyBorder="1" applyAlignment="1">
      <alignment horizontal="left" vertical="center" wrapText="1"/>
    </xf>
    <xf numFmtId="165" fontId="53" fillId="3" borderId="3" xfId="0" applyNumberFormat="1" applyFont="1" applyFill="1" applyBorder="1" applyAlignment="1">
      <alignment horizontal="left" vertical="center" wrapText="1"/>
    </xf>
    <xf numFmtId="0" fontId="45" fillId="3" borderId="0" xfId="0" applyFont="1" applyFill="1" applyBorder="1" applyAlignment="1">
      <alignment horizontal="left" vertical="center" wrapText="1"/>
    </xf>
    <xf numFmtId="165" fontId="23" fillId="3" borderId="9" xfId="0" applyNumberFormat="1" applyFont="1" applyFill="1" applyBorder="1" applyAlignment="1">
      <alignment horizontal="left" vertical="center" wrapText="1"/>
    </xf>
    <xf numFmtId="165" fontId="23" fillId="3" borderId="7" xfId="0" applyNumberFormat="1" applyFont="1" applyFill="1" applyBorder="1" applyAlignment="1">
      <alignment horizontal="left" vertical="center" wrapText="1"/>
    </xf>
    <xf numFmtId="0" fontId="14" fillId="6" borderId="21" xfId="0" applyFont="1" applyFill="1" applyBorder="1" applyAlignment="1">
      <alignment horizontal="left" vertical="center" wrapText="1"/>
    </xf>
    <xf numFmtId="0" fontId="14" fillId="6" borderId="33" xfId="0" applyFont="1" applyFill="1" applyBorder="1" applyAlignment="1">
      <alignment horizontal="left" vertical="center" wrapText="1"/>
    </xf>
    <xf numFmtId="0" fontId="14" fillId="6" borderId="22" xfId="0" applyFont="1" applyFill="1" applyBorder="1" applyAlignment="1">
      <alignment horizontal="left" vertical="center" wrapText="1"/>
    </xf>
    <xf numFmtId="0" fontId="14" fillId="6" borderId="25" xfId="0" applyFont="1" applyFill="1" applyBorder="1" applyAlignment="1">
      <alignment horizontal="left" vertical="center" wrapText="1"/>
    </xf>
    <xf numFmtId="0" fontId="14" fillId="6" borderId="34" xfId="0" applyFont="1" applyFill="1" applyBorder="1" applyAlignment="1">
      <alignment horizontal="left" vertical="center" wrapText="1"/>
    </xf>
    <xf numFmtId="0" fontId="14" fillId="6" borderId="26" xfId="0" applyFont="1" applyFill="1" applyBorder="1" applyAlignment="1">
      <alignment horizontal="left" vertical="center" wrapText="1"/>
    </xf>
    <xf numFmtId="165" fontId="18" fillId="3" borderId="0" xfId="0" applyNumberFormat="1" applyFont="1" applyFill="1" applyBorder="1" applyAlignment="1">
      <alignment horizontal="left" vertical="center" wrapText="1"/>
    </xf>
    <xf numFmtId="165" fontId="18" fillId="0" borderId="0" xfId="0" applyNumberFormat="1" applyFont="1" applyBorder="1" applyAlignment="1">
      <alignment horizontal="left" vertical="center" wrapText="1"/>
    </xf>
    <xf numFmtId="165" fontId="23" fillId="3" borderId="0" xfId="0" applyNumberFormat="1" applyFont="1" applyFill="1" applyBorder="1" applyAlignment="1">
      <alignment horizontal="left" vertical="center" wrapText="1"/>
    </xf>
    <xf numFmtId="165" fontId="23" fillId="3" borderId="5" xfId="0" applyNumberFormat="1" applyFont="1" applyFill="1" applyBorder="1" applyAlignment="1">
      <alignment horizontal="left" vertical="center" wrapText="1"/>
    </xf>
    <xf numFmtId="0" fontId="16" fillId="6" borderId="0" xfId="0" applyFont="1" applyFill="1" applyBorder="1" applyAlignment="1">
      <alignment horizontal="left" vertical="center"/>
    </xf>
    <xf numFmtId="0" fontId="16" fillId="6" borderId="5" xfId="0" applyFont="1" applyFill="1" applyBorder="1" applyAlignment="1">
      <alignment horizontal="left" vertical="center"/>
    </xf>
    <xf numFmtId="8" fontId="18" fillId="6" borderId="0" xfId="0" applyNumberFormat="1" applyFont="1" applyFill="1" applyBorder="1" applyAlignment="1">
      <alignment horizontal="left" vertical="center"/>
    </xf>
    <xf numFmtId="8" fontId="18" fillId="6" borderId="5" xfId="0" applyNumberFormat="1" applyFont="1" applyFill="1" applyBorder="1" applyAlignment="1">
      <alignment horizontal="left" vertical="center"/>
    </xf>
    <xf numFmtId="165" fontId="18" fillId="3" borderId="0" xfId="0" applyNumberFormat="1" applyFont="1" applyFill="1" applyBorder="1" applyAlignment="1">
      <alignment horizontal="left" vertical="center"/>
    </xf>
    <xf numFmtId="165" fontId="18" fillId="3" borderId="5" xfId="0" applyNumberFormat="1" applyFont="1" applyFill="1" applyBorder="1" applyAlignment="1">
      <alignment horizontal="left" vertical="center"/>
    </xf>
    <xf numFmtId="165" fontId="18" fillId="6" borderId="0" xfId="0" applyNumberFormat="1" applyFont="1" applyFill="1" applyBorder="1" applyAlignment="1">
      <alignment horizontal="left" vertical="center"/>
    </xf>
    <xf numFmtId="165" fontId="18" fillId="6" borderId="5" xfId="0" applyNumberFormat="1" applyFont="1" applyFill="1" applyBorder="1" applyAlignment="1">
      <alignment horizontal="left" vertical="center"/>
    </xf>
    <xf numFmtId="0" fontId="7" fillId="23" borderId="11" xfId="0" applyFont="1" applyFill="1" applyBorder="1" applyAlignment="1">
      <alignment horizontal="center" vertical="center"/>
    </xf>
    <xf numFmtId="0" fontId="7" fillId="23" borderId="35" xfId="0" applyFont="1" applyFill="1" applyBorder="1" applyAlignment="1">
      <alignment horizontal="center" vertical="center"/>
    </xf>
    <xf numFmtId="0" fontId="7" fillId="23" borderId="10" xfId="0" applyFont="1" applyFill="1" applyBorder="1" applyAlignment="1">
      <alignment horizontal="center" vertical="center"/>
    </xf>
    <xf numFmtId="14" fontId="21" fillId="3" borderId="0" xfId="0" applyNumberFormat="1" applyFont="1" applyFill="1" applyBorder="1" applyAlignment="1">
      <alignment horizontal="left" vertical="center"/>
    </xf>
    <xf numFmtId="14" fontId="21" fillId="3" borderId="5" xfId="0" applyNumberFormat="1" applyFont="1" applyFill="1" applyBorder="1" applyAlignment="1">
      <alignment horizontal="left" vertical="center"/>
    </xf>
    <xf numFmtId="14" fontId="66" fillId="3" borderId="8" xfId="0" applyNumberFormat="1" applyFont="1" applyFill="1" applyBorder="1" applyAlignment="1">
      <alignment horizontal="left" vertical="center" wrapText="1"/>
    </xf>
    <xf numFmtId="14" fontId="66" fillId="3" borderId="3" xfId="0" applyNumberFormat="1" applyFont="1" applyFill="1" applyBorder="1" applyAlignment="1">
      <alignment horizontal="left" vertical="center" wrapText="1"/>
    </xf>
    <xf numFmtId="164" fontId="18" fillId="3" borderId="0" xfId="2" applyNumberFormat="1" applyFont="1" applyFill="1" applyBorder="1" applyAlignment="1">
      <alignment horizontal="left" vertical="center"/>
    </xf>
    <xf numFmtId="164" fontId="18" fillId="3" borderId="5" xfId="2" applyNumberFormat="1" applyFont="1" applyFill="1" applyBorder="1" applyAlignment="1">
      <alignment horizontal="left" vertical="center"/>
    </xf>
    <xf numFmtId="0" fontId="16" fillId="3" borderId="0" xfId="0" applyFont="1" applyFill="1" applyBorder="1" applyAlignment="1">
      <alignment horizontal="left" vertical="center"/>
    </xf>
    <xf numFmtId="0" fontId="16" fillId="3" borderId="5" xfId="0" applyFont="1" applyFill="1" applyBorder="1" applyAlignment="1">
      <alignment horizontal="left" vertical="center"/>
    </xf>
    <xf numFmtId="164" fontId="18" fillId="6" borderId="0" xfId="2" applyNumberFormat="1" applyFont="1" applyFill="1" applyBorder="1" applyAlignment="1">
      <alignment horizontal="left" vertical="center"/>
    </xf>
    <xf numFmtId="164" fontId="18" fillId="6" borderId="5" xfId="2" applyNumberFormat="1" applyFont="1" applyFill="1" applyBorder="1" applyAlignment="1">
      <alignment horizontal="left" vertical="center"/>
    </xf>
    <xf numFmtId="0" fontId="14" fillId="3" borderId="0" xfId="0" applyFont="1" applyFill="1" applyBorder="1" applyAlignment="1">
      <alignment horizontal="left"/>
    </xf>
    <xf numFmtId="0" fontId="14" fillId="3" borderId="5" xfId="0" applyFont="1" applyFill="1" applyBorder="1" applyAlignment="1">
      <alignment horizontal="left"/>
    </xf>
    <xf numFmtId="0" fontId="43" fillId="24" borderId="11" xfId="0" applyFont="1" applyFill="1" applyBorder="1" applyAlignment="1">
      <alignment horizontal="center" vertical="center"/>
    </xf>
    <xf numFmtId="0" fontId="43" fillId="24" borderId="35" xfId="0" applyFont="1" applyFill="1" applyBorder="1" applyAlignment="1">
      <alignment horizontal="center" vertical="center"/>
    </xf>
    <xf numFmtId="0" fontId="43" fillId="24" borderId="10" xfId="0" applyFont="1" applyFill="1" applyBorder="1" applyAlignment="1">
      <alignment horizontal="center" vertical="center"/>
    </xf>
    <xf numFmtId="0" fontId="19" fillId="6" borderId="0" xfId="0" applyFont="1" applyFill="1" applyBorder="1" applyAlignment="1">
      <alignment horizontal="left" vertical="center" wrapText="1"/>
    </xf>
    <xf numFmtId="0" fontId="19" fillId="6" borderId="5" xfId="0" applyFont="1" applyFill="1" applyBorder="1" applyAlignment="1">
      <alignment horizontal="left" vertical="center" wrapText="1"/>
    </xf>
    <xf numFmtId="8" fontId="18" fillId="6" borderId="33" xfId="0" applyNumberFormat="1" applyFont="1" applyFill="1" applyBorder="1" applyAlignment="1">
      <alignment horizontal="left" vertical="center"/>
    </xf>
    <xf numFmtId="8" fontId="18" fillId="6" borderId="39" xfId="0" applyNumberFormat="1" applyFont="1" applyFill="1" applyBorder="1" applyAlignment="1">
      <alignment horizontal="left" vertical="center"/>
    </xf>
    <xf numFmtId="8" fontId="16" fillId="3" borderId="34" xfId="0" applyNumberFormat="1" applyFont="1" applyFill="1" applyBorder="1" applyAlignment="1">
      <alignment horizontal="left" vertical="center"/>
    </xf>
    <xf numFmtId="8" fontId="16" fillId="3" borderId="37" xfId="0" applyNumberFormat="1" applyFont="1" applyFill="1" applyBorder="1" applyAlignment="1">
      <alignment horizontal="left" vertical="center"/>
    </xf>
    <xf numFmtId="8" fontId="16" fillId="3" borderId="0" xfId="0" applyNumberFormat="1" applyFont="1" applyFill="1" applyBorder="1" applyAlignment="1">
      <alignment horizontal="left" vertical="center"/>
    </xf>
    <xf numFmtId="8" fontId="16" fillId="3" borderId="5" xfId="0" applyNumberFormat="1" applyFont="1" applyFill="1" applyBorder="1" applyAlignment="1">
      <alignment horizontal="left" vertical="center"/>
    </xf>
    <xf numFmtId="8" fontId="14" fillId="3" borderId="0" xfId="0" applyNumberFormat="1" applyFont="1" applyFill="1" applyBorder="1" applyAlignment="1">
      <alignment horizontal="left" vertical="center"/>
    </xf>
    <xf numFmtId="8" fontId="14" fillId="3" borderId="5" xfId="0" applyNumberFormat="1" applyFont="1" applyFill="1" applyBorder="1" applyAlignment="1">
      <alignment horizontal="left" vertical="center"/>
    </xf>
    <xf numFmtId="2" fontId="16" fillId="6" borderId="0" xfId="2" applyNumberFormat="1" applyFont="1" applyFill="1" applyBorder="1" applyAlignment="1">
      <alignment horizontal="left" vertical="center"/>
    </xf>
    <xf numFmtId="2" fontId="16" fillId="6" borderId="5" xfId="2" applyNumberFormat="1" applyFont="1" applyFill="1" applyBorder="1" applyAlignment="1">
      <alignment horizontal="left" vertical="center"/>
    </xf>
    <xf numFmtId="8" fontId="14" fillId="0" borderId="9" xfId="0" applyNumberFormat="1" applyFont="1" applyBorder="1" applyAlignment="1">
      <alignment horizontal="left" vertical="center"/>
    </xf>
    <xf numFmtId="8" fontId="14" fillId="0" borderId="7" xfId="0" applyNumberFormat="1" applyFont="1" applyBorder="1" applyAlignment="1">
      <alignment horizontal="left" vertical="center"/>
    </xf>
    <xf numFmtId="0" fontId="43" fillId="22" borderId="11" xfId="0" applyFont="1" applyFill="1" applyBorder="1" applyAlignment="1">
      <alignment horizontal="center" vertical="center"/>
    </xf>
    <xf numFmtId="0" fontId="43" fillId="22" borderId="35" xfId="0" applyFont="1" applyFill="1" applyBorder="1" applyAlignment="1">
      <alignment horizontal="center" vertical="center"/>
    </xf>
    <xf numFmtId="0" fontId="43" fillId="22" borderId="10" xfId="0" applyFont="1" applyFill="1" applyBorder="1" applyAlignment="1">
      <alignment horizontal="center" vertical="center"/>
    </xf>
    <xf numFmtId="0" fontId="14" fillId="6" borderId="21" xfId="0" applyFont="1" applyFill="1" applyBorder="1" applyAlignment="1">
      <alignment vertical="center" wrapText="1"/>
    </xf>
    <xf numFmtId="0" fontId="14" fillId="6" borderId="33" xfId="0" applyFont="1" applyFill="1" applyBorder="1" applyAlignment="1">
      <alignment vertical="center" wrapText="1"/>
    </xf>
    <xf numFmtId="0" fontId="14" fillId="6" borderId="22" xfId="0" applyFont="1" applyFill="1" applyBorder="1" applyAlignment="1">
      <alignment vertical="center" wrapText="1"/>
    </xf>
    <xf numFmtId="0" fontId="14" fillId="6" borderId="23" xfId="0" applyFont="1" applyFill="1" applyBorder="1" applyAlignment="1">
      <alignment vertical="center" wrapText="1"/>
    </xf>
    <xf numFmtId="0" fontId="14" fillId="6" borderId="0" xfId="0" applyFont="1" applyFill="1" applyBorder="1" applyAlignment="1">
      <alignment vertical="center" wrapText="1"/>
    </xf>
    <xf numFmtId="0" fontId="14" fillId="6" borderId="24" xfId="0" applyFont="1" applyFill="1" applyBorder="1" applyAlignment="1">
      <alignment vertical="center" wrapText="1"/>
    </xf>
    <xf numFmtId="0" fontId="88" fillId="6" borderId="11" xfId="0" applyFont="1" applyFill="1" applyBorder="1" applyAlignment="1">
      <alignment horizontal="center" vertical="center" wrapText="1"/>
    </xf>
    <xf numFmtId="0" fontId="88" fillId="6" borderId="35" xfId="0" applyFont="1" applyFill="1" applyBorder="1" applyAlignment="1">
      <alignment horizontal="center" vertical="center" wrapText="1"/>
    </xf>
    <xf numFmtId="0" fontId="88" fillId="6" borderId="10" xfId="0" applyFont="1" applyFill="1" applyBorder="1" applyAlignment="1">
      <alignment horizontal="center" vertical="center" wrapText="1"/>
    </xf>
    <xf numFmtId="0" fontId="7" fillId="14" borderId="11" xfId="0" applyFont="1" applyFill="1" applyBorder="1" applyAlignment="1">
      <alignment horizontal="center" vertical="center"/>
    </xf>
    <xf numFmtId="0" fontId="7" fillId="14" borderId="35" xfId="0" applyFont="1" applyFill="1" applyBorder="1" applyAlignment="1">
      <alignment horizontal="center" vertical="center"/>
    </xf>
    <xf numFmtId="0" fontId="7" fillId="14" borderId="10" xfId="0" applyFont="1" applyFill="1" applyBorder="1" applyAlignment="1">
      <alignment horizontal="center" vertical="center"/>
    </xf>
    <xf numFmtId="0" fontId="45" fillId="3" borderId="23" xfId="0" applyFont="1" applyFill="1" applyBorder="1" applyAlignment="1">
      <alignment horizontal="left" vertical="center" wrapText="1"/>
    </xf>
    <xf numFmtId="0" fontId="45" fillId="3" borderId="24" xfId="0" applyFont="1" applyFill="1" applyBorder="1" applyAlignment="1">
      <alignment horizontal="left" vertical="center" wrapText="1"/>
    </xf>
    <xf numFmtId="0" fontId="45" fillId="3" borderId="25" xfId="0" applyFont="1" applyFill="1" applyBorder="1" applyAlignment="1">
      <alignment horizontal="left" vertical="center" wrapText="1"/>
    </xf>
    <xf numFmtId="0" fontId="45" fillId="3" borderId="34" xfId="0" applyFont="1" applyFill="1" applyBorder="1" applyAlignment="1">
      <alignment horizontal="left" vertical="center" wrapText="1"/>
    </xf>
    <xf numFmtId="0" fontId="45" fillId="3" borderId="26" xfId="0" applyFont="1" applyFill="1" applyBorder="1" applyAlignment="1">
      <alignment horizontal="left" vertical="center" wrapText="1"/>
    </xf>
    <xf numFmtId="0" fontId="43" fillId="11" borderId="11" xfId="0" applyFont="1" applyFill="1" applyBorder="1" applyAlignment="1">
      <alignment horizontal="center" vertical="center"/>
    </xf>
    <xf numFmtId="0" fontId="43" fillId="11" borderId="35" xfId="0" applyFont="1" applyFill="1" applyBorder="1" applyAlignment="1">
      <alignment horizontal="center" vertical="center"/>
    </xf>
    <xf numFmtId="0" fontId="43" fillId="11" borderId="10" xfId="0" applyFont="1" applyFill="1" applyBorder="1" applyAlignment="1">
      <alignment horizontal="center" vertical="center"/>
    </xf>
    <xf numFmtId="0" fontId="86" fillId="6" borderId="11" xfId="0" applyFont="1" applyFill="1" applyBorder="1" applyAlignment="1">
      <alignment horizontal="center" vertical="center" wrapText="1"/>
    </xf>
    <xf numFmtId="0" fontId="86" fillId="6" borderId="35" xfId="0" applyFont="1" applyFill="1" applyBorder="1" applyAlignment="1">
      <alignment horizontal="center" vertical="center" wrapText="1"/>
    </xf>
    <xf numFmtId="0" fontId="86" fillId="6" borderId="10" xfId="0" applyFont="1" applyFill="1" applyBorder="1" applyAlignment="1">
      <alignment horizontal="center" vertical="center" wrapText="1"/>
    </xf>
    <xf numFmtId="0" fontId="7" fillId="12" borderId="11" xfId="0" applyFont="1" applyFill="1" applyBorder="1" applyAlignment="1">
      <alignment horizontal="center" vertical="center"/>
    </xf>
    <xf numFmtId="0" fontId="7" fillId="12" borderId="35" xfId="0" applyFont="1" applyFill="1" applyBorder="1" applyAlignment="1">
      <alignment horizontal="center" vertical="center"/>
    </xf>
    <xf numFmtId="0" fontId="7" fillId="12" borderId="10" xfId="0" applyFont="1" applyFill="1" applyBorder="1" applyAlignment="1">
      <alignment horizontal="center" vertical="center"/>
    </xf>
    <xf numFmtId="14" fontId="85" fillId="0" borderId="9" xfId="0" applyNumberFormat="1" applyFont="1" applyBorder="1" applyAlignment="1">
      <alignment horizontal="left" vertical="center" wrapText="1"/>
    </xf>
    <xf numFmtId="0" fontId="61" fillId="15" borderId="11" xfId="0" applyFont="1" applyFill="1" applyBorder="1" applyAlignment="1">
      <alignment horizontal="center" vertical="center"/>
    </xf>
    <xf numFmtId="0" fontId="61" fillId="15" borderId="35" xfId="0" applyFont="1" applyFill="1" applyBorder="1" applyAlignment="1">
      <alignment horizontal="center" vertical="center"/>
    </xf>
    <xf numFmtId="0" fontId="61" fillId="15" borderId="10" xfId="0" applyFont="1" applyFill="1" applyBorder="1" applyAlignment="1">
      <alignment horizontal="center" vertical="center"/>
    </xf>
    <xf numFmtId="165" fontId="23" fillId="3" borderId="8" xfId="0" applyNumberFormat="1" applyFont="1" applyFill="1" applyBorder="1" applyAlignment="1">
      <alignment horizontal="left" vertical="center" wrapText="1"/>
    </xf>
    <xf numFmtId="165" fontId="23" fillId="3" borderId="3" xfId="0" applyNumberFormat="1" applyFont="1" applyFill="1" applyBorder="1" applyAlignment="1">
      <alignment horizontal="left" vertical="center" wrapText="1"/>
    </xf>
    <xf numFmtId="0" fontId="95" fillId="0" borderId="0" xfId="0" applyFont="1" applyBorder="1" applyAlignment="1">
      <alignment horizontal="left" vertical="center"/>
    </xf>
    <xf numFmtId="0" fontId="87" fillId="6" borderId="11" xfId="0" applyFont="1" applyFill="1" applyBorder="1" applyAlignment="1">
      <alignment horizontal="center" vertical="center" wrapText="1"/>
    </xf>
    <xf numFmtId="0" fontId="87" fillId="6" borderId="35" xfId="0" applyFont="1" applyFill="1" applyBorder="1" applyAlignment="1">
      <alignment horizontal="center" vertical="center" wrapText="1"/>
    </xf>
    <xf numFmtId="0" fontId="87" fillId="6" borderId="10" xfId="0" applyFont="1" applyFill="1" applyBorder="1" applyAlignment="1">
      <alignment horizontal="center" vertical="center" wrapText="1"/>
    </xf>
    <xf numFmtId="164" fontId="18" fillId="0" borderId="0" xfId="2" applyNumberFormat="1" applyFont="1" applyBorder="1" applyAlignment="1">
      <alignment horizontal="left" vertical="center"/>
    </xf>
    <xf numFmtId="164" fontId="18" fillId="0" borderId="5" xfId="2" applyNumberFormat="1" applyFont="1" applyBorder="1" applyAlignment="1">
      <alignment horizontal="left" vertical="center"/>
    </xf>
    <xf numFmtId="8" fontId="19" fillId="6" borderId="0" xfId="0" applyNumberFormat="1" applyFont="1" applyFill="1" applyBorder="1" applyAlignment="1">
      <alignment horizontal="left" vertical="center"/>
    </xf>
    <xf numFmtId="8" fontId="19" fillId="6" borderId="5" xfId="0" applyNumberFormat="1" applyFont="1" applyFill="1" applyBorder="1" applyAlignment="1">
      <alignment horizontal="left" vertical="center"/>
    </xf>
    <xf numFmtId="165" fontId="18" fillId="6" borderId="34" xfId="2" applyNumberFormat="1" applyFont="1" applyFill="1" applyBorder="1" applyAlignment="1">
      <alignment horizontal="left" vertical="center"/>
    </xf>
    <xf numFmtId="165" fontId="18" fillId="6" borderId="37" xfId="2" applyNumberFormat="1" applyFont="1" applyFill="1" applyBorder="1" applyAlignment="1">
      <alignment horizontal="left" vertical="center"/>
    </xf>
    <xf numFmtId="6" fontId="18" fillId="3" borderId="0" xfId="0" applyNumberFormat="1" applyFont="1" applyFill="1" applyBorder="1" applyAlignment="1">
      <alignment horizontal="left" vertical="center"/>
    </xf>
    <xf numFmtId="6" fontId="18" fillId="3" borderId="5" xfId="0" applyNumberFormat="1" applyFont="1" applyFill="1" applyBorder="1" applyAlignment="1">
      <alignment horizontal="left" vertical="center"/>
    </xf>
    <xf numFmtId="165" fontId="18" fillId="6" borderId="0" xfId="2" applyNumberFormat="1" applyFont="1" applyFill="1" applyBorder="1" applyAlignment="1">
      <alignment horizontal="left" vertical="center"/>
    </xf>
    <xf numFmtId="165" fontId="18" fillId="6" borderId="5" xfId="2" applyNumberFormat="1" applyFont="1" applyFill="1" applyBorder="1" applyAlignment="1">
      <alignment horizontal="left" vertical="center"/>
    </xf>
    <xf numFmtId="6" fontId="18" fillId="6" borderId="8" xfId="0" applyNumberFormat="1" applyFont="1" applyFill="1" applyBorder="1" applyAlignment="1">
      <alignment horizontal="left" vertical="center"/>
    </xf>
    <xf numFmtId="6" fontId="18" fillId="6" borderId="3" xfId="0" applyNumberFormat="1" applyFont="1" applyFill="1" applyBorder="1" applyAlignment="1">
      <alignment horizontal="left" vertical="center"/>
    </xf>
    <xf numFmtId="8" fontId="53" fillId="3" borderId="9" xfId="0" applyNumberFormat="1" applyFont="1" applyFill="1" applyBorder="1" applyAlignment="1">
      <alignment horizontal="left" vertical="center"/>
    </xf>
    <xf numFmtId="8" fontId="53" fillId="3" borderId="7" xfId="0" applyNumberFormat="1" applyFont="1" applyFill="1" applyBorder="1" applyAlignment="1">
      <alignment horizontal="left" vertical="center"/>
    </xf>
    <xf numFmtId="164" fontId="18" fillId="3" borderId="23" xfId="2" applyNumberFormat="1" applyFont="1" applyFill="1" applyBorder="1" applyAlignment="1">
      <alignment horizontal="left" vertical="center"/>
    </xf>
    <xf numFmtId="0" fontId="16" fillId="3" borderId="23" xfId="0" applyFont="1" applyFill="1" applyBorder="1" applyAlignment="1">
      <alignment horizontal="left" vertical="center"/>
    </xf>
    <xf numFmtId="0" fontId="16" fillId="6" borderId="23" xfId="0" applyFont="1" applyFill="1" applyBorder="1" applyAlignment="1">
      <alignment horizontal="left" vertical="center"/>
    </xf>
    <xf numFmtId="8" fontId="16" fillId="3" borderId="23" xfId="0" applyNumberFormat="1" applyFont="1" applyFill="1" applyBorder="1" applyAlignment="1">
      <alignment horizontal="left" vertical="center"/>
    </xf>
    <xf numFmtId="8" fontId="16" fillId="6" borderId="23" xfId="0" applyNumberFormat="1" applyFont="1" applyFill="1" applyBorder="1" applyAlignment="1">
      <alignment horizontal="left" vertical="center"/>
    </xf>
    <xf numFmtId="8" fontId="16" fillId="3" borderId="25" xfId="0" applyNumberFormat="1" applyFont="1" applyFill="1" applyBorder="1" applyAlignment="1">
      <alignment horizontal="left" vertical="center"/>
    </xf>
    <xf numFmtId="6" fontId="18" fillId="6" borderId="23" xfId="0" applyNumberFormat="1" applyFont="1" applyFill="1" applyBorder="1" applyAlignment="1">
      <alignment horizontal="left" vertical="center"/>
    </xf>
    <xf numFmtId="6" fontId="18" fillId="6" borderId="0" xfId="0" applyNumberFormat="1" applyFont="1" applyFill="1" applyBorder="1" applyAlignment="1">
      <alignment horizontal="left" vertical="center"/>
    </xf>
    <xf numFmtId="6" fontId="18" fillId="6" borderId="5" xfId="0" applyNumberFormat="1" applyFont="1" applyFill="1" applyBorder="1" applyAlignment="1">
      <alignment horizontal="left" vertical="center"/>
    </xf>
    <xf numFmtId="0" fontId="19" fillId="6" borderId="9" xfId="0" applyFont="1" applyFill="1" applyBorder="1" applyAlignment="1">
      <alignment horizontal="left" vertical="center" wrapText="1"/>
    </xf>
    <xf numFmtId="165" fontId="21" fillId="0" borderId="8" xfId="0" applyNumberFormat="1" applyFont="1" applyBorder="1" applyAlignment="1">
      <alignment horizontal="center" vertical="center" wrapText="1"/>
    </xf>
    <xf numFmtId="165" fontId="21" fillId="0" borderId="41" xfId="0" applyNumberFormat="1" applyFont="1" applyBorder="1" applyAlignment="1">
      <alignment horizontal="center" vertical="center" wrapText="1"/>
    </xf>
    <xf numFmtId="165" fontId="21" fillId="0" borderId="3" xfId="0" applyNumberFormat="1" applyFont="1" applyBorder="1" applyAlignment="1">
      <alignment horizontal="center" vertical="center" wrapText="1"/>
    </xf>
    <xf numFmtId="2" fontId="16" fillId="6" borderId="23" xfId="2" applyNumberFormat="1" applyFont="1" applyFill="1" applyBorder="1" applyAlignment="1">
      <alignment horizontal="left" vertical="center"/>
    </xf>
    <xf numFmtId="0" fontId="19" fillId="6" borderId="40" xfId="0" applyFont="1" applyFill="1" applyBorder="1" applyAlignment="1">
      <alignment horizontal="left" vertical="center" wrapText="1"/>
    </xf>
    <xf numFmtId="0" fontId="19" fillId="6" borderId="7" xfId="0" applyFont="1" applyFill="1" applyBorder="1" applyAlignment="1">
      <alignment horizontal="left" vertical="center" wrapText="1"/>
    </xf>
    <xf numFmtId="165" fontId="23" fillId="6" borderId="41" xfId="0" applyNumberFormat="1" applyFont="1" applyFill="1" applyBorder="1" applyAlignment="1">
      <alignment horizontal="left" vertical="center" wrapText="1"/>
    </xf>
    <xf numFmtId="165" fontId="18" fillId="3" borderId="23" xfId="0" applyNumberFormat="1" applyFont="1" applyFill="1" applyBorder="1" applyAlignment="1">
      <alignment horizontal="left" vertical="center"/>
    </xf>
    <xf numFmtId="8" fontId="14" fillId="3" borderId="23" xfId="0" applyNumberFormat="1" applyFont="1" applyFill="1" applyBorder="1" applyAlignment="1">
      <alignment horizontal="left" vertical="center"/>
    </xf>
    <xf numFmtId="165" fontId="17" fillId="3" borderId="23" xfId="0" applyNumberFormat="1" applyFont="1" applyFill="1" applyBorder="1" applyAlignment="1">
      <alignment horizontal="left" vertical="center" wrapText="1"/>
    </xf>
    <xf numFmtId="165" fontId="17" fillId="3" borderId="0" xfId="0" applyNumberFormat="1" applyFont="1" applyFill="1" applyBorder="1" applyAlignment="1">
      <alignment horizontal="left" vertical="center" wrapText="1"/>
    </xf>
    <xf numFmtId="165" fontId="17" fillId="3" borderId="5" xfId="0" applyNumberFormat="1" applyFont="1" applyFill="1" applyBorder="1" applyAlignment="1">
      <alignment horizontal="left" vertical="center" wrapText="1"/>
    </xf>
    <xf numFmtId="8" fontId="18" fillId="6" borderId="21" xfId="0" applyNumberFormat="1" applyFont="1" applyFill="1" applyBorder="1" applyAlignment="1">
      <alignment horizontal="left" vertical="center"/>
    </xf>
    <xf numFmtId="14" fontId="41" fillId="3" borderId="0" xfId="0" applyNumberFormat="1" applyFont="1" applyFill="1" applyBorder="1" applyAlignment="1">
      <alignment horizontal="left" vertical="center"/>
    </xf>
    <xf numFmtId="14" fontId="41" fillId="3" borderId="5" xfId="0" applyNumberFormat="1" applyFont="1" applyFill="1" applyBorder="1" applyAlignment="1">
      <alignment horizontal="left" vertical="center"/>
    </xf>
    <xf numFmtId="14" fontId="41" fillId="3" borderId="8" xfId="0" applyNumberFormat="1" applyFont="1" applyFill="1" applyBorder="1" applyAlignment="1">
      <alignment horizontal="left" vertical="center"/>
    </xf>
    <xf numFmtId="14" fontId="41" fillId="3" borderId="3" xfId="0" applyNumberFormat="1" applyFont="1" applyFill="1" applyBorder="1" applyAlignment="1">
      <alignment horizontal="left" vertical="center"/>
    </xf>
    <xf numFmtId="14" fontId="85" fillId="0" borderId="9" xfId="0" applyNumberFormat="1" applyFont="1" applyBorder="1" applyAlignment="1">
      <alignment horizontal="center" vertical="center" wrapText="1"/>
    </xf>
    <xf numFmtId="165" fontId="21" fillId="0" borderId="40" xfId="0" applyNumberFormat="1" applyFont="1" applyBorder="1" applyAlignment="1">
      <alignment horizontal="center" vertical="center" wrapText="1"/>
    </xf>
    <xf numFmtId="165" fontId="21" fillId="0" borderId="9" xfId="0" applyNumberFormat="1" applyFont="1" applyBorder="1" applyAlignment="1">
      <alignment horizontal="center" vertical="center" wrapText="1"/>
    </xf>
    <xf numFmtId="165" fontId="21" fillId="0" borderId="7" xfId="0" applyNumberFormat="1" applyFont="1" applyBorder="1" applyAlignment="1">
      <alignment horizontal="center" vertical="center" wrapText="1"/>
    </xf>
    <xf numFmtId="0" fontId="17" fillId="6" borderId="0" xfId="0" applyFont="1" applyFill="1" applyBorder="1" applyAlignment="1">
      <alignment horizontal="left" vertical="center"/>
    </xf>
    <xf numFmtId="0" fontId="17" fillId="6" borderId="5" xfId="0" applyFont="1" applyFill="1" applyBorder="1" applyAlignment="1">
      <alignment horizontal="left" vertical="center"/>
    </xf>
    <xf numFmtId="0" fontId="7" fillId="0" borderId="0" xfId="0" applyFont="1" applyBorder="1" applyAlignment="1">
      <alignment horizontal="center" vertical="center" wrapText="1"/>
    </xf>
    <xf numFmtId="0" fontId="7" fillId="24" borderId="11" xfId="0" applyFont="1" applyFill="1" applyBorder="1" applyAlignment="1">
      <alignment horizontal="center" vertical="center"/>
    </xf>
    <xf numFmtId="0" fontId="7" fillId="24" borderId="35" xfId="0" applyFont="1" applyFill="1" applyBorder="1" applyAlignment="1">
      <alignment horizontal="center" vertical="center"/>
    </xf>
    <xf numFmtId="0" fontId="7" fillId="24" borderId="10" xfId="0" applyFont="1" applyFill="1" applyBorder="1" applyAlignment="1">
      <alignment horizontal="center" vertical="center"/>
    </xf>
    <xf numFmtId="6" fontId="18" fillId="6" borderId="41" xfId="0" applyNumberFormat="1" applyFont="1" applyFill="1" applyBorder="1" applyAlignment="1">
      <alignment horizontal="left" vertical="center"/>
    </xf>
    <xf numFmtId="0" fontId="21" fillId="0" borderId="9" xfId="0" applyFont="1" applyBorder="1" applyAlignment="1">
      <alignment horizontal="left" vertical="center" wrapText="1"/>
    </xf>
    <xf numFmtId="0" fontId="21" fillId="0" borderId="7" xfId="0" applyFont="1" applyBorder="1" applyAlignment="1">
      <alignment horizontal="left" vertical="center" wrapText="1"/>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7" fillId="0" borderId="9" xfId="0" applyFont="1" applyBorder="1" applyAlignment="1">
      <alignment horizontal="center" vertical="center" wrapText="1"/>
    </xf>
    <xf numFmtId="6" fontId="18" fillId="3" borderId="23" xfId="0" applyNumberFormat="1" applyFont="1" applyFill="1" applyBorder="1" applyAlignment="1">
      <alignment horizontal="left" vertical="center"/>
    </xf>
    <xf numFmtId="165" fontId="18" fillId="6" borderId="23" xfId="0" applyNumberFormat="1" applyFont="1" applyFill="1" applyBorder="1" applyAlignment="1">
      <alignment horizontal="left" vertical="center"/>
    </xf>
    <xf numFmtId="165" fontId="23" fillId="3" borderId="41" xfId="0" applyNumberFormat="1" applyFont="1" applyFill="1" applyBorder="1" applyAlignment="1">
      <alignment horizontal="left" vertical="center" wrapText="1"/>
    </xf>
    <xf numFmtId="165" fontId="16" fillId="3" borderId="0" xfId="0" applyNumberFormat="1" applyFont="1" applyFill="1" applyBorder="1" applyAlignment="1">
      <alignment horizontal="left" vertical="center" wrapText="1"/>
    </xf>
    <xf numFmtId="165" fontId="16" fillId="3" borderId="23" xfId="0" applyNumberFormat="1" applyFont="1" applyFill="1" applyBorder="1" applyAlignment="1">
      <alignment horizontal="left" vertical="center" wrapText="1"/>
    </xf>
    <xf numFmtId="165" fontId="16" fillId="3" borderId="5" xfId="0" applyNumberFormat="1" applyFont="1" applyFill="1" applyBorder="1" applyAlignment="1">
      <alignment horizontal="left" vertical="center" wrapText="1"/>
    </xf>
    <xf numFmtId="8" fontId="16" fillId="0" borderId="24" xfId="0" applyNumberFormat="1" applyFont="1" applyBorder="1" applyAlignment="1">
      <alignment horizontal="left" vertical="center"/>
    </xf>
    <xf numFmtId="8" fontId="23" fillId="0" borderId="0" xfId="0" applyNumberFormat="1" applyFont="1" applyBorder="1" applyAlignment="1">
      <alignment horizontal="left" vertical="center"/>
    </xf>
    <xf numFmtId="8" fontId="23" fillId="0" borderId="24" xfId="0" applyNumberFormat="1" applyFont="1" applyBorder="1" applyAlignment="1">
      <alignment horizontal="left" vertical="center"/>
    </xf>
    <xf numFmtId="165" fontId="21" fillId="0" borderId="0" xfId="0" applyNumberFormat="1" applyFont="1" applyBorder="1" applyAlignment="1">
      <alignment horizontal="center" vertical="center" wrapText="1"/>
    </xf>
    <xf numFmtId="165" fontId="21" fillId="0" borderId="23" xfId="0" applyNumberFormat="1" applyFont="1" applyBorder="1" applyAlignment="1">
      <alignment horizontal="center" vertical="center" wrapText="1"/>
    </xf>
    <xf numFmtId="165" fontId="21" fillId="0" borderId="5" xfId="0" applyNumberFormat="1" applyFont="1" applyBorder="1" applyAlignment="1">
      <alignment horizontal="center" vertical="center" wrapText="1"/>
    </xf>
    <xf numFmtId="165" fontId="45" fillId="0" borderId="9" xfId="0" applyNumberFormat="1" applyFont="1" applyBorder="1" applyAlignment="1">
      <alignment horizontal="center" vertical="center" wrapText="1"/>
    </xf>
    <xf numFmtId="165" fontId="45" fillId="0" borderId="42" xfId="0" applyNumberFormat="1" applyFont="1" applyBorder="1" applyAlignment="1">
      <alignment horizontal="center" vertical="center" wrapText="1"/>
    </xf>
    <xf numFmtId="165" fontId="45" fillId="0" borderId="7" xfId="0" applyNumberFormat="1" applyFont="1" applyBorder="1" applyAlignment="1">
      <alignment horizontal="center" vertical="center" wrapText="1"/>
    </xf>
    <xf numFmtId="165" fontId="21" fillId="0" borderId="42" xfId="0" applyNumberFormat="1" applyFont="1" applyBorder="1" applyAlignment="1">
      <alignment horizontal="center" vertical="center" wrapText="1"/>
    </xf>
    <xf numFmtId="0" fontId="7" fillId="4" borderId="11" xfId="0" applyFont="1" applyFill="1" applyBorder="1" applyAlignment="1">
      <alignment horizontal="center" vertical="center"/>
    </xf>
    <xf numFmtId="0" fontId="7" fillId="4" borderId="35" xfId="0" applyFont="1" applyFill="1" applyBorder="1" applyAlignment="1">
      <alignment horizontal="center" vertical="center"/>
    </xf>
    <xf numFmtId="0" fontId="7" fillId="4" borderId="10" xfId="0" applyFont="1" applyFill="1" applyBorder="1" applyAlignment="1">
      <alignment horizontal="center" vertical="center"/>
    </xf>
    <xf numFmtId="14" fontId="14" fillId="3" borderId="9" xfId="0" applyNumberFormat="1" applyFont="1" applyFill="1" applyBorder="1" applyAlignment="1">
      <alignment horizontal="left" vertical="center"/>
    </xf>
    <xf numFmtId="14" fontId="14" fillId="3" borderId="7" xfId="0" applyNumberFormat="1" applyFont="1" applyFill="1" applyBorder="1" applyAlignment="1">
      <alignment horizontal="left" vertical="center"/>
    </xf>
    <xf numFmtId="0" fontId="23" fillId="6" borderId="23" xfId="0" applyFont="1" applyFill="1" applyBorder="1" applyAlignment="1">
      <alignment horizontal="left" vertical="center"/>
    </xf>
    <xf numFmtId="0" fontId="23" fillId="6" borderId="0" xfId="0" applyFont="1" applyFill="1" applyBorder="1" applyAlignment="1">
      <alignment horizontal="left" vertical="center"/>
    </xf>
    <xf numFmtId="0" fontId="23" fillId="6" borderId="24" xfId="0" applyFont="1" applyFill="1" applyBorder="1" applyAlignment="1">
      <alignment horizontal="left" vertical="center"/>
    </xf>
    <xf numFmtId="0" fontId="23" fillId="3" borderId="23" xfId="0" applyFont="1" applyFill="1" applyBorder="1" applyAlignment="1">
      <alignment horizontal="left" vertical="center"/>
    </xf>
    <xf numFmtId="0" fontId="23" fillId="3" borderId="0" xfId="0" applyFont="1" applyFill="1" applyBorder="1" applyAlignment="1">
      <alignment horizontal="left" vertical="center"/>
    </xf>
    <xf numFmtId="0" fontId="23" fillId="3" borderId="24" xfId="0" applyFont="1" applyFill="1" applyBorder="1" applyAlignment="1">
      <alignment horizontal="left" vertical="center"/>
    </xf>
    <xf numFmtId="0" fontId="18" fillId="6" borderId="25" xfId="0" applyFont="1" applyFill="1" applyBorder="1" applyAlignment="1">
      <alignment horizontal="left" vertical="center"/>
    </xf>
    <xf numFmtId="0" fontId="18" fillId="6" borderId="34" xfId="0" applyFont="1" applyFill="1" applyBorder="1" applyAlignment="1">
      <alignment horizontal="left" vertical="center"/>
    </xf>
    <xf numFmtId="0" fontId="18" fillId="6" borderId="26" xfId="0" applyFont="1" applyFill="1" applyBorder="1" applyAlignment="1">
      <alignment horizontal="left" vertical="center"/>
    </xf>
    <xf numFmtId="0" fontId="14" fillId="3" borderId="21" xfId="0" applyFont="1" applyFill="1" applyBorder="1" applyAlignment="1">
      <alignment horizontal="left" vertical="center" wrapText="1"/>
    </xf>
    <xf numFmtId="0" fontId="14" fillId="3" borderId="33"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23"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24" xfId="0" applyFont="1" applyFill="1" applyBorder="1" applyAlignment="1">
      <alignment horizontal="left" vertical="center" wrapText="1"/>
    </xf>
    <xf numFmtId="0" fontId="17" fillId="3" borderId="0" xfId="0" applyFont="1" applyFill="1" applyBorder="1" applyAlignment="1">
      <alignment horizontal="left" vertical="center"/>
    </xf>
    <xf numFmtId="0" fontId="17" fillId="3" borderId="5" xfId="0" applyFont="1" applyFill="1" applyBorder="1" applyAlignment="1">
      <alignment horizontal="left" vertical="center"/>
    </xf>
    <xf numFmtId="165" fontId="18" fillId="0" borderId="8" xfId="0" applyNumberFormat="1" applyFont="1" applyBorder="1" applyAlignment="1">
      <alignment horizontal="left" vertical="center"/>
    </xf>
    <xf numFmtId="165" fontId="18" fillId="0" borderId="3" xfId="0" applyNumberFormat="1" applyFont="1" applyBorder="1" applyAlignment="1">
      <alignment horizontal="left" vertical="center"/>
    </xf>
    <xf numFmtId="165" fontId="17" fillId="0" borderId="8" xfId="0" applyNumberFormat="1" applyFont="1" applyBorder="1" applyAlignment="1">
      <alignment horizontal="left" vertical="center"/>
    </xf>
    <xf numFmtId="165" fontId="17" fillId="0" borderId="3" xfId="0" applyNumberFormat="1" applyFont="1" applyBorder="1" applyAlignment="1">
      <alignment horizontal="left" vertical="center"/>
    </xf>
    <xf numFmtId="165" fontId="17" fillId="0" borderId="9" xfId="0" applyNumberFormat="1" applyFont="1" applyBorder="1" applyAlignment="1">
      <alignment horizontal="left" vertical="center"/>
    </xf>
    <xf numFmtId="165" fontId="17" fillId="0" borderId="7" xfId="0" applyNumberFormat="1" applyFont="1" applyBorder="1" applyAlignment="1">
      <alignment horizontal="left" vertical="center"/>
    </xf>
    <xf numFmtId="165" fontId="18" fillId="0" borderId="0" xfId="0" applyNumberFormat="1" applyFont="1" applyBorder="1" applyAlignment="1">
      <alignment horizontal="left" vertical="center"/>
    </xf>
    <xf numFmtId="165" fontId="18" fillId="0" borderId="5" xfId="0" applyNumberFormat="1" applyFont="1" applyBorder="1" applyAlignment="1">
      <alignment horizontal="left" vertical="center"/>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8" fontId="11" fillId="3" borderId="0" xfId="0" applyNumberFormat="1" applyFont="1" applyFill="1" applyBorder="1" applyAlignment="1">
      <alignment horizontal="left" vertical="center"/>
    </xf>
    <xf numFmtId="8" fontId="11" fillId="3" borderId="5" xfId="0" applyNumberFormat="1" applyFont="1" applyFill="1" applyBorder="1" applyAlignment="1">
      <alignment horizontal="left" vertical="center"/>
    </xf>
    <xf numFmtId="0" fontId="14" fillId="3" borderId="0" xfId="0" applyFont="1" applyFill="1" applyBorder="1" applyAlignment="1">
      <alignment horizontal="left" vertical="center"/>
    </xf>
    <xf numFmtId="0" fontId="14" fillId="3" borderId="5" xfId="0" applyFont="1" applyFill="1" applyBorder="1" applyAlignment="1">
      <alignment horizontal="left" vertical="center"/>
    </xf>
    <xf numFmtId="164" fontId="21" fillId="6" borderId="0" xfId="2" applyNumberFormat="1" applyFont="1" applyFill="1" applyBorder="1" applyAlignment="1">
      <alignment horizontal="left" vertical="center"/>
    </xf>
    <xf numFmtId="164" fontId="21" fillId="6" borderId="5" xfId="2" applyNumberFormat="1" applyFont="1" applyFill="1" applyBorder="1" applyAlignment="1">
      <alignment horizontal="left" vertical="center"/>
    </xf>
    <xf numFmtId="165" fontId="17" fillId="6" borderId="0" xfId="2" applyNumberFormat="1" applyFont="1" applyFill="1" applyBorder="1" applyAlignment="1">
      <alignment horizontal="left" vertical="center"/>
    </xf>
    <xf numFmtId="165" fontId="17" fillId="6" borderId="5" xfId="2" applyNumberFormat="1" applyFont="1" applyFill="1" applyBorder="1" applyAlignment="1">
      <alignment horizontal="left" vertical="center"/>
    </xf>
    <xf numFmtId="0" fontId="16" fillId="0" borderId="23" xfId="0" applyFont="1" applyBorder="1" applyAlignment="1">
      <alignment horizontal="left" vertical="center" wrapText="1"/>
    </xf>
    <xf numFmtId="0" fontId="16" fillId="0" borderId="0"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34" xfId="0" applyFont="1" applyBorder="1" applyAlignment="1">
      <alignment horizontal="left" vertical="center" wrapText="1"/>
    </xf>
    <xf numFmtId="0" fontId="16" fillId="0" borderId="26" xfId="0" applyFont="1" applyBorder="1" applyAlignment="1">
      <alignment horizontal="left" vertical="center" wrapText="1"/>
    </xf>
    <xf numFmtId="8" fontId="14" fillId="6" borderId="0" xfId="0" applyNumberFormat="1" applyFont="1" applyFill="1" applyBorder="1" applyAlignment="1">
      <alignment horizontal="left" vertical="center"/>
    </xf>
    <xf numFmtId="8" fontId="14" fillId="6" borderId="5" xfId="0" applyNumberFormat="1" applyFont="1" applyFill="1" applyBorder="1" applyAlignment="1">
      <alignment horizontal="left" vertical="center"/>
    </xf>
    <xf numFmtId="0" fontId="16" fillId="6" borderId="23"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16" fillId="6" borderId="24"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14" fillId="6" borderId="24" xfId="0" applyFont="1" applyFill="1" applyBorder="1" applyAlignment="1">
      <alignment horizontal="left" vertical="center" wrapText="1"/>
    </xf>
    <xf numFmtId="8" fontId="16" fillId="3" borderId="9" xfId="0" applyNumberFormat="1" applyFont="1" applyFill="1" applyBorder="1" applyAlignment="1">
      <alignment horizontal="left" vertical="center"/>
    </xf>
    <xf numFmtId="8" fontId="16" fillId="3" borderId="7" xfId="0" applyNumberFormat="1" applyFont="1" applyFill="1" applyBorder="1" applyAlignment="1">
      <alignment horizontal="left" vertical="center"/>
    </xf>
    <xf numFmtId="165" fontId="23" fillId="0" borderId="9" xfId="0" applyNumberFormat="1" applyFont="1" applyBorder="1" applyAlignment="1">
      <alignment horizontal="left" vertical="center"/>
    </xf>
    <xf numFmtId="165" fontId="23" fillId="0" borderId="7" xfId="0" applyNumberFormat="1" applyFont="1" applyBorder="1" applyAlignment="1">
      <alignment horizontal="left" vertical="center"/>
    </xf>
    <xf numFmtId="0" fontId="18" fillId="3" borderId="23"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4"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34" xfId="0" applyFont="1" applyFill="1" applyBorder="1" applyAlignment="1">
      <alignment horizontal="left" vertical="center" wrapText="1"/>
    </xf>
    <xf numFmtId="0" fontId="18" fillId="3" borderId="26" xfId="0" applyFont="1" applyFill="1" applyBorder="1" applyAlignment="1">
      <alignment horizontal="left" vertical="center" wrapText="1"/>
    </xf>
    <xf numFmtId="0" fontId="61" fillId="15" borderId="0" xfId="0" applyFont="1" applyFill="1" applyBorder="1" applyAlignment="1">
      <alignment horizontal="center" vertical="center"/>
    </xf>
    <xf numFmtId="165" fontId="21" fillId="0" borderId="8" xfId="0" applyNumberFormat="1" applyFont="1" applyBorder="1" applyAlignment="1">
      <alignment horizontal="left" vertical="center"/>
    </xf>
    <xf numFmtId="165" fontId="21" fillId="0" borderId="3" xfId="0" applyNumberFormat="1" applyFont="1" applyBorder="1" applyAlignment="1">
      <alignment horizontal="left" vertical="center"/>
    </xf>
    <xf numFmtId="165" fontId="21" fillId="0" borderId="9" xfId="0" applyNumberFormat="1" applyFont="1" applyBorder="1" applyAlignment="1">
      <alignment horizontal="left" vertical="center"/>
    </xf>
    <xf numFmtId="165" fontId="21" fillId="0" borderId="7" xfId="0" applyNumberFormat="1" applyFont="1" applyBorder="1" applyAlignment="1">
      <alignment horizontal="left" vertical="center"/>
    </xf>
    <xf numFmtId="165" fontId="53" fillId="6" borderId="8" xfId="0" applyNumberFormat="1" applyFont="1" applyFill="1" applyBorder="1" applyAlignment="1">
      <alignment horizontal="left" vertical="center"/>
    </xf>
    <xf numFmtId="165" fontId="53" fillId="6" borderId="3" xfId="0" applyNumberFormat="1" applyFont="1" applyFill="1" applyBorder="1" applyAlignment="1">
      <alignment horizontal="left" vertical="center"/>
    </xf>
    <xf numFmtId="0" fontId="18" fillId="0" borderId="9" xfId="0" applyFont="1" applyBorder="1" applyAlignment="1">
      <alignment horizontal="left" vertical="center"/>
    </xf>
    <xf numFmtId="0" fontId="18" fillId="0" borderId="7"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16" fillId="0" borderId="33" xfId="0" applyFont="1" applyBorder="1" applyAlignment="1">
      <alignment horizontal="left" vertical="center"/>
    </xf>
    <xf numFmtId="0" fontId="16" fillId="0" borderId="39" xfId="0" applyFont="1" applyBorder="1" applyAlignment="1">
      <alignment horizontal="left" vertical="center"/>
    </xf>
    <xf numFmtId="8" fontId="11" fillId="6" borderId="0" xfId="0" applyNumberFormat="1" applyFont="1" applyFill="1" applyBorder="1" applyAlignment="1">
      <alignment horizontal="left" vertical="center"/>
    </xf>
    <xf numFmtId="8" fontId="11" fillId="6" borderId="5" xfId="0" applyNumberFormat="1" applyFont="1" applyFill="1" applyBorder="1" applyAlignment="1">
      <alignment horizontal="left" vertical="center"/>
    </xf>
    <xf numFmtId="8" fontId="14" fillId="3" borderId="9" xfId="0" applyNumberFormat="1" applyFont="1" applyFill="1" applyBorder="1" applyAlignment="1">
      <alignment horizontal="left" vertical="center"/>
    </xf>
    <xf numFmtId="8" fontId="14" fillId="3" borderId="7" xfId="0" applyNumberFormat="1" applyFont="1" applyFill="1" applyBorder="1" applyAlignment="1">
      <alignment horizontal="left" vertical="center"/>
    </xf>
    <xf numFmtId="165" fontId="23" fillId="3" borderId="8" xfId="0" applyNumberFormat="1" applyFont="1" applyFill="1" applyBorder="1" applyAlignment="1">
      <alignment horizontal="left" vertical="center"/>
    </xf>
    <xf numFmtId="165" fontId="23" fillId="3" borderId="3" xfId="0" applyNumberFormat="1" applyFont="1" applyFill="1" applyBorder="1" applyAlignment="1">
      <alignment horizontal="left" vertical="center"/>
    </xf>
    <xf numFmtId="0" fontId="0" fillId="6" borderId="9" xfId="0" applyFill="1" applyBorder="1" applyAlignment="1">
      <alignment horizontal="left" vertical="center"/>
    </xf>
    <xf numFmtId="0" fontId="0" fillId="6" borderId="7" xfId="0" applyFill="1" applyBorder="1" applyAlignment="1">
      <alignment horizontal="left" vertical="center"/>
    </xf>
    <xf numFmtId="0" fontId="23" fillId="3" borderId="23"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24" xfId="0" applyFont="1" applyFill="1" applyBorder="1" applyAlignment="1">
      <alignment horizontal="left" vertical="center" wrapText="1"/>
    </xf>
    <xf numFmtId="0" fontId="18" fillId="6" borderId="25" xfId="0" applyFont="1" applyFill="1" applyBorder="1" applyAlignment="1">
      <alignment horizontal="left" vertical="center" wrapText="1"/>
    </xf>
    <xf numFmtId="0" fontId="18" fillId="6" borderId="34" xfId="0" applyFont="1" applyFill="1" applyBorder="1" applyAlignment="1">
      <alignment horizontal="left" vertical="center" wrapText="1"/>
    </xf>
    <xf numFmtId="0" fontId="18" fillId="6" borderId="26" xfId="0" applyFont="1" applyFill="1" applyBorder="1" applyAlignment="1">
      <alignment horizontal="left" vertical="center" wrapText="1"/>
    </xf>
    <xf numFmtId="8" fontId="23" fillId="6" borderId="9" xfId="0" applyNumberFormat="1" applyFont="1" applyFill="1" applyBorder="1" applyAlignment="1">
      <alignment horizontal="left" vertical="center"/>
    </xf>
    <xf numFmtId="8" fontId="23" fillId="6" borderId="7" xfId="0" applyNumberFormat="1" applyFont="1" applyFill="1" applyBorder="1" applyAlignment="1">
      <alignment horizontal="left" vertical="center"/>
    </xf>
    <xf numFmtId="8" fontId="16" fillId="6" borderId="9" xfId="0" applyNumberFormat="1" applyFont="1" applyFill="1" applyBorder="1" applyAlignment="1">
      <alignment horizontal="left" vertical="center"/>
    </xf>
    <xf numFmtId="8" fontId="16" fillId="6" borderId="7" xfId="0" applyNumberFormat="1" applyFont="1" applyFill="1" applyBorder="1" applyAlignment="1">
      <alignment horizontal="left" vertical="center"/>
    </xf>
    <xf numFmtId="0" fontId="0" fillId="6" borderId="0" xfId="0" applyFill="1" applyBorder="1" applyAlignment="1">
      <alignment horizontal="left" vertical="center"/>
    </xf>
    <xf numFmtId="0" fontId="0" fillId="6" borderId="5" xfId="0" applyFill="1" applyBorder="1" applyAlignment="1">
      <alignment horizontal="left" vertical="center"/>
    </xf>
    <xf numFmtId="165" fontId="18" fillId="3" borderId="9" xfId="0" applyNumberFormat="1" applyFont="1" applyFill="1" applyBorder="1" applyAlignment="1">
      <alignment horizontal="left" vertical="center"/>
    </xf>
    <xf numFmtId="165" fontId="18" fillId="3" borderId="7" xfId="0" applyNumberFormat="1" applyFont="1" applyFill="1" applyBorder="1" applyAlignment="1">
      <alignment horizontal="left" vertical="center"/>
    </xf>
    <xf numFmtId="0" fontId="53" fillId="6" borderId="0" xfId="0" applyFont="1" applyFill="1" applyBorder="1" applyAlignment="1">
      <alignment horizontal="left" vertical="center"/>
    </xf>
    <xf numFmtId="0" fontId="45" fillId="6" borderId="0" xfId="0" applyFont="1" applyFill="1" applyBorder="1" applyAlignment="1">
      <alignment horizontal="left" vertical="center"/>
    </xf>
    <xf numFmtId="0" fontId="45" fillId="6" borderId="5" xfId="0" applyFont="1" applyFill="1" applyBorder="1" applyAlignment="1">
      <alignment horizontal="left" vertical="center"/>
    </xf>
    <xf numFmtId="10" fontId="53" fillId="3" borderId="0" xfId="2" applyNumberFormat="1" applyFont="1" applyFill="1" applyBorder="1" applyAlignment="1">
      <alignment horizontal="left" vertical="center"/>
    </xf>
    <xf numFmtId="10" fontId="53" fillId="3" borderId="5" xfId="2" applyNumberFormat="1" applyFont="1" applyFill="1" applyBorder="1" applyAlignment="1">
      <alignment horizontal="left" vertical="center"/>
    </xf>
    <xf numFmtId="164" fontId="23" fillId="0" borderId="0" xfId="2" applyNumberFormat="1" applyFont="1" applyBorder="1" applyAlignment="1">
      <alignment horizontal="left" vertical="center"/>
    </xf>
    <xf numFmtId="164" fontId="23" fillId="0" borderId="5" xfId="2" applyNumberFormat="1" applyFont="1" applyBorder="1" applyAlignment="1">
      <alignment horizontal="left" vertical="center"/>
    </xf>
    <xf numFmtId="0" fontId="0" fillId="3" borderId="0" xfId="0" applyFill="1" applyBorder="1" applyAlignment="1">
      <alignment horizontal="left" vertical="center" wrapText="1"/>
    </xf>
    <xf numFmtId="165" fontId="18" fillId="3" borderId="0" xfId="2" applyNumberFormat="1" applyFont="1" applyFill="1" applyBorder="1" applyAlignment="1">
      <alignment horizontal="left" vertical="center"/>
    </xf>
    <xf numFmtId="165" fontId="18" fillId="3" borderId="5" xfId="2" applyNumberFormat="1" applyFont="1" applyFill="1" applyBorder="1" applyAlignment="1">
      <alignment horizontal="left" vertical="center"/>
    </xf>
    <xf numFmtId="8" fontId="14" fillId="0" borderId="0" xfId="0" applyNumberFormat="1" applyFont="1" applyBorder="1" applyAlignment="1">
      <alignment horizontal="left" vertical="center"/>
    </xf>
    <xf numFmtId="8" fontId="14" fillId="0" borderId="5" xfId="0" applyNumberFormat="1" applyFont="1" applyBorder="1" applyAlignment="1">
      <alignment horizontal="left" vertical="center"/>
    </xf>
    <xf numFmtId="0" fontId="14" fillId="3" borderId="25" xfId="0" applyFont="1" applyFill="1" applyBorder="1" applyAlignment="1">
      <alignment horizontal="left" vertical="center" wrapText="1"/>
    </xf>
    <xf numFmtId="0" fontId="14" fillId="3" borderId="34" xfId="0" applyFont="1" applyFill="1" applyBorder="1" applyAlignment="1">
      <alignment horizontal="left" vertical="center" wrapText="1"/>
    </xf>
    <xf numFmtId="0" fontId="14" fillId="3" borderId="26" xfId="0" applyFont="1" applyFill="1" applyBorder="1" applyAlignment="1">
      <alignment horizontal="left" vertical="center" wrapText="1"/>
    </xf>
    <xf numFmtId="6" fontId="18" fillId="3" borderId="8" xfId="0" applyNumberFormat="1" applyFont="1" applyFill="1" applyBorder="1" applyAlignment="1">
      <alignment horizontal="left" vertical="center"/>
    </xf>
    <xf numFmtId="6" fontId="18" fillId="3" borderId="3" xfId="0" applyNumberFormat="1" applyFont="1" applyFill="1" applyBorder="1" applyAlignment="1">
      <alignment horizontal="left" vertical="center"/>
    </xf>
    <xf numFmtId="9" fontId="18" fillId="3" borderId="0" xfId="2" applyFont="1" applyFill="1" applyBorder="1" applyAlignment="1">
      <alignment horizontal="left" vertical="center"/>
    </xf>
    <xf numFmtId="9" fontId="18" fillId="3" borderId="5" xfId="2" applyFont="1" applyFill="1" applyBorder="1" applyAlignment="1">
      <alignment horizontal="left" vertical="center"/>
    </xf>
    <xf numFmtId="165" fontId="23" fillId="3" borderId="9" xfId="1" applyNumberFormat="1" applyFont="1" applyFill="1" applyBorder="1" applyAlignment="1">
      <alignment horizontal="left" vertical="center"/>
    </xf>
    <xf numFmtId="165" fontId="23" fillId="3" borderId="7" xfId="1" applyNumberFormat="1" applyFont="1" applyFill="1" applyBorder="1" applyAlignment="1">
      <alignment horizontal="left" vertical="center"/>
    </xf>
    <xf numFmtId="165" fontId="23" fillId="3" borderId="0" xfId="1" applyNumberFormat="1" applyFont="1" applyFill="1" applyBorder="1" applyAlignment="1">
      <alignment horizontal="left" vertical="center"/>
    </xf>
    <xf numFmtId="165" fontId="23" fillId="3" borderId="5" xfId="1" applyNumberFormat="1" applyFont="1" applyFill="1" applyBorder="1" applyAlignment="1">
      <alignment horizontal="left" vertical="center"/>
    </xf>
    <xf numFmtId="165" fontId="18" fillId="3" borderId="8" xfId="1" applyNumberFormat="1" applyFont="1" applyFill="1" applyBorder="1" applyAlignment="1">
      <alignment horizontal="left" vertical="center"/>
    </xf>
    <xf numFmtId="165" fontId="18" fillId="3" borderId="3" xfId="1" applyNumberFormat="1" applyFont="1" applyFill="1" applyBorder="1" applyAlignment="1">
      <alignment horizontal="left" vertical="center"/>
    </xf>
    <xf numFmtId="0" fontId="7" fillId="19" borderId="11" xfId="0" applyFont="1" applyFill="1" applyBorder="1" applyAlignment="1">
      <alignment horizontal="center" vertical="center"/>
    </xf>
    <xf numFmtId="0" fontId="7" fillId="19" borderId="10"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4" xfId="0" applyFont="1" applyFill="1" applyBorder="1" applyAlignment="1">
      <alignment horizontal="center" vertical="center"/>
    </xf>
    <xf numFmtId="0" fontId="23" fillId="3" borderId="5" xfId="0" applyFont="1" applyFill="1" applyBorder="1" applyAlignment="1">
      <alignment horizontal="left" vertical="center"/>
    </xf>
    <xf numFmtId="14" fontId="9" fillId="3" borderId="43" xfId="0" applyNumberFormat="1" applyFont="1" applyFill="1" applyBorder="1" applyAlignment="1">
      <alignment horizontal="left" vertical="center" wrapText="1"/>
    </xf>
    <xf numFmtId="0" fontId="21" fillId="3" borderId="9" xfId="0" applyFont="1" applyFill="1" applyBorder="1" applyAlignment="1">
      <alignment horizontal="left" vertical="center"/>
    </xf>
    <xf numFmtId="0" fontId="21" fillId="3" borderId="7" xfId="0" applyFont="1" applyFill="1" applyBorder="1" applyAlignment="1">
      <alignment horizontal="left" vertical="center"/>
    </xf>
    <xf numFmtId="0" fontId="94" fillId="6" borderId="11" xfId="0" applyFont="1" applyFill="1" applyBorder="1" applyAlignment="1">
      <alignment horizontal="center" vertical="center" wrapText="1"/>
    </xf>
    <xf numFmtId="0" fontId="94" fillId="6" borderId="35" xfId="0" applyFont="1" applyFill="1" applyBorder="1" applyAlignment="1">
      <alignment horizontal="center" vertical="center" wrapText="1"/>
    </xf>
    <xf numFmtId="0" fontId="94" fillId="6" borderId="10" xfId="0" applyFont="1" applyFill="1" applyBorder="1" applyAlignment="1">
      <alignment horizontal="center" vertical="center" wrapText="1"/>
    </xf>
    <xf numFmtId="8" fontId="53" fillId="3" borderId="23" xfId="0" applyNumberFormat="1" applyFont="1" applyFill="1" applyBorder="1" applyAlignment="1">
      <alignment horizontal="left" vertical="center"/>
    </xf>
    <xf numFmtId="8" fontId="53" fillId="3" borderId="5" xfId="0" applyNumberFormat="1" applyFont="1" applyFill="1" applyBorder="1" applyAlignment="1">
      <alignment horizontal="left" vertical="center"/>
    </xf>
    <xf numFmtId="165" fontId="23" fillId="3" borderId="23" xfId="1" applyNumberFormat="1" applyFont="1" applyFill="1" applyBorder="1" applyAlignment="1">
      <alignment horizontal="left" vertical="center"/>
    </xf>
    <xf numFmtId="8" fontId="53" fillId="3" borderId="0" xfId="0" applyNumberFormat="1" applyFont="1" applyFill="1" applyBorder="1" applyAlignment="1">
      <alignment horizontal="left" vertical="center"/>
    </xf>
    <xf numFmtId="8" fontId="23" fillId="3" borderId="40" xfId="0" applyNumberFormat="1" applyFont="1" applyFill="1" applyBorder="1" applyAlignment="1">
      <alignment horizontal="left" vertical="center"/>
    </xf>
    <xf numFmtId="8" fontId="23" fillId="3" borderId="7" xfId="0" applyNumberFormat="1" applyFont="1" applyFill="1" applyBorder="1" applyAlignment="1">
      <alignment horizontal="left" vertical="center"/>
    </xf>
    <xf numFmtId="8" fontId="23" fillId="3" borderId="9" xfId="0" applyNumberFormat="1" applyFont="1" applyFill="1" applyBorder="1" applyAlignment="1">
      <alignment horizontal="left" vertical="center"/>
    </xf>
    <xf numFmtId="0" fontId="7" fillId="20" borderId="11" xfId="0" applyFont="1" applyFill="1" applyBorder="1" applyAlignment="1">
      <alignment horizontal="center" vertical="center"/>
    </xf>
    <xf numFmtId="0" fontId="7" fillId="20" borderId="35" xfId="0" applyFont="1" applyFill="1" applyBorder="1" applyAlignment="1">
      <alignment horizontal="center" vertical="center"/>
    </xf>
    <xf numFmtId="0" fontId="7" fillId="20" borderId="10" xfId="0" applyFont="1" applyFill="1" applyBorder="1" applyAlignment="1">
      <alignment horizontal="center" vertical="center"/>
    </xf>
    <xf numFmtId="165" fontId="18" fillId="6" borderId="0" xfId="0" applyNumberFormat="1" applyFont="1" applyFill="1" applyBorder="1" applyAlignment="1">
      <alignment horizontal="left" vertical="center" wrapText="1"/>
    </xf>
    <xf numFmtId="165" fontId="18" fillId="6" borderId="5" xfId="0" applyNumberFormat="1" applyFont="1" applyFill="1" applyBorder="1" applyAlignment="1">
      <alignment horizontal="left" vertical="center" wrapText="1"/>
    </xf>
    <xf numFmtId="0" fontId="14" fillId="6" borderId="25" xfId="0" applyFont="1" applyFill="1" applyBorder="1" applyAlignment="1">
      <alignment vertical="center" wrapText="1"/>
    </xf>
    <xf numFmtId="0" fontId="14" fillId="6" borderId="34" xfId="0" applyFont="1" applyFill="1" applyBorder="1" applyAlignment="1">
      <alignment vertical="center" wrapText="1"/>
    </xf>
    <xf numFmtId="0" fontId="14" fillId="6" borderId="26" xfId="0" applyFont="1" applyFill="1" applyBorder="1" applyAlignment="1">
      <alignment vertical="center" wrapText="1"/>
    </xf>
    <xf numFmtId="0" fontId="18" fillId="6" borderId="23" xfId="0" applyFont="1" applyFill="1" applyBorder="1" applyAlignment="1">
      <alignment horizontal="left" vertical="center"/>
    </xf>
    <xf numFmtId="0" fontId="18" fillId="6" borderId="0" xfId="0" applyFont="1" applyFill="1" applyBorder="1" applyAlignment="1">
      <alignment horizontal="left" vertical="center"/>
    </xf>
    <xf numFmtId="0" fontId="18" fillId="6" borderId="24" xfId="0" applyFont="1" applyFill="1" applyBorder="1" applyAlignment="1">
      <alignment horizontal="left" vertical="center"/>
    </xf>
    <xf numFmtId="6" fontId="17" fillId="3" borderId="8" xfId="0" applyNumberFormat="1" applyFont="1" applyFill="1" applyBorder="1" applyAlignment="1">
      <alignment horizontal="left" vertical="center"/>
    </xf>
    <xf numFmtId="6" fontId="17" fillId="3" borderId="3" xfId="0" applyNumberFormat="1" applyFont="1" applyFill="1" applyBorder="1" applyAlignment="1">
      <alignment horizontal="left" vertical="center"/>
    </xf>
    <xf numFmtId="0" fontId="18" fillId="3" borderId="0" xfId="0" applyFont="1" applyFill="1" applyBorder="1" applyAlignment="1">
      <alignment horizontal="left" vertical="center"/>
    </xf>
    <xf numFmtId="0" fontId="18" fillId="3" borderId="5" xfId="0" applyFont="1" applyFill="1" applyBorder="1" applyAlignment="1">
      <alignment horizontal="left" vertical="center"/>
    </xf>
    <xf numFmtId="0" fontId="14" fillId="0" borderId="0" xfId="0" applyFont="1" applyBorder="1" applyAlignment="1">
      <alignment horizontal="left" vertical="center"/>
    </xf>
    <xf numFmtId="0" fontId="14" fillId="0" borderId="5" xfId="0" applyFont="1" applyBorder="1" applyAlignment="1">
      <alignment horizontal="left" vertical="center"/>
    </xf>
    <xf numFmtId="0" fontId="21" fillId="0" borderId="9" xfId="0" applyFont="1" applyBorder="1" applyAlignment="1">
      <alignment horizontal="left" vertical="center"/>
    </xf>
    <xf numFmtId="0" fontId="21" fillId="0" borderId="7" xfId="0" applyFont="1" applyBorder="1" applyAlignment="1">
      <alignment horizontal="left" vertical="center"/>
    </xf>
    <xf numFmtId="165" fontId="21" fillId="6" borderId="0" xfId="0" applyNumberFormat="1" applyFont="1" applyFill="1" applyBorder="1" applyAlignment="1">
      <alignment horizontal="left" vertical="center"/>
    </xf>
    <xf numFmtId="165" fontId="21" fillId="6" borderId="5" xfId="0" applyNumberFormat="1" applyFont="1" applyFill="1" applyBorder="1" applyAlignment="1">
      <alignment horizontal="left" vertical="center"/>
    </xf>
    <xf numFmtId="8" fontId="23" fillId="0" borderId="5" xfId="0" applyNumberFormat="1" applyFont="1" applyBorder="1" applyAlignment="1">
      <alignment horizontal="left" vertical="center"/>
    </xf>
    <xf numFmtId="165" fontId="45" fillId="6" borderId="0" xfId="0" applyNumberFormat="1" applyFont="1" applyFill="1" applyBorder="1" applyAlignment="1">
      <alignment horizontal="left" vertical="center"/>
    </xf>
    <xf numFmtId="165" fontId="45" fillId="6" borderId="5" xfId="0" applyNumberFormat="1" applyFont="1" applyFill="1" applyBorder="1" applyAlignment="1">
      <alignment horizontal="left" vertical="center"/>
    </xf>
    <xf numFmtId="0" fontId="23" fillId="3" borderId="25" xfId="0" applyFont="1" applyFill="1" applyBorder="1" applyAlignment="1">
      <alignment horizontal="left" vertical="center"/>
    </xf>
    <xf numFmtId="0" fontId="23" fillId="3" borderId="34" xfId="0" applyFont="1" applyFill="1" applyBorder="1" applyAlignment="1">
      <alignment horizontal="left" vertical="center"/>
    </xf>
    <xf numFmtId="0" fontId="23" fillId="3" borderId="26" xfId="0" applyFont="1" applyFill="1" applyBorder="1" applyAlignment="1">
      <alignment horizontal="left" vertical="center"/>
    </xf>
    <xf numFmtId="165" fontId="18" fillId="0" borderId="9" xfId="0" applyNumberFormat="1" applyFont="1" applyBorder="1" applyAlignment="1">
      <alignment horizontal="left" vertical="center"/>
    </xf>
    <xf numFmtId="165" fontId="18" fillId="0" borderId="7" xfId="0" applyNumberFormat="1" applyFont="1" applyBorder="1" applyAlignment="1">
      <alignment horizontal="left" vertical="center"/>
    </xf>
    <xf numFmtId="0" fontId="17" fillId="6" borderId="0" xfId="0" applyFont="1" applyFill="1" applyBorder="1" applyAlignment="1">
      <alignment horizontal="left"/>
    </xf>
    <xf numFmtId="0" fontId="17" fillId="6" borderId="5" xfId="0" applyFont="1" applyFill="1" applyBorder="1" applyAlignment="1">
      <alignment horizontal="left"/>
    </xf>
    <xf numFmtId="0" fontId="17" fillId="3" borderId="0" xfId="0" applyFont="1" applyFill="1" applyBorder="1" applyAlignment="1">
      <alignment horizontal="left"/>
    </xf>
    <xf numFmtId="0" fontId="17" fillId="3" borderId="5" xfId="0" applyFont="1" applyFill="1" applyBorder="1" applyAlignment="1">
      <alignment horizontal="left"/>
    </xf>
    <xf numFmtId="2" fontId="16" fillId="6" borderId="9" xfId="2" applyNumberFormat="1" applyFont="1" applyFill="1" applyBorder="1" applyAlignment="1">
      <alignment horizontal="left" vertical="center"/>
    </xf>
    <xf numFmtId="2" fontId="16" fillId="6" borderId="7" xfId="2" applyNumberFormat="1" applyFont="1" applyFill="1" applyBorder="1" applyAlignment="1">
      <alignment horizontal="left" vertical="center"/>
    </xf>
    <xf numFmtId="165" fontId="18" fillId="6" borderId="9" xfId="0" applyNumberFormat="1" applyFont="1" applyFill="1" applyBorder="1" applyAlignment="1">
      <alignment horizontal="left" vertical="center" wrapText="1"/>
    </xf>
    <xf numFmtId="165" fontId="18" fillId="6" borderId="7" xfId="0" applyNumberFormat="1"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8" fillId="6" borderId="9" xfId="0" applyFont="1" applyFill="1" applyBorder="1" applyAlignment="1">
      <alignment horizontal="left" vertical="center" wrapText="1"/>
    </xf>
    <xf numFmtId="0" fontId="18" fillId="6" borderId="40" xfId="0" applyFont="1" applyFill="1" applyBorder="1" applyAlignment="1">
      <alignment horizontal="left" vertical="center" wrapText="1"/>
    </xf>
    <xf numFmtId="0" fontId="18" fillId="6" borderId="7" xfId="0" applyFont="1" applyFill="1" applyBorder="1" applyAlignment="1">
      <alignment horizontal="left" vertical="center" wrapText="1"/>
    </xf>
    <xf numFmtId="165" fontId="18" fillId="3" borderId="23" xfId="0" applyNumberFormat="1" applyFont="1" applyFill="1" applyBorder="1" applyAlignment="1">
      <alignment horizontal="left" vertical="center" wrapText="1"/>
    </xf>
    <xf numFmtId="165" fontId="18" fillId="3" borderId="5" xfId="0" applyNumberFormat="1" applyFont="1" applyFill="1" applyBorder="1" applyAlignment="1">
      <alignment horizontal="left" vertical="center" wrapText="1"/>
    </xf>
    <xf numFmtId="0" fontId="84" fillId="0" borderId="0" xfId="0" applyFont="1" applyAlignment="1">
      <alignment horizontal="left" vertical="center" wrapText="1"/>
    </xf>
    <xf numFmtId="0" fontId="18" fillId="0" borderId="0" xfId="0" applyFont="1" applyAlignment="1">
      <alignment horizontal="left" vertical="center" wrapText="1"/>
    </xf>
    <xf numFmtId="0" fontId="16" fillId="0" borderId="0" xfId="0" applyFont="1" applyAlignment="1">
      <alignment horizontal="left" vertical="center" wrapText="1"/>
    </xf>
    <xf numFmtId="0" fontId="73" fillId="3" borderId="23" xfId="0" applyFont="1" applyFill="1" applyBorder="1" applyAlignment="1">
      <alignment horizontal="left" vertical="center" wrapText="1"/>
    </xf>
    <xf numFmtId="0" fontId="73" fillId="3" borderId="0" xfId="0" applyFont="1" applyFill="1" applyBorder="1" applyAlignment="1">
      <alignment horizontal="left" vertical="center" wrapText="1"/>
    </xf>
    <xf numFmtId="0" fontId="73" fillId="3" borderId="24" xfId="0" applyFont="1" applyFill="1" applyBorder="1" applyAlignment="1">
      <alignment horizontal="left" vertical="center" wrapText="1"/>
    </xf>
    <xf numFmtId="0" fontId="73" fillId="3" borderId="25" xfId="0" applyFont="1" applyFill="1" applyBorder="1" applyAlignment="1">
      <alignment horizontal="left" vertical="center" wrapText="1"/>
    </xf>
    <xf numFmtId="0" fontId="73" fillId="3" borderId="34" xfId="0" applyFont="1" applyFill="1" applyBorder="1" applyAlignment="1">
      <alignment horizontal="left" vertical="center" wrapText="1"/>
    </xf>
    <xf numFmtId="0" fontId="73" fillId="3" borderId="26" xfId="0" applyFont="1" applyFill="1" applyBorder="1" applyAlignment="1">
      <alignment horizontal="left" vertical="center" wrapText="1"/>
    </xf>
    <xf numFmtId="165" fontId="23" fillId="3" borderId="23" xfId="0" applyNumberFormat="1" applyFont="1" applyFill="1" applyBorder="1" applyAlignment="1">
      <alignment horizontal="left" vertical="center" wrapText="1"/>
    </xf>
    <xf numFmtId="14" fontId="85" fillId="0" borderId="43" xfId="0" applyNumberFormat="1" applyFont="1" applyBorder="1" applyAlignment="1">
      <alignment horizontal="center" vertical="center" wrapText="1"/>
    </xf>
    <xf numFmtId="0" fontId="7" fillId="0" borderId="44" xfId="0" applyFont="1" applyBorder="1" applyAlignment="1">
      <alignment horizontal="center" vertical="center" wrapText="1"/>
    </xf>
    <xf numFmtId="6" fontId="18" fillId="3" borderId="24" xfId="0" applyNumberFormat="1" applyFont="1" applyFill="1" applyBorder="1" applyAlignment="1">
      <alignment horizontal="left" vertical="center"/>
    </xf>
    <xf numFmtId="6" fontId="18" fillId="6" borderId="45" xfId="0" applyNumberFormat="1" applyFont="1" applyFill="1" applyBorder="1" applyAlignment="1">
      <alignment horizontal="left" vertical="center"/>
    </xf>
    <xf numFmtId="0" fontId="17" fillId="6" borderId="24" xfId="0" applyFont="1" applyFill="1" applyBorder="1" applyAlignment="1">
      <alignment horizontal="left" vertical="center"/>
    </xf>
    <xf numFmtId="164" fontId="18" fillId="3" borderId="24" xfId="2" applyNumberFormat="1" applyFont="1" applyFill="1" applyBorder="1" applyAlignment="1">
      <alignment horizontal="left" vertical="center"/>
    </xf>
    <xf numFmtId="0" fontId="16" fillId="6" borderId="24" xfId="0" applyFont="1" applyFill="1" applyBorder="1" applyAlignment="1">
      <alignment horizontal="left" vertical="center"/>
    </xf>
    <xf numFmtId="0" fontId="16" fillId="3" borderId="24" xfId="0" applyFont="1" applyFill="1" applyBorder="1" applyAlignment="1">
      <alignment horizontal="left" vertical="center"/>
    </xf>
    <xf numFmtId="8" fontId="16" fillId="6" borderId="24" xfId="0" applyNumberFormat="1" applyFont="1" applyFill="1" applyBorder="1" applyAlignment="1">
      <alignment horizontal="left" vertical="center"/>
    </xf>
    <xf numFmtId="8" fontId="16" fillId="3" borderId="24" xfId="0" applyNumberFormat="1" applyFont="1" applyFill="1" applyBorder="1" applyAlignment="1">
      <alignment horizontal="left" vertical="center"/>
    </xf>
    <xf numFmtId="8" fontId="18" fillId="6" borderId="22" xfId="0" applyNumberFormat="1" applyFont="1" applyFill="1" applyBorder="1" applyAlignment="1">
      <alignment horizontal="left" vertical="center"/>
    </xf>
    <xf numFmtId="8" fontId="16" fillId="3" borderId="26" xfId="0" applyNumberFormat="1" applyFont="1" applyFill="1" applyBorder="1" applyAlignment="1">
      <alignment horizontal="left" vertical="center"/>
    </xf>
    <xf numFmtId="165" fontId="18" fillId="6" borderId="24" xfId="0" applyNumberFormat="1" applyFont="1" applyFill="1" applyBorder="1" applyAlignment="1">
      <alignment horizontal="left" vertical="center"/>
    </xf>
    <xf numFmtId="165" fontId="18" fillId="3" borderId="24" xfId="0" applyNumberFormat="1" applyFont="1" applyFill="1" applyBorder="1" applyAlignment="1">
      <alignment horizontal="left" vertical="center"/>
    </xf>
    <xf numFmtId="2" fontId="16" fillId="6" borderId="24" xfId="2" applyNumberFormat="1" applyFont="1" applyFill="1" applyBorder="1" applyAlignment="1">
      <alignment horizontal="left" vertical="center"/>
    </xf>
    <xf numFmtId="8" fontId="14" fillId="3" borderId="24" xfId="0" applyNumberFormat="1" applyFont="1" applyFill="1" applyBorder="1" applyAlignment="1">
      <alignment horizontal="left" vertical="center"/>
    </xf>
    <xf numFmtId="165" fontId="23" fillId="6" borderId="33" xfId="0" applyNumberFormat="1" applyFont="1" applyFill="1" applyBorder="1" applyAlignment="1">
      <alignment horizontal="left" vertical="center" wrapText="1"/>
    </xf>
    <xf numFmtId="165" fontId="23" fillId="6" borderId="39" xfId="0" applyNumberFormat="1" applyFont="1" applyFill="1" applyBorder="1" applyAlignment="1">
      <alignment horizontal="left" vertical="center" wrapText="1"/>
    </xf>
    <xf numFmtId="165" fontId="23" fillId="3" borderId="45" xfId="0" applyNumberFormat="1" applyFont="1" applyFill="1" applyBorder="1" applyAlignment="1">
      <alignment horizontal="left" vertical="center" wrapText="1"/>
    </xf>
    <xf numFmtId="0" fontId="18" fillId="6" borderId="42" xfId="0" applyFont="1" applyFill="1" applyBorder="1" applyAlignment="1">
      <alignment horizontal="left" vertical="center" wrapText="1"/>
    </xf>
    <xf numFmtId="165" fontId="23" fillId="6" borderId="9" xfId="0" applyNumberFormat="1" applyFont="1" applyFill="1" applyBorder="1" applyAlignment="1">
      <alignment horizontal="left" vertical="center" wrapText="1"/>
    </xf>
    <xf numFmtId="165" fontId="23" fillId="6" borderId="7" xfId="0" applyNumberFormat="1" applyFont="1" applyFill="1" applyBorder="1" applyAlignment="1">
      <alignment horizontal="left" vertical="center" wrapText="1"/>
    </xf>
    <xf numFmtId="165" fontId="45" fillId="3" borderId="0" xfId="0" applyNumberFormat="1" applyFont="1" applyFill="1" applyBorder="1" applyAlignment="1">
      <alignment horizontal="left" vertical="center" wrapText="1"/>
    </xf>
    <xf numFmtId="165" fontId="45" fillId="3" borderId="5" xfId="0" applyNumberFormat="1" applyFont="1" applyFill="1" applyBorder="1" applyAlignment="1">
      <alignment horizontal="left" vertical="center" wrapText="1"/>
    </xf>
    <xf numFmtId="165" fontId="23" fillId="3" borderId="24" xfId="0" applyNumberFormat="1" applyFont="1" applyFill="1" applyBorder="1" applyAlignment="1">
      <alignment horizontal="left" vertical="center" wrapText="1"/>
    </xf>
    <xf numFmtId="165" fontId="45" fillId="3" borderId="8" xfId="0" applyNumberFormat="1" applyFont="1" applyFill="1" applyBorder="1" applyAlignment="1">
      <alignment horizontal="left" vertical="center" wrapText="1"/>
    </xf>
    <xf numFmtId="165" fontId="45" fillId="3" borderId="45" xfId="0" applyNumberFormat="1" applyFont="1" applyFill="1" applyBorder="1" applyAlignment="1">
      <alignment horizontal="left" vertical="center" wrapText="1"/>
    </xf>
    <xf numFmtId="165" fontId="45" fillId="3" borderId="3" xfId="0" applyNumberFormat="1" applyFont="1" applyFill="1" applyBorder="1" applyAlignment="1">
      <alignment horizontal="left" vertical="center" wrapText="1"/>
    </xf>
    <xf numFmtId="165" fontId="45" fillId="0" borderId="40" xfId="0" applyNumberFormat="1" applyFont="1" applyBorder="1" applyAlignment="1">
      <alignment horizontal="center" vertical="center" wrapText="1"/>
    </xf>
    <xf numFmtId="8" fontId="16" fillId="0" borderId="23" xfId="0" applyNumberFormat="1" applyFont="1" applyBorder="1" applyAlignment="1">
      <alignment horizontal="left" vertical="center"/>
    </xf>
    <xf numFmtId="165" fontId="21" fillId="0" borderId="24" xfId="0" applyNumberFormat="1" applyFont="1" applyBorder="1" applyAlignment="1">
      <alignment horizontal="center" vertical="center" wrapText="1"/>
    </xf>
    <xf numFmtId="165" fontId="21" fillId="0" borderId="45" xfId="0" applyNumberFormat="1" applyFont="1" applyBorder="1" applyAlignment="1">
      <alignment horizontal="center" vertical="center" wrapText="1"/>
    </xf>
    <xf numFmtId="165" fontId="23" fillId="3" borderId="42" xfId="0" applyNumberFormat="1" applyFont="1" applyFill="1" applyBorder="1" applyAlignment="1">
      <alignment horizontal="left" vertical="center" wrapText="1"/>
    </xf>
    <xf numFmtId="0" fontId="61" fillId="15" borderId="0" xfId="0" applyFont="1" applyFill="1" applyAlignment="1">
      <alignment horizontal="center"/>
    </xf>
    <xf numFmtId="0" fontId="45" fillId="6" borderId="25" xfId="0" applyFont="1" applyFill="1" applyBorder="1" applyAlignment="1">
      <alignment horizontal="left" vertical="center" wrapText="1"/>
    </xf>
    <xf numFmtId="0" fontId="45" fillId="6" borderId="26" xfId="0" applyFont="1" applyFill="1" applyBorder="1" applyAlignment="1">
      <alignment horizontal="left" vertical="center" wrapText="1"/>
    </xf>
    <xf numFmtId="0" fontId="45" fillId="6" borderId="34" xfId="0" applyFont="1" applyFill="1" applyBorder="1" applyAlignment="1">
      <alignment horizontal="left" vertical="center" wrapText="1"/>
    </xf>
    <xf numFmtId="165" fontId="19" fillId="6" borderId="34" xfId="2" applyNumberFormat="1" applyFont="1" applyFill="1" applyBorder="1" applyAlignment="1">
      <alignment horizontal="left" vertical="center" wrapText="1"/>
    </xf>
    <xf numFmtId="165" fontId="19" fillId="6" borderId="37" xfId="2" applyNumberFormat="1" applyFont="1" applyFill="1" applyBorder="1" applyAlignment="1">
      <alignment horizontal="left" vertical="center" wrapText="1"/>
    </xf>
    <xf numFmtId="165" fontId="19" fillId="6" borderId="0" xfId="2" applyNumberFormat="1" applyFont="1" applyFill="1" applyBorder="1" applyAlignment="1">
      <alignment horizontal="left" vertical="center" wrapText="1"/>
    </xf>
    <xf numFmtId="165" fontId="19" fillId="6" borderId="5" xfId="2" applyNumberFormat="1" applyFont="1" applyFill="1" applyBorder="1" applyAlignment="1">
      <alignment horizontal="left" vertical="center" wrapText="1"/>
    </xf>
    <xf numFmtId="0" fontId="7" fillId="6" borderId="0" xfId="0" applyFont="1" applyFill="1" applyBorder="1" applyAlignment="1">
      <alignment horizontal="center" vertical="center"/>
    </xf>
    <xf numFmtId="0" fontId="7" fillId="8" borderId="0" xfId="0" applyFont="1" applyFill="1" applyBorder="1" applyAlignment="1">
      <alignment horizontal="center" vertical="center"/>
    </xf>
    <xf numFmtId="0" fontId="7" fillId="4" borderId="0" xfId="0" applyFont="1" applyFill="1" applyBorder="1" applyAlignment="1">
      <alignment horizontal="center" vertical="center"/>
    </xf>
    <xf numFmtId="0" fontId="14" fillId="3" borderId="23" xfId="0" applyFont="1" applyFill="1" applyBorder="1" applyAlignment="1">
      <alignment horizontal="left" vertical="center"/>
    </xf>
    <xf numFmtId="0" fontId="14" fillId="3" borderId="24" xfId="0" applyFont="1" applyFill="1" applyBorder="1" applyAlignment="1">
      <alignment horizontal="left" vertical="center"/>
    </xf>
    <xf numFmtId="0" fontId="7" fillId="4" borderId="11" xfId="0" applyFont="1" applyFill="1" applyBorder="1" applyAlignment="1">
      <alignment horizontal="center"/>
    </xf>
    <xf numFmtId="0" fontId="7" fillId="4" borderId="35" xfId="0" applyFont="1" applyFill="1" applyBorder="1" applyAlignment="1">
      <alignment horizontal="center"/>
    </xf>
    <xf numFmtId="0" fontId="7" fillId="4" borderId="10" xfId="0" applyFont="1" applyFill="1" applyBorder="1" applyAlignment="1">
      <alignment horizontal="center"/>
    </xf>
    <xf numFmtId="6" fontId="25" fillId="14" borderId="20" xfId="0" applyNumberFormat="1" applyFont="1" applyFill="1" applyBorder="1" applyAlignment="1">
      <alignment horizontal="left"/>
    </xf>
    <xf numFmtId="6" fontId="25" fillId="14" borderId="18" xfId="0" applyNumberFormat="1" applyFont="1" applyFill="1" applyBorder="1" applyAlignment="1">
      <alignment horizontal="left"/>
    </xf>
    <xf numFmtId="14" fontId="41" fillId="3" borderId="0" xfId="0" applyNumberFormat="1" applyFont="1" applyFill="1" applyBorder="1" applyAlignment="1">
      <alignment horizontal="left"/>
    </xf>
    <xf numFmtId="14" fontId="41" fillId="3" borderId="5" xfId="0" applyNumberFormat="1" applyFont="1" applyFill="1" applyBorder="1" applyAlignment="1">
      <alignment horizontal="left"/>
    </xf>
    <xf numFmtId="0" fontId="2" fillId="0" borderId="25" xfId="0" applyFont="1" applyBorder="1" applyAlignment="1">
      <alignment horizontal="left"/>
    </xf>
    <xf numFmtId="0" fontId="2" fillId="0" borderId="34" xfId="0" applyFont="1" applyBorder="1" applyAlignment="1">
      <alignment horizontal="left"/>
    </xf>
    <xf numFmtId="0" fontId="2" fillId="0" borderId="26" xfId="0" applyFont="1" applyBorder="1" applyAlignment="1">
      <alignment horizontal="left"/>
    </xf>
    <xf numFmtId="0" fontId="18" fillId="0" borderId="23" xfId="0" applyFont="1" applyBorder="1" applyAlignment="1">
      <alignment horizontal="left"/>
    </xf>
    <xf numFmtId="0" fontId="18" fillId="0" borderId="0" xfId="0" applyFont="1" applyBorder="1" applyAlignment="1">
      <alignment horizontal="left"/>
    </xf>
    <xf numFmtId="0" fontId="18" fillId="0" borderId="24" xfId="0" applyFont="1" applyBorder="1" applyAlignment="1">
      <alignment horizontal="left"/>
    </xf>
    <xf numFmtId="0" fontId="14" fillId="0" borderId="21" xfId="0" applyFont="1" applyBorder="1" applyAlignment="1">
      <alignment horizontal="left" vertical="top" wrapText="1"/>
    </xf>
    <xf numFmtId="0" fontId="14" fillId="0" borderId="33"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0" xfId="0" applyFont="1" applyBorder="1" applyAlignment="1">
      <alignment horizontal="left" vertical="top" wrapText="1"/>
    </xf>
    <xf numFmtId="0" fontId="14" fillId="0" borderId="24" xfId="0" applyFont="1" applyBorder="1" applyAlignment="1">
      <alignment horizontal="left" vertical="top" wrapText="1"/>
    </xf>
    <xf numFmtId="14" fontId="14" fillId="3" borderId="9" xfId="0" applyNumberFormat="1" applyFont="1" applyFill="1" applyBorder="1" applyAlignment="1">
      <alignment horizontal="left"/>
    </xf>
    <xf numFmtId="14" fontId="14" fillId="3" borderId="7" xfId="0" applyNumberFormat="1" applyFont="1" applyFill="1" applyBorder="1" applyAlignment="1">
      <alignment horizontal="left"/>
    </xf>
    <xf numFmtId="14" fontId="41" fillId="3" borderId="8" xfId="0" applyNumberFormat="1" applyFont="1" applyFill="1" applyBorder="1" applyAlignment="1">
      <alignment horizontal="left"/>
    </xf>
    <xf numFmtId="14" fontId="41" fillId="3" borderId="3" xfId="0" applyNumberFormat="1" applyFont="1" applyFill="1" applyBorder="1" applyAlignment="1">
      <alignment horizontal="left"/>
    </xf>
    <xf numFmtId="0" fontId="16" fillId="6" borderId="4"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7" xfId="0" applyFont="1" applyFill="1" applyBorder="1" applyAlignment="1">
      <alignment horizontal="center" vertical="center" wrapText="1"/>
    </xf>
    <xf numFmtId="10" fontId="19" fillId="6" borderId="0" xfId="2" applyNumberFormat="1" applyFont="1" applyFill="1" applyBorder="1" applyAlignment="1">
      <alignment horizontal="center" wrapText="1"/>
    </xf>
    <xf numFmtId="10" fontId="19" fillId="6" borderId="5" xfId="2" applyNumberFormat="1" applyFont="1" applyFill="1" applyBorder="1" applyAlignment="1">
      <alignment horizontal="center" wrapText="1"/>
    </xf>
    <xf numFmtId="0" fontId="19" fillId="3" borderId="0" xfId="0" applyFont="1" applyFill="1" applyBorder="1" applyAlignment="1">
      <alignment horizontal="left"/>
    </xf>
    <xf numFmtId="0" fontId="19" fillId="3" borderId="5" xfId="0" applyFont="1" applyFill="1" applyBorder="1" applyAlignment="1">
      <alignment horizontal="left"/>
    </xf>
    <xf numFmtId="0" fontId="16" fillId="3" borderId="0" xfId="0" applyFont="1" applyFill="1" applyBorder="1" applyAlignment="1">
      <alignment horizontal="left"/>
    </xf>
    <xf numFmtId="0" fontId="16" fillId="3" borderId="5" xfId="0" applyFont="1" applyFill="1" applyBorder="1" applyAlignment="1">
      <alignment horizontal="left"/>
    </xf>
    <xf numFmtId="164" fontId="23" fillId="6" borderId="0" xfId="2" applyNumberFormat="1" applyFont="1" applyFill="1" applyBorder="1" applyAlignment="1">
      <alignment horizontal="left" vertical="center"/>
    </xf>
    <xf numFmtId="164" fontId="23" fillId="6" borderId="5" xfId="2" applyNumberFormat="1" applyFont="1" applyFill="1" applyBorder="1" applyAlignment="1">
      <alignment horizontal="left" vertical="center"/>
    </xf>
    <xf numFmtId="0" fontId="18" fillId="6" borderId="5" xfId="0" applyFont="1" applyFill="1" applyBorder="1" applyAlignment="1">
      <alignment horizontal="left" vertical="center" wrapText="1"/>
    </xf>
    <xf numFmtId="0" fontId="70" fillId="3" borderId="23" xfId="0" applyFont="1" applyFill="1" applyBorder="1" applyAlignment="1">
      <alignment horizontal="left" vertical="center" wrapText="1"/>
    </xf>
    <xf numFmtId="0" fontId="70" fillId="3" borderId="0" xfId="0" applyFont="1" applyFill="1" applyBorder="1" applyAlignment="1">
      <alignment horizontal="left" vertical="center" wrapText="1"/>
    </xf>
    <xf numFmtId="0" fontId="70" fillId="3" borderId="24" xfId="0" applyFont="1" applyFill="1" applyBorder="1" applyAlignment="1">
      <alignment horizontal="left" vertical="center" wrapText="1"/>
    </xf>
    <xf numFmtId="0" fontId="70" fillId="3" borderId="25" xfId="0" applyFont="1" applyFill="1" applyBorder="1" applyAlignment="1">
      <alignment horizontal="left" vertical="center" wrapText="1"/>
    </xf>
    <xf numFmtId="0" fontId="70" fillId="3" borderId="34" xfId="0" applyFont="1" applyFill="1" applyBorder="1" applyAlignment="1">
      <alignment horizontal="left" vertical="center" wrapText="1"/>
    </xf>
    <xf numFmtId="0" fontId="70" fillId="3" borderId="26" xfId="0" applyFont="1" applyFill="1" applyBorder="1" applyAlignment="1">
      <alignment horizontal="left" vertical="center" wrapText="1"/>
    </xf>
    <xf numFmtId="0" fontId="18" fillId="3" borderId="25" xfId="0" applyFont="1" applyFill="1" applyBorder="1" applyAlignment="1">
      <alignment horizontal="left" vertical="center"/>
    </xf>
    <xf numFmtId="0" fontId="18" fillId="3" borderId="34" xfId="0" applyFont="1" applyFill="1" applyBorder="1" applyAlignment="1">
      <alignment horizontal="left" vertical="center"/>
    </xf>
    <xf numFmtId="0" fontId="18" fillId="3" borderId="26" xfId="0" applyFont="1" applyFill="1" applyBorder="1" applyAlignment="1">
      <alignment horizontal="left" vertical="center"/>
    </xf>
    <xf numFmtId="0" fontId="0" fillId="0" borderId="33" xfId="0" applyBorder="1" applyAlignment="1">
      <alignment horizontal="left" vertical="center"/>
    </xf>
    <xf numFmtId="6" fontId="25" fillId="14" borderId="20" xfId="0" applyNumberFormat="1" applyFont="1" applyFill="1" applyBorder="1" applyAlignment="1">
      <alignment horizontal="left" vertical="center"/>
    </xf>
    <xf numFmtId="6" fontId="25" fillId="14" borderId="18" xfId="0" applyNumberFormat="1" applyFont="1" applyFill="1" applyBorder="1" applyAlignment="1">
      <alignment horizontal="left" vertical="center"/>
    </xf>
    <xf numFmtId="0" fontId="45" fillId="6" borderId="21" xfId="0" applyFont="1" applyFill="1" applyBorder="1" applyAlignment="1">
      <alignment horizontal="left" vertical="top" wrapText="1"/>
    </xf>
    <xf numFmtId="0" fontId="45" fillId="6" borderId="22" xfId="0" applyFont="1" applyFill="1" applyBorder="1" applyAlignment="1">
      <alignment horizontal="left" vertical="top" wrapText="1"/>
    </xf>
    <xf numFmtId="0" fontId="45" fillId="6" borderId="23" xfId="0" applyFont="1" applyFill="1" applyBorder="1" applyAlignment="1">
      <alignment horizontal="left" vertical="top" wrapText="1"/>
    </xf>
    <xf numFmtId="0" fontId="45" fillId="6" borderId="24" xfId="0" applyFont="1" applyFill="1" applyBorder="1" applyAlignment="1">
      <alignment horizontal="left" vertical="top" wrapText="1"/>
    </xf>
    <xf numFmtId="0" fontId="7" fillId="16" borderId="11" xfId="0" applyFont="1" applyFill="1" applyBorder="1" applyAlignment="1">
      <alignment horizontal="center"/>
    </xf>
    <xf numFmtId="0" fontId="7" fillId="16" borderId="10" xfId="0" applyFont="1" applyFill="1" applyBorder="1" applyAlignment="1">
      <alignment horizontal="center"/>
    </xf>
    <xf numFmtId="0" fontId="61" fillId="21" borderId="11" xfId="0" applyFont="1" applyFill="1" applyBorder="1" applyAlignment="1">
      <alignment horizontal="center"/>
    </xf>
    <xf numFmtId="0" fontId="61" fillId="21" borderId="10" xfId="0" applyFont="1" applyFill="1" applyBorder="1" applyAlignment="1">
      <alignment horizontal="center"/>
    </xf>
    <xf numFmtId="0" fontId="7" fillId="9" borderId="11" xfId="0" applyFont="1" applyFill="1" applyBorder="1" applyAlignment="1">
      <alignment horizontal="center"/>
    </xf>
    <xf numFmtId="0" fontId="7" fillId="9" borderId="10" xfId="0" applyFont="1" applyFill="1" applyBorder="1" applyAlignment="1">
      <alignment horizontal="center"/>
    </xf>
    <xf numFmtId="0" fontId="11" fillId="6" borderId="0" xfId="0" applyFont="1" applyFill="1" applyBorder="1" applyAlignment="1">
      <alignment horizontal="left" vertical="center"/>
    </xf>
    <xf numFmtId="0" fontId="11" fillId="6" borderId="5" xfId="0" applyFont="1" applyFill="1" applyBorder="1" applyAlignment="1">
      <alignment horizontal="left" vertical="center"/>
    </xf>
    <xf numFmtId="0" fontId="68" fillId="17" borderId="11" xfId="0" applyFont="1" applyFill="1" applyBorder="1" applyAlignment="1">
      <alignment horizontal="center"/>
    </xf>
    <xf numFmtId="0" fontId="68" fillId="17" borderId="10" xfId="0" applyFont="1" applyFill="1" applyBorder="1" applyAlignment="1">
      <alignment horizontal="center"/>
    </xf>
    <xf numFmtId="0" fontId="7" fillId="12" borderId="11" xfId="0" applyFont="1" applyFill="1" applyBorder="1" applyAlignment="1">
      <alignment horizontal="center"/>
    </xf>
    <xf numFmtId="0" fontId="7" fillId="12" borderId="10" xfId="0" applyFont="1" applyFill="1" applyBorder="1" applyAlignment="1">
      <alignment horizontal="center"/>
    </xf>
    <xf numFmtId="0" fontId="7" fillId="8" borderId="11" xfId="0" applyFont="1" applyFill="1" applyBorder="1" applyAlignment="1">
      <alignment horizontal="center"/>
    </xf>
    <xf numFmtId="0" fontId="7" fillId="8" borderId="10" xfId="0" applyFont="1" applyFill="1" applyBorder="1" applyAlignment="1">
      <alignment horizontal="center"/>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17" fillId="6" borderId="25" xfId="0" applyFont="1" applyFill="1" applyBorder="1" applyAlignment="1">
      <alignment horizontal="left" vertical="center" wrapText="1"/>
    </xf>
    <xf numFmtId="0" fontId="17" fillId="6" borderId="26" xfId="0" applyFont="1" applyFill="1" applyBorder="1" applyAlignment="1">
      <alignment horizontal="left" vertical="center" wrapText="1"/>
    </xf>
    <xf numFmtId="0" fontId="7" fillId="11" borderId="11" xfId="0" applyFont="1" applyFill="1" applyBorder="1" applyAlignment="1">
      <alignment horizontal="center"/>
    </xf>
    <xf numFmtId="0" fontId="7" fillId="11" borderId="10" xfId="0" applyFont="1" applyFill="1" applyBorder="1" applyAlignment="1">
      <alignment horizontal="center"/>
    </xf>
    <xf numFmtId="0" fontId="43" fillId="20" borderId="11" xfId="0" applyFont="1" applyFill="1" applyBorder="1" applyAlignment="1">
      <alignment horizontal="center" vertical="center"/>
    </xf>
    <xf numFmtId="0" fontId="43" fillId="20" borderId="10" xfId="0" applyFont="1" applyFill="1" applyBorder="1" applyAlignment="1">
      <alignment horizontal="center" vertical="center"/>
    </xf>
    <xf numFmtId="0" fontId="13" fillId="6" borderId="21" xfId="0" applyFont="1" applyFill="1" applyBorder="1" applyAlignment="1">
      <alignment horizontal="left"/>
    </xf>
    <xf numFmtId="0" fontId="13" fillId="6" borderId="22" xfId="0" applyFont="1" applyFill="1" applyBorder="1" applyAlignment="1">
      <alignment horizontal="left"/>
    </xf>
    <xf numFmtId="0" fontId="7" fillId="6" borderId="11" xfId="0" applyFont="1" applyFill="1" applyBorder="1" applyAlignment="1">
      <alignment horizontal="center" vertical="center"/>
    </xf>
    <xf numFmtId="0" fontId="7" fillId="6" borderId="10" xfId="0" applyFont="1" applyFill="1" applyBorder="1" applyAlignment="1">
      <alignment horizontal="center" vertical="center"/>
    </xf>
    <xf numFmtId="0" fontId="61" fillId="18" borderId="11" xfId="0" applyFont="1" applyFill="1" applyBorder="1" applyAlignment="1">
      <alignment horizontal="center" vertical="center"/>
    </xf>
    <xf numFmtId="0" fontId="61" fillId="18" borderId="10"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10" xfId="0" applyFont="1" applyFill="1" applyBorder="1" applyAlignment="1">
      <alignment horizontal="center" vertical="center"/>
    </xf>
    <xf numFmtId="0" fontId="45" fillId="6" borderId="21" xfId="0" applyFont="1" applyFill="1" applyBorder="1" applyAlignment="1">
      <alignment horizontal="left" vertical="center"/>
    </xf>
    <xf numFmtId="0" fontId="45" fillId="6" borderId="22" xfId="0" applyFont="1" applyFill="1" applyBorder="1" applyAlignment="1">
      <alignment horizontal="left" vertical="center"/>
    </xf>
    <xf numFmtId="8" fontId="45" fillId="0" borderId="9" xfId="0" applyNumberFormat="1" applyFont="1" applyBorder="1" applyAlignment="1">
      <alignment horizontal="left" vertical="center"/>
    </xf>
    <xf numFmtId="0" fontId="45" fillId="0" borderId="7" xfId="0" applyFont="1" applyBorder="1" applyAlignment="1">
      <alignment horizontal="left" vertical="center"/>
    </xf>
    <xf numFmtId="0" fontId="18" fillId="0" borderId="3" xfId="0" applyFont="1" applyBorder="1" applyAlignment="1">
      <alignment horizontal="left" vertical="center"/>
    </xf>
    <xf numFmtId="0" fontId="7" fillId="5" borderId="0" xfId="0" applyFont="1" applyFill="1" applyBorder="1" applyAlignment="1">
      <alignment horizontal="center" vertical="center"/>
    </xf>
    <xf numFmtId="0" fontId="83" fillId="6" borderId="21" xfId="0" applyFont="1" applyFill="1" applyBorder="1" applyAlignment="1">
      <alignment horizontal="left" wrapText="1"/>
    </xf>
    <xf numFmtId="0" fontId="83" fillId="6" borderId="33" xfId="0" applyFont="1" applyFill="1" applyBorder="1" applyAlignment="1">
      <alignment horizontal="left" wrapText="1"/>
    </xf>
    <xf numFmtId="0" fontId="83" fillId="6" borderId="22" xfId="0" applyFont="1" applyFill="1" applyBorder="1" applyAlignment="1">
      <alignment horizontal="left" wrapText="1"/>
    </xf>
    <xf numFmtId="0" fontId="83" fillId="6" borderId="23" xfId="0" applyFont="1" applyFill="1" applyBorder="1" applyAlignment="1">
      <alignment horizontal="left" wrapText="1"/>
    </xf>
    <xf numFmtId="0" fontId="83" fillId="6" borderId="0" xfId="0" applyFont="1" applyFill="1" applyBorder="1" applyAlignment="1">
      <alignment horizontal="left" wrapText="1"/>
    </xf>
    <xf numFmtId="0" fontId="83" fillId="6" borderId="24" xfId="0" applyFont="1" applyFill="1" applyBorder="1" applyAlignment="1">
      <alignment horizontal="left" wrapText="1"/>
    </xf>
    <xf numFmtId="8" fontId="19" fillId="3" borderId="9" xfId="0" applyNumberFormat="1" applyFont="1" applyFill="1" applyBorder="1" applyAlignment="1">
      <alignment horizontal="left" vertical="center"/>
    </xf>
    <xf numFmtId="8" fontId="19" fillId="3" borderId="7" xfId="0" applyNumberFormat="1" applyFont="1" applyFill="1" applyBorder="1" applyAlignment="1">
      <alignment horizontal="left" vertical="center"/>
    </xf>
    <xf numFmtId="10" fontId="19" fillId="6" borderId="0" xfId="2" applyNumberFormat="1" applyFont="1" applyFill="1" applyBorder="1" applyAlignment="1">
      <alignment horizontal="left" vertical="center"/>
    </xf>
    <xf numFmtId="10" fontId="19" fillId="6" borderId="5" xfId="2" applyNumberFormat="1" applyFont="1" applyFill="1" applyBorder="1" applyAlignment="1">
      <alignment horizontal="left" vertical="center"/>
    </xf>
    <xf numFmtId="8" fontId="16" fillId="6" borderId="8" xfId="0" applyNumberFormat="1" applyFont="1" applyFill="1" applyBorder="1" applyAlignment="1">
      <alignment horizontal="left" vertical="center"/>
    </xf>
    <xf numFmtId="8" fontId="16" fillId="6" borderId="3" xfId="0" applyNumberFormat="1" applyFont="1" applyFill="1" applyBorder="1" applyAlignment="1">
      <alignment horizontal="left" vertical="center"/>
    </xf>
    <xf numFmtId="0" fontId="45" fillId="3" borderId="0" xfId="0" applyFont="1" applyFill="1" applyBorder="1" applyAlignment="1">
      <alignment horizontal="left" vertical="top" wrapText="1"/>
    </xf>
    <xf numFmtId="0" fontId="61" fillId="15" borderId="11" xfId="0" applyFont="1" applyFill="1" applyBorder="1" applyAlignment="1">
      <alignment horizontal="center"/>
    </xf>
    <xf numFmtId="0" fontId="61" fillId="15" borderId="10" xfId="0" applyFont="1" applyFill="1" applyBorder="1" applyAlignment="1">
      <alignment horizontal="center"/>
    </xf>
    <xf numFmtId="165" fontId="18" fillId="6" borderId="8" xfId="0" applyNumberFormat="1" applyFont="1" applyFill="1" applyBorder="1" applyAlignment="1">
      <alignment horizontal="left" vertical="center"/>
    </xf>
    <xf numFmtId="165" fontId="18" fillId="6" borderId="3" xfId="0" applyNumberFormat="1" applyFont="1" applyFill="1" applyBorder="1" applyAlignment="1">
      <alignment horizontal="left" vertical="center"/>
    </xf>
    <xf numFmtId="165" fontId="17" fillId="0" borderId="0" xfId="0" applyNumberFormat="1" applyFont="1" applyBorder="1" applyAlignment="1">
      <alignment horizontal="left" vertical="center"/>
    </xf>
    <xf numFmtId="165" fontId="17" fillId="0" borderId="5" xfId="0" applyNumberFormat="1" applyFont="1" applyBorder="1" applyAlignment="1">
      <alignment horizontal="left" vertical="center"/>
    </xf>
    <xf numFmtId="0" fontId="43" fillId="14" borderId="0" xfId="0" applyFont="1" applyFill="1" applyBorder="1" applyAlignment="1">
      <alignment horizontal="center" vertical="center"/>
    </xf>
    <xf numFmtId="14" fontId="66" fillId="3" borderId="0" xfId="0" applyNumberFormat="1" applyFont="1" applyFill="1" applyBorder="1" applyAlignment="1">
      <alignment horizontal="left" vertical="center"/>
    </xf>
    <xf numFmtId="14" fontId="66" fillId="3" borderId="5" xfId="0" applyNumberFormat="1" applyFont="1" applyFill="1" applyBorder="1" applyAlignment="1">
      <alignment horizontal="left" vertical="center"/>
    </xf>
    <xf numFmtId="0" fontId="17" fillId="6" borderId="21" xfId="0" applyFont="1" applyFill="1" applyBorder="1" applyAlignment="1">
      <alignment horizontal="left" vertical="center" wrapText="1"/>
    </xf>
    <xf numFmtId="0" fontId="17" fillId="6" borderId="33" xfId="0" applyFont="1" applyFill="1" applyBorder="1" applyAlignment="1">
      <alignment horizontal="left" vertical="center" wrapText="1"/>
    </xf>
    <xf numFmtId="0" fontId="17" fillId="6" borderId="22" xfId="0" applyFont="1" applyFill="1" applyBorder="1" applyAlignment="1">
      <alignment horizontal="left" vertical="center" wrapText="1"/>
    </xf>
    <xf numFmtId="0" fontId="17" fillId="6" borderId="23"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7" fillId="6" borderId="24" xfId="0" applyFont="1" applyFill="1" applyBorder="1" applyAlignment="1">
      <alignment horizontal="left" vertical="center" wrapText="1"/>
    </xf>
    <xf numFmtId="0" fontId="17" fillId="6" borderId="34" xfId="0" applyFont="1" applyFill="1" applyBorder="1" applyAlignment="1">
      <alignment horizontal="left" vertical="center" wrapText="1"/>
    </xf>
    <xf numFmtId="165" fontId="17" fillId="3" borderId="9" xfId="1" applyNumberFormat="1" applyFont="1" applyFill="1" applyBorder="1" applyAlignment="1">
      <alignment horizontal="left" vertical="top"/>
    </xf>
    <xf numFmtId="165" fontId="17" fillId="3" borderId="7" xfId="1" applyNumberFormat="1" applyFont="1" applyFill="1" applyBorder="1" applyAlignment="1">
      <alignment horizontal="left" vertical="top"/>
    </xf>
    <xf numFmtId="10" fontId="19" fillId="6" borderId="0" xfId="0" applyNumberFormat="1" applyFont="1" applyFill="1" applyBorder="1" applyAlignment="1">
      <alignment horizontal="left"/>
    </xf>
    <xf numFmtId="10" fontId="19" fillId="6" borderId="5" xfId="0" applyNumberFormat="1" applyFont="1" applyFill="1" applyBorder="1" applyAlignment="1">
      <alignment horizontal="left"/>
    </xf>
    <xf numFmtId="0" fontId="43" fillId="12" borderId="11" xfId="0" applyFont="1" applyFill="1" applyBorder="1" applyAlignment="1">
      <alignment horizontal="center"/>
    </xf>
    <xf numFmtId="0" fontId="43" fillId="12" borderId="35" xfId="0" applyFont="1" applyFill="1" applyBorder="1" applyAlignment="1">
      <alignment horizontal="center"/>
    </xf>
    <xf numFmtId="0" fontId="43" fillId="12" borderId="10" xfId="0" applyFont="1" applyFill="1" applyBorder="1" applyAlignment="1">
      <alignment horizontal="center"/>
    </xf>
    <xf numFmtId="14" fontId="14" fillId="3" borderId="0" xfId="0" applyNumberFormat="1" applyFont="1" applyFill="1" applyBorder="1" applyAlignment="1">
      <alignment horizontal="left"/>
    </xf>
    <xf numFmtId="14" fontId="14" fillId="3" borderId="5" xfId="0" applyNumberFormat="1" applyFont="1" applyFill="1" applyBorder="1" applyAlignment="1">
      <alignment horizontal="left"/>
    </xf>
    <xf numFmtId="165" fontId="17" fillId="3" borderId="8" xfId="1" applyNumberFormat="1" applyFont="1" applyFill="1" applyBorder="1" applyAlignment="1">
      <alignment horizontal="left" vertical="top"/>
    </xf>
    <xf numFmtId="165" fontId="17" fillId="3" borderId="3" xfId="1" applyNumberFormat="1" applyFont="1" applyFill="1" applyBorder="1" applyAlignment="1">
      <alignment horizontal="left" vertical="top"/>
    </xf>
    <xf numFmtId="0" fontId="18" fillId="0"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7" fillId="11" borderId="11" xfId="0" applyFont="1" applyFill="1" applyBorder="1" applyAlignment="1">
      <alignment horizontal="center" vertical="center"/>
    </xf>
    <xf numFmtId="0" fontId="7" fillId="11" borderId="35" xfId="0" applyFont="1" applyFill="1" applyBorder="1" applyAlignment="1">
      <alignment horizontal="center" vertical="center"/>
    </xf>
    <xf numFmtId="0" fontId="7" fillId="11" borderId="10" xfId="0" applyFont="1" applyFill="1" applyBorder="1" applyAlignment="1">
      <alignment horizontal="center" vertical="center"/>
    </xf>
    <xf numFmtId="0" fontId="43" fillId="12" borderId="11" xfId="0" applyFont="1" applyFill="1" applyBorder="1" applyAlignment="1">
      <alignment horizontal="center" vertical="center"/>
    </xf>
    <xf numFmtId="0" fontId="43" fillId="12" borderId="10" xfId="0" applyFont="1" applyFill="1" applyBorder="1" applyAlignment="1">
      <alignment horizontal="center" vertical="center"/>
    </xf>
    <xf numFmtId="0" fontId="35" fillId="3" borderId="9" xfId="0" applyFont="1" applyFill="1" applyBorder="1" applyAlignment="1">
      <alignment horizontal="left" wrapText="1"/>
    </xf>
  </cellXfs>
  <cellStyles count="3">
    <cellStyle name="Currency" xfId="1" builtinId="4"/>
    <cellStyle name="Normal" xfId="0" builtinId="0"/>
    <cellStyle name="Percent" xfId="2" builtinId="5"/>
  </cellStyles>
  <dxfs count="49">
    <dxf>
      <font>
        <color rgb="FF9C0006"/>
      </font>
    </dxf>
    <dxf>
      <font>
        <strike/>
        <color theme="0" tint="-0.14996795556505021"/>
      </font>
    </dxf>
    <dxf>
      <font>
        <b/>
        <i val="0"/>
        <color rgb="FF537B83"/>
      </font>
    </dxf>
    <dxf>
      <font>
        <b/>
        <i val="0"/>
        <strike val="0"/>
        <color rgb="FF537B83"/>
      </font>
    </dxf>
    <dxf>
      <font>
        <strike/>
        <color theme="0" tint="-0.14996795556505021"/>
      </font>
    </dxf>
    <dxf>
      <font>
        <b/>
        <i val="0"/>
        <strike val="0"/>
      </font>
      <fill>
        <patternFill>
          <bgColor rgb="FFC00000"/>
        </patternFill>
      </fill>
    </dxf>
    <dxf>
      <font>
        <color rgb="FF9C0006"/>
      </font>
    </dxf>
    <dxf>
      <font>
        <color rgb="FF9C0006"/>
      </font>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537B83"/>
      <color rgb="FFDCE6E8"/>
      <color rgb="FFFFEAAF"/>
      <color rgb="FFFFF9E7"/>
      <color rgb="FF8CAFB6"/>
      <color rgb="FFFFFEFB"/>
      <color rgb="FFC2D4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28634-0A48-44DC-BC33-DDDB67560D3F}">
  <dimension ref="B2:G33"/>
  <sheetViews>
    <sheetView showGridLines="0" zoomScale="80" zoomScaleNormal="80" workbookViewId="0">
      <selection activeCell="I14" sqref="I14"/>
    </sheetView>
  </sheetViews>
  <sheetFormatPr baseColWidth="10" defaultColWidth="9.1640625" defaultRowHeight="16" x14ac:dyDescent="0.2"/>
  <cols>
    <col min="1" max="1" width="3.1640625" style="535" customWidth="1"/>
    <col min="2" max="2" width="34.6640625" style="535" customWidth="1"/>
    <col min="3" max="3" width="20.33203125" style="536" customWidth="1"/>
    <col min="4" max="4" width="11.33203125" style="535" customWidth="1"/>
    <col min="5" max="5" width="34.6640625" style="535" customWidth="1"/>
    <col min="6" max="6" width="20.33203125" style="536" customWidth="1"/>
    <col min="7" max="16384" width="9.1640625" style="535"/>
  </cols>
  <sheetData>
    <row r="2" spans="2:6" ht="21" x14ac:dyDescent="0.2">
      <c r="B2" s="1497" t="s">
        <v>848</v>
      </c>
      <c r="C2" s="1497"/>
      <c r="D2" s="1497"/>
      <c r="E2" s="1497"/>
      <c r="F2" s="1497"/>
    </row>
    <row r="4" spans="2:6" ht="15.75" customHeight="1" x14ac:dyDescent="0.2">
      <c r="B4" s="1496" t="s">
        <v>804</v>
      </c>
      <c r="C4" s="1496"/>
      <c r="E4" s="1498" t="s">
        <v>805</v>
      </c>
      <c r="F4" s="1498"/>
    </row>
    <row r="5" spans="2:6" ht="15.75" customHeight="1" x14ac:dyDescent="0.2">
      <c r="B5" s="776" t="s">
        <v>181</v>
      </c>
      <c r="C5" s="530">
        <v>69000</v>
      </c>
      <c r="E5" s="776" t="s">
        <v>181</v>
      </c>
      <c r="F5" s="530">
        <v>69000</v>
      </c>
    </row>
    <row r="6" spans="2:6" ht="15.75" customHeight="1" x14ac:dyDescent="0.2">
      <c r="B6" s="776" t="s">
        <v>800</v>
      </c>
      <c r="C6" s="972">
        <v>6.5000000000000002E-2</v>
      </c>
      <c r="E6" s="776" t="s">
        <v>800</v>
      </c>
      <c r="F6" s="972">
        <v>6.5000000000000002E-2</v>
      </c>
    </row>
    <row r="7" spans="2:6" ht="15.75" customHeight="1" x14ac:dyDescent="0.2">
      <c r="B7" s="776" t="s">
        <v>799</v>
      </c>
      <c r="C7" s="522">
        <v>1</v>
      </c>
      <c r="E7" s="776" t="s">
        <v>799</v>
      </c>
      <c r="F7" s="522">
        <v>30</v>
      </c>
    </row>
    <row r="8" spans="2:6" ht="15.75" customHeight="1" x14ac:dyDescent="0.2">
      <c r="B8" s="776" t="s">
        <v>798</v>
      </c>
      <c r="C8" s="536">
        <v>12</v>
      </c>
      <c r="E8" s="776" t="s">
        <v>798</v>
      </c>
      <c r="F8" s="536">
        <v>12</v>
      </c>
    </row>
    <row r="9" spans="2:6" ht="15.75" customHeight="1" x14ac:dyDescent="0.2">
      <c r="B9" s="776" t="s">
        <v>801</v>
      </c>
      <c r="C9" s="536">
        <f>C7*C8</f>
        <v>12</v>
      </c>
      <c r="E9" s="776" t="s">
        <v>801</v>
      </c>
      <c r="F9" s="536">
        <f>F7*F8</f>
        <v>360</v>
      </c>
    </row>
    <row r="10" spans="2:6" ht="15.75" customHeight="1" x14ac:dyDescent="0.2">
      <c r="B10" s="776" t="s">
        <v>6</v>
      </c>
      <c r="C10" s="973">
        <f>C5*C6/12</f>
        <v>373.75</v>
      </c>
      <c r="E10" s="776" t="s">
        <v>806</v>
      </c>
      <c r="F10" s="973">
        <f>-PMT(F6/F8,F9,F5,0)</f>
        <v>436.126936210145</v>
      </c>
    </row>
    <row r="11" spans="2:6" x14ac:dyDescent="0.2">
      <c r="B11" s="776" t="s">
        <v>802</v>
      </c>
      <c r="C11" s="973">
        <f>C10*C9</f>
        <v>4485</v>
      </c>
      <c r="E11" s="776" t="s">
        <v>802</v>
      </c>
      <c r="F11" s="973">
        <f>F10*F9</f>
        <v>157005.69703565221</v>
      </c>
    </row>
    <row r="12" spans="2:6" x14ac:dyDescent="0.2">
      <c r="E12" s="776" t="s">
        <v>803</v>
      </c>
      <c r="F12" s="973">
        <f>F11-F5</f>
        <v>88005.697035652207</v>
      </c>
    </row>
    <row r="13" spans="2:6" x14ac:dyDescent="0.2">
      <c r="E13" s="729"/>
      <c r="F13" s="1188"/>
    </row>
    <row r="14" spans="2:6" ht="15.75" customHeight="1" x14ac:dyDescent="0.2">
      <c r="B14" s="1494" t="s">
        <v>850</v>
      </c>
      <c r="C14" s="1494"/>
      <c r="E14" s="729"/>
      <c r="F14" s="1306"/>
    </row>
    <row r="15" spans="2:6" ht="15.75" customHeight="1" x14ac:dyDescent="0.2">
      <c r="B15" s="776" t="s">
        <v>181</v>
      </c>
      <c r="C15" s="530">
        <v>69000</v>
      </c>
      <c r="E15" s="1495" t="s">
        <v>849</v>
      </c>
      <c r="F15" s="1495"/>
    </row>
    <row r="16" spans="2:6" ht="15.75" customHeight="1" x14ac:dyDescent="0.2">
      <c r="B16" s="776" t="s">
        <v>800</v>
      </c>
      <c r="C16" s="972">
        <v>6.5000000000000002E-2</v>
      </c>
      <c r="E16" s="776" t="s">
        <v>181</v>
      </c>
      <c r="F16" s="530">
        <v>69000</v>
      </c>
    </row>
    <row r="17" spans="2:7" ht="15.75" customHeight="1" x14ac:dyDescent="0.2">
      <c r="B17" s="776" t="s">
        <v>828</v>
      </c>
      <c r="C17" s="522">
        <v>12</v>
      </c>
      <c r="E17" s="776" t="s">
        <v>800</v>
      </c>
      <c r="F17" s="972">
        <v>6.5000000000000002E-2</v>
      </c>
    </row>
    <row r="18" spans="2:7" ht="15.75" customHeight="1" x14ac:dyDescent="0.2">
      <c r="B18" s="776" t="s">
        <v>6</v>
      </c>
      <c r="C18" s="973">
        <f>C15*C16/12</f>
        <v>373.75</v>
      </c>
      <c r="E18" s="776" t="s">
        <v>799</v>
      </c>
      <c r="F18" s="522">
        <v>30</v>
      </c>
    </row>
    <row r="19" spans="2:7" ht="15.75" customHeight="1" x14ac:dyDescent="0.2">
      <c r="B19" s="974" t="s">
        <v>802</v>
      </c>
      <c r="C19" s="975">
        <f>C18*C17</f>
        <v>4485</v>
      </c>
      <c r="E19" s="776" t="s">
        <v>798</v>
      </c>
      <c r="F19" s="536">
        <v>12</v>
      </c>
    </row>
    <row r="20" spans="2:7" ht="15.75" customHeight="1" x14ac:dyDescent="0.2">
      <c r="B20" s="776" t="s">
        <v>299</v>
      </c>
      <c r="C20" s="976">
        <v>0</v>
      </c>
      <c r="E20" s="776" t="s">
        <v>801</v>
      </c>
      <c r="F20" s="536">
        <f>F18*F19</f>
        <v>360</v>
      </c>
    </row>
    <row r="21" spans="2:7" x14ac:dyDescent="0.2">
      <c r="B21" s="776" t="s">
        <v>524</v>
      </c>
      <c r="C21" s="530">
        <v>100</v>
      </c>
      <c r="D21" s="570"/>
      <c r="E21" s="776" t="s">
        <v>806</v>
      </c>
      <c r="F21" s="973">
        <f>-PMT(F17/F19,F20,F16,0)</f>
        <v>436.126936210145</v>
      </c>
      <c r="G21" s="570"/>
    </row>
    <row r="22" spans="2:7" x14ac:dyDescent="0.2">
      <c r="B22" s="776" t="s">
        <v>525</v>
      </c>
      <c r="C22" s="530">
        <v>235</v>
      </c>
      <c r="D22" s="570"/>
      <c r="E22" s="776" t="s">
        <v>807</v>
      </c>
      <c r="F22" s="973">
        <f>F21+F27+F26</f>
        <v>771.126936210145</v>
      </c>
      <c r="G22" s="570"/>
    </row>
    <row r="23" spans="2:7" x14ac:dyDescent="0.2">
      <c r="B23" s="776" t="s">
        <v>825</v>
      </c>
      <c r="C23" s="977">
        <f>C18+C21+C22</f>
        <v>708.75</v>
      </c>
      <c r="D23" s="570"/>
      <c r="E23" s="776" t="s">
        <v>802</v>
      </c>
      <c r="F23" s="973">
        <f>F21*F20</f>
        <v>157005.69703565221</v>
      </c>
      <c r="G23" s="570"/>
    </row>
    <row r="24" spans="2:7" x14ac:dyDescent="0.2">
      <c r="B24" s="776" t="s">
        <v>826</v>
      </c>
      <c r="C24" s="978">
        <f>C20/C23</f>
        <v>0</v>
      </c>
      <c r="D24" s="570"/>
      <c r="E24" s="974" t="s">
        <v>803</v>
      </c>
      <c r="F24" s="975">
        <f>F23-F16</f>
        <v>88005.697035652207</v>
      </c>
      <c r="G24" s="570"/>
    </row>
    <row r="25" spans="2:7" x14ac:dyDescent="0.2">
      <c r="B25" s="776" t="s">
        <v>937</v>
      </c>
      <c r="C25" s="973">
        <f>C20-C23</f>
        <v>-708.75</v>
      </c>
      <c r="D25" s="570"/>
      <c r="E25" s="776" t="s">
        <v>299</v>
      </c>
      <c r="F25" s="976">
        <v>1400</v>
      </c>
      <c r="G25" s="570"/>
    </row>
    <row r="26" spans="2:7" x14ac:dyDescent="0.2">
      <c r="D26" s="570"/>
      <c r="E26" s="776" t="s">
        <v>524</v>
      </c>
      <c r="F26" s="530">
        <v>100</v>
      </c>
      <c r="G26" s="570"/>
    </row>
    <row r="27" spans="2:7" x14ac:dyDescent="0.2">
      <c r="D27" s="570"/>
      <c r="E27" s="776" t="s">
        <v>525</v>
      </c>
      <c r="F27" s="530">
        <v>235</v>
      </c>
      <c r="G27" s="570"/>
    </row>
    <row r="28" spans="2:7" x14ac:dyDescent="0.2">
      <c r="D28" s="570"/>
      <c r="E28" s="776" t="s">
        <v>807</v>
      </c>
      <c r="F28" s="977">
        <f>F21+F27+F26</f>
        <v>771.126936210145</v>
      </c>
      <c r="G28" s="570"/>
    </row>
    <row r="29" spans="2:7" x14ac:dyDescent="0.2">
      <c r="D29" s="570"/>
      <c r="E29" s="776" t="s">
        <v>808</v>
      </c>
      <c r="F29" s="978">
        <f>F25/F28</f>
        <v>1.8155247006161856</v>
      </c>
      <c r="G29" s="570"/>
    </row>
    <row r="30" spans="2:7" x14ac:dyDescent="0.2">
      <c r="D30" s="570"/>
      <c r="E30" s="776" t="s">
        <v>937</v>
      </c>
      <c r="F30" s="973">
        <f>F25-F28</f>
        <v>628.873063789855</v>
      </c>
      <c r="G30" s="570"/>
    </row>
    <row r="31" spans="2:7" x14ac:dyDescent="0.2">
      <c r="D31" s="570"/>
      <c r="E31" s="729"/>
      <c r="F31" s="1192"/>
      <c r="G31" s="570"/>
    </row>
    <row r="32" spans="2:7" x14ac:dyDescent="0.2">
      <c r="E32" s="776"/>
      <c r="F32" s="978"/>
    </row>
    <row r="33" spans="5:6" x14ac:dyDescent="0.2">
      <c r="E33" s="776"/>
      <c r="F33" s="973"/>
    </row>
  </sheetData>
  <mergeCells count="5">
    <mergeCell ref="B14:C14"/>
    <mergeCell ref="E15:F15"/>
    <mergeCell ref="B4:C4"/>
    <mergeCell ref="B2:F2"/>
    <mergeCell ref="E4:F4"/>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62E82-CDB0-462D-9197-5FE2FBF8CDD6}">
  <dimension ref="A2:R52"/>
  <sheetViews>
    <sheetView showGridLines="0" topLeftCell="C1" zoomScale="70" zoomScaleNormal="70" workbookViewId="0">
      <selection activeCell="V12" sqref="V12"/>
    </sheetView>
  </sheetViews>
  <sheetFormatPr baseColWidth="10" defaultColWidth="8.83203125" defaultRowHeight="15" x14ac:dyDescent="0.2"/>
  <cols>
    <col min="1" max="1" width="2.5" style="613" customWidth="1"/>
    <col min="2" max="2" width="41.5" style="613" customWidth="1"/>
    <col min="3" max="3" width="16.33203125" style="686" customWidth="1"/>
    <col min="4" max="4" width="6" style="686" customWidth="1"/>
    <col min="5" max="5" width="15.1640625" style="686" customWidth="1"/>
    <col min="6" max="6" width="2.5" style="613" customWidth="1"/>
    <col min="7" max="7" width="41.5" style="613" customWidth="1"/>
    <col min="8" max="8" width="16.33203125" style="686" customWidth="1"/>
    <col min="9" max="9" width="6" style="686" customWidth="1"/>
    <col min="10" max="10" width="15.1640625" style="686" customWidth="1"/>
    <col min="11" max="11" width="2.5" style="613" customWidth="1"/>
    <col min="12" max="12" width="41.5" style="613" customWidth="1"/>
    <col min="13" max="13" width="16.33203125" style="686" customWidth="1"/>
    <col min="14" max="14" width="6" style="686" customWidth="1"/>
    <col min="15" max="15" width="15.1640625" style="686" customWidth="1"/>
    <col min="16" max="16" width="2.5" style="613" customWidth="1"/>
    <col min="17" max="17" width="1.1640625" style="999" customWidth="1"/>
    <col min="18" max="18" width="2.5" style="613" customWidth="1"/>
  </cols>
  <sheetData>
    <row r="2" spans="1:18" ht="62" x14ac:dyDescent="0.2">
      <c r="B2" s="1674" t="s">
        <v>868</v>
      </c>
      <c r="C2" s="1675"/>
      <c r="D2" s="1675"/>
      <c r="E2" s="1675"/>
      <c r="F2" s="1675"/>
      <c r="G2" s="1675"/>
      <c r="H2" s="1675"/>
      <c r="I2" s="1675"/>
      <c r="J2" s="1675"/>
      <c r="K2" s="1675"/>
      <c r="L2" s="1675"/>
      <c r="M2" s="1675"/>
      <c r="N2" s="1675"/>
      <c r="O2" s="1676"/>
    </row>
    <row r="3" spans="1:18" ht="18.75" customHeight="1" x14ac:dyDescent="0.2"/>
    <row r="4" spans="1:18" ht="18.75" customHeight="1" x14ac:dyDescent="0.2">
      <c r="B4" s="1663" t="s">
        <v>927</v>
      </c>
      <c r="C4" s="1664"/>
      <c r="D4" s="1664"/>
      <c r="E4" s="1665"/>
      <c r="G4" s="1677" t="s">
        <v>928</v>
      </c>
      <c r="H4" s="1678"/>
      <c r="I4" s="1678"/>
      <c r="J4" s="1679"/>
      <c r="L4" s="1681" t="s">
        <v>929</v>
      </c>
      <c r="M4" s="1682"/>
      <c r="N4" s="1682"/>
      <c r="O4" s="1683"/>
    </row>
    <row r="5" spans="1:18" ht="18.75" customHeight="1" thickBot="1" x14ac:dyDescent="0.25">
      <c r="A5" s="1023"/>
      <c r="B5" s="1017" t="s">
        <v>15</v>
      </c>
      <c r="C5" s="1680">
        <f ca="1">TODAY()</f>
        <v>43713</v>
      </c>
      <c r="D5" s="1680"/>
      <c r="E5" s="1680"/>
      <c r="F5" s="1023"/>
      <c r="G5" s="1017" t="s">
        <v>15</v>
      </c>
      <c r="H5" s="1680">
        <f ca="1">TODAY()</f>
        <v>43713</v>
      </c>
      <c r="I5" s="1680"/>
      <c r="J5" s="1680"/>
      <c r="K5" s="1023"/>
      <c r="L5" s="1017" t="s">
        <v>15</v>
      </c>
      <c r="M5" s="1680">
        <f ca="1">TODAY()</f>
        <v>43713</v>
      </c>
      <c r="N5" s="1680"/>
      <c r="O5" s="1680"/>
      <c r="P5" s="1023"/>
      <c r="Q5" s="1025"/>
      <c r="R5" s="1023"/>
    </row>
    <row r="6" spans="1:18" ht="18.75" customHeight="1" x14ac:dyDescent="0.2">
      <c r="B6" s="154" t="s">
        <v>24</v>
      </c>
      <c r="C6" s="1553" t="s">
        <v>766</v>
      </c>
      <c r="D6" s="1553"/>
      <c r="E6" s="1554"/>
      <c r="G6" s="154" t="s">
        <v>24</v>
      </c>
      <c r="H6" s="1553" t="s">
        <v>766</v>
      </c>
      <c r="I6" s="1553"/>
      <c r="J6" s="1554"/>
      <c r="L6" s="154" t="s">
        <v>24</v>
      </c>
      <c r="M6" s="1553" t="s">
        <v>766</v>
      </c>
      <c r="N6" s="1553"/>
      <c r="O6" s="1554"/>
      <c r="Q6" s="1000"/>
    </row>
    <row r="7" spans="1:18" ht="18.75" customHeight="1" x14ac:dyDescent="0.2">
      <c r="A7" s="260"/>
      <c r="B7" s="303" t="s">
        <v>250</v>
      </c>
      <c r="C7" s="1555" t="s">
        <v>780</v>
      </c>
      <c r="D7" s="1555"/>
      <c r="E7" s="1556"/>
      <c r="F7" s="260"/>
      <c r="G7" s="303" t="s">
        <v>250</v>
      </c>
      <c r="H7" s="1555" t="s">
        <v>780</v>
      </c>
      <c r="I7" s="1555"/>
      <c r="J7" s="1556"/>
      <c r="K7" s="260"/>
      <c r="L7" s="303" t="s">
        <v>250</v>
      </c>
      <c r="M7" s="1555" t="s">
        <v>780</v>
      </c>
      <c r="N7" s="1555"/>
      <c r="O7" s="1556"/>
      <c r="P7" s="260"/>
      <c r="Q7" s="1000"/>
      <c r="R7" s="260"/>
    </row>
    <row r="8" spans="1:18" ht="18.75" customHeight="1" x14ac:dyDescent="0.2">
      <c r="B8" s="303" t="s">
        <v>25</v>
      </c>
      <c r="C8" s="1555" t="s">
        <v>781</v>
      </c>
      <c r="D8" s="1555"/>
      <c r="E8" s="1556"/>
      <c r="G8" s="303" t="s">
        <v>25</v>
      </c>
      <c r="H8" s="1555" t="s">
        <v>781</v>
      </c>
      <c r="I8" s="1555"/>
      <c r="J8" s="1556"/>
      <c r="L8" s="303" t="s">
        <v>25</v>
      </c>
      <c r="M8" s="1555" t="s">
        <v>781</v>
      </c>
      <c r="N8" s="1555"/>
      <c r="O8" s="1556"/>
      <c r="Q8" s="1000"/>
    </row>
    <row r="9" spans="1:18" ht="18.75" customHeight="1" x14ac:dyDescent="0.2">
      <c r="B9" s="303" t="s">
        <v>824</v>
      </c>
      <c r="C9" s="1557" t="s">
        <v>869</v>
      </c>
      <c r="D9" s="1557"/>
      <c r="E9" s="1558"/>
      <c r="G9" s="303" t="s">
        <v>824</v>
      </c>
      <c r="H9" s="1557" t="s">
        <v>823</v>
      </c>
      <c r="I9" s="1557"/>
      <c r="J9" s="1558"/>
      <c r="L9" s="303" t="s">
        <v>824</v>
      </c>
      <c r="M9" s="1557" t="s">
        <v>823</v>
      </c>
      <c r="N9" s="1557"/>
      <c r="O9" s="1558"/>
      <c r="Q9" s="1000"/>
    </row>
    <row r="10" spans="1:18" ht="18.75" customHeight="1" x14ac:dyDescent="0.2">
      <c r="A10" s="260"/>
      <c r="B10" s="893" t="s">
        <v>764</v>
      </c>
      <c r="C10" s="1559">
        <v>750</v>
      </c>
      <c r="D10" s="1559"/>
      <c r="E10" s="1560"/>
      <c r="F10" s="260"/>
      <c r="G10" s="893" t="s">
        <v>764</v>
      </c>
      <c r="H10" s="1559">
        <v>700</v>
      </c>
      <c r="I10" s="1559"/>
      <c r="J10" s="1560"/>
      <c r="K10" s="260"/>
      <c r="L10" s="893" t="s">
        <v>764</v>
      </c>
      <c r="M10" s="1559">
        <v>700</v>
      </c>
      <c r="N10" s="1559"/>
      <c r="O10" s="1560"/>
      <c r="P10" s="260"/>
      <c r="Q10" s="1000"/>
      <c r="R10" s="260"/>
    </row>
    <row r="11" spans="1:18" ht="18.75" customHeight="1" thickBot="1" x14ac:dyDescent="0.25">
      <c r="B11" s="888" t="s">
        <v>822</v>
      </c>
      <c r="C11" s="1180" t="s">
        <v>315</v>
      </c>
      <c r="D11" s="1180"/>
      <c r="E11" s="1181"/>
      <c r="G11" s="888" t="s">
        <v>822</v>
      </c>
      <c r="H11" s="1180" t="s">
        <v>315</v>
      </c>
      <c r="I11" s="1180"/>
      <c r="J11" s="1181"/>
      <c r="L11" s="888" t="s">
        <v>822</v>
      </c>
      <c r="M11" s="1180" t="s">
        <v>315</v>
      </c>
      <c r="N11" s="1180"/>
      <c r="O11" s="1181"/>
      <c r="Q11" s="1000"/>
    </row>
    <row r="12" spans="1:18" ht="18.75" customHeight="1" thickBot="1" x14ac:dyDescent="0.25">
      <c r="A12" s="1023"/>
      <c r="B12" s="1045" t="s">
        <v>172</v>
      </c>
      <c r="C12" s="1046"/>
      <c r="D12" s="1046"/>
      <c r="E12" s="1046"/>
      <c r="F12" s="1023"/>
      <c r="G12" s="1045" t="s">
        <v>172</v>
      </c>
      <c r="H12" s="1046"/>
      <c r="I12" s="1046"/>
      <c r="J12" s="1046"/>
      <c r="K12" s="1023"/>
      <c r="L12" s="1045" t="s">
        <v>172</v>
      </c>
      <c r="M12" s="1046"/>
      <c r="N12" s="1046"/>
      <c r="O12" s="1046"/>
      <c r="P12" s="1023"/>
      <c r="Q12" s="1049"/>
      <c r="R12" s="1023"/>
    </row>
    <row r="13" spans="1:18" ht="18.75" customHeight="1" x14ac:dyDescent="0.2">
      <c r="A13" s="260"/>
      <c r="B13" s="958" t="s">
        <v>291</v>
      </c>
      <c r="C13" s="1021">
        <v>122000</v>
      </c>
      <c r="D13" s="953"/>
      <c r="E13" s="954"/>
      <c r="F13" s="260"/>
      <c r="G13" s="957" t="s">
        <v>82</v>
      </c>
      <c r="H13" s="1002">
        <v>137000</v>
      </c>
      <c r="I13" s="928"/>
      <c r="J13" s="929"/>
      <c r="K13" s="260"/>
      <c r="L13" s="957" t="s">
        <v>82</v>
      </c>
      <c r="M13" s="1002">
        <v>137000</v>
      </c>
      <c r="N13" s="928"/>
      <c r="O13" s="929"/>
      <c r="P13" s="260"/>
      <c r="Q13" s="1000"/>
      <c r="R13" s="260"/>
    </row>
    <row r="14" spans="1:18" ht="18.75" customHeight="1" x14ac:dyDescent="0.2">
      <c r="B14" s="970" t="s">
        <v>181</v>
      </c>
      <c r="C14" s="725">
        <f>E14*C13</f>
        <v>97600</v>
      </c>
      <c r="D14" s="968" t="s">
        <v>3</v>
      </c>
      <c r="E14" s="993">
        <v>0.8</v>
      </c>
      <c r="G14" s="948" t="s">
        <v>832</v>
      </c>
      <c r="H14" s="1031">
        <v>50000</v>
      </c>
      <c r="I14" s="949"/>
      <c r="J14" s="950"/>
      <c r="L14" s="948" t="s">
        <v>832</v>
      </c>
      <c r="M14" s="1031">
        <v>50000</v>
      </c>
      <c r="N14" s="949"/>
      <c r="O14" s="950"/>
      <c r="Q14" s="1000"/>
    </row>
    <row r="15" spans="1:18" ht="18.75" customHeight="1" x14ac:dyDescent="0.2">
      <c r="B15" s="971" t="s">
        <v>800</v>
      </c>
      <c r="C15" s="1029">
        <v>0.12</v>
      </c>
      <c r="D15" s="1029"/>
      <c r="E15" s="1030"/>
      <c r="G15" s="970" t="s">
        <v>181</v>
      </c>
      <c r="H15" s="725">
        <f>J15*H13</f>
        <v>102750</v>
      </c>
      <c r="I15" s="968" t="s">
        <v>3</v>
      </c>
      <c r="J15" s="993">
        <v>0.75</v>
      </c>
      <c r="L15" s="970" t="s">
        <v>181</v>
      </c>
      <c r="M15" s="725">
        <f>O15*M13</f>
        <v>102750</v>
      </c>
      <c r="N15" s="968" t="s">
        <v>3</v>
      </c>
      <c r="O15" s="993">
        <v>0.75</v>
      </c>
      <c r="Q15" s="1000"/>
    </row>
    <row r="16" spans="1:18" ht="18.75" customHeight="1" x14ac:dyDescent="0.2">
      <c r="B16" s="970" t="s">
        <v>828</v>
      </c>
      <c r="C16" s="565">
        <v>12</v>
      </c>
      <c r="D16" s="1632" t="s">
        <v>827</v>
      </c>
      <c r="E16" s="1633"/>
      <c r="G16" s="971" t="s">
        <v>800</v>
      </c>
      <c r="H16" s="1029">
        <v>6.5000000000000002E-2</v>
      </c>
      <c r="I16" s="1029"/>
      <c r="J16" s="1030"/>
      <c r="L16" s="971" t="s">
        <v>800</v>
      </c>
      <c r="M16" s="1029">
        <v>6.5000000000000002E-2</v>
      </c>
      <c r="N16" s="1029"/>
      <c r="O16" s="1030"/>
      <c r="Q16" s="1000"/>
    </row>
    <row r="17" spans="2:17" ht="18.75" customHeight="1" x14ac:dyDescent="0.2">
      <c r="B17" s="971" t="s">
        <v>6</v>
      </c>
      <c r="C17" s="982">
        <f>C14*C15/12</f>
        <v>976</v>
      </c>
      <c r="D17" s="883"/>
      <c r="E17" s="741"/>
      <c r="G17" s="970" t="s">
        <v>828</v>
      </c>
      <c r="H17" s="565">
        <v>12</v>
      </c>
      <c r="I17" s="1632" t="s">
        <v>827</v>
      </c>
      <c r="J17" s="1633"/>
      <c r="L17" s="970" t="s">
        <v>828</v>
      </c>
      <c r="M17" s="565">
        <v>12</v>
      </c>
      <c r="N17" s="1632" t="s">
        <v>827</v>
      </c>
      <c r="O17" s="1633"/>
      <c r="Q17" s="1000"/>
    </row>
    <row r="18" spans="2:17" ht="18.75" customHeight="1" x14ac:dyDescent="0.2">
      <c r="B18" s="970" t="s">
        <v>839</v>
      </c>
      <c r="C18" s="959">
        <f>C17*C16</f>
        <v>11712</v>
      </c>
      <c r="D18" s="560"/>
      <c r="E18" s="562"/>
      <c r="G18" s="971" t="s">
        <v>6</v>
      </c>
      <c r="H18" s="982">
        <f>H15*H16/12</f>
        <v>556.5625</v>
      </c>
      <c r="I18" s="883"/>
      <c r="J18" s="741"/>
      <c r="L18" s="971" t="s">
        <v>6</v>
      </c>
      <c r="M18" s="982">
        <f>M15*M16/12</f>
        <v>556.5625</v>
      </c>
      <c r="N18" s="883"/>
      <c r="O18" s="741"/>
      <c r="Q18" s="1000"/>
    </row>
    <row r="19" spans="2:17" ht="18.75" customHeight="1" x14ac:dyDescent="0.2">
      <c r="B19" s="971" t="s">
        <v>524</v>
      </c>
      <c r="C19" s="938">
        <v>100</v>
      </c>
      <c r="D19" s="982"/>
      <c r="E19" s="986"/>
      <c r="G19" s="970" t="s">
        <v>839</v>
      </c>
      <c r="H19" s="959">
        <f>H18*H17</f>
        <v>6678.75</v>
      </c>
      <c r="I19" s="560"/>
      <c r="J19" s="562"/>
      <c r="L19" s="970" t="s">
        <v>839</v>
      </c>
      <c r="M19" s="959">
        <f>M18*M17</f>
        <v>6678.75</v>
      </c>
      <c r="N19" s="560"/>
      <c r="O19" s="562"/>
      <c r="Q19" s="1000"/>
    </row>
    <row r="20" spans="2:17" ht="18.75" customHeight="1" x14ac:dyDescent="0.2">
      <c r="B20" s="1016" t="s">
        <v>525</v>
      </c>
      <c r="C20" s="934">
        <v>235</v>
      </c>
      <c r="D20" s="959"/>
      <c r="E20" s="960"/>
      <c r="G20" s="971" t="s">
        <v>524</v>
      </c>
      <c r="H20" s="938">
        <v>100</v>
      </c>
      <c r="I20" s="982"/>
      <c r="J20" s="986"/>
      <c r="L20" s="971" t="s">
        <v>524</v>
      </c>
      <c r="M20" s="938">
        <v>100</v>
      </c>
      <c r="N20" s="982"/>
      <c r="O20" s="986"/>
      <c r="Q20" s="1000"/>
    </row>
    <row r="21" spans="2:17" ht="18.75" customHeight="1" thickBot="1" x14ac:dyDescent="0.25">
      <c r="B21" s="817" t="s">
        <v>825</v>
      </c>
      <c r="C21" s="1018">
        <f>C17+C19+C20</f>
        <v>1311</v>
      </c>
      <c r="D21" s="1019"/>
      <c r="E21" s="1020"/>
      <c r="G21" s="1016" t="s">
        <v>525</v>
      </c>
      <c r="H21" s="934">
        <v>235</v>
      </c>
      <c r="I21" s="959"/>
      <c r="J21" s="960"/>
      <c r="L21" s="1016" t="s">
        <v>525</v>
      </c>
      <c r="M21" s="934">
        <v>235</v>
      </c>
      <c r="N21" s="959"/>
      <c r="O21" s="960"/>
      <c r="Q21" s="1000"/>
    </row>
    <row r="22" spans="2:17" ht="18.75" customHeight="1" thickBot="1" x14ac:dyDescent="0.25">
      <c r="B22" s="1017" t="s">
        <v>208</v>
      </c>
      <c r="C22" s="1051"/>
      <c r="D22" s="1051"/>
      <c r="E22" s="1051"/>
      <c r="G22" s="817" t="s">
        <v>825</v>
      </c>
      <c r="H22" s="1018">
        <f>H18+H20+H21</f>
        <v>891.5625</v>
      </c>
      <c r="I22" s="1019"/>
      <c r="J22" s="1020"/>
      <c r="L22" s="817" t="s">
        <v>825</v>
      </c>
      <c r="M22" s="1018">
        <f>M18+M20+M21</f>
        <v>891.5625</v>
      </c>
      <c r="N22" s="1019"/>
      <c r="O22" s="1020"/>
      <c r="Q22" s="1000"/>
    </row>
    <row r="23" spans="2:17" ht="18.75" customHeight="1" thickBot="1" x14ac:dyDescent="0.25">
      <c r="B23" s="464" t="s">
        <v>4</v>
      </c>
      <c r="C23" s="1573">
        <f>C13-C14</f>
        <v>24400</v>
      </c>
      <c r="D23" s="1573"/>
      <c r="E23" s="1574"/>
      <c r="G23" s="1017" t="s">
        <v>208</v>
      </c>
      <c r="H23" s="1051"/>
      <c r="I23" s="1051"/>
      <c r="J23" s="1051"/>
      <c r="L23" s="1017" t="s">
        <v>208</v>
      </c>
      <c r="M23" s="1051"/>
      <c r="N23" s="1051"/>
      <c r="O23" s="1051"/>
      <c r="Q23" s="1000"/>
    </row>
    <row r="24" spans="2:17" ht="18.75" customHeight="1" x14ac:dyDescent="0.2">
      <c r="B24" s="465" t="s">
        <v>815</v>
      </c>
      <c r="C24" s="581">
        <v>0</v>
      </c>
      <c r="D24" s="932"/>
      <c r="E24" s="933"/>
      <c r="G24" s="464" t="s">
        <v>809</v>
      </c>
      <c r="H24" s="1573">
        <f>H14-H25</f>
        <v>50000</v>
      </c>
      <c r="I24" s="1573"/>
      <c r="J24" s="1574"/>
      <c r="L24" s="486" t="s">
        <v>835</v>
      </c>
      <c r="M24" s="1684">
        <f>M14</f>
        <v>50000</v>
      </c>
      <c r="N24" s="1684"/>
      <c r="O24" s="1685"/>
      <c r="Q24" s="1000"/>
    </row>
    <row r="25" spans="2:17" ht="18.75" customHeight="1" x14ac:dyDescent="0.2">
      <c r="B25" s="466" t="s">
        <v>45</v>
      </c>
      <c r="C25" s="995">
        <f>C14*E25</f>
        <v>3904</v>
      </c>
      <c r="D25" s="920" t="s">
        <v>617</v>
      </c>
      <c r="E25" s="922">
        <v>0.04</v>
      </c>
      <c r="G25" s="465" t="s">
        <v>831</v>
      </c>
      <c r="H25" s="996">
        <f>MAX(0,H14-H15)</f>
        <v>0</v>
      </c>
      <c r="I25" s="932"/>
      <c r="J25" s="933"/>
      <c r="L25" s="466" t="s">
        <v>45</v>
      </c>
      <c r="M25" s="995">
        <f>M15*O25</f>
        <v>2825.625</v>
      </c>
      <c r="N25" s="920" t="s">
        <v>617</v>
      </c>
      <c r="O25" s="922">
        <v>2.75E-2</v>
      </c>
      <c r="Q25" s="1000"/>
    </row>
    <row r="26" spans="2:17" ht="18.75" customHeight="1" x14ac:dyDescent="0.2">
      <c r="B26" s="465" t="s">
        <v>10</v>
      </c>
      <c r="C26" s="996">
        <f>MAX(3500,C14*E26)</f>
        <v>3500</v>
      </c>
      <c r="D26" s="921" t="s">
        <v>617</v>
      </c>
      <c r="E26" s="923">
        <v>0</v>
      </c>
      <c r="G26" s="466" t="s">
        <v>45</v>
      </c>
      <c r="H26" s="995">
        <f>H15*J26</f>
        <v>2825.625</v>
      </c>
      <c r="I26" s="920" t="s">
        <v>617</v>
      </c>
      <c r="J26" s="922">
        <v>2.75E-2</v>
      </c>
      <c r="L26" s="465" t="s">
        <v>10</v>
      </c>
      <c r="M26" s="996">
        <f>MAX(4000,M15*O26)</f>
        <v>4000</v>
      </c>
      <c r="N26" s="921" t="s">
        <v>617</v>
      </c>
      <c r="O26" s="923">
        <v>0</v>
      </c>
      <c r="Q26" s="1000"/>
    </row>
    <row r="27" spans="2:17" ht="18.75" customHeight="1" x14ac:dyDescent="0.2">
      <c r="B27" s="466" t="s">
        <v>5</v>
      </c>
      <c r="C27" s="1910">
        <v>1500</v>
      </c>
      <c r="D27" s="1910"/>
      <c r="E27" s="1911"/>
      <c r="G27" s="465" t="s">
        <v>10</v>
      </c>
      <c r="H27" s="996">
        <f>MAX(4000,H15*J27)</f>
        <v>4000</v>
      </c>
      <c r="I27" s="921" t="s">
        <v>617</v>
      </c>
      <c r="J27" s="923">
        <v>0</v>
      </c>
      <c r="L27" s="466" t="s">
        <v>5</v>
      </c>
      <c r="M27" s="1910">
        <v>1450</v>
      </c>
      <c r="N27" s="1910"/>
      <c r="O27" s="1911"/>
      <c r="Q27" s="1000"/>
    </row>
    <row r="28" spans="2:17" ht="18.75" customHeight="1" thickBot="1" x14ac:dyDescent="0.25">
      <c r="B28" s="125" t="s">
        <v>690</v>
      </c>
      <c r="C28" s="1142">
        <v>1500</v>
      </c>
      <c r="D28" s="772"/>
      <c r="E28" s="773"/>
      <c r="G28" s="466" t="s">
        <v>5</v>
      </c>
      <c r="H28" s="1910">
        <v>1450</v>
      </c>
      <c r="I28" s="1910"/>
      <c r="J28" s="1911"/>
      <c r="L28" s="125" t="s">
        <v>690</v>
      </c>
      <c r="M28" s="1142">
        <v>1500</v>
      </c>
      <c r="N28" s="772"/>
      <c r="O28" s="773"/>
      <c r="Q28" s="1000"/>
    </row>
    <row r="29" spans="2:17" ht="18.75" customHeight="1" thickBot="1" x14ac:dyDescent="0.25">
      <c r="B29" s="120" t="s">
        <v>169</v>
      </c>
      <c r="C29" s="943"/>
      <c r="D29" s="943"/>
      <c r="E29" s="943"/>
      <c r="G29" s="125" t="s">
        <v>690</v>
      </c>
      <c r="H29" s="1142">
        <v>1500</v>
      </c>
      <c r="I29" s="772"/>
      <c r="J29" s="773"/>
      <c r="L29" s="1017" t="s">
        <v>169</v>
      </c>
      <c r="M29" s="1055"/>
      <c r="N29" s="1055"/>
      <c r="O29" s="1055"/>
      <c r="Q29" s="1000"/>
    </row>
    <row r="30" spans="2:17" ht="18.75" customHeight="1" thickBot="1" x14ac:dyDescent="0.25">
      <c r="B30" s="372" t="s">
        <v>14</v>
      </c>
      <c r="C30" s="1042">
        <v>800</v>
      </c>
      <c r="D30" s="1596" t="s">
        <v>770</v>
      </c>
      <c r="E30" s="1597"/>
      <c r="G30" s="120" t="s">
        <v>169</v>
      </c>
      <c r="H30" s="943"/>
      <c r="I30" s="943"/>
      <c r="J30" s="943"/>
      <c r="L30" s="372" t="s">
        <v>14</v>
      </c>
      <c r="M30" s="1042">
        <v>580</v>
      </c>
      <c r="N30" s="1596" t="s">
        <v>770</v>
      </c>
      <c r="O30" s="1597"/>
      <c r="Q30" s="1000"/>
    </row>
    <row r="31" spans="2:17" ht="18.75" customHeight="1" x14ac:dyDescent="0.2">
      <c r="B31" s="374" t="s">
        <v>681</v>
      </c>
      <c r="C31" s="1136">
        <v>1000</v>
      </c>
      <c r="D31" s="1609" t="s">
        <v>771</v>
      </c>
      <c r="E31" s="1610"/>
      <c r="G31" s="372" t="s">
        <v>14</v>
      </c>
      <c r="H31" s="1042">
        <v>580</v>
      </c>
      <c r="I31" s="1596" t="s">
        <v>770</v>
      </c>
      <c r="J31" s="1597"/>
      <c r="L31" s="374" t="s">
        <v>681</v>
      </c>
      <c r="M31" s="1136">
        <v>1000</v>
      </c>
      <c r="N31" s="1609" t="s">
        <v>771</v>
      </c>
      <c r="O31" s="1610"/>
      <c r="Q31" s="1000"/>
    </row>
    <row r="32" spans="2:17" ht="18.75" customHeight="1" x14ac:dyDescent="0.2">
      <c r="B32" s="374" t="s">
        <v>811</v>
      </c>
      <c r="C32" s="1136">
        <v>1500</v>
      </c>
      <c r="D32" s="1609" t="s">
        <v>771</v>
      </c>
      <c r="E32" s="1610"/>
      <c r="G32" s="374" t="s">
        <v>681</v>
      </c>
      <c r="H32" s="1136">
        <v>1000</v>
      </c>
      <c r="I32" s="1609" t="s">
        <v>771</v>
      </c>
      <c r="J32" s="1610"/>
      <c r="L32" s="374" t="s">
        <v>811</v>
      </c>
      <c r="M32" s="1136">
        <v>1500</v>
      </c>
      <c r="N32" s="1609" t="s">
        <v>771</v>
      </c>
      <c r="O32" s="1610"/>
      <c r="Q32" s="1000"/>
    </row>
    <row r="33" spans="1:18" ht="18.75" customHeight="1" thickBot="1" x14ac:dyDescent="0.25">
      <c r="B33" s="98" t="s">
        <v>812</v>
      </c>
      <c r="C33" s="891">
        <v>1500</v>
      </c>
      <c r="D33" s="1599" t="s">
        <v>771</v>
      </c>
      <c r="E33" s="1600"/>
      <c r="G33" s="374" t="s">
        <v>811</v>
      </c>
      <c r="H33" s="1136">
        <v>1500</v>
      </c>
      <c r="I33" s="1609" t="s">
        <v>771</v>
      </c>
      <c r="J33" s="1610"/>
      <c r="L33" s="98" t="s">
        <v>812</v>
      </c>
      <c r="M33" s="891">
        <v>1500</v>
      </c>
      <c r="N33" s="1599" t="s">
        <v>771</v>
      </c>
      <c r="O33" s="1600"/>
      <c r="Q33" s="1000"/>
    </row>
    <row r="34" spans="1:18" ht="18.75" customHeight="1" thickBot="1" x14ac:dyDescent="0.25">
      <c r="B34" s="1056" t="s">
        <v>170</v>
      </c>
      <c r="C34" s="508"/>
      <c r="D34" s="227"/>
      <c r="E34" s="227"/>
      <c r="G34" s="98" t="s">
        <v>812</v>
      </c>
      <c r="H34" s="891">
        <v>1500</v>
      </c>
      <c r="I34" s="1599" t="s">
        <v>771</v>
      </c>
      <c r="J34" s="1600"/>
      <c r="L34" s="1056" t="s">
        <v>170</v>
      </c>
      <c r="M34" s="1046"/>
      <c r="N34" s="1046"/>
      <c r="O34" s="1046"/>
      <c r="Q34" s="1000"/>
    </row>
    <row r="35" spans="1:18" ht="18.75" customHeight="1" thickBot="1" x14ac:dyDescent="0.25">
      <c r="B35" s="491" t="s">
        <v>220</v>
      </c>
      <c r="C35" s="991">
        <f>SUM(C25:C28,C30:C33)</f>
        <v>15204</v>
      </c>
      <c r="D35" s="1608"/>
      <c r="E35" s="1608"/>
      <c r="G35" s="1056" t="s">
        <v>170</v>
      </c>
      <c r="H35" s="508"/>
      <c r="I35" s="227"/>
      <c r="J35" s="227"/>
      <c r="L35" s="491" t="s">
        <v>220</v>
      </c>
      <c r="M35" s="991">
        <f>SUM(M25:M28,M30:M33)</f>
        <v>14355.625</v>
      </c>
      <c r="N35" s="1608"/>
      <c r="O35" s="1608"/>
      <c r="Q35" s="1000"/>
    </row>
    <row r="36" spans="1:18" ht="18.75" customHeight="1" thickBot="1" x14ac:dyDescent="0.25">
      <c r="B36" s="493" t="s">
        <v>816</v>
      </c>
      <c r="C36" s="992">
        <f>C35+C23-C24</f>
        <v>39604</v>
      </c>
      <c r="D36" s="1607"/>
      <c r="E36" s="1607"/>
      <c r="G36" s="491" t="s">
        <v>220</v>
      </c>
      <c r="H36" s="991">
        <f>SUM(H26:H29,H31:H34)</f>
        <v>14355.625</v>
      </c>
      <c r="I36" s="1608"/>
      <c r="J36" s="1608"/>
      <c r="L36" s="586" t="s">
        <v>864</v>
      </c>
      <c r="M36" s="1022">
        <f>M35+M24</f>
        <v>64355.625</v>
      </c>
      <c r="N36" s="1607"/>
      <c r="O36" s="1607"/>
      <c r="Q36" s="1000"/>
    </row>
    <row r="37" spans="1:18" ht="18.75" customHeight="1" thickBot="1" x14ac:dyDescent="0.25">
      <c r="B37" s="690"/>
      <c r="C37" s="227"/>
      <c r="D37" s="227"/>
      <c r="E37" s="227"/>
      <c r="G37" s="586" t="s">
        <v>864</v>
      </c>
      <c r="H37" s="1022">
        <f>H36+H24-H25</f>
        <v>64355.625</v>
      </c>
      <c r="I37" s="1607"/>
      <c r="J37" s="1607"/>
      <c r="L37" s="98" t="s">
        <v>836</v>
      </c>
      <c r="M37" s="803">
        <f>M15-M36</f>
        <v>38394.375</v>
      </c>
      <c r="N37" s="932"/>
      <c r="O37" s="932"/>
      <c r="Q37" s="1000"/>
    </row>
    <row r="38" spans="1:18" ht="18.75" customHeight="1" thickBot="1" x14ac:dyDescent="0.25">
      <c r="A38" s="260"/>
      <c r="B38" s="1654" t="s">
        <v>376</v>
      </c>
      <c r="C38" s="1655"/>
      <c r="D38" s="1655"/>
      <c r="E38" s="1656"/>
      <c r="F38" s="260"/>
      <c r="G38" s="110" t="s">
        <v>535</v>
      </c>
      <c r="H38" s="1043">
        <f>MAX(0,H37-H15)</f>
        <v>0</v>
      </c>
      <c r="I38" s="932"/>
      <c r="J38" s="932"/>
      <c r="K38" s="260"/>
      <c r="L38" s="690"/>
      <c r="M38" s="227"/>
      <c r="N38" s="227"/>
      <c r="O38" s="227"/>
      <c r="P38" s="260"/>
      <c r="Q38" s="1000"/>
      <c r="R38" s="260"/>
    </row>
    <row r="39" spans="1:18" ht="18.75" customHeight="1" x14ac:dyDescent="0.2">
      <c r="B39" s="1912"/>
      <c r="C39" s="1913"/>
      <c r="D39" s="1913"/>
      <c r="E39" s="1914"/>
      <c r="G39" s="690"/>
      <c r="H39" s="227"/>
      <c r="I39" s="227"/>
      <c r="J39" s="227"/>
      <c r="L39" s="1654" t="s">
        <v>376</v>
      </c>
      <c r="M39" s="1655"/>
      <c r="N39" s="1655"/>
      <c r="O39" s="1656"/>
    </row>
    <row r="40" spans="1:18" ht="18.75" customHeight="1" x14ac:dyDescent="0.2">
      <c r="G40" s="1654" t="s">
        <v>376</v>
      </c>
      <c r="H40" s="1655"/>
      <c r="I40" s="1655"/>
      <c r="J40" s="1656"/>
      <c r="L40" s="1912"/>
      <c r="M40" s="1913"/>
      <c r="N40" s="1913"/>
      <c r="O40" s="1914"/>
    </row>
    <row r="41" spans="1:18" ht="18.75" customHeight="1" x14ac:dyDescent="0.2">
      <c r="B41" s="1068" t="s">
        <v>691</v>
      </c>
      <c r="C41" s="1069"/>
      <c r="D41" s="1069"/>
      <c r="E41" s="767"/>
      <c r="G41" s="1912"/>
      <c r="H41" s="1913"/>
      <c r="I41" s="1913"/>
      <c r="J41" s="1914"/>
    </row>
    <row r="42" spans="1:18" ht="18.75" customHeight="1" x14ac:dyDescent="0.2">
      <c r="B42" s="1836" t="s">
        <v>692</v>
      </c>
      <c r="C42" s="1836"/>
      <c r="D42" s="1836"/>
      <c r="E42" s="1836"/>
      <c r="L42" s="1068" t="s">
        <v>691</v>
      </c>
      <c r="M42" s="1069"/>
      <c r="N42" s="1069"/>
      <c r="O42" s="767"/>
    </row>
    <row r="43" spans="1:18" ht="18.75" customHeight="1" x14ac:dyDescent="0.2">
      <c r="B43" s="1836" t="s">
        <v>693</v>
      </c>
      <c r="C43" s="1836"/>
      <c r="D43" s="1836"/>
      <c r="E43" s="1836"/>
      <c r="G43" s="1068" t="s">
        <v>691</v>
      </c>
      <c r="H43" s="1069"/>
      <c r="I43" s="1069"/>
      <c r="J43" s="767"/>
      <c r="L43" s="1836" t="s">
        <v>692</v>
      </c>
      <c r="M43" s="1836"/>
      <c r="N43" s="1836"/>
      <c r="O43" s="1836"/>
    </row>
    <row r="44" spans="1:18" ht="18.75" customHeight="1" x14ac:dyDescent="0.2">
      <c r="B44" s="1836" t="s">
        <v>694</v>
      </c>
      <c r="C44" s="1836"/>
      <c r="D44" s="1836"/>
      <c r="E44" s="1836"/>
      <c r="G44" s="1836" t="s">
        <v>692</v>
      </c>
      <c r="H44" s="1836"/>
      <c r="I44" s="1836"/>
      <c r="J44" s="1836"/>
      <c r="L44" s="1836" t="s">
        <v>693</v>
      </c>
      <c r="M44" s="1836"/>
      <c r="N44" s="1836"/>
      <c r="O44" s="1836"/>
    </row>
    <row r="45" spans="1:18" ht="18.75" customHeight="1" x14ac:dyDescent="0.2">
      <c r="B45" s="1836" t="s">
        <v>695</v>
      </c>
      <c r="C45" s="1836"/>
      <c r="D45" s="1836"/>
      <c r="E45" s="1836"/>
      <c r="G45" s="1836" t="s">
        <v>693</v>
      </c>
      <c r="H45" s="1836"/>
      <c r="I45" s="1836"/>
      <c r="J45" s="1836"/>
      <c r="L45" s="1836" t="s">
        <v>694</v>
      </c>
      <c r="M45" s="1836"/>
      <c r="N45" s="1836"/>
      <c r="O45" s="1836"/>
    </row>
    <row r="46" spans="1:18" ht="18.75" customHeight="1" x14ac:dyDescent="0.2">
      <c r="G46" s="1836" t="s">
        <v>694</v>
      </c>
      <c r="H46" s="1836"/>
      <c r="I46" s="1836"/>
      <c r="J46" s="1836"/>
      <c r="L46" s="1836" t="s">
        <v>695</v>
      </c>
      <c r="M46" s="1836"/>
      <c r="N46" s="1836"/>
      <c r="O46" s="1836"/>
    </row>
    <row r="47" spans="1:18" ht="18.75" customHeight="1" x14ac:dyDescent="0.2">
      <c r="G47" s="1836" t="s">
        <v>695</v>
      </c>
      <c r="H47" s="1836"/>
      <c r="I47" s="1836"/>
      <c r="J47" s="1836"/>
    </row>
    <row r="48" spans="1:18" ht="18.75" customHeight="1" x14ac:dyDescent="0.2"/>
    <row r="49" ht="18.75" customHeight="1" x14ac:dyDescent="0.2"/>
    <row r="50" ht="18.75" customHeight="1" x14ac:dyDescent="0.2"/>
    <row r="51" ht="18.75" customHeight="1" x14ac:dyDescent="0.2"/>
    <row r="52" ht="18.75" customHeight="1" x14ac:dyDescent="0.2"/>
  </sheetData>
  <mergeCells count="64">
    <mergeCell ref="G47:J47"/>
    <mergeCell ref="L43:O43"/>
    <mergeCell ref="L44:O44"/>
    <mergeCell ref="L45:O45"/>
    <mergeCell ref="L46:O46"/>
    <mergeCell ref="B45:E45"/>
    <mergeCell ref="G44:J44"/>
    <mergeCell ref="G45:J45"/>
    <mergeCell ref="G46:J46"/>
    <mergeCell ref="B42:E42"/>
    <mergeCell ref="B43:E43"/>
    <mergeCell ref="B44:E44"/>
    <mergeCell ref="I37:J37"/>
    <mergeCell ref="N36:O36"/>
    <mergeCell ref="B38:E39"/>
    <mergeCell ref="G40:J41"/>
    <mergeCell ref="L39:O40"/>
    <mergeCell ref="I34:J34"/>
    <mergeCell ref="N33:O33"/>
    <mergeCell ref="D35:E35"/>
    <mergeCell ref="D36:E36"/>
    <mergeCell ref="I36:J36"/>
    <mergeCell ref="N35:O35"/>
    <mergeCell ref="D32:E32"/>
    <mergeCell ref="I32:J32"/>
    <mergeCell ref="N31:O31"/>
    <mergeCell ref="D33:E33"/>
    <mergeCell ref="I33:J33"/>
    <mergeCell ref="N32:O32"/>
    <mergeCell ref="D30:E30"/>
    <mergeCell ref="N30:O30"/>
    <mergeCell ref="D31:E31"/>
    <mergeCell ref="I31:J31"/>
    <mergeCell ref="H28:J28"/>
    <mergeCell ref="C23:E23"/>
    <mergeCell ref="H24:J24"/>
    <mergeCell ref="M24:O24"/>
    <mergeCell ref="C27:E27"/>
    <mergeCell ref="M27:O27"/>
    <mergeCell ref="C10:E10"/>
    <mergeCell ref="H10:J10"/>
    <mergeCell ref="M10:O10"/>
    <mergeCell ref="D16:E16"/>
    <mergeCell ref="I17:J17"/>
    <mergeCell ref="N17:O17"/>
    <mergeCell ref="C8:E8"/>
    <mergeCell ref="H8:J8"/>
    <mergeCell ref="M8:O8"/>
    <mergeCell ref="C9:E9"/>
    <mergeCell ref="H9:J9"/>
    <mergeCell ref="M9:O9"/>
    <mergeCell ref="C6:E6"/>
    <mergeCell ref="H6:J6"/>
    <mergeCell ref="M6:O6"/>
    <mergeCell ref="C7:E7"/>
    <mergeCell ref="H7:J7"/>
    <mergeCell ref="M7:O7"/>
    <mergeCell ref="B2:O2"/>
    <mergeCell ref="B4:E4"/>
    <mergeCell ref="G4:J4"/>
    <mergeCell ref="L4:O4"/>
    <mergeCell ref="C5:E5"/>
    <mergeCell ref="H5:J5"/>
    <mergeCell ref="M5:O5"/>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2D3C-B17A-4C0B-A9F3-7669740B54F5}">
  <dimension ref="B2:F53"/>
  <sheetViews>
    <sheetView showGridLines="0" topLeftCell="A4" zoomScale="70" zoomScaleNormal="70" workbookViewId="0">
      <selection activeCell="J19" sqref="J19"/>
    </sheetView>
  </sheetViews>
  <sheetFormatPr baseColWidth="10" defaultColWidth="9.1640625" defaultRowHeight="15" x14ac:dyDescent="0.2"/>
  <cols>
    <col min="1" max="1" width="2.1640625" style="260" customWidth="1"/>
    <col min="2" max="2" width="47" style="260" customWidth="1"/>
    <col min="3" max="3" width="16.33203125" style="260" customWidth="1"/>
    <col min="4" max="4" width="15.1640625" style="260" customWidth="1"/>
    <col min="5" max="5" width="13.83203125" style="736" customWidth="1"/>
    <col min="6" max="6" width="2.1640625" style="260" customWidth="1"/>
    <col min="7" max="16384" width="9.1640625" style="260"/>
  </cols>
  <sheetData>
    <row r="2" spans="2:5" ht="21" x14ac:dyDescent="0.2">
      <c r="B2" s="1763" t="s">
        <v>684</v>
      </c>
      <c r="C2" s="1764"/>
      <c r="D2" s="1764"/>
      <c r="E2" s="1765"/>
    </row>
    <row r="3" spans="2:5" ht="18" customHeight="1" thickBot="1" x14ac:dyDescent="0.25">
      <c r="B3" s="102" t="s">
        <v>15</v>
      </c>
      <c r="C3" s="675">
        <f ca="1">TODAY()</f>
        <v>43713</v>
      </c>
      <c r="D3" s="675"/>
    </row>
    <row r="4" spans="2:5" ht="18" customHeight="1" x14ac:dyDescent="0.2">
      <c r="B4" s="99" t="s">
        <v>24</v>
      </c>
      <c r="C4" s="1729" t="s">
        <v>660</v>
      </c>
      <c r="D4" s="1729"/>
      <c r="E4" s="1730"/>
    </row>
    <row r="5" spans="2:5" ht="18" customHeight="1" x14ac:dyDescent="0.2">
      <c r="B5" s="303" t="s">
        <v>250</v>
      </c>
      <c r="C5" s="1727" t="s">
        <v>661</v>
      </c>
      <c r="D5" s="1727"/>
      <c r="E5" s="1728"/>
    </row>
    <row r="6" spans="2:5" ht="18" customHeight="1" x14ac:dyDescent="0.2">
      <c r="B6" s="303" t="s">
        <v>25</v>
      </c>
      <c r="C6" s="1555" t="s">
        <v>662</v>
      </c>
      <c r="D6" s="1555"/>
      <c r="E6" s="1556"/>
    </row>
    <row r="7" spans="2:5" ht="18" customHeight="1" x14ac:dyDescent="0.2">
      <c r="B7" s="303" t="s">
        <v>663</v>
      </c>
      <c r="C7" s="1922" t="s">
        <v>664</v>
      </c>
      <c r="D7" s="1922"/>
      <c r="E7" s="1923"/>
    </row>
    <row r="8" spans="2:5" ht="18" customHeight="1" thickBot="1" x14ac:dyDescent="0.25">
      <c r="B8" s="100" t="s">
        <v>764</v>
      </c>
      <c r="C8" s="1924">
        <v>700</v>
      </c>
      <c r="D8" s="1924"/>
      <c r="E8" s="1925"/>
    </row>
    <row r="9" spans="2:5" ht="18" customHeight="1" thickBot="1" x14ac:dyDescent="0.25">
      <c r="B9" s="90" t="s">
        <v>168</v>
      </c>
      <c r="C9" s="522"/>
      <c r="D9" s="522"/>
    </row>
    <row r="10" spans="2:5" ht="18" customHeight="1" x14ac:dyDescent="0.2">
      <c r="B10" s="178" t="s">
        <v>62</v>
      </c>
      <c r="C10" s="1918" t="s">
        <v>149</v>
      </c>
      <c r="D10" s="1918"/>
      <c r="E10" s="1919"/>
    </row>
    <row r="11" spans="2:5" ht="18" customHeight="1" x14ac:dyDescent="0.2">
      <c r="B11" s="76" t="s">
        <v>192</v>
      </c>
      <c r="C11" s="1139">
        <v>1400000</v>
      </c>
      <c r="D11" s="653"/>
      <c r="E11" s="1133"/>
    </row>
    <row r="12" spans="2:5" ht="18" customHeight="1" x14ac:dyDescent="0.2">
      <c r="B12" s="91" t="s">
        <v>665</v>
      </c>
      <c r="C12" s="1143">
        <v>0</v>
      </c>
      <c r="D12" s="654"/>
      <c r="E12" s="1134"/>
    </row>
    <row r="13" spans="2:5" ht="18" customHeight="1" x14ac:dyDescent="0.2">
      <c r="B13" s="76" t="s">
        <v>670</v>
      </c>
      <c r="C13" s="653">
        <f>C11-C12</f>
        <v>1400000</v>
      </c>
      <c r="D13" s="653"/>
      <c r="E13" s="1133"/>
    </row>
    <row r="14" spans="2:5" ht="18" customHeight="1" x14ac:dyDescent="0.2">
      <c r="B14" s="91" t="s">
        <v>193</v>
      </c>
      <c r="C14" s="1143">
        <v>4200000</v>
      </c>
      <c r="D14" s="654"/>
      <c r="E14" s="1134"/>
    </row>
    <row r="15" spans="2:5" ht="18" customHeight="1" x14ac:dyDescent="0.2">
      <c r="B15" s="713" t="s">
        <v>197</v>
      </c>
      <c r="C15" s="1299">
        <f>C11+C14</f>
        <v>5600000</v>
      </c>
      <c r="D15" s="1299"/>
      <c r="E15" s="1300"/>
    </row>
    <row r="16" spans="2:5" ht="18" customHeight="1" x14ac:dyDescent="0.2">
      <c r="B16" s="91" t="s">
        <v>191</v>
      </c>
      <c r="C16" s="1298">
        <v>8000000</v>
      </c>
      <c r="D16" s="1137"/>
      <c r="E16" s="520"/>
    </row>
    <row r="17" spans="2:6" ht="18" customHeight="1" x14ac:dyDescent="0.2">
      <c r="B17" s="76" t="s">
        <v>473</v>
      </c>
      <c r="C17" s="1060">
        <v>0.57499999999999996</v>
      </c>
      <c r="D17" s="1929">
        <f>C17*C15</f>
        <v>3219999.9999999995</v>
      </c>
      <c r="E17" s="1930"/>
    </row>
    <row r="18" spans="2:6" ht="18" customHeight="1" x14ac:dyDescent="0.2">
      <c r="B18" s="91" t="s">
        <v>201</v>
      </c>
      <c r="C18" s="748">
        <v>0.6</v>
      </c>
      <c r="D18" s="1754">
        <f>C16*C18</f>
        <v>4800000</v>
      </c>
      <c r="E18" s="1928"/>
    </row>
    <row r="19" spans="2:6" ht="18" customHeight="1" x14ac:dyDescent="0.2">
      <c r="B19" s="76" t="s">
        <v>202</v>
      </c>
      <c r="C19" s="750">
        <f>100%-C17</f>
        <v>0.42500000000000004</v>
      </c>
      <c r="D19" s="1926">
        <f>C15*C19</f>
        <v>2380000.0000000005</v>
      </c>
      <c r="E19" s="1927"/>
    </row>
    <row r="20" spans="2:6" ht="18" customHeight="1" x14ac:dyDescent="0.2">
      <c r="B20" s="91" t="s">
        <v>1</v>
      </c>
      <c r="C20" s="1920" t="s">
        <v>666</v>
      </c>
      <c r="D20" s="1920"/>
      <c r="E20" s="1921"/>
    </row>
    <row r="21" spans="2:6" ht="18" customHeight="1" x14ac:dyDescent="0.2">
      <c r="B21" s="76" t="s">
        <v>687</v>
      </c>
      <c r="C21" s="1005">
        <v>9.5000000000000001E-2</v>
      </c>
      <c r="D21" s="757" t="s">
        <v>721</v>
      </c>
      <c r="E21" s="1147">
        <f>C21*C22/12</f>
        <v>25491.666666666661</v>
      </c>
    </row>
    <row r="22" spans="2:6" ht="18" customHeight="1" thickBot="1" x14ac:dyDescent="0.25">
      <c r="B22" s="752" t="s">
        <v>688</v>
      </c>
      <c r="C22" s="1062">
        <f>MIN(D17,D18)</f>
        <v>3219999.9999999995</v>
      </c>
      <c r="D22" s="730"/>
      <c r="E22" s="753"/>
    </row>
    <row r="23" spans="2:6" ht="18" customHeight="1" thickBot="1" x14ac:dyDescent="0.25">
      <c r="B23" s="528" t="s">
        <v>166</v>
      </c>
    </row>
    <row r="24" spans="2:6" ht="18" customHeight="1" x14ac:dyDescent="0.2">
      <c r="B24" s="79" t="s">
        <v>669</v>
      </c>
      <c r="C24" s="1138">
        <f>MAX(D19-C13,0)</f>
        <v>980000.00000000047</v>
      </c>
      <c r="D24" s="733"/>
      <c r="E24" s="260"/>
    </row>
    <row r="25" spans="2:6" ht="18" customHeight="1" x14ac:dyDescent="0.2">
      <c r="B25" s="91" t="s">
        <v>667</v>
      </c>
      <c r="C25" s="1129">
        <f>C22*D25</f>
        <v>64399.999999999993</v>
      </c>
      <c r="D25" s="756">
        <v>0.02</v>
      </c>
      <c r="E25" s="260"/>
    </row>
    <row r="26" spans="2:6" ht="18" customHeight="1" x14ac:dyDescent="0.2">
      <c r="B26" s="76" t="s">
        <v>10</v>
      </c>
      <c r="C26" s="1128">
        <f>D26*C22</f>
        <v>64399.999999999993</v>
      </c>
      <c r="D26" s="755">
        <v>0.02</v>
      </c>
      <c r="E26" s="260"/>
    </row>
    <row r="27" spans="2:6" ht="18" customHeight="1" x14ac:dyDescent="0.2">
      <c r="B27" s="91" t="s">
        <v>26</v>
      </c>
      <c r="C27" s="568">
        <v>999</v>
      </c>
      <c r="D27" s="756"/>
      <c r="E27" s="260"/>
    </row>
    <row r="28" spans="2:6" ht="18" customHeight="1" x14ac:dyDescent="0.2">
      <c r="B28" s="76" t="s">
        <v>681</v>
      </c>
      <c r="C28" s="628">
        <v>999</v>
      </c>
      <c r="D28" s="755"/>
      <c r="E28" s="260"/>
    </row>
    <row r="29" spans="2:6" ht="18" customHeight="1" thickBot="1" x14ac:dyDescent="0.25">
      <c r="B29" s="125" t="s">
        <v>685</v>
      </c>
      <c r="C29" s="727">
        <v>30</v>
      </c>
      <c r="D29" s="1302" t="s">
        <v>682</v>
      </c>
      <c r="E29" s="260"/>
      <c r="F29" s="736"/>
    </row>
    <row r="30" spans="2:6" ht="18" customHeight="1" thickBot="1" x14ac:dyDescent="0.25">
      <c r="B30" s="107" t="s">
        <v>169</v>
      </c>
      <c r="C30" s="530"/>
      <c r="D30" s="530"/>
    </row>
    <row r="31" spans="2:6" ht="18" customHeight="1" x14ac:dyDescent="0.2">
      <c r="B31" s="96" t="s">
        <v>12</v>
      </c>
      <c r="C31" s="1785">
        <v>1500</v>
      </c>
      <c r="D31" s="1786"/>
    </row>
    <row r="32" spans="2:6" ht="18" customHeight="1" x14ac:dyDescent="0.2">
      <c r="B32" s="97" t="s">
        <v>686</v>
      </c>
      <c r="C32" s="1148">
        <v>350</v>
      </c>
      <c r="D32" s="532"/>
      <c r="F32" s="736"/>
    </row>
    <row r="33" spans="2:6" ht="18" customHeight="1" x14ac:dyDescent="0.2">
      <c r="B33" s="97" t="s">
        <v>683</v>
      </c>
      <c r="C33" s="534">
        <v>450</v>
      </c>
      <c r="D33" s="1041" t="s">
        <v>679</v>
      </c>
      <c r="F33" s="736"/>
    </row>
    <row r="34" spans="2:6" ht="18" customHeight="1" thickBot="1" x14ac:dyDescent="0.25">
      <c r="B34" s="98" t="s">
        <v>13</v>
      </c>
      <c r="C34" s="1934">
        <v>1000</v>
      </c>
      <c r="D34" s="1935"/>
      <c r="F34" s="736"/>
    </row>
    <row r="35" spans="2:6" ht="18" customHeight="1" thickBot="1" x14ac:dyDescent="0.25">
      <c r="B35" s="497" t="s">
        <v>170</v>
      </c>
      <c r="C35" s="534"/>
      <c r="D35" s="534"/>
      <c r="F35" s="736"/>
    </row>
    <row r="36" spans="2:6" ht="18" customHeight="1" x14ac:dyDescent="0.2">
      <c r="B36" s="108" t="s">
        <v>378</v>
      </c>
      <c r="C36" s="1828">
        <f>SUM(C25:C34)</f>
        <v>134128</v>
      </c>
      <c r="D36" s="1829"/>
    </row>
    <row r="37" spans="2:6" ht="18" customHeight="1" thickBot="1" x14ac:dyDescent="0.25">
      <c r="B37" s="110" t="s">
        <v>668</v>
      </c>
      <c r="C37" s="1830">
        <f>C36+C24</f>
        <v>1114128.0000000005</v>
      </c>
      <c r="D37" s="1831"/>
    </row>
    <row r="38" spans="2:6" ht="18" customHeight="1" x14ac:dyDescent="0.2">
      <c r="B38" s="535"/>
      <c r="C38" s="536"/>
      <c r="D38" s="536"/>
    </row>
    <row r="39" spans="2:6" ht="18" customHeight="1" x14ac:dyDescent="0.2">
      <c r="B39" s="1777" t="s">
        <v>707</v>
      </c>
      <c r="C39" s="1778"/>
      <c r="D39" s="1778"/>
      <c r="E39" s="1779"/>
    </row>
    <row r="40" spans="2:6" ht="18" customHeight="1" x14ac:dyDescent="0.2">
      <c r="B40" s="1780"/>
      <c r="C40" s="1781"/>
      <c r="D40" s="1781"/>
      <c r="E40" s="1782"/>
    </row>
    <row r="41" spans="2:6" ht="18" customHeight="1" x14ac:dyDescent="0.2">
      <c r="B41" s="1768" t="s">
        <v>704</v>
      </c>
      <c r="C41" s="1769"/>
      <c r="D41" s="1769"/>
      <c r="E41" s="1770"/>
    </row>
    <row r="42" spans="2:6" ht="18" customHeight="1" x14ac:dyDescent="0.2">
      <c r="B42" s="1771" t="s">
        <v>705</v>
      </c>
      <c r="C42" s="1772"/>
      <c r="D42" s="1772"/>
      <c r="E42" s="1773"/>
    </row>
    <row r="43" spans="2:6" ht="18" customHeight="1" x14ac:dyDescent="0.2">
      <c r="B43" s="1915" t="s">
        <v>680</v>
      </c>
      <c r="C43" s="1916"/>
      <c r="D43" s="1916"/>
      <c r="E43" s="1917"/>
    </row>
    <row r="44" spans="2:6" ht="18" customHeight="1" x14ac:dyDescent="0.2">
      <c r="B44" s="1931" t="s">
        <v>706</v>
      </c>
      <c r="C44" s="1932"/>
      <c r="D44" s="1932"/>
      <c r="E44" s="1933"/>
    </row>
    <row r="46" spans="2:6" ht="16" x14ac:dyDescent="0.2">
      <c r="B46" s="535" t="s">
        <v>677</v>
      </c>
      <c r="E46" s="260"/>
    </row>
    <row r="47" spans="2:6" ht="16" x14ac:dyDescent="0.2">
      <c r="B47" s="535" t="s">
        <v>676</v>
      </c>
      <c r="E47" s="260"/>
    </row>
    <row r="48" spans="2:6" ht="16" x14ac:dyDescent="0.2">
      <c r="B48" s="535" t="s">
        <v>675</v>
      </c>
      <c r="E48" s="260"/>
    </row>
    <row r="49" spans="2:5" ht="16" x14ac:dyDescent="0.2">
      <c r="B49" s="535" t="s">
        <v>671</v>
      </c>
      <c r="E49" s="260"/>
    </row>
    <row r="50" spans="2:5" ht="16" x14ac:dyDescent="0.2">
      <c r="B50" s="535" t="s">
        <v>672</v>
      </c>
      <c r="E50" s="260"/>
    </row>
    <row r="51" spans="2:5" ht="16" x14ac:dyDescent="0.2">
      <c r="B51" s="535" t="s">
        <v>673</v>
      </c>
    </row>
    <row r="52" spans="2:5" ht="16" x14ac:dyDescent="0.2">
      <c r="B52" s="535" t="s">
        <v>674</v>
      </c>
    </row>
    <row r="53" spans="2:5" ht="16" x14ac:dyDescent="0.2">
      <c r="B53" s="535" t="s">
        <v>678</v>
      </c>
    </row>
  </sheetData>
  <mergeCells count="20">
    <mergeCell ref="B44:E44"/>
    <mergeCell ref="B39:E40"/>
    <mergeCell ref="B41:E41"/>
    <mergeCell ref="B42:E42"/>
    <mergeCell ref="C34:D34"/>
    <mergeCell ref="C31:D31"/>
    <mergeCell ref="C37:D37"/>
    <mergeCell ref="C36:D36"/>
    <mergeCell ref="B43:E43"/>
    <mergeCell ref="B2:E2"/>
    <mergeCell ref="C4:E4"/>
    <mergeCell ref="C5:E5"/>
    <mergeCell ref="C6:E6"/>
    <mergeCell ref="C10:E10"/>
    <mergeCell ref="C20:E20"/>
    <mergeCell ref="C7:E7"/>
    <mergeCell ref="C8:E8"/>
    <mergeCell ref="D19:E19"/>
    <mergeCell ref="D18:E18"/>
    <mergeCell ref="D17:E17"/>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70EE0-03AE-48D0-88D1-0B1AF1847FE7}">
  <dimension ref="A2:R54"/>
  <sheetViews>
    <sheetView showGridLines="0" topLeftCell="A7" zoomScale="70" zoomScaleNormal="70" workbookViewId="0">
      <selection activeCell="T22" sqref="T22"/>
    </sheetView>
  </sheetViews>
  <sheetFormatPr baseColWidth="10" defaultColWidth="9.1640625" defaultRowHeight="15" x14ac:dyDescent="0.2"/>
  <cols>
    <col min="1" max="1" width="2.5" style="613" customWidth="1"/>
    <col min="2" max="2" width="41.5" style="613" customWidth="1"/>
    <col min="3" max="3" width="16.33203125" style="686" customWidth="1"/>
    <col min="4" max="4" width="6" style="686" customWidth="1"/>
    <col min="5" max="5" width="15.1640625" style="686" customWidth="1"/>
    <col min="6" max="6" width="2.5" style="613" customWidth="1"/>
    <col min="7" max="7" width="42.6640625" style="260" customWidth="1"/>
    <col min="8" max="8" width="20.83203125" style="260" customWidth="1"/>
    <col min="9" max="9" width="9" style="260" customWidth="1"/>
    <col min="10" max="10" width="15.5" style="260" customWidth="1"/>
    <col min="11" max="11" width="2.5" style="613" customWidth="1"/>
    <col min="12" max="12" width="42.6640625" style="260" customWidth="1"/>
    <col min="13" max="13" width="20.83203125" style="260" customWidth="1"/>
    <col min="14" max="14" width="9" style="260" customWidth="1"/>
    <col min="15" max="15" width="15.5" style="260" customWidth="1"/>
    <col min="16" max="16" width="2.5" style="613" customWidth="1"/>
    <col min="17" max="17" width="1.1640625" style="999" customWidth="1"/>
    <col min="18" max="18" width="2.5" style="613" customWidth="1"/>
    <col min="19" max="16384" width="9.1640625" style="1"/>
  </cols>
  <sheetData>
    <row r="2" spans="1:18" ht="62" x14ac:dyDescent="0.2">
      <c r="B2" s="1660" t="s">
        <v>870</v>
      </c>
      <c r="C2" s="1661"/>
      <c r="D2" s="1661"/>
      <c r="E2" s="1661"/>
      <c r="F2" s="1661"/>
      <c r="G2" s="1661"/>
      <c r="H2" s="1661"/>
      <c r="I2" s="1661"/>
      <c r="J2" s="1661"/>
      <c r="K2" s="1661"/>
      <c r="L2" s="1661"/>
      <c r="M2" s="1661"/>
      <c r="N2" s="1661"/>
      <c r="O2" s="1662"/>
    </row>
    <row r="4" spans="1:18" ht="21" x14ac:dyDescent="0.2">
      <c r="B4" s="1619" t="s">
        <v>873</v>
      </c>
      <c r="C4" s="1620"/>
      <c r="D4" s="1620"/>
      <c r="E4" s="1621"/>
      <c r="G4" s="1634" t="s">
        <v>871</v>
      </c>
      <c r="H4" s="1635"/>
      <c r="I4" s="1635"/>
      <c r="J4" s="1636"/>
      <c r="L4" s="1651" t="s">
        <v>872</v>
      </c>
      <c r="M4" s="1652"/>
      <c r="N4" s="1652"/>
      <c r="O4" s="1653"/>
    </row>
    <row r="5" spans="1:18" ht="26" thickBot="1" x14ac:dyDescent="0.25">
      <c r="A5" s="1023"/>
      <c r="B5" s="1017" t="s">
        <v>15</v>
      </c>
      <c r="C5" s="1680">
        <f ca="1">TODAY()</f>
        <v>43713</v>
      </c>
      <c r="D5" s="1680"/>
      <c r="E5" s="1680"/>
      <c r="F5" s="1023"/>
      <c r="G5" s="396" t="s">
        <v>15</v>
      </c>
      <c r="H5" s="1024">
        <f ca="1">TODAY()</f>
        <v>43713</v>
      </c>
      <c r="I5" s="1024"/>
      <c r="J5" s="1024"/>
      <c r="K5" s="1023"/>
      <c r="L5" s="396" t="s">
        <v>15</v>
      </c>
      <c r="M5" s="1024">
        <f ca="1">TODAY()</f>
        <v>43713</v>
      </c>
      <c r="N5" s="1024"/>
      <c r="O5" s="1024"/>
      <c r="P5" s="1023"/>
      <c r="Q5" s="1025"/>
      <c r="R5" s="1023"/>
    </row>
    <row r="6" spans="1:18" ht="20" x14ac:dyDescent="0.2">
      <c r="B6" s="154" t="s">
        <v>24</v>
      </c>
      <c r="C6" s="1553" t="s">
        <v>766</v>
      </c>
      <c r="D6" s="1553"/>
      <c r="E6" s="1554"/>
      <c r="F6" s="260"/>
      <c r="G6" s="154" t="s">
        <v>24</v>
      </c>
      <c r="H6" s="1553" t="s">
        <v>766</v>
      </c>
      <c r="I6" s="1553"/>
      <c r="J6" s="1554"/>
      <c r="K6" s="260"/>
      <c r="L6" s="154" t="s">
        <v>24</v>
      </c>
      <c r="M6" s="1553" t="s">
        <v>766</v>
      </c>
      <c r="N6" s="1553"/>
      <c r="O6" s="1554"/>
      <c r="P6" s="260"/>
      <c r="Q6" s="1000"/>
    </row>
    <row r="7" spans="1:18" ht="19" x14ac:dyDescent="0.2">
      <c r="A7" s="260"/>
      <c r="B7" s="303" t="s">
        <v>250</v>
      </c>
      <c r="C7" s="1555" t="s">
        <v>780</v>
      </c>
      <c r="D7" s="1555"/>
      <c r="E7" s="1556"/>
      <c r="F7" s="260"/>
      <c r="G7" s="303" t="s">
        <v>250</v>
      </c>
      <c r="H7" s="1555" t="s">
        <v>780</v>
      </c>
      <c r="I7" s="1555"/>
      <c r="J7" s="1556"/>
      <c r="K7" s="260"/>
      <c r="L7" s="303" t="s">
        <v>250</v>
      </c>
      <c r="M7" s="1555" t="s">
        <v>780</v>
      </c>
      <c r="N7" s="1555"/>
      <c r="O7" s="1556"/>
      <c r="P7" s="260"/>
      <c r="Q7" s="1000"/>
      <c r="R7" s="260"/>
    </row>
    <row r="8" spans="1:18" customFormat="1" ht="19.5" customHeight="1" x14ac:dyDescent="0.2">
      <c r="A8" s="613"/>
      <c r="B8" s="303" t="s">
        <v>25</v>
      </c>
      <c r="C8" s="1555" t="s">
        <v>781</v>
      </c>
      <c r="D8" s="1555"/>
      <c r="E8" s="1556"/>
      <c r="F8" s="260"/>
      <c r="G8" s="303" t="s">
        <v>25</v>
      </c>
      <c r="H8" s="1555" t="s">
        <v>781</v>
      </c>
      <c r="I8" s="1555"/>
      <c r="J8" s="1556"/>
      <c r="K8" s="260"/>
      <c r="L8" s="303" t="s">
        <v>25</v>
      </c>
      <c r="M8" s="1555" t="s">
        <v>781</v>
      </c>
      <c r="N8" s="1555"/>
      <c r="O8" s="1556"/>
      <c r="P8" s="260"/>
      <c r="Q8" s="1000"/>
      <c r="R8" s="613"/>
    </row>
    <row r="9" spans="1:18" customFormat="1" ht="19.5" customHeight="1" x14ac:dyDescent="0.2">
      <c r="A9" s="613"/>
      <c r="B9" s="303" t="s">
        <v>824</v>
      </c>
      <c r="C9" s="1557" t="s">
        <v>823</v>
      </c>
      <c r="D9" s="1557"/>
      <c r="E9" s="1558"/>
      <c r="F9" s="260"/>
      <c r="G9" s="303" t="s">
        <v>824</v>
      </c>
      <c r="H9" s="1557" t="s">
        <v>823</v>
      </c>
      <c r="I9" s="1557"/>
      <c r="J9" s="1558"/>
      <c r="K9" s="260"/>
      <c r="L9" s="303" t="s">
        <v>824</v>
      </c>
      <c r="M9" s="1557" t="s">
        <v>823</v>
      </c>
      <c r="N9" s="1557"/>
      <c r="O9" s="1558"/>
      <c r="P9" s="260"/>
      <c r="Q9" s="1000"/>
      <c r="R9" s="613"/>
    </row>
    <row r="10" spans="1:18" customFormat="1" ht="19.5" customHeight="1" x14ac:dyDescent="0.2">
      <c r="A10" s="260"/>
      <c r="B10" s="893" t="s">
        <v>764</v>
      </c>
      <c r="C10" s="1559">
        <v>700</v>
      </c>
      <c r="D10" s="1559"/>
      <c r="E10" s="1560"/>
      <c r="F10" s="260"/>
      <c r="G10" s="893" t="s">
        <v>764</v>
      </c>
      <c r="H10" s="1559">
        <v>700</v>
      </c>
      <c r="I10" s="1559"/>
      <c r="J10" s="1560"/>
      <c r="K10" s="260"/>
      <c r="L10" s="893" t="s">
        <v>764</v>
      </c>
      <c r="M10" s="1559">
        <v>700</v>
      </c>
      <c r="N10" s="1559"/>
      <c r="O10" s="1560"/>
      <c r="P10" s="260"/>
      <c r="Q10" s="1000"/>
      <c r="R10" s="260"/>
    </row>
    <row r="11" spans="1:18" customFormat="1" ht="19.5" customHeight="1" thickBot="1" x14ac:dyDescent="0.25">
      <c r="A11" s="613"/>
      <c r="B11" s="888" t="s">
        <v>822</v>
      </c>
      <c r="C11" s="1180" t="s">
        <v>315</v>
      </c>
      <c r="D11" s="1180"/>
      <c r="E11" s="1181"/>
      <c r="F11" s="260"/>
      <c r="G11" s="888" t="s">
        <v>822</v>
      </c>
      <c r="H11" s="1180" t="s">
        <v>315</v>
      </c>
      <c r="I11" s="1180"/>
      <c r="J11" s="1181"/>
      <c r="K11" s="260"/>
      <c r="L11" s="888" t="s">
        <v>822</v>
      </c>
      <c r="M11" s="1180" t="s">
        <v>315</v>
      </c>
      <c r="N11" s="1180"/>
      <c r="O11" s="1181"/>
      <c r="P11" s="260"/>
      <c r="Q11" s="1000"/>
      <c r="R11" s="613"/>
    </row>
    <row r="12" spans="1:18" customFormat="1" ht="19.5" customHeight="1" thickBot="1" x14ac:dyDescent="0.25">
      <c r="A12" s="1023"/>
      <c r="B12" s="1045" t="s">
        <v>172</v>
      </c>
      <c r="C12" s="1046"/>
      <c r="D12" s="1046"/>
      <c r="E12" s="1046"/>
      <c r="F12" s="1047"/>
      <c r="G12" s="1045" t="s">
        <v>168</v>
      </c>
      <c r="H12" s="1048"/>
      <c r="I12" s="1048"/>
      <c r="J12" s="1048"/>
      <c r="K12" s="1047"/>
      <c r="L12" s="1045" t="s">
        <v>168</v>
      </c>
      <c r="M12" s="1048"/>
      <c r="N12" s="1048"/>
      <c r="O12" s="1048"/>
      <c r="P12" s="1047"/>
      <c r="Q12" s="1049"/>
      <c r="R12" s="1023"/>
    </row>
    <row r="13" spans="1:18" customFormat="1" ht="19.5" customHeight="1" x14ac:dyDescent="0.2">
      <c r="A13" s="260"/>
      <c r="B13" s="957" t="s">
        <v>291</v>
      </c>
      <c r="C13" s="1002">
        <v>137000</v>
      </c>
      <c r="D13" s="928"/>
      <c r="E13" s="929"/>
      <c r="F13" s="260"/>
      <c r="G13" s="178" t="s">
        <v>46</v>
      </c>
      <c r="H13" s="1003">
        <v>300000</v>
      </c>
      <c r="I13" s="984"/>
      <c r="J13" s="985"/>
      <c r="K13" s="260"/>
      <c r="L13" s="178" t="s">
        <v>46</v>
      </c>
      <c r="M13" s="1003">
        <v>300000</v>
      </c>
      <c r="N13" s="984"/>
      <c r="O13" s="985"/>
      <c r="P13" s="260"/>
      <c r="Q13" s="1000"/>
      <c r="R13" s="260"/>
    </row>
    <row r="14" spans="1:18" customFormat="1" ht="19.5" customHeight="1" x14ac:dyDescent="0.2">
      <c r="A14" s="613"/>
      <c r="B14" s="971" t="s">
        <v>181</v>
      </c>
      <c r="C14" s="997">
        <f>C13*E14</f>
        <v>102750</v>
      </c>
      <c r="D14" s="924" t="s">
        <v>3</v>
      </c>
      <c r="E14" s="998">
        <v>0.75</v>
      </c>
      <c r="F14" s="260"/>
      <c r="G14" s="76" t="s">
        <v>832</v>
      </c>
      <c r="H14" s="758">
        <v>150000</v>
      </c>
      <c r="I14" s="982"/>
      <c r="J14" s="986"/>
      <c r="K14" s="260"/>
      <c r="L14" s="76" t="s">
        <v>832</v>
      </c>
      <c r="M14" s="758">
        <v>50000</v>
      </c>
      <c r="N14" s="982"/>
      <c r="O14" s="986"/>
      <c r="P14" s="260"/>
      <c r="Q14" s="1000"/>
      <c r="R14" s="613"/>
    </row>
    <row r="15" spans="1:18" customFormat="1" ht="19.5" customHeight="1" x14ac:dyDescent="0.2">
      <c r="A15" s="613"/>
      <c r="B15" s="970" t="s">
        <v>800</v>
      </c>
      <c r="C15" s="1626">
        <v>5.5E-2</v>
      </c>
      <c r="D15" s="1626"/>
      <c r="E15" s="1627"/>
      <c r="F15" s="260"/>
      <c r="G15" s="970" t="s">
        <v>181</v>
      </c>
      <c r="H15" s="774">
        <f>H13*J15</f>
        <v>195000</v>
      </c>
      <c r="I15" s="968" t="s">
        <v>3</v>
      </c>
      <c r="J15" s="993">
        <v>0.65</v>
      </c>
      <c r="K15" s="260"/>
      <c r="L15" s="970" t="s">
        <v>181</v>
      </c>
      <c r="M15" s="774">
        <f>M13*O15</f>
        <v>225000</v>
      </c>
      <c r="N15" s="968" t="s">
        <v>3</v>
      </c>
      <c r="O15" s="993">
        <v>0.75</v>
      </c>
      <c r="P15" s="260"/>
      <c r="Q15" s="1000"/>
      <c r="R15" s="613"/>
    </row>
    <row r="16" spans="1:18" customFormat="1" ht="19.5" customHeight="1" x14ac:dyDescent="0.2">
      <c r="A16" s="613"/>
      <c r="B16" s="971" t="s">
        <v>799</v>
      </c>
      <c r="C16" s="946">
        <v>30</v>
      </c>
      <c r="D16" s="1936" t="s">
        <v>746</v>
      </c>
      <c r="E16" s="1937"/>
      <c r="F16" s="260"/>
      <c r="G16" s="971" t="s">
        <v>800</v>
      </c>
      <c r="H16" s="1630">
        <v>5.5E-2</v>
      </c>
      <c r="I16" s="1630"/>
      <c r="J16" s="1631"/>
      <c r="K16" s="260"/>
      <c r="L16" s="971" t="s">
        <v>800</v>
      </c>
      <c r="M16" s="1630">
        <v>5.5E-2</v>
      </c>
      <c r="N16" s="1630"/>
      <c r="O16" s="1631"/>
      <c r="P16" s="260"/>
      <c r="Q16" s="1000"/>
      <c r="R16" s="613"/>
    </row>
    <row r="17" spans="1:18" customFormat="1" ht="19.5" customHeight="1" x14ac:dyDescent="0.2">
      <c r="A17" s="613"/>
      <c r="B17" s="970" t="s">
        <v>798</v>
      </c>
      <c r="C17" s="1628">
        <v>12</v>
      </c>
      <c r="D17" s="1628"/>
      <c r="E17" s="1629"/>
      <c r="F17" s="260"/>
      <c r="G17" s="970" t="s">
        <v>799</v>
      </c>
      <c r="H17" s="565">
        <v>30</v>
      </c>
      <c r="I17" s="1938" t="s">
        <v>746</v>
      </c>
      <c r="J17" s="1939"/>
      <c r="K17" s="260"/>
      <c r="L17" s="970" t="s">
        <v>799</v>
      </c>
      <c r="M17" s="565">
        <v>30</v>
      </c>
      <c r="N17" s="1938" t="s">
        <v>746</v>
      </c>
      <c r="O17" s="1939"/>
      <c r="P17" s="260"/>
      <c r="Q17" s="1000"/>
      <c r="R17" s="613"/>
    </row>
    <row r="18" spans="1:18" customFormat="1" ht="19.5" customHeight="1" x14ac:dyDescent="0.2">
      <c r="A18" s="613"/>
      <c r="B18" s="971" t="s">
        <v>801</v>
      </c>
      <c r="C18" s="1611">
        <f>C16*C17</f>
        <v>360</v>
      </c>
      <c r="D18" s="1611"/>
      <c r="E18" s="1612"/>
      <c r="F18" s="260"/>
      <c r="G18" s="951" t="s">
        <v>53</v>
      </c>
      <c r="H18" s="1637" t="s">
        <v>295</v>
      </c>
      <c r="I18" s="1637"/>
      <c r="J18" s="1638"/>
      <c r="K18" s="260"/>
      <c r="L18" s="951" t="s">
        <v>53</v>
      </c>
      <c r="M18" s="1637" t="s">
        <v>295</v>
      </c>
      <c r="N18" s="1637"/>
      <c r="O18" s="1638"/>
      <c r="P18" s="260"/>
      <c r="Q18" s="1000"/>
      <c r="R18" s="613"/>
    </row>
    <row r="19" spans="1:18" customFormat="1" ht="19.5" customHeight="1" x14ac:dyDescent="0.2">
      <c r="A19" s="613"/>
      <c r="B19" s="970" t="s">
        <v>806</v>
      </c>
      <c r="C19" s="1643">
        <f>-PMT(C15/C17,C18,C14,0)</f>
        <v>583.40319888404542</v>
      </c>
      <c r="D19" s="1643"/>
      <c r="E19" s="1644"/>
      <c r="F19" s="260"/>
      <c r="G19" s="970" t="s">
        <v>798</v>
      </c>
      <c r="H19" s="1628">
        <v>12</v>
      </c>
      <c r="I19" s="1628"/>
      <c r="J19" s="1629"/>
      <c r="K19" s="260"/>
      <c r="L19" s="970" t="s">
        <v>798</v>
      </c>
      <c r="M19" s="1628">
        <v>12</v>
      </c>
      <c r="N19" s="1628"/>
      <c r="O19" s="1629"/>
      <c r="P19" s="260"/>
      <c r="Q19" s="1000"/>
      <c r="R19" s="613"/>
    </row>
    <row r="20" spans="1:18" customFormat="1" ht="19.5" customHeight="1" x14ac:dyDescent="0.2">
      <c r="A20" s="613"/>
      <c r="B20" s="971" t="s">
        <v>839</v>
      </c>
      <c r="C20" s="1563">
        <f>C19*C18</f>
        <v>210025.15159825634</v>
      </c>
      <c r="D20" s="1563"/>
      <c r="E20" s="1564"/>
      <c r="F20" s="260"/>
      <c r="G20" s="971" t="s">
        <v>801</v>
      </c>
      <c r="H20" s="1611">
        <f>H17*H19</f>
        <v>360</v>
      </c>
      <c r="I20" s="1611"/>
      <c r="J20" s="1612"/>
      <c r="K20" s="260"/>
      <c r="L20" s="971" t="s">
        <v>801</v>
      </c>
      <c r="M20" s="1611">
        <f>M17*M19</f>
        <v>360</v>
      </c>
      <c r="N20" s="1611"/>
      <c r="O20" s="1612"/>
      <c r="P20" s="260"/>
      <c r="Q20" s="1000"/>
      <c r="R20" s="613"/>
    </row>
    <row r="21" spans="1:18" customFormat="1" ht="19.5" customHeight="1" x14ac:dyDescent="0.2">
      <c r="A21" s="613"/>
      <c r="B21" s="979" t="s">
        <v>803</v>
      </c>
      <c r="C21" s="1641">
        <f>C20-C14</f>
        <v>107275.15159825634</v>
      </c>
      <c r="D21" s="1641"/>
      <c r="E21" s="1642"/>
      <c r="F21" s="260"/>
      <c r="G21" s="970" t="s">
        <v>806</v>
      </c>
      <c r="H21" s="1643">
        <f>-PMT(H16/H19,H20,H15,0)</f>
        <v>1107.1885526266556</v>
      </c>
      <c r="I21" s="1643"/>
      <c r="J21" s="1644"/>
      <c r="K21" s="260"/>
      <c r="L21" s="970" t="s">
        <v>806</v>
      </c>
      <c r="M21" s="1643">
        <f>-PMT(M16/M19,M20,M15,0)</f>
        <v>1277.5252530307564</v>
      </c>
      <c r="N21" s="1643"/>
      <c r="O21" s="1644"/>
      <c r="P21" s="260"/>
      <c r="Q21" s="1000"/>
      <c r="R21" s="613"/>
    </row>
    <row r="22" spans="1:18" customFormat="1" ht="19.5" customHeight="1" x14ac:dyDescent="0.2">
      <c r="A22" s="613"/>
      <c r="B22" s="971" t="s">
        <v>299</v>
      </c>
      <c r="C22" s="1639">
        <v>1400</v>
      </c>
      <c r="D22" s="1639"/>
      <c r="E22" s="1640"/>
      <c r="F22" s="260"/>
      <c r="G22" s="971" t="s">
        <v>839</v>
      </c>
      <c r="H22" s="1563">
        <f>H21*H20</f>
        <v>398587.87894559599</v>
      </c>
      <c r="I22" s="1563"/>
      <c r="J22" s="1564"/>
      <c r="K22" s="260"/>
      <c r="L22" s="971" t="s">
        <v>802</v>
      </c>
      <c r="M22" s="1563">
        <f>M21*M20</f>
        <v>459909.0910910723</v>
      </c>
      <c r="N22" s="1563"/>
      <c r="O22" s="1564"/>
      <c r="P22" s="260"/>
      <c r="Q22" s="1000"/>
      <c r="R22" s="613"/>
    </row>
    <row r="23" spans="1:18" customFormat="1" ht="19.5" customHeight="1" x14ac:dyDescent="0.2">
      <c r="A23" s="613"/>
      <c r="B23" s="970" t="s">
        <v>524</v>
      </c>
      <c r="C23" s="1615">
        <v>100</v>
      </c>
      <c r="D23" s="1615"/>
      <c r="E23" s="1616"/>
      <c r="F23" s="260"/>
      <c r="G23" s="979" t="s">
        <v>803</v>
      </c>
      <c r="H23" s="1641">
        <f>H22-H15</f>
        <v>203587.87894559599</v>
      </c>
      <c r="I23" s="1641"/>
      <c r="J23" s="1642"/>
      <c r="K23" s="260"/>
      <c r="L23" s="979" t="s">
        <v>803</v>
      </c>
      <c r="M23" s="1641">
        <f>M22-M15</f>
        <v>234909.0910910723</v>
      </c>
      <c r="N23" s="1641"/>
      <c r="O23" s="1642"/>
      <c r="P23" s="260"/>
      <c r="Q23" s="1000"/>
      <c r="R23" s="613"/>
    </row>
    <row r="24" spans="1:18" customFormat="1" ht="19.5" customHeight="1" x14ac:dyDescent="0.2">
      <c r="A24" s="613"/>
      <c r="B24" s="971" t="s">
        <v>525</v>
      </c>
      <c r="C24" s="1617">
        <v>235</v>
      </c>
      <c r="D24" s="1617"/>
      <c r="E24" s="1618"/>
      <c r="F24" s="260"/>
      <c r="G24" s="971" t="s">
        <v>299</v>
      </c>
      <c r="H24" s="1613">
        <v>1400</v>
      </c>
      <c r="I24" s="1613"/>
      <c r="J24" s="1614"/>
      <c r="K24" s="260"/>
      <c r="L24" s="971" t="s">
        <v>299</v>
      </c>
      <c r="M24" s="1613">
        <v>1400</v>
      </c>
      <c r="N24" s="1613"/>
      <c r="O24" s="1614"/>
      <c r="P24" s="260"/>
      <c r="Q24" s="1000"/>
      <c r="R24" s="613"/>
    </row>
    <row r="25" spans="1:18" customFormat="1" ht="19.5" customHeight="1" x14ac:dyDescent="0.2">
      <c r="A25" s="613"/>
      <c r="B25" s="970" t="s">
        <v>807</v>
      </c>
      <c r="C25" s="1645">
        <f>C19+C24+C23</f>
        <v>918.40319888404542</v>
      </c>
      <c r="D25" s="1645"/>
      <c r="E25" s="1646"/>
      <c r="F25" s="260"/>
      <c r="G25" s="970" t="s">
        <v>524</v>
      </c>
      <c r="H25" s="1615">
        <v>100</v>
      </c>
      <c r="I25" s="1615"/>
      <c r="J25" s="1616"/>
      <c r="K25" s="260"/>
      <c r="L25" s="970" t="s">
        <v>524</v>
      </c>
      <c r="M25" s="1615">
        <v>100</v>
      </c>
      <c r="N25" s="1615"/>
      <c r="O25" s="1616"/>
      <c r="P25" s="260"/>
      <c r="Q25" s="1000"/>
      <c r="R25" s="613"/>
    </row>
    <row r="26" spans="1:18" customFormat="1" ht="19.5" customHeight="1" x14ac:dyDescent="0.2">
      <c r="A26" s="613"/>
      <c r="B26" s="971" t="s">
        <v>808</v>
      </c>
      <c r="C26" s="1647">
        <f>C22/C25</f>
        <v>1.5243849343089662</v>
      </c>
      <c r="D26" s="1647"/>
      <c r="E26" s="1648"/>
      <c r="F26" s="260"/>
      <c r="G26" s="971" t="s">
        <v>525</v>
      </c>
      <c r="H26" s="1617">
        <v>235</v>
      </c>
      <c r="I26" s="1617"/>
      <c r="J26" s="1618"/>
      <c r="K26" s="260"/>
      <c r="L26" s="971" t="s">
        <v>525</v>
      </c>
      <c r="M26" s="1617">
        <v>235</v>
      </c>
      <c r="N26" s="1617"/>
      <c r="O26" s="1618"/>
      <c r="P26" s="260"/>
      <c r="Q26" s="1000"/>
      <c r="R26" s="613"/>
    </row>
    <row r="27" spans="1:18" customFormat="1" ht="19.5" customHeight="1" thickBot="1" x14ac:dyDescent="0.25">
      <c r="A27" s="613"/>
      <c r="B27" s="952" t="s">
        <v>53</v>
      </c>
      <c r="C27" s="1944" t="s">
        <v>295</v>
      </c>
      <c r="D27" s="1944"/>
      <c r="E27" s="1945"/>
      <c r="F27" s="260"/>
      <c r="G27" s="970" t="s">
        <v>807</v>
      </c>
      <c r="H27" s="1645">
        <f>H21+H26+H25</f>
        <v>1442.1885526266556</v>
      </c>
      <c r="I27" s="1645"/>
      <c r="J27" s="1646"/>
      <c r="K27" s="260"/>
      <c r="L27" s="970" t="s">
        <v>807</v>
      </c>
      <c r="M27" s="1645">
        <f>M21+M26+M25</f>
        <v>1612.5252530307564</v>
      </c>
      <c r="N27" s="1645"/>
      <c r="O27" s="1646"/>
      <c r="P27" s="260"/>
      <c r="Q27" s="1000"/>
      <c r="R27" s="613"/>
    </row>
    <row r="28" spans="1:18" customFormat="1" ht="19.5" customHeight="1" thickBot="1" x14ac:dyDescent="0.25">
      <c r="A28" s="613"/>
      <c r="B28" s="1050" t="s">
        <v>166</v>
      </c>
      <c r="C28" s="505"/>
      <c r="D28" s="505"/>
      <c r="E28" s="505"/>
      <c r="F28" s="260"/>
      <c r="G28" s="817" t="s">
        <v>808</v>
      </c>
      <c r="H28" s="1940">
        <f>H24/H27</f>
        <v>0.97074685376623071</v>
      </c>
      <c r="I28" s="1940"/>
      <c r="J28" s="1941"/>
      <c r="K28" s="260"/>
      <c r="L28" s="817" t="s">
        <v>808</v>
      </c>
      <c r="M28" s="1940">
        <f>M24/M27</f>
        <v>0.86820345750783545</v>
      </c>
      <c r="N28" s="1940"/>
      <c r="O28" s="1941"/>
      <c r="P28" s="260"/>
      <c r="Q28" s="1000"/>
      <c r="R28" s="613"/>
    </row>
    <row r="29" spans="1:18" customFormat="1" ht="19.5" customHeight="1" thickBot="1" x14ac:dyDescent="0.25">
      <c r="A29" s="613"/>
      <c r="B29" s="464" t="s">
        <v>4</v>
      </c>
      <c r="C29" s="1573">
        <f>C13-C14</f>
        <v>34250</v>
      </c>
      <c r="D29" s="1573"/>
      <c r="E29" s="1574"/>
      <c r="F29" s="260"/>
      <c r="G29" s="1050" t="s">
        <v>166</v>
      </c>
      <c r="H29" s="965"/>
      <c r="I29" s="965"/>
      <c r="J29" s="965"/>
      <c r="K29" s="260"/>
      <c r="L29" s="1050" t="s">
        <v>166</v>
      </c>
      <c r="M29" s="965"/>
      <c r="N29" s="965"/>
      <c r="O29" s="965"/>
      <c r="P29" s="260"/>
      <c r="Q29" s="1000"/>
      <c r="R29" s="613"/>
    </row>
    <row r="30" spans="1:18" customFormat="1" ht="19.5" customHeight="1" x14ac:dyDescent="0.2">
      <c r="A30" s="613"/>
      <c r="B30" s="465" t="s">
        <v>815</v>
      </c>
      <c r="C30" s="1136">
        <v>2000</v>
      </c>
      <c r="D30" s="932"/>
      <c r="E30" s="933"/>
      <c r="F30" s="260"/>
      <c r="G30" s="981" t="s">
        <v>809</v>
      </c>
      <c r="H30" s="944">
        <f>H14-H31</f>
        <v>150000</v>
      </c>
      <c r="I30" s="634"/>
      <c r="J30" s="429"/>
      <c r="K30" s="260"/>
      <c r="L30" s="207" t="s">
        <v>43</v>
      </c>
      <c r="M30" s="987">
        <f>M14</f>
        <v>50000</v>
      </c>
      <c r="N30" s="940"/>
      <c r="O30" s="941"/>
      <c r="P30" s="260"/>
      <c r="Q30" s="1000"/>
      <c r="R30" s="613"/>
    </row>
    <row r="31" spans="1:18" customFormat="1" ht="19.5" customHeight="1" x14ac:dyDescent="0.2">
      <c r="A31" s="613"/>
      <c r="B31" s="466" t="s">
        <v>45</v>
      </c>
      <c r="C31" s="995">
        <f>C14*E31</f>
        <v>2825.625</v>
      </c>
      <c r="D31" s="920" t="s">
        <v>617</v>
      </c>
      <c r="E31" s="922">
        <v>2.75E-2</v>
      </c>
      <c r="F31" s="260"/>
      <c r="G31" s="980" t="s">
        <v>831</v>
      </c>
      <c r="H31" s="723">
        <f>MAX(0,H14-H15)</f>
        <v>0</v>
      </c>
      <c r="I31" s="938"/>
      <c r="J31" s="939"/>
      <c r="K31" s="260"/>
      <c r="L31" s="91" t="s">
        <v>45</v>
      </c>
      <c r="M31" s="725">
        <f>M15*O31</f>
        <v>5625</v>
      </c>
      <c r="N31" s="903" t="s">
        <v>617</v>
      </c>
      <c r="O31" s="989">
        <v>2.5000000000000001E-2</v>
      </c>
      <c r="P31" s="260"/>
      <c r="Q31" s="1000"/>
      <c r="R31" s="613"/>
    </row>
    <row r="32" spans="1:18" customFormat="1" ht="19.5" customHeight="1" x14ac:dyDescent="0.2">
      <c r="A32" s="613"/>
      <c r="B32" s="465" t="s">
        <v>10</v>
      </c>
      <c r="C32" s="996">
        <f>MAX(4000,C14*E32)</f>
        <v>4000</v>
      </c>
      <c r="D32" s="921" t="s">
        <v>617</v>
      </c>
      <c r="E32" s="923">
        <v>0</v>
      </c>
      <c r="F32" s="260"/>
      <c r="G32" s="91" t="s">
        <v>45</v>
      </c>
      <c r="H32" s="725">
        <f>H15*J32</f>
        <v>4875</v>
      </c>
      <c r="I32" s="903" t="s">
        <v>617</v>
      </c>
      <c r="J32" s="989">
        <v>2.5000000000000001E-2</v>
      </c>
      <c r="K32" s="260"/>
      <c r="L32" s="76" t="s">
        <v>10</v>
      </c>
      <c r="M32" s="723">
        <f>MAX(4000,M15*O32)</f>
        <v>4500</v>
      </c>
      <c r="N32" s="904" t="s">
        <v>617</v>
      </c>
      <c r="O32" s="990">
        <v>0.02</v>
      </c>
      <c r="P32" s="260"/>
      <c r="Q32" s="1000"/>
      <c r="R32" s="613"/>
    </row>
    <row r="33" spans="1:18" customFormat="1" ht="19.5" customHeight="1" thickBot="1" x14ac:dyDescent="0.25">
      <c r="A33" s="613"/>
      <c r="B33" s="489" t="s">
        <v>5</v>
      </c>
      <c r="C33" s="1942">
        <v>1450</v>
      </c>
      <c r="D33" s="1942"/>
      <c r="E33" s="1943"/>
      <c r="F33" s="260"/>
      <c r="G33" s="76" t="s">
        <v>10</v>
      </c>
      <c r="H33" s="723">
        <f>MAX(4000,H15*J33)</f>
        <v>4000</v>
      </c>
      <c r="I33" s="904" t="s">
        <v>617</v>
      </c>
      <c r="J33" s="990">
        <v>0.02</v>
      </c>
      <c r="K33" s="260"/>
      <c r="L33" s="125" t="s">
        <v>5</v>
      </c>
      <c r="M33" s="1142">
        <v>1450</v>
      </c>
      <c r="N33" s="936"/>
      <c r="O33" s="937"/>
      <c r="P33" s="260"/>
      <c r="Q33" s="1000"/>
      <c r="R33" s="613"/>
    </row>
    <row r="34" spans="1:18" customFormat="1" ht="19.5" customHeight="1" thickBot="1" x14ac:dyDescent="0.25">
      <c r="A34" s="613"/>
      <c r="B34" s="1017" t="s">
        <v>169</v>
      </c>
      <c r="C34" s="943"/>
      <c r="D34" s="943"/>
      <c r="E34" s="943"/>
      <c r="F34" s="260"/>
      <c r="G34" s="125" t="s">
        <v>5</v>
      </c>
      <c r="H34" s="1142">
        <v>1450</v>
      </c>
      <c r="I34" s="936"/>
      <c r="J34" s="937"/>
      <c r="K34" s="260"/>
      <c r="L34" s="1057" t="s">
        <v>169</v>
      </c>
      <c r="M34" s="930"/>
      <c r="N34" s="930"/>
      <c r="O34" s="930"/>
      <c r="P34" s="260"/>
      <c r="Q34" s="1000"/>
      <c r="R34" s="613"/>
    </row>
    <row r="35" spans="1:18" customFormat="1" ht="19.5" customHeight="1" thickBot="1" x14ac:dyDescent="0.25">
      <c r="A35" s="613"/>
      <c r="B35" s="372" t="s">
        <v>14</v>
      </c>
      <c r="C35" s="1042">
        <v>580</v>
      </c>
      <c r="D35" s="1596" t="s">
        <v>770</v>
      </c>
      <c r="E35" s="1597"/>
      <c r="F35" s="260"/>
      <c r="G35" s="1057" t="s">
        <v>169</v>
      </c>
      <c r="H35" s="930"/>
      <c r="I35" s="930"/>
      <c r="J35" s="930"/>
      <c r="K35" s="260"/>
      <c r="L35" s="372" t="s">
        <v>14</v>
      </c>
      <c r="M35" s="1042">
        <v>650</v>
      </c>
      <c r="N35" s="1596" t="s">
        <v>770</v>
      </c>
      <c r="O35" s="1597"/>
      <c r="P35" s="260"/>
      <c r="Q35" s="1000"/>
      <c r="R35" s="613"/>
    </row>
    <row r="36" spans="1:18" customFormat="1" ht="19.5" customHeight="1" x14ac:dyDescent="0.2">
      <c r="A36" s="613"/>
      <c r="B36" s="374" t="s">
        <v>810</v>
      </c>
      <c r="C36" s="1141">
        <v>199</v>
      </c>
      <c r="D36" s="1594" t="s">
        <v>770</v>
      </c>
      <c r="E36" s="1595"/>
      <c r="F36" s="260"/>
      <c r="G36" s="372" t="s">
        <v>14</v>
      </c>
      <c r="H36" s="1042">
        <v>650</v>
      </c>
      <c r="I36" s="1596" t="s">
        <v>770</v>
      </c>
      <c r="J36" s="1597"/>
      <c r="K36" s="260"/>
      <c r="L36" s="374" t="s">
        <v>325</v>
      </c>
      <c r="M36" s="994">
        <v>0</v>
      </c>
      <c r="N36" s="1594" t="s">
        <v>770</v>
      </c>
      <c r="O36" s="1595"/>
      <c r="P36" s="260"/>
      <c r="Q36" s="1000"/>
      <c r="R36" s="613"/>
    </row>
    <row r="37" spans="1:18" customFormat="1" ht="19.5" customHeight="1" x14ac:dyDescent="0.2">
      <c r="A37" s="613"/>
      <c r="B37" s="374" t="s">
        <v>811</v>
      </c>
      <c r="C37" s="1136">
        <v>1500</v>
      </c>
      <c r="D37" s="1609" t="s">
        <v>771</v>
      </c>
      <c r="E37" s="1610"/>
      <c r="F37" s="260"/>
      <c r="G37" s="374" t="s">
        <v>810</v>
      </c>
      <c r="H37" s="1141">
        <v>199</v>
      </c>
      <c r="I37" s="1594" t="s">
        <v>770</v>
      </c>
      <c r="J37" s="1595"/>
      <c r="K37" s="260"/>
      <c r="L37" s="374" t="s">
        <v>810</v>
      </c>
      <c r="M37" s="1141">
        <v>199</v>
      </c>
      <c r="N37" s="1594" t="s">
        <v>770</v>
      </c>
      <c r="O37" s="1595"/>
      <c r="P37" s="260"/>
      <c r="Q37" s="1000"/>
      <c r="R37" s="613"/>
    </row>
    <row r="38" spans="1:18" customFormat="1" ht="19.5" customHeight="1" thickBot="1" x14ac:dyDescent="0.25">
      <c r="A38" s="260"/>
      <c r="B38" s="98" t="s">
        <v>812</v>
      </c>
      <c r="C38" s="891">
        <v>1500</v>
      </c>
      <c r="D38" s="1599" t="s">
        <v>771</v>
      </c>
      <c r="E38" s="1600"/>
      <c r="F38" s="260"/>
      <c r="G38" s="374" t="s">
        <v>12</v>
      </c>
      <c r="H38" s="1136">
        <v>1500</v>
      </c>
      <c r="I38" s="1609" t="s">
        <v>771</v>
      </c>
      <c r="J38" s="1610"/>
      <c r="K38" s="260"/>
      <c r="L38" s="374" t="s">
        <v>814</v>
      </c>
      <c r="M38" s="1136">
        <v>1500</v>
      </c>
      <c r="N38" s="1609" t="s">
        <v>771</v>
      </c>
      <c r="O38" s="1610"/>
      <c r="P38" s="260"/>
      <c r="Q38" s="1000"/>
      <c r="R38" s="260"/>
    </row>
    <row r="39" spans="1:18" customFormat="1" ht="19.5" customHeight="1" thickBot="1" x14ac:dyDescent="0.25">
      <c r="A39" s="613"/>
      <c r="B39" s="1056" t="s">
        <v>170</v>
      </c>
      <c r="C39" s="508"/>
      <c r="D39" s="227"/>
      <c r="E39" s="227"/>
      <c r="F39" s="260"/>
      <c r="G39" s="98" t="s">
        <v>294</v>
      </c>
      <c r="H39" s="891">
        <v>1500</v>
      </c>
      <c r="I39" s="1599" t="s">
        <v>771</v>
      </c>
      <c r="J39" s="1600"/>
      <c r="K39" s="260"/>
      <c r="L39" s="98" t="s">
        <v>812</v>
      </c>
      <c r="M39" s="891">
        <v>1500</v>
      </c>
      <c r="N39" s="1599" t="s">
        <v>771</v>
      </c>
      <c r="O39" s="1600"/>
      <c r="P39" s="613"/>
      <c r="Q39" s="999"/>
      <c r="R39" s="613"/>
    </row>
    <row r="40" spans="1:18" customFormat="1" ht="19.5" customHeight="1" thickBot="1" x14ac:dyDescent="0.25">
      <c r="A40" s="613"/>
      <c r="B40" s="491" t="s">
        <v>220</v>
      </c>
      <c r="C40" s="991">
        <f>SUM(C31:C33,C35:C38)</f>
        <v>12054.625</v>
      </c>
      <c r="D40" s="1608"/>
      <c r="E40" s="1608"/>
      <c r="F40" s="260"/>
      <c r="G40" s="1056" t="s">
        <v>170</v>
      </c>
      <c r="H40" s="774"/>
      <c r="I40" s="774"/>
      <c r="J40" s="774"/>
      <c r="K40" s="260"/>
      <c r="L40" s="1056" t="s">
        <v>170</v>
      </c>
      <c r="M40" s="774"/>
      <c r="N40" s="774"/>
      <c r="O40" s="774"/>
      <c r="P40" s="613"/>
      <c r="Q40" s="999"/>
      <c r="R40" s="613"/>
    </row>
    <row r="41" spans="1:18" customFormat="1" ht="19.5" customHeight="1" thickBot="1" x14ac:dyDescent="0.25">
      <c r="A41" s="613"/>
      <c r="B41" s="493" t="s">
        <v>816</v>
      </c>
      <c r="C41" s="992">
        <f>C40+C29-C30</f>
        <v>44304.625</v>
      </c>
      <c r="D41" s="1607"/>
      <c r="E41" s="1607"/>
      <c r="F41" s="613"/>
      <c r="G41" s="108" t="s">
        <v>772</v>
      </c>
      <c r="H41" s="627">
        <f>SUM(H32:H39)</f>
        <v>14174</v>
      </c>
      <c r="I41" s="902"/>
      <c r="J41" s="902"/>
      <c r="K41" s="613"/>
      <c r="L41" s="108" t="s">
        <v>772</v>
      </c>
      <c r="M41" s="627">
        <f>SUM(M31:M39)</f>
        <v>15424</v>
      </c>
      <c r="N41" s="902"/>
      <c r="O41" s="902"/>
      <c r="P41" s="613"/>
      <c r="Q41" s="999"/>
      <c r="R41" s="613"/>
    </row>
    <row r="42" spans="1:18" ht="19.5" customHeight="1" x14ac:dyDescent="0.2">
      <c r="B42" s="690"/>
      <c r="C42" s="227"/>
      <c r="D42" s="227"/>
      <c r="E42" s="227"/>
      <c r="G42" s="437" t="s">
        <v>773</v>
      </c>
      <c r="H42" s="775">
        <f>SUM(H41,H30)</f>
        <v>164174</v>
      </c>
      <c r="I42" s="905"/>
      <c r="J42" s="905"/>
      <c r="L42" s="437" t="s">
        <v>773</v>
      </c>
      <c r="M42" s="775">
        <f>SUM(M41,M30)</f>
        <v>65424</v>
      </c>
      <c r="N42" s="905"/>
      <c r="O42" s="905"/>
    </row>
    <row r="43" spans="1:18" ht="19.5" customHeight="1" thickBot="1" x14ac:dyDescent="0.25">
      <c r="B43" s="1601" t="s">
        <v>376</v>
      </c>
      <c r="C43" s="1602"/>
      <c r="D43" s="1602"/>
      <c r="E43" s="1603"/>
      <c r="G43" s="110" t="s">
        <v>535</v>
      </c>
      <c r="H43" s="1043">
        <f>MAX(0,H42-H15)</f>
        <v>0</v>
      </c>
      <c r="I43" s="906"/>
      <c r="J43" s="906"/>
      <c r="L43" s="98" t="s">
        <v>836</v>
      </c>
      <c r="M43" s="803">
        <f>M15-M42</f>
        <v>159576</v>
      </c>
      <c r="N43" s="906"/>
      <c r="O43" s="906"/>
    </row>
    <row r="44" spans="1:18" ht="19.5" customHeight="1" x14ac:dyDescent="0.2">
      <c r="B44" s="1604"/>
      <c r="C44" s="1605"/>
      <c r="D44" s="1605"/>
      <c r="E44" s="1606"/>
      <c r="G44" s="570"/>
      <c r="H44" s="571"/>
      <c r="I44" s="907"/>
      <c r="J44" s="907"/>
      <c r="L44" s="570"/>
      <c r="M44" s="571"/>
      <c r="N44" s="907"/>
      <c r="O44" s="907"/>
    </row>
    <row r="45" spans="1:18" ht="19.5" customHeight="1" x14ac:dyDescent="0.2">
      <c r="B45" s="1598"/>
      <c r="C45" s="1598"/>
      <c r="D45" s="935"/>
      <c r="E45" s="935"/>
      <c r="G45" s="1601" t="s">
        <v>376</v>
      </c>
      <c r="H45" s="1602"/>
      <c r="I45" s="1602"/>
      <c r="J45" s="1603"/>
      <c r="L45" s="1601" t="s">
        <v>376</v>
      </c>
      <c r="M45" s="1602"/>
      <c r="N45" s="1602"/>
      <c r="O45" s="1603"/>
    </row>
    <row r="46" spans="1:18" ht="19.5" customHeight="1" x14ac:dyDescent="0.2">
      <c r="G46" s="1604"/>
      <c r="H46" s="1605"/>
      <c r="I46" s="1605"/>
      <c r="J46" s="1606"/>
      <c r="L46" s="1604"/>
      <c r="M46" s="1605"/>
      <c r="N46" s="1605"/>
      <c r="O46" s="1606"/>
    </row>
    <row r="47" spans="1:18" ht="19.5" customHeight="1" x14ac:dyDescent="0.2">
      <c r="G47" s="776"/>
      <c r="H47" s="535"/>
      <c r="I47" s="571"/>
      <c r="J47" s="571"/>
      <c r="L47" s="776"/>
      <c r="M47" s="535"/>
      <c r="N47" s="571"/>
      <c r="O47" s="571"/>
    </row>
    <row r="48" spans="1:18" ht="16" x14ac:dyDescent="0.2">
      <c r="I48" s="535"/>
      <c r="J48" s="535"/>
      <c r="N48" s="535"/>
      <c r="O48" s="535"/>
    </row>
    <row r="51" ht="15" customHeight="1" x14ac:dyDescent="0.2"/>
    <row r="52" ht="45" customHeight="1" x14ac:dyDescent="0.2"/>
    <row r="54" ht="15" customHeight="1" x14ac:dyDescent="0.2"/>
  </sheetData>
  <mergeCells count="80">
    <mergeCell ref="L45:O46"/>
    <mergeCell ref="D40:E40"/>
    <mergeCell ref="D41:E41"/>
    <mergeCell ref="B43:E44"/>
    <mergeCell ref="B45:C45"/>
    <mergeCell ref="G45:J46"/>
    <mergeCell ref="D38:E38"/>
    <mergeCell ref="I38:J38"/>
    <mergeCell ref="N38:O38"/>
    <mergeCell ref="I39:J39"/>
    <mergeCell ref="N39:O39"/>
    <mergeCell ref="N35:O35"/>
    <mergeCell ref="D36:E36"/>
    <mergeCell ref="I36:J36"/>
    <mergeCell ref="N36:O36"/>
    <mergeCell ref="D37:E37"/>
    <mergeCell ref="I37:J37"/>
    <mergeCell ref="N37:O37"/>
    <mergeCell ref="C29:E29"/>
    <mergeCell ref="C33:E33"/>
    <mergeCell ref="D35:E35"/>
    <mergeCell ref="C27:E27"/>
    <mergeCell ref="H27:J27"/>
    <mergeCell ref="M27:O27"/>
    <mergeCell ref="H28:J28"/>
    <mergeCell ref="M28:O28"/>
    <mergeCell ref="C25:E25"/>
    <mergeCell ref="H25:J25"/>
    <mergeCell ref="M25:O25"/>
    <mergeCell ref="C26:E26"/>
    <mergeCell ref="H26:J26"/>
    <mergeCell ref="M26:O26"/>
    <mergeCell ref="C23:E23"/>
    <mergeCell ref="H23:J23"/>
    <mergeCell ref="M23:O23"/>
    <mergeCell ref="C24:E24"/>
    <mergeCell ref="H24:J24"/>
    <mergeCell ref="M24:O24"/>
    <mergeCell ref="C21:E21"/>
    <mergeCell ref="H21:J21"/>
    <mergeCell ref="M21:O21"/>
    <mergeCell ref="C22:E22"/>
    <mergeCell ref="H22:J22"/>
    <mergeCell ref="M22:O22"/>
    <mergeCell ref="C19:E19"/>
    <mergeCell ref="H19:J19"/>
    <mergeCell ref="M19:O19"/>
    <mergeCell ref="C20:E20"/>
    <mergeCell ref="H20:J20"/>
    <mergeCell ref="M20:O20"/>
    <mergeCell ref="C17:E17"/>
    <mergeCell ref="I17:J17"/>
    <mergeCell ref="N17:O17"/>
    <mergeCell ref="C18:E18"/>
    <mergeCell ref="H18:J18"/>
    <mergeCell ref="M18:O18"/>
    <mergeCell ref="C10:E10"/>
    <mergeCell ref="H10:J10"/>
    <mergeCell ref="M10:O10"/>
    <mergeCell ref="C15:E15"/>
    <mergeCell ref="D16:E16"/>
    <mergeCell ref="H16:J16"/>
    <mergeCell ref="M16:O16"/>
    <mergeCell ref="H8:J8"/>
    <mergeCell ref="M8:O8"/>
    <mergeCell ref="C9:E9"/>
    <mergeCell ref="H9:J9"/>
    <mergeCell ref="M9:O9"/>
    <mergeCell ref="C8:E8"/>
    <mergeCell ref="B2:O2"/>
    <mergeCell ref="B4:E4"/>
    <mergeCell ref="G4:J4"/>
    <mergeCell ref="L4:O4"/>
    <mergeCell ref="C5:E5"/>
    <mergeCell ref="C6:E6"/>
    <mergeCell ref="H6:J6"/>
    <mergeCell ref="M6:O6"/>
    <mergeCell ref="C7:E7"/>
    <mergeCell ref="H7:J7"/>
    <mergeCell ref="M7:O7"/>
  </mergeCells>
  <conditionalFormatting sqref="H31">
    <cfRule type="cellIs" dxfId="6" priority="1" operator="greaterThan">
      <formula>0</formula>
    </cfRule>
  </conditionalFormatting>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9670B-C793-4043-BE6E-0A26BFBCE8C8}">
  <dimension ref="A2:AA58"/>
  <sheetViews>
    <sheetView showGridLines="0" topLeftCell="A7" zoomScale="70" zoomScaleNormal="70" workbookViewId="0">
      <selection activeCell="K23" sqref="K23:M23"/>
    </sheetView>
  </sheetViews>
  <sheetFormatPr baseColWidth="10" defaultColWidth="9.1640625" defaultRowHeight="15" x14ac:dyDescent="0.2"/>
  <cols>
    <col min="1" max="1" width="2.5" style="613" customWidth="1"/>
    <col min="2" max="2" width="44" style="613" customWidth="1"/>
    <col min="3" max="3" width="14.5" style="686" customWidth="1"/>
    <col min="4" max="4" width="7.33203125" style="686" customWidth="1"/>
    <col min="5" max="5" width="14" style="686" customWidth="1"/>
    <col min="6" max="6" width="14.5" style="686" customWidth="1"/>
    <col min="7" max="7" width="7.33203125" style="686" customWidth="1"/>
    <col min="8" max="8" width="14" style="686" customWidth="1"/>
    <col min="9" max="9" width="2.5" style="613" customWidth="1"/>
    <col min="10" max="10" width="44" style="613" customWidth="1"/>
    <col min="11" max="11" width="14.5" style="686" customWidth="1"/>
    <col min="12" max="12" width="7.33203125" style="686" customWidth="1"/>
    <col min="13" max="13" width="14" style="686" customWidth="1"/>
    <col min="14" max="14" width="14.5" style="686" customWidth="1"/>
    <col min="15" max="15" width="7.33203125" style="686" customWidth="1"/>
    <col min="16" max="16" width="14" style="686" customWidth="1"/>
    <col min="17" max="17" width="2.5" style="613" customWidth="1"/>
    <col min="18" max="18" width="44" style="613" customWidth="1"/>
    <col min="19" max="19" width="14.5" style="686" customWidth="1"/>
    <col min="20" max="20" width="7.33203125" style="686" customWidth="1"/>
    <col min="21" max="21" width="14" style="686" customWidth="1"/>
    <col min="22" max="22" width="14.5" style="686" customWidth="1"/>
    <col min="23" max="23" width="7.33203125" style="686" customWidth="1"/>
    <col min="24" max="24" width="14" style="686" customWidth="1"/>
    <col min="25" max="25" width="2.5" style="613" customWidth="1"/>
    <col min="26" max="26" width="1.1640625" style="999" customWidth="1"/>
    <col min="27" max="27" width="2.5" style="613" customWidth="1"/>
    <col min="28" max="16384" width="9.1640625" style="613"/>
  </cols>
  <sheetData>
    <row r="2" spans="1:27" ht="61.5" customHeight="1" x14ac:dyDescent="0.2">
      <c r="B2" s="1660" t="s">
        <v>885</v>
      </c>
      <c r="C2" s="1661"/>
      <c r="D2" s="1661"/>
      <c r="E2" s="1661"/>
      <c r="F2" s="1661"/>
      <c r="G2" s="1661"/>
      <c r="H2" s="1661"/>
      <c r="I2" s="1661"/>
      <c r="J2" s="1661"/>
      <c r="K2" s="1661"/>
      <c r="L2" s="1661"/>
      <c r="M2" s="1661"/>
      <c r="N2" s="1661"/>
      <c r="O2" s="1661"/>
      <c r="P2" s="1661"/>
      <c r="Q2" s="1661"/>
      <c r="R2" s="1661"/>
      <c r="S2" s="1661"/>
      <c r="T2" s="1661"/>
      <c r="U2" s="1661"/>
      <c r="V2" s="1661"/>
      <c r="W2" s="1661"/>
      <c r="X2" s="1662"/>
    </row>
    <row r="3" spans="1:27" ht="18" customHeight="1" x14ac:dyDescent="0.2"/>
    <row r="4" spans="1:27" ht="18" customHeight="1" x14ac:dyDescent="0.2">
      <c r="B4" s="1619" t="s">
        <v>879</v>
      </c>
      <c r="C4" s="1620"/>
      <c r="D4" s="1620"/>
      <c r="E4" s="1620"/>
      <c r="F4" s="1620"/>
      <c r="G4" s="1620"/>
      <c r="H4" s="1621"/>
      <c r="J4" s="1738" t="s">
        <v>880</v>
      </c>
      <c r="K4" s="1739"/>
      <c r="L4" s="1739"/>
      <c r="M4" s="1739"/>
      <c r="N4" s="1739"/>
      <c r="O4" s="1739"/>
      <c r="P4" s="1740"/>
      <c r="R4" s="1738" t="s">
        <v>880</v>
      </c>
      <c r="S4" s="1739"/>
      <c r="T4" s="1739"/>
      <c r="U4" s="1739"/>
      <c r="V4" s="1739"/>
      <c r="W4" s="1739"/>
      <c r="X4" s="1740"/>
    </row>
    <row r="5" spans="1:27" ht="18" customHeight="1" thickBot="1" x14ac:dyDescent="0.25">
      <c r="B5" s="396" t="s">
        <v>15</v>
      </c>
      <c r="C5" s="1731">
        <f ca="1">TODAY()</f>
        <v>43713</v>
      </c>
      <c r="D5" s="1731"/>
      <c r="E5" s="1731"/>
      <c r="J5" s="396" t="s">
        <v>15</v>
      </c>
      <c r="K5" s="1731">
        <f ca="1">TODAY()</f>
        <v>43713</v>
      </c>
      <c r="L5" s="1731"/>
      <c r="M5" s="1731"/>
      <c r="R5" s="396" t="s">
        <v>15</v>
      </c>
      <c r="S5" s="1731">
        <f ca="1">TODAY()</f>
        <v>43713</v>
      </c>
      <c r="T5" s="1731"/>
      <c r="U5" s="1731"/>
    </row>
    <row r="6" spans="1:27" ht="18" customHeight="1" x14ac:dyDescent="0.2">
      <c r="B6" s="154" t="s">
        <v>24</v>
      </c>
      <c r="C6" s="1729" t="s">
        <v>724</v>
      </c>
      <c r="D6" s="1729"/>
      <c r="E6" s="1729"/>
      <c r="F6" s="1729"/>
      <c r="G6" s="1729"/>
      <c r="H6" s="1730"/>
      <c r="J6" s="154" t="s">
        <v>24</v>
      </c>
      <c r="K6" s="1729" t="s">
        <v>724</v>
      </c>
      <c r="L6" s="1729"/>
      <c r="M6" s="1729"/>
      <c r="N6" s="1729"/>
      <c r="O6" s="1729"/>
      <c r="P6" s="1730"/>
      <c r="R6" s="154" t="s">
        <v>24</v>
      </c>
      <c r="S6" s="1729" t="s">
        <v>724</v>
      </c>
      <c r="T6" s="1729"/>
      <c r="U6" s="1729"/>
      <c r="V6" s="1729"/>
      <c r="W6" s="1729"/>
      <c r="X6" s="1730"/>
    </row>
    <row r="7" spans="1:27" s="260" customFormat="1" ht="18" customHeight="1" x14ac:dyDescent="0.2">
      <c r="A7" s="613"/>
      <c r="B7" s="303" t="s">
        <v>250</v>
      </c>
      <c r="C7" s="1727" t="s">
        <v>725</v>
      </c>
      <c r="D7" s="1727"/>
      <c r="E7" s="1727"/>
      <c r="F7" s="1727"/>
      <c r="G7" s="1727"/>
      <c r="H7" s="1728"/>
      <c r="I7" s="613"/>
      <c r="J7" s="303" t="s">
        <v>250</v>
      </c>
      <c r="K7" s="1727" t="s">
        <v>725</v>
      </c>
      <c r="L7" s="1727"/>
      <c r="M7" s="1727"/>
      <c r="N7" s="1727"/>
      <c r="O7" s="1727"/>
      <c r="P7" s="1728"/>
      <c r="Q7" s="613"/>
      <c r="R7" s="303" t="s">
        <v>250</v>
      </c>
      <c r="S7" s="1727" t="s">
        <v>725</v>
      </c>
      <c r="T7" s="1727"/>
      <c r="U7" s="1727"/>
      <c r="V7" s="1727"/>
      <c r="W7" s="1727"/>
      <c r="X7" s="1728"/>
      <c r="Y7" s="1023"/>
      <c r="Z7" s="1025"/>
      <c r="AA7" s="1023"/>
    </row>
    <row r="8" spans="1:27" s="260" customFormat="1" ht="18" customHeight="1" x14ac:dyDescent="0.2">
      <c r="A8" s="613"/>
      <c r="B8" s="303" t="s">
        <v>25</v>
      </c>
      <c r="C8" s="1555" t="s">
        <v>726</v>
      </c>
      <c r="D8" s="1555"/>
      <c r="E8" s="1555"/>
      <c r="F8" s="1555"/>
      <c r="G8" s="1555"/>
      <c r="H8" s="1556"/>
      <c r="I8" s="613"/>
      <c r="J8" s="303" t="s">
        <v>25</v>
      </c>
      <c r="K8" s="1555" t="s">
        <v>726</v>
      </c>
      <c r="L8" s="1555"/>
      <c r="M8" s="1555"/>
      <c r="N8" s="1555"/>
      <c r="O8" s="1555"/>
      <c r="P8" s="1556"/>
      <c r="Q8" s="613"/>
      <c r="R8" s="303" t="s">
        <v>25</v>
      </c>
      <c r="S8" s="1555" t="s">
        <v>726</v>
      </c>
      <c r="T8" s="1555"/>
      <c r="U8" s="1555"/>
      <c r="V8" s="1555"/>
      <c r="W8" s="1555"/>
      <c r="X8" s="1556"/>
      <c r="Z8" s="1000"/>
      <c r="AA8" s="613"/>
    </row>
    <row r="9" spans="1:27" s="260" customFormat="1" ht="18" customHeight="1" x14ac:dyDescent="0.2">
      <c r="A9" s="613"/>
      <c r="B9" s="303" t="s">
        <v>817</v>
      </c>
      <c r="C9" s="1744" t="s">
        <v>876</v>
      </c>
      <c r="D9" s="1744"/>
      <c r="E9" s="1744"/>
      <c r="F9" s="1744"/>
      <c r="G9" s="1744"/>
      <c r="H9" s="1745"/>
      <c r="I9" s="613"/>
      <c r="J9" s="303" t="s">
        <v>817</v>
      </c>
      <c r="K9" s="1744" t="s">
        <v>876</v>
      </c>
      <c r="L9" s="1744"/>
      <c r="M9" s="1744"/>
      <c r="N9" s="1744"/>
      <c r="O9" s="1744"/>
      <c r="P9" s="1745"/>
      <c r="Q9" s="613"/>
      <c r="R9" s="303" t="s">
        <v>817</v>
      </c>
      <c r="S9" s="1744" t="s">
        <v>876</v>
      </c>
      <c r="T9" s="1744"/>
      <c r="U9" s="1744"/>
      <c r="V9" s="1744"/>
      <c r="W9" s="1744"/>
      <c r="X9" s="1745"/>
      <c r="Z9" s="1000"/>
    </row>
    <row r="10" spans="1:27" s="260" customFormat="1" ht="18" customHeight="1" thickBot="1" x14ac:dyDescent="0.25">
      <c r="B10" s="888" t="s">
        <v>764</v>
      </c>
      <c r="C10" s="1742" t="s">
        <v>877</v>
      </c>
      <c r="D10" s="1742"/>
      <c r="E10" s="1742"/>
      <c r="F10" s="1742"/>
      <c r="G10" s="1742"/>
      <c r="H10" s="1743"/>
      <c r="J10" s="888" t="s">
        <v>764</v>
      </c>
      <c r="K10" s="1742" t="s">
        <v>877</v>
      </c>
      <c r="L10" s="1742"/>
      <c r="M10" s="1742"/>
      <c r="N10" s="1742"/>
      <c r="O10" s="1742"/>
      <c r="P10" s="1743"/>
      <c r="R10" s="888" t="s">
        <v>764</v>
      </c>
      <c r="S10" s="1742" t="s">
        <v>877</v>
      </c>
      <c r="T10" s="1742"/>
      <c r="U10" s="1742"/>
      <c r="V10" s="1742"/>
      <c r="W10" s="1742"/>
      <c r="X10" s="1743"/>
      <c r="Z10" s="1000"/>
      <c r="AA10" s="613"/>
    </row>
    <row r="11" spans="1:27" s="260" customFormat="1" ht="18" customHeight="1" thickBot="1" x14ac:dyDescent="0.25">
      <c r="A11" s="613"/>
      <c r="B11" s="1045" t="s">
        <v>172</v>
      </c>
      <c r="C11" s="1746" t="s">
        <v>747</v>
      </c>
      <c r="D11" s="1746"/>
      <c r="E11" s="1746"/>
      <c r="F11" s="1746" t="s">
        <v>748</v>
      </c>
      <c r="G11" s="1746"/>
      <c r="H11" s="1746"/>
      <c r="I11" s="613"/>
      <c r="J11" s="1045" t="s">
        <v>172</v>
      </c>
      <c r="K11" s="1746" t="s">
        <v>747</v>
      </c>
      <c r="L11" s="1746"/>
      <c r="M11" s="1746"/>
      <c r="N11" s="1746" t="s">
        <v>748</v>
      </c>
      <c r="O11" s="1746"/>
      <c r="P11" s="1746"/>
      <c r="Q11" s="613"/>
      <c r="R11" s="1045" t="s">
        <v>172</v>
      </c>
      <c r="S11" s="1746" t="s">
        <v>747</v>
      </c>
      <c r="T11" s="1746"/>
      <c r="U11" s="1746"/>
      <c r="V11" s="1746" t="s">
        <v>748</v>
      </c>
      <c r="W11" s="1746"/>
      <c r="X11" s="1746"/>
      <c r="Z11" s="1000"/>
      <c r="AA11" s="613"/>
    </row>
    <row r="12" spans="1:27" s="260" customFormat="1" ht="18" customHeight="1" x14ac:dyDescent="0.2">
      <c r="A12" s="613"/>
      <c r="B12" s="958" t="s">
        <v>291</v>
      </c>
      <c r="C12" s="1700">
        <v>355000</v>
      </c>
      <c r="D12" s="1700"/>
      <c r="E12" s="1700"/>
      <c r="F12" s="1741">
        <v>355000</v>
      </c>
      <c r="G12" s="1700"/>
      <c r="H12" s="1701"/>
      <c r="I12" s="613"/>
      <c r="J12" s="958" t="s">
        <v>82</v>
      </c>
      <c r="K12" s="1700">
        <v>355000</v>
      </c>
      <c r="L12" s="1700"/>
      <c r="M12" s="1700"/>
      <c r="N12" s="1741">
        <v>355000</v>
      </c>
      <c r="O12" s="1700"/>
      <c r="P12" s="1701"/>
      <c r="Q12" s="613"/>
      <c r="R12" s="958" t="s">
        <v>82</v>
      </c>
      <c r="S12" s="1700">
        <v>355000</v>
      </c>
      <c r="T12" s="1700"/>
      <c r="U12" s="1700"/>
      <c r="V12" s="1741">
        <v>355000</v>
      </c>
      <c r="W12" s="1700"/>
      <c r="X12" s="1701"/>
      <c r="Z12" s="1000"/>
    </row>
    <row r="13" spans="1:27" s="260" customFormat="1" ht="18" customHeight="1" x14ac:dyDescent="0.2">
      <c r="B13" s="1008" t="s">
        <v>82</v>
      </c>
      <c r="C13" s="1696">
        <v>355000</v>
      </c>
      <c r="D13" s="1696"/>
      <c r="E13" s="1696"/>
      <c r="F13" s="1747">
        <v>355000</v>
      </c>
      <c r="G13" s="1696"/>
      <c r="H13" s="1697"/>
      <c r="J13" s="1008" t="s">
        <v>84</v>
      </c>
      <c r="K13" s="1696">
        <v>100000</v>
      </c>
      <c r="L13" s="1696"/>
      <c r="M13" s="1696"/>
      <c r="N13" s="1747">
        <v>100000</v>
      </c>
      <c r="O13" s="1696"/>
      <c r="P13" s="1697"/>
      <c r="R13" s="1008" t="s">
        <v>84</v>
      </c>
      <c r="S13" s="1696">
        <v>100000</v>
      </c>
      <c r="T13" s="1696"/>
      <c r="U13" s="1696"/>
      <c r="V13" s="1747">
        <v>100000</v>
      </c>
      <c r="W13" s="1696"/>
      <c r="X13" s="1697"/>
      <c r="Z13" s="1000"/>
      <c r="AA13" s="613"/>
    </row>
    <row r="14" spans="1:27" s="260" customFormat="1" ht="18" customHeight="1" x14ac:dyDescent="0.2">
      <c r="A14" s="613"/>
      <c r="B14" s="971" t="s">
        <v>181</v>
      </c>
      <c r="C14" s="997">
        <f>C12*E14</f>
        <v>230750</v>
      </c>
      <c r="D14" s="924" t="s">
        <v>3</v>
      </c>
      <c r="E14" s="1010">
        <v>0.65</v>
      </c>
      <c r="F14" s="1015">
        <f>F12*H14</f>
        <v>230750</v>
      </c>
      <c r="G14" s="924" t="s">
        <v>3</v>
      </c>
      <c r="H14" s="998">
        <v>0.65</v>
      </c>
      <c r="I14" s="613"/>
      <c r="J14" s="971" t="s">
        <v>181</v>
      </c>
      <c r="K14" s="997">
        <f>K12*M14</f>
        <v>266250</v>
      </c>
      <c r="L14" s="924" t="s">
        <v>3</v>
      </c>
      <c r="M14" s="1010">
        <v>0.75</v>
      </c>
      <c r="N14" s="1015">
        <f>N12*P14</f>
        <v>266250</v>
      </c>
      <c r="O14" s="924" t="s">
        <v>3</v>
      </c>
      <c r="P14" s="998">
        <v>0.75</v>
      </c>
      <c r="Q14" s="613"/>
      <c r="R14" s="971" t="s">
        <v>181</v>
      </c>
      <c r="S14" s="997">
        <f>S12*U14</f>
        <v>266250</v>
      </c>
      <c r="T14" s="924" t="s">
        <v>3</v>
      </c>
      <c r="U14" s="1010">
        <v>0.75</v>
      </c>
      <c r="V14" s="1015">
        <f>V12*X14</f>
        <v>266250</v>
      </c>
      <c r="W14" s="924" t="s">
        <v>3</v>
      </c>
      <c r="X14" s="998">
        <v>0.75</v>
      </c>
      <c r="Y14" s="1047"/>
      <c r="Z14" s="1049"/>
      <c r="AA14" s="1023"/>
    </row>
    <row r="15" spans="1:27" s="260" customFormat="1" ht="18" customHeight="1" x14ac:dyDescent="0.2">
      <c r="A15" s="613"/>
      <c r="B15" s="970" t="s">
        <v>800</v>
      </c>
      <c r="C15" s="1626">
        <v>6.1249999999999999E-2</v>
      </c>
      <c r="D15" s="1626"/>
      <c r="E15" s="1626"/>
      <c r="F15" s="1704">
        <v>5.7500000000000002E-2</v>
      </c>
      <c r="G15" s="1626"/>
      <c r="H15" s="1627"/>
      <c r="I15" s="613"/>
      <c r="J15" s="970" t="s">
        <v>800</v>
      </c>
      <c r="K15" s="1626">
        <v>6.1249999999999999E-2</v>
      </c>
      <c r="L15" s="1626"/>
      <c r="M15" s="1626"/>
      <c r="N15" s="1704">
        <v>5.7500000000000002E-2</v>
      </c>
      <c r="O15" s="1626"/>
      <c r="P15" s="1627"/>
      <c r="Q15" s="613"/>
      <c r="R15" s="970" t="s">
        <v>800</v>
      </c>
      <c r="S15" s="1626">
        <v>6.1249999999999999E-2</v>
      </c>
      <c r="T15" s="1626"/>
      <c r="U15" s="1626"/>
      <c r="V15" s="1704">
        <v>5.7500000000000002E-2</v>
      </c>
      <c r="W15" s="1626"/>
      <c r="X15" s="1627"/>
      <c r="Z15" s="1000"/>
    </row>
    <row r="16" spans="1:27" s="260" customFormat="1" ht="18" customHeight="1" x14ac:dyDescent="0.2">
      <c r="A16" s="613"/>
      <c r="B16" s="971" t="s">
        <v>799</v>
      </c>
      <c r="C16" s="946">
        <v>30</v>
      </c>
      <c r="D16" s="1735" t="s">
        <v>746</v>
      </c>
      <c r="E16" s="1735"/>
      <c r="F16" s="945">
        <v>30</v>
      </c>
      <c r="G16" s="1735" t="s">
        <v>746</v>
      </c>
      <c r="H16" s="1736"/>
      <c r="I16" s="613"/>
      <c r="J16" s="971" t="s">
        <v>799</v>
      </c>
      <c r="K16" s="946">
        <v>30</v>
      </c>
      <c r="L16" s="1735" t="s">
        <v>746</v>
      </c>
      <c r="M16" s="1735"/>
      <c r="N16" s="945">
        <v>30</v>
      </c>
      <c r="O16" s="1735" t="s">
        <v>746</v>
      </c>
      <c r="P16" s="1736"/>
      <c r="Q16" s="613"/>
      <c r="R16" s="971" t="s">
        <v>799</v>
      </c>
      <c r="S16" s="946">
        <v>30</v>
      </c>
      <c r="T16" s="1735" t="s">
        <v>746</v>
      </c>
      <c r="U16" s="1735"/>
      <c r="V16" s="945">
        <v>30</v>
      </c>
      <c r="W16" s="1735" t="s">
        <v>746</v>
      </c>
      <c r="X16" s="1736"/>
      <c r="Z16" s="1000"/>
      <c r="AA16" s="613"/>
    </row>
    <row r="17" spans="1:27" s="260" customFormat="1" ht="18" customHeight="1" x14ac:dyDescent="0.2">
      <c r="B17" s="970" t="s">
        <v>798</v>
      </c>
      <c r="C17" s="1628">
        <v>12</v>
      </c>
      <c r="D17" s="1628"/>
      <c r="E17" s="1628"/>
      <c r="F17" s="1705">
        <v>12</v>
      </c>
      <c r="G17" s="1628"/>
      <c r="H17" s="1629"/>
      <c r="J17" s="970" t="s">
        <v>798</v>
      </c>
      <c r="K17" s="1628">
        <v>12</v>
      </c>
      <c r="L17" s="1628"/>
      <c r="M17" s="1628"/>
      <c r="N17" s="1705">
        <v>12</v>
      </c>
      <c r="O17" s="1628"/>
      <c r="P17" s="1629"/>
      <c r="R17" s="970" t="s">
        <v>798</v>
      </c>
      <c r="S17" s="1628">
        <v>12</v>
      </c>
      <c r="T17" s="1628"/>
      <c r="U17" s="1628"/>
      <c r="V17" s="1705">
        <v>12</v>
      </c>
      <c r="W17" s="1628"/>
      <c r="X17" s="1629"/>
      <c r="Z17" s="1000"/>
      <c r="AA17" s="613"/>
    </row>
    <row r="18" spans="1:27" s="260" customFormat="1" ht="18" customHeight="1" x14ac:dyDescent="0.2">
      <c r="A18" s="613"/>
      <c r="B18" s="971" t="s">
        <v>801</v>
      </c>
      <c r="C18" s="1611">
        <f>C16*C17</f>
        <v>360</v>
      </c>
      <c r="D18" s="1611"/>
      <c r="E18" s="1611"/>
      <c r="F18" s="1706">
        <f>F16*F17</f>
        <v>360</v>
      </c>
      <c r="G18" s="1611"/>
      <c r="H18" s="1612"/>
      <c r="I18" s="613"/>
      <c r="J18" s="971" t="s">
        <v>801</v>
      </c>
      <c r="K18" s="1611">
        <f>K16*K17</f>
        <v>360</v>
      </c>
      <c r="L18" s="1611"/>
      <c r="M18" s="1611"/>
      <c r="N18" s="1706">
        <f>N16*N17</f>
        <v>360</v>
      </c>
      <c r="O18" s="1611"/>
      <c r="P18" s="1612"/>
      <c r="Q18" s="613"/>
      <c r="R18" s="971" t="s">
        <v>801</v>
      </c>
      <c r="S18" s="1611">
        <f>S16*S17</f>
        <v>360</v>
      </c>
      <c r="T18" s="1611"/>
      <c r="U18" s="1611"/>
      <c r="V18" s="1706">
        <f>V16*V17</f>
        <v>360</v>
      </c>
      <c r="W18" s="1611"/>
      <c r="X18" s="1612"/>
      <c r="Z18" s="1000"/>
      <c r="AA18" s="613"/>
    </row>
    <row r="19" spans="1:27" s="260" customFormat="1" ht="18" customHeight="1" x14ac:dyDescent="0.2">
      <c r="A19" s="613"/>
      <c r="B19" s="970" t="s">
        <v>806</v>
      </c>
      <c r="C19" s="1643">
        <f>-PMT(C15/C17,C18,C14,0)</f>
        <v>1402.0613200824462</v>
      </c>
      <c r="D19" s="1643"/>
      <c r="E19" s="1643"/>
      <c r="F19" s="1707">
        <f>-PMT(F15/F17,F18,F14,0)</f>
        <v>1346.5943662434986</v>
      </c>
      <c r="G19" s="1643"/>
      <c r="H19" s="1644"/>
      <c r="I19" s="613"/>
      <c r="J19" s="970" t="s">
        <v>806</v>
      </c>
      <c r="K19" s="1643">
        <f>-PMT(K15/K17,K18,K14,0)</f>
        <v>1617.7630616335919</v>
      </c>
      <c r="L19" s="1643"/>
      <c r="M19" s="1643"/>
      <c r="N19" s="1707">
        <f>-PMT(N15/N17,N18,N14,0)</f>
        <v>1553.7627302809597</v>
      </c>
      <c r="O19" s="1643"/>
      <c r="P19" s="1644"/>
      <c r="Q19" s="613"/>
      <c r="R19" s="970" t="s">
        <v>806</v>
      </c>
      <c r="S19" s="1643">
        <f>-PMT(S15/S17,S18,S14,0)</f>
        <v>1617.7630616335919</v>
      </c>
      <c r="T19" s="1643"/>
      <c r="U19" s="1643"/>
      <c r="V19" s="1707">
        <f>-PMT(V15/V17,V18,V14,0)</f>
        <v>1553.7627302809597</v>
      </c>
      <c r="W19" s="1643"/>
      <c r="X19" s="1644"/>
      <c r="Z19" s="1000"/>
      <c r="AA19" s="613"/>
    </row>
    <row r="20" spans="1:27" s="260" customFormat="1" ht="18" customHeight="1" x14ac:dyDescent="0.2">
      <c r="A20" s="613"/>
      <c r="B20" s="971" t="s">
        <v>802</v>
      </c>
      <c r="C20" s="1563">
        <f>C19*C18</f>
        <v>504742.07522968063</v>
      </c>
      <c r="D20" s="1563"/>
      <c r="E20" s="1563"/>
      <c r="F20" s="1708">
        <f>F19*F18</f>
        <v>484773.9718476595</v>
      </c>
      <c r="G20" s="1563"/>
      <c r="H20" s="1564"/>
      <c r="I20" s="613"/>
      <c r="J20" s="971" t="s">
        <v>802</v>
      </c>
      <c r="K20" s="1563">
        <f>K19*K18</f>
        <v>582394.7021880931</v>
      </c>
      <c r="L20" s="1563"/>
      <c r="M20" s="1563"/>
      <c r="N20" s="1708">
        <f>N19*N18</f>
        <v>559354.58290114545</v>
      </c>
      <c r="O20" s="1563"/>
      <c r="P20" s="1564"/>
      <c r="Q20" s="613"/>
      <c r="R20" s="971" t="s">
        <v>802</v>
      </c>
      <c r="S20" s="1563">
        <f>S19*S18</f>
        <v>582394.7021880931</v>
      </c>
      <c r="T20" s="1563"/>
      <c r="U20" s="1563"/>
      <c r="V20" s="1708">
        <f>V19*V18</f>
        <v>559354.58290114545</v>
      </c>
      <c r="W20" s="1563"/>
      <c r="X20" s="1564"/>
      <c r="Z20" s="1000"/>
      <c r="AA20" s="613"/>
    </row>
    <row r="21" spans="1:27" s="260" customFormat="1" ht="18" customHeight="1" x14ac:dyDescent="0.2">
      <c r="A21" s="613"/>
      <c r="B21" s="979" t="s">
        <v>803</v>
      </c>
      <c r="C21" s="1641">
        <f>C20-C14</f>
        <v>273992.07522968063</v>
      </c>
      <c r="D21" s="1641"/>
      <c r="E21" s="1641"/>
      <c r="F21" s="1709">
        <f>F20-F14</f>
        <v>254023.9718476595</v>
      </c>
      <c r="G21" s="1641"/>
      <c r="H21" s="1642"/>
      <c r="I21" s="613"/>
      <c r="J21" s="979" t="s">
        <v>803</v>
      </c>
      <c r="K21" s="1641">
        <f>K20-K14</f>
        <v>316144.7021880931</v>
      </c>
      <c r="L21" s="1641"/>
      <c r="M21" s="1641"/>
      <c r="N21" s="1709">
        <f>N20-N14</f>
        <v>293104.58290114545</v>
      </c>
      <c r="O21" s="1641"/>
      <c r="P21" s="1642"/>
      <c r="Q21" s="613"/>
      <c r="R21" s="979" t="s">
        <v>803</v>
      </c>
      <c r="S21" s="1641">
        <f>S20-S14</f>
        <v>316144.7021880931</v>
      </c>
      <c r="T21" s="1641"/>
      <c r="U21" s="1641"/>
      <c r="V21" s="1709">
        <f>V20-V14</f>
        <v>293104.58290114545</v>
      </c>
      <c r="W21" s="1641"/>
      <c r="X21" s="1642"/>
      <c r="Z21" s="1000"/>
      <c r="AA21" s="613"/>
    </row>
    <row r="22" spans="1:27" s="260" customFormat="1" ht="18" customHeight="1" x14ac:dyDescent="0.2">
      <c r="A22" s="613"/>
      <c r="B22" s="971" t="s">
        <v>299</v>
      </c>
      <c r="C22" s="1639">
        <v>1600</v>
      </c>
      <c r="D22" s="1639"/>
      <c r="E22" s="1639"/>
      <c r="F22" s="1726">
        <v>1600</v>
      </c>
      <c r="G22" s="1639"/>
      <c r="H22" s="1640"/>
      <c r="I22" s="613"/>
      <c r="J22" s="971" t="s">
        <v>299</v>
      </c>
      <c r="K22" s="1639">
        <v>2500</v>
      </c>
      <c r="L22" s="1639"/>
      <c r="M22" s="1639"/>
      <c r="N22" s="1726">
        <v>2500</v>
      </c>
      <c r="O22" s="1639"/>
      <c r="P22" s="1640"/>
      <c r="Q22" s="613"/>
      <c r="R22" s="971" t="s">
        <v>299</v>
      </c>
      <c r="S22" s="1639">
        <v>2200</v>
      </c>
      <c r="T22" s="1639"/>
      <c r="U22" s="1639"/>
      <c r="V22" s="1726">
        <v>2500</v>
      </c>
      <c r="W22" s="1639"/>
      <c r="X22" s="1640"/>
      <c r="Z22" s="1000"/>
      <c r="AA22" s="613"/>
    </row>
    <row r="23" spans="1:27" s="260" customFormat="1" ht="18" customHeight="1" x14ac:dyDescent="0.2">
      <c r="A23" s="613"/>
      <c r="B23" s="970" t="s">
        <v>524</v>
      </c>
      <c r="C23" s="1615">
        <v>67</v>
      </c>
      <c r="D23" s="1615"/>
      <c r="E23" s="1615"/>
      <c r="F23" s="1721">
        <v>67</v>
      </c>
      <c r="G23" s="1615"/>
      <c r="H23" s="1616"/>
      <c r="I23" s="613"/>
      <c r="J23" s="970" t="s">
        <v>524</v>
      </c>
      <c r="K23" s="1615">
        <v>67</v>
      </c>
      <c r="L23" s="1615"/>
      <c r="M23" s="1615"/>
      <c r="N23" s="1721">
        <v>67</v>
      </c>
      <c r="O23" s="1615"/>
      <c r="P23" s="1616"/>
      <c r="Q23" s="613"/>
      <c r="R23" s="970" t="s">
        <v>524</v>
      </c>
      <c r="S23" s="1615">
        <v>67</v>
      </c>
      <c r="T23" s="1615"/>
      <c r="U23" s="1615"/>
      <c r="V23" s="1721">
        <v>67</v>
      </c>
      <c r="W23" s="1615"/>
      <c r="X23" s="1616"/>
      <c r="Z23" s="1000"/>
      <c r="AA23" s="613"/>
    </row>
    <row r="24" spans="1:27" s="260" customFormat="1" ht="18" customHeight="1" x14ac:dyDescent="0.2">
      <c r="A24" s="613"/>
      <c r="B24" s="971" t="s">
        <v>525</v>
      </c>
      <c r="C24" s="1617">
        <v>148</v>
      </c>
      <c r="D24" s="1617"/>
      <c r="E24" s="1617"/>
      <c r="F24" s="1748">
        <v>148</v>
      </c>
      <c r="G24" s="1617"/>
      <c r="H24" s="1618"/>
      <c r="I24" s="613"/>
      <c r="J24" s="971" t="s">
        <v>525</v>
      </c>
      <c r="K24" s="1617">
        <v>148</v>
      </c>
      <c r="L24" s="1617"/>
      <c r="M24" s="1617"/>
      <c r="N24" s="1748">
        <v>148</v>
      </c>
      <c r="O24" s="1617"/>
      <c r="P24" s="1618"/>
      <c r="Q24" s="613"/>
      <c r="R24" s="971" t="s">
        <v>525</v>
      </c>
      <c r="S24" s="1617">
        <v>148</v>
      </c>
      <c r="T24" s="1617"/>
      <c r="U24" s="1617"/>
      <c r="V24" s="1748">
        <v>148</v>
      </c>
      <c r="W24" s="1617"/>
      <c r="X24" s="1618"/>
      <c r="Z24" s="1000"/>
      <c r="AA24" s="613"/>
    </row>
    <row r="25" spans="1:27" s="260" customFormat="1" ht="18" customHeight="1" x14ac:dyDescent="0.2">
      <c r="A25" s="613"/>
      <c r="B25" s="970" t="s">
        <v>807</v>
      </c>
      <c r="C25" s="1645">
        <f>C19+C24+C23</f>
        <v>1617.0613200824462</v>
      </c>
      <c r="D25" s="1645"/>
      <c r="E25" s="1645"/>
      <c r="F25" s="1722">
        <f>F19+F24+F23</f>
        <v>1561.5943662434986</v>
      </c>
      <c r="G25" s="1645"/>
      <c r="H25" s="1646"/>
      <c r="I25" s="613"/>
      <c r="J25" s="970" t="s">
        <v>807</v>
      </c>
      <c r="K25" s="1645">
        <f>K19+K24+K23</f>
        <v>1832.7630616335919</v>
      </c>
      <c r="L25" s="1645"/>
      <c r="M25" s="1645"/>
      <c r="N25" s="1722">
        <f>N19+N24+N23</f>
        <v>1768.7627302809597</v>
      </c>
      <c r="O25" s="1645"/>
      <c r="P25" s="1646"/>
      <c r="Q25" s="613"/>
      <c r="R25" s="970" t="s">
        <v>807</v>
      </c>
      <c r="S25" s="1645">
        <f>S19+S24+S23</f>
        <v>1832.7630616335919</v>
      </c>
      <c r="T25" s="1645"/>
      <c r="U25" s="1645"/>
      <c r="V25" s="1722">
        <f>V19+V24+V23</f>
        <v>1768.7627302809597</v>
      </c>
      <c r="W25" s="1645"/>
      <c r="X25" s="1646"/>
      <c r="Z25" s="1000"/>
      <c r="AA25" s="613"/>
    </row>
    <row r="26" spans="1:27" s="260" customFormat="1" ht="18" customHeight="1" x14ac:dyDescent="0.2">
      <c r="A26" s="613"/>
      <c r="B26" s="971" t="s">
        <v>808</v>
      </c>
      <c r="C26" s="1647">
        <f>C22/C25</f>
        <v>0.98944918175299856</v>
      </c>
      <c r="D26" s="1647"/>
      <c r="E26" s="1647"/>
      <c r="F26" s="1717">
        <f>F22/F25</f>
        <v>1.0245938603434439</v>
      </c>
      <c r="G26" s="1647"/>
      <c r="H26" s="1648"/>
      <c r="I26" s="613"/>
      <c r="J26" s="971" t="s">
        <v>808</v>
      </c>
      <c r="K26" s="1647">
        <f>K22/K25</f>
        <v>1.3640606646511533</v>
      </c>
      <c r="L26" s="1647"/>
      <c r="M26" s="1647"/>
      <c r="N26" s="1717">
        <f>N22/N25</f>
        <v>1.4134173890032649</v>
      </c>
      <c r="O26" s="1647"/>
      <c r="P26" s="1648"/>
      <c r="Q26" s="613"/>
      <c r="R26" s="971" t="s">
        <v>808</v>
      </c>
      <c r="S26" s="1647">
        <f>S22/S25</f>
        <v>1.2003733848930149</v>
      </c>
      <c r="T26" s="1647"/>
      <c r="U26" s="1647"/>
      <c r="V26" s="1717">
        <f>V22/V25</f>
        <v>1.4134173890032649</v>
      </c>
      <c r="W26" s="1647"/>
      <c r="X26" s="1648"/>
      <c r="Z26" s="1000"/>
      <c r="AA26" s="613"/>
    </row>
    <row r="27" spans="1:27" s="260" customFormat="1" ht="18" customHeight="1" x14ac:dyDescent="0.2">
      <c r="A27" s="613"/>
      <c r="B27" s="1016" t="s">
        <v>938</v>
      </c>
      <c r="C27" s="1565">
        <f>C22-C25</f>
        <v>-17.061320082446173</v>
      </c>
      <c r="D27" s="1565"/>
      <c r="E27" s="1753"/>
      <c r="F27" s="1565">
        <f>F22-F25</f>
        <v>38.405633756501402</v>
      </c>
      <c r="G27" s="1565"/>
      <c r="H27" s="1566"/>
      <c r="I27" s="613"/>
      <c r="J27" s="1016" t="s">
        <v>938</v>
      </c>
      <c r="K27" s="1565">
        <f>K22-K25</f>
        <v>667.23693836640814</v>
      </c>
      <c r="L27" s="1565"/>
      <c r="M27" s="1753"/>
      <c r="N27" s="1565">
        <f>N22-N25</f>
        <v>731.23726971904034</v>
      </c>
      <c r="O27" s="1565"/>
      <c r="P27" s="1566"/>
      <c r="Q27" s="613"/>
      <c r="R27" s="1016" t="s">
        <v>938</v>
      </c>
      <c r="S27" s="1565">
        <f>S22-S25</f>
        <v>367.23693836640814</v>
      </c>
      <c r="T27" s="1565"/>
      <c r="U27" s="1753"/>
      <c r="V27" s="1565">
        <f>V22-V25</f>
        <v>731.23726971904034</v>
      </c>
      <c r="W27" s="1565"/>
      <c r="X27" s="1566"/>
      <c r="Z27" s="1000"/>
      <c r="AA27" s="613"/>
    </row>
    <row r="28" spans="1:27" s="260" customFormat="1" ht="18" customHeight="1" thickBot="1" x14ac:dyDescent="0.25">
      <c r="A28" s="613"/>
      <c r="B28" s="1307" t="s">
        <v>53</v>
      </c>
      <c r="C28" s="1946" t="s">
        <v>820</v>
      </c>
      <c r="D28" s="1946"/>
      <c r="E28" s="1946"/>
      <c r="F28" s="1947" t="s">
        <v>820</v>
      </c>
      <c r="G28" s="1946"/>
      <c r="H28" s="1948"/>
      <c r="I28" s="613"/>
      <c r="J28" s="1307" t="s">
        <v>53</v>
      </c>
      <c r="K28" s="1946" t="s">
        <v>820</v>
      </c>
      <c r="L28" s="1946"/>
      <c r="M28" s="1946"/>
      <c r="N28" s="1947" t="s">
        <v>820</v>
      </c>
      <c r="O28" s="1946"/>
      <c r="P28" s="1948"/>
      <c r="Q28" s="613"/>
      <c r="R28" s="1307" t="s">
        <v>53</v>
      </c>
      <c r="S28" s="1946" t="s">
        <v>820</v>
      </c>
      <c r="T28" s="1946"/>
      <c r="U28" s="1946"/>
      <c r="V28" s="1947" t="s">
        <v>820</v>
      </c>
      <c r="W28" s="1946"/>
      <c r="X28" s="1948"/>
      <c r="Z28" s="1000"/>
      <c r="AA28" s="613"/>
    </row>
    <row r="29" spans="1:27" s="260" customFormat="1" ht="18" customHeight="1" thickBot="1" x14ac:dyDescent="0.25">
      <c r="A29" s="613"/>
      <c r="B29" s="396" t="s">
        <v>208</v>
      </c>
      <c r="C29" s="505"/>
      <c r="D29" s="505"/>
      <c r="E29" s="505"/>
      <c r="F29" s="505"/>
      <c r="G29" s="505"/>
      <c r="H29" s="505"/>
      <c r="I29" s="613"/>
      <c r="J29" s="396" t="s">
        <v>208</v>
      </c>
      <c r="K29" s="505"/>
      <c r="L29" s="505"/>
      <c r="M29" s="505"/>
      <c r="N29" s="505"/>
      <c r="O29" s="505"/>
      <c r="P29" s="505"/>
      <c r="Q29" s="613"/>
      <c r="R29" s="396" t="s">
        <v>208</v>
      </c>
      <c r="S29" s="505"/>
      <c r="T29" s="505"/>
      <c r="U29" s="505"/>
      <c r="V29" s="505"/>
      <c r="W29" s="505"/>
      <c r="X29" s="505"/>
      <c r="Z29" s="1000"/>
      <c r="AA29" s="613"/>
    </row>
    <row r="30" spans="1:27" s="260" customFormat="1" ht="18" customHeight="1" x14ac:dyDescent="0.2">
      <c r="A30" s="613"/>
      <c r="B30" s="464" t="s">
        <v>4</v>
      </c>
      <c r="C30" s="1573">
        <f>C12-C14</f>
        <v>124250</v>
      </c>
      <c r="D30" s="1573"/>
      <c r="E30" s="1573"/>
      <c r="F30" s="1720">
        <f>F12-F14</f>
        <v>124250</v>
      </c>
      <c r="G30" s="1573"/>
      <c r="H30" s="1574"/>
      <c r="I30" s="613"/>
      <c r="J30" s="464" t="s">
        <v>881</v>
      </c>
      <c r="K30" s="1573">
        <f>K13-K31</f>
        <v>100000</v>
      </c>
      <c r="L30" s="1573"/>
      <c r="M30" s="1573"/>
      <c r="N30" s="1720">
        <f>N13-N31</f>
        <v>100000</v>
      </c>
      <c r="O30" s="1573"/>
      <c r="P30" s="1574"/>
      <c r="Q30" s="613"/>
      <c r="R30" s="486" t="s">
        <v>43</v>
      </c>
      <c r="S30" s="1684">
        <f>S13</f>
        <v>100000</v>
      </c>
      <c r="T30" s="1684"/>
      <c r="U30" s="1684"/>
      <c r="V30" s="1749">
        <f>V13</f>
        <v>100000</v>
      </c>
      <c r="W30" s="1684"/>
      <c r="X30" s="1685"/>
      <c r="Z30" s="1000"/>
      <c r="AA30" s="613"/>
    </row>
    <row r="31" spans="1:27" s="260" customFormat="1" ht="18" customHeight="1" x14ac:dyDescent="0.2">
      <c r="A31" s="613"/>
      <c r="B31" s="465" t="s">
        <v>815</v>
      </c>
      <c r="C31" s="1607">
        <v>1000</v>
      </c>
      <c r="D31" s="1607"/>
      <c r="E31" s="1607"/>
      <c r="F31" s="1949">
        <v>1000</v>
      </c>
      <c r="G31" s="1607"/>
      <c r="H31" s="1950"/>
      <c r="I31" s="613"/>
      <c r="J31" s="465" t="s">
        <v>882</v>
      </c>
      <c r="K31" s="1609">
        <f>MAX(0,K13-K14)</f>
        <v>0</v>
      </c>
      <c r="L31" s="1609"/>
      <c r="M31" s="1609"/>
      <c r="N31" s="1960">
        <f>MAX(0,N13-N14)</f>
        <v>0</v>
      </c>
      <c r="O31" s="1609"/>
      <c r="P31" s="1610"/>
      <c r="Q31" s="613"/>
      <c r="R31" s="466" t="s">
        <v>45</v>
      </c>
      <c r="S31" s="995">
        <f>S14*U31</f>
        <v>0</v>
      </c>
      <c r="T31" s="920" t="s">
        <v>617</v>
      </c>
      <c r="U31" s="1005">
        <v>0</v>
      </c>
      <c r="V31" s="1011">
        <f>V14*X31</f>
        <v>2662.5</v>
      </c>
      <c r="W31" s="920" t="s">
        <v>617</v>
      </c>
      <c r="X31" s="922">
        <v>0.01</v>
      </c>
      <c r="Z31" s="1000"/>
      <c r="AA31" s="613"/>
    </row>
    <row r="32" spans="1:27" s="260" customFormat="1" ht="18" customHeight="1" x14ac:dyDescent="0.2">
      <c r="A32" s="613"/>
      <c r="B32" s="466" t="s">
        <v>45</v>
      </c>
      <c r="C32" s="995">
        <f>C14*E32</f>
        <v>0</v>
      </c>
      <c r="D32" s="920" t="s">
        <v>617</v>
      </c>
      <c r="E32" s="1005">
        <v>0</v>
      </c>
      <c r="F32" s="1011">
        <f>F14*H32</f>
        <v>2307.5</v>
      </c>
      <c r="G32" s="920" t="s">
        <v>617</v>
      </c>
      <c r="H32" s="922">
        <v>0.01</v>
      </c>
      <c r="I32" s="613"/>
      <c r="J32" s="466" t="s">
        <v>45</v>
      </c>
      <c r="K32" s="995">
        <f>K14*M32</f>
        <v>0</v>
      </c>
      <c r="L32" s="920" t="s">
        <v>617</v>
      </c>
      <c r="M32" s="1005">
        <v>0</v>
      </c>
      <c r="N32" s="1011">
        <f>N14*P32</f>
        <v>2662.5</v>
      </c>
      <c r="O32" s="920" t="s">
        <v>617</v>
      </c>
      <c r="P32" s="922">
        <v>0.01</v>
      </c>
      <c r="Q32" s="613"/>
      <c r="R32" s="465" t="s">
        <v>10</v>
      </c>
      <c r="S32" s="996">
        <f>MAX(3500,S14*U32)</f>
        <v>5325</v>
      </c>
      <c r="T32" s="921" t="s">
        <v>617</v>
      </c>
      <c r="U32" s="1006">
        <v>0.02</v>
      </c>
      <c r="V32" s="1012">
        <f>MAX(3500,V14*X32)</f>
        <v>5325</v>
      </c>
      <c r="W32" s="921" t="s">
        <v>617</v>
      </c>
      <c r="X32" s="923">
        <v>0.02</v>
      </c>
      <c r="Z32" s="1000"/>
      <c r="AA32" s="613"/>
    </row>
    <row r="33" spans="1:27" s="260" customFormat="1" ht="18" customHeight="1" x14ac:dyDescent="0.2">
      <c r="A33" s="613"/>
      <c r="B33" s="465" t="s">
        <v>10</v>
      </c>
      <c r="C33" s="996">
        <f>MAX(3500,C14*E33)</f>
        <v>4615</v>
      </c>
      <c r="D33" s="921" t="s">
        <v>617</v>
      </c>
      <c r="E33" s="1006">
        <v>0.02</v>
      </c>
      <c r="F33" s="1012">
        <f>MAX(3500,F14*H33)</f>
        <v>4615</v>
      </c>
      <c r="G33" s="921" t="s">
        <v>617</v>
      </c>
      <c r="H33" s="923">
        <v>0.02</v>
      </c>
      <c r="I33" s="613"/>
      <c r="J33" s="465" t="s">
        <v>10</v>
      </c>
      <c r="K33" s="996">
        <f>MAX(3500,K14*M33)</f>
        <v>5325</v>
      </c>
      <c r="L33" s="921" t="s">
        <v>617</v>
      </c>
      <c r="M33" s="1006">
        <v>0.02</v>
      </c>
      <c r="N33" s="1012">
        <f>MAX(3500,N14*P33)</f>
        <v>5325</v>
      </c>
      <c r="O33" s="921" t="s">
        <v>617</v>
      </c>
      <c r="P33" s="923">
        <v>0.02</v>
      </c>
      <c r="Q33" s="613"/>
      <c r="R33" s="466" t="s">
        <v>5</v>
      </c>
      <c r="S33" s="858">
        <v>1495</v>
      </c>
      <c r="T33" s="1072"/>
      <c r="U33" s="1571" t="s">
        <v>875</v>
      </c>
      <c r="V33" s="1571"/>
      <c r="W33" s="1571"/>
      <c r="X33" s="1572"/>
      <c r="Z33" s="1000"/>
      <c r="AA33" s="613"/>
    </row>
    <row r="34" spans="1:27" s="260" customFormat="1" ht="18" customHeight="1" thickBot="1" x14ac:dyDescent="0.25">
      <c r="A34" s="613"/>
      <c r="B34" s="466" t="s">
        <v>5</v>
      </c>
      <c r="C34" s="858">
        <v>1495</v>
      </c>
      <c r="D34" s="1072"/>
      <c r="E34" s="1571" t="s">
        <v>875</v>
      </c>
      <c r="F34" s="1571"/>
      <c r="G34" s="1571"/>
      <c r="H34" s="1572"/>
      <c r="I34" s="613"/>
      <c r="J34" s="466" t="s">
        <v>5</v>
      </c>
      <c r="K34" s="858">
        <v>1495</v>
      </c>
      <c r="L34" s="1072"/>
      <c r="M34" s="1571" t="s">
        <v>875</v>
      </c>
      <c r="N34" s="1571"/>
      <c r="O34" s="1571"/>
      <c r="P34" s="1572"/>
      <c r="Q34" s="613"/>
      <c r="R34" s="467" t="s">
        <v>874</v>
      </c>
      <c r="S34" s="891">
        <v>500</v>
      </c>
      <c r="T34" s="1007"/>
      <c r="U34" s="1599" t="s">
        <v>875</v>
      </c>
      <c r="V34" s="1599"/>
      <c r="W34" s="1599"/>
      <c r="X34" s="1600"/>
      <c r="Z34" s="1000"/>
      <c r="AA34" s="613"/>
    </row>
    <row r="35" spans="1:27" s="260" customFormat="1" ht="18" customHeight="1" thickBot="1" x14ac:dyDescent="0.25">
      <c r="A35" s="613"/>
      <c r="B35" s="467" t="s">
        <v>874</v>
      </c>
      <c r="C35" s="891">
        <v>500</v>
      </c>
      <c r="D35" s="1007"/>
      <c r="E35" s="1599" t="s">
        <v>875</v>
      </c>
      <c r="F35" s="1599"/>
      <c r="G35" s="1599"/>
      <c r="H35" s="1600"/>
      <c r="I35" s="613"/>
      <c r="J35" s="467" t="s">
        <v>874</v>
      </c>
      <c r="K35" s="891">
        <v>500</v>
      </c>
      <c r="L35" s="1007"/>
      <c r="M35" s="1599" t="s">
        <v>875</v>
      </c>
      <c r="N35" s="1599"/>
      <c r="O35" s="1599"/>
      <c r="P35" s="1600"/>
      <c r="Q35" s="613"/>
      <c r="R35" s="396" t="s">
        <v>169</v>
      </c>
      <c r="S35" s="943"/>
      <c r="T35" s="943"/>
      <c r="U35" s="943"/>
      <c r="V35" s="943"/>
      <c r="W35" s="943"/>
      <c r="X35" s="943"/>
      <c r="Z35" s="1000"/>
      <c r="AA35" s="613"/>
    </row>
    <row r="36" spans="1:27" s="260" customFormat="1" ht="18" customHeight="1" thickBot="1" x14ac:dyDescent="0.25">
      <c r="A36" s="613"/>
      <c r="B36" s="396" t="s">
        <v>169</v>
      </c>
      <c r="C36" s="943"/>
      <c r="D36" s="943"/>
      <c r="E36" s="943"/>
      <c r="F36" s="943"/>
      <c r="G36" s="943"/>
      <c r="H36" s="943"/>
      <c r="I36" s="613"/>
      <c r="J36" s="396" t="s">
        <v>169</v>
      </c>
      <c r="K36" s="943"/>
      <c r="L36" s="943"/>
      <c r="M36" s="943"/>
      <c r="N36" s="943"/>
      <c r="O36" s="943"/>
      <c r="P36" s="943"/>
      <c r="Q36" s="613"/>
      <c r="R36" s="372" t="s">
        <v>14</v>
      </c>
      <c r="S36" s="1042">
        <v>1000</v>
      </c>
      <c r="T36" s="1596" t="s">
        <v>770</v>
      </c>
      <c r="U36" s="1596"/>
      <c r="V36" s="1073">
        <v>1000</v>
      </c>
      <c r="W36" s="1596" t="s">
        <v>770</v>
      </c>
      <c r="X36" s="1597"/>
      <c r="Z36" s="1000"/>
      <c r="AA36" s="613"/>
    </row>
    <row r="37" spans="1:27" s="260" customFormat="1" ht="18" customHeight="1" x14ac:dyDescent="0.2">
      <c r="A37" s="613"/>
      <c r="B37" s="372" t="s">
        <v>14</v>
      </c>
      <c r="C37" s="1042">
        <v>1000</v>
      </c>
      <c r="D37" s="1596" t="s">
        <v>770</v>
      </c>
      <c r="E37" s="1596"/>
      <c r="F37" s="1073">
        <v>1000</v>
      </c>
      <c r="G37" s="1596" t="s">
        <v>770</v>
      </c>
      <c r="H37" s="1597"/>
      <c r="I37" s="613"/>
      <c r="J37" s="372" t="s">
        <v>14</v>
      </c>
      <c r="K37" s="1042">
        <v>1000</v>
      </c>
      <c r="L37" s="1596" t="s">
        <v>770</v>
      </c>
      <c r="M37" s="1596"/>
      <c r="N37" s="1073">
        <v>1000</v>
      </c>
      <c r="O37" s="1596" t="s">
        <v>770</v>
      </c>
      <c r="P37" s="1597"/>
      <c r="Q37" s="613"/>
      <c r="R37" s="97" t="s">
        <v>878</v>
      </c>
      <c r="S37" s="1136">
        <v>0</v>
      </c>
      <c r="T37" s="1609" t="s">
        <v>771</v>
      </c>
      <c r="U37" s="1609"/>
      <c r="V37" s="1146">
        <v>0</v>
      </c>
      <c r="W37" s="1609" t="s">
        <v>771</v>
      </c>
      <c r="X37" s="1610"/>
      <c r="Z37" s="1000"/>
      <c r="AA37" s="613"/>
    </row>
    <row r="38" spans="1:27" s="260" customFormat="1" ht="18" customHeight="1" x14ac:dyDescent="0.2">
      <c r="A38" s="613"/>
      <c r="B38" s="97" t="s">
        <v>878</v>
      </c>
      <c r="C38" s="1136">
        <v>0</v>
      </c>
      <c r="D38" s="1609" t="s">
        <v>771</v>
      </c>
      <c r="E38" s="1609"/>
      <c r="F38" s="1146">
        <v>0</v>
      </c>
      <c r="G38" s="1609" t="s">
        <v>771</v>
      </c>
      <c r="H38" s="1610"/>
      <c r="I38" s="613"/>
      <c r="J38" s="97" t="s">
        <v>878</v>
      </c>
      <c r="K38" s="1136">
        <v>0</v>
      </c>
      <c r="L38" s="1609" t="s">
        <v>771</v>
      </c>
      <c r="M38" s="1609"/>
      <c r="N38" s="1146">
        <v>0</v>
      </c>
      <c r="O38" s="1609" t="s">
        <v>771</v>
      </c>
      <c r="P38" s="1610"/>
      <c r="Q38" s="613"/>
      <c r="R38" s="374" t="s">
        <v>811</v>
      </c>
      <c r="S38" s="1136">
        <v>2000</v>
      </c>
      <c r="T38" s="1609" t="s">
        <v>771</v>
      </c>
      <c r="U38" s="1609"/>
      <c r="V38" s="1146">
        <v>2000</v>
      </c>
      <c r="W38" s="1609" t="s">
        <v>771</v>
      </c>
      <c r="X38" s="1610"/>
      <c r="Z38" s="1000"/>
      <c r="AA38" s="613"/>
    </row>
    <row r="39" spans="1:27" s="260" customFormat="1" ht="18" customHeight="1" thickBot="1" x14ac:dyDescent="0.25">
      <c r="A39" s="613"/>
      <c r="B39" s="374" t="s">
        <v>811</v>
      </c>
      <c r="C39" s="1136">
        <v>2000</v>
      </c>
      <c r="D39" s="1609" t="s">
        <v>771</v>
      </c>
      <c r="E39" s="1609"/>
      <c r="F39" s="1146">
        <v>2000</v>
      </c>
      <c r="G39" s="1609" t="s">
        <v>771</v>
      </c>
      <c r="H39" s="1610"/>
      <c r="I39" s="613"/>
      <c r="J39" s="374" t="s">
        <v>811</v>
      </c>
      <c r="K39" s="1136">
        <v>2000</v>
      </c>
      <c r="L39" s="1609" t="s">
        <v>771</v>
      </c>
      <c r="M39" s="1609"/>
      <c r="N39" s="1146">
        <v>2000</v>
      </c>
      <c r="O39" s="1609" t="s">
        <v>771</v>
      </c>
      <c r="P39" s="1610"/>
      <c r="Q39" s="613"/>
      <c r="R39" s="98" t="s">
        <v>821</v>
      </c>
      <c r="S39" s="891">
        <v>2000</v>
      </c>
      <c r="T39" s="1599" t="s">
        <v>771</v>
      </c>
      <c r="U39" s="1599"/>
      <c r="V39" s="1182">
        <v>2000</v>
      </c>
      <c r="W39" s="1599" t="s">
        <v>771</v>
      </c>
      <c r="X39" s="1600"/>
      <c r="Z39" s="1000"/>
      <c r="AA39" s="613"/>
    </row>
    <row r="40" spans="1:27" s="260" customFormat="1" ht="18" customHeight="1" thickBot="1" x14ac:dyDescent="0.25">
      <c r="A40" s="613"/>
      <c r="B40" s="98" t="s">
        <v>821</v>
      </c>
      <c r="C40" s="891">
        <v>2000</v>
      </c>
      <c r="D40" s="1599" t="s">
        <v>771</v>
      </c>
      <c r="E40" s="1599"/>
      <c r="F40" s="1182">
        <v>2000</v>
      </c>
      <c r="G40" s="1599" t="s">
        <v>771</v>
      </c>
      <c r="H40" s="1600"/>
      <c r="I40" s="613"/>
      <c r="J40" s="98" t="s">
        <v>821</v>
      </c>
      <c r="K40" s="891">
        <v>2000</v>
      </c>
      <c r="L40" s="1599" t="s">
        <v>771</v>
      </c>
      <c r="M40" s="1599"/>
      <c r="N40" s="1182">
        <v>2000</v>
      </c>
      <c r="O40" s="1599" t="s">
        <v>771</v>
      </c>
      <c r="P40" s="1600"/>
      <c r="Q40" s="613"/>
      <c r="R40" s="1056" t="s">
        <v>170</v>
      </c>
      <c r="S40" s="508"/>
      <c r="T40" s="227"/>
      <c r="U40" s="227"/>
      <c r="V40" s="508"/>
      <c r="W40" s="227"/>
      <c r="X40" s="227"/>
      <c r="Z40" s="1000"/>
      <c r="AA40" s="613"/>
    </row>
    <row r="41" spans="1:27" s="260" customFormat="1" ht="18" customHeight="1" thickBot="1" x14ac:dyDescent="0.25">
      <c r="A41" s="613"/>
      <c r="B41" s="1056" t="s">
        <v>170</v>
      </c>
      <c r="C41" s="508"/>
      <c r="D41" s="227"/>
      <c r="E41" s="227"/>
      <c r="F41" s="508"/>
      <c r="G41" s="227"/>
      <c r="H41" s="227"/>
      <c r="I41" s="613"/>
      <c r="J41" s="1056" t="s">
        <v>170</v>
      </c>
      <c r="K41" s="508"/>
      <c r="L41" s="227"/>
      <c r="M41" s="227"/>
      <c r="N41" s="508"/>
      <c r="O41" s="227"/>
      <c r="P41" s="227"/>
      <c r="Q41" s="613"/>
      <c r="R41" s="108" t="s">
        <v>883</v>
      </c>
      <c r="S41" s="1714">
        <f>SUM(S31:S34,S36:S39)</f>
        <v>12320</v>
      </c>
      <c r="T41" s="1714"/>
      <c r="U41" s="1714"/>
      <c r="V41" s="1715">
        <f>SUM(V31:V32,V36:V39,S33:S34)</f>
        <v>14982.5</v>
      </c>
      <c r="W41" s="1714"/>
      <c r="X41" s="1716"/>
      <c r="Z41" s="1000"/>
    </row>
    <row r="42" spans="1:27" ht="18" customHeight="1" x14ac:dyDescent="0.2">
      <c r="B42" s="491" t="s">
        <v>67</v>
      </c>
      <c r="C42" s="1714">
        <f>SUM(C32:C35,C37:C40)</f>
        <v>11610</v>
      </c>
      <c r="D42" s="1714"/>
      <c r="E42" s="1714"/>
      <c r="F42" s="1715">
        <f>SUM(F32:F33,F37:F40,C34:C35)</f>
        <v>13917.5</v>
      </c>
      <c r="G42" s="1714"/>
      <c r="H42" s="1716"/>
      <c r="J42" s="108" t="s">
        <v>883</v>
      </c>
      <c r="K42" s="1714">
        <f>SUM(K32:K35,K37:K40)</f>
        <v>12320</v>
      </c>
      <c r="L42" s="1714"/>
      <c r="M42" s="1714"/>
      <c r="N42" s="1715">
        <f>SUM(N32:N33,N37:N40,K34:K35)</f>
        <v>14982.5</v>
      </c>
      <c r="O42" s="1714"/>
      <c r="P42" s="1716"/>
      <c r="R42" s="437" t="s">
        <v>884</v>
      </c>
      <c r="S42" s="1756">
        <f>S41+S30</f>
        <v>112320</v>
      </c>
      <c r="T42" s="1756"/>
      <c r="U42" s="1756"/>
      <c r="V42" s="1757">
        <f>V41+V30</f>
        <v>114982.5</v>
      </c>
      <c r="W42" s="1756"/>
      <c r="X42" s="1758"/>
      <c r="Y42" s="260"/>
    </row>
    <row r="43" spans="1:27" ht="18" customHeight="1" thickBot="1" x14ac:dyDescent="0.25">
      <c r="A43" s="260"/>
      <c r="B43" s="493" t="s">
        <v>816</v>
      </c>
      <c r="C43" s="1733">
        <f>C42+C30-C31</f>
        <v>134860</v>
      </c>
      <c r="D43" s="1733"/>
      <c r="E43" s="1733"/>
      <c r="F43" s="1732">
        <f>F42+F30-F31</f>
        <v>137167.5</v>
      </c>
      <c r="G43" s="1733"/>
      <c r="H43" s="1734"/>
      <c r="I43" s="260"/>
      <c r="J43" s="437" t="s">
        <v>884</v>
      </c>
      <c r="K43" s="1756">
        <f>K42+K30</f>
        <v>112320</v>
      </c>
      <c r="L43" s="1756"/>
      <c r="M43" s="1756"/>
      <c r="N43" s="1757">
        <f>N42+N30</f>
        <v>114982.5</v>
      </c>
      <c r="O43" s="1756"/>
      <c r="P43" s="1758"/>
      <c r="Q43" s="260"/>
      <c r="R43" s="98" t="s">
        <v>836</v>
      </c>
      <c r="S43" s="1759">
        <f>S14-S42</f>
        <v>153930</v>
      </c>
      <c r="T43" s="1759"/>
      <c r="U43" s="1760"/>
      <c r="V43" s="1759">
        <f>V14-V42</f>
        <v>151267.5</v>
      </c>
      <c r="W43" s="1759"/>
      <c r="X43" s="1761"/>
      <c r="Y43" s="260"/>
    </row>
    <row r="44" spans="1:27" ht="18" customHeight="1" thickBot="1" x14ac:dyDescent="0.25">
      <c r="B44" s="690"/>
      <c r="C44" s="227"/>
      <c r="D44" s="227"/>
      <c r="E44" s="227"/>
      <c r="F44" s="227"/>
      <c r="G44" s="227"/>
      <c r="H44" s="227"/>
      <c r="J44" s="110" t="s">
        <v>535</v>
      </c>
      <c r="K44" s="1733">
        <f>MAX(0,K43-K14)</f>
        <v>0</v>
      </c>
      <c r="L44" s="1733"/>
      <c r="M44" s="1762"/>
      <c r="N44" s="1733">
        <f>MAX(0,N43-N14)</f>
        <v>0</v>
      </c>
      <c r="O44" s="1733"/>
      <c r="P44" s="1734"/>
      <c r="R44" s="690"/>
      <c r="S44" s="227"/>
      <c r="T44" s="227"/>
      <c r="U44" s="227"/>
      <c r="V44" s="227"/>
      <c r="W44" s="227"/>
      <c r="X44" s="227"/>
    </row>
    <row r="45" spans="1:27" ht="18" customHeight="1" x14ac:dyDescent="0.2">
      <c r="B45" s="1601" t="s">
        <v>376</v>
      </c>
      <c r="C45" s="1602"/>
      <c r="D45" s="1602"/>
      <c r="E45" s="1602"/>
      <c r="F45" s="1602"/>
      <c r="G45" s="1602"/>
      <c r="H45" s="1603"/>
      <c r="J45" s="690"/>
      <c r="K45" s="227"/>
      <c r="L45" s="227"/>
      <c r="M45" s="227"/>
      <c r="N45" s="227"/>
      <c r="O45" s="227"/>
      <c r="P45" s="227"/>
      <c r="R45" s="1601" t="s">
        <v>376</v>
      </c>
      <c r="S45" s="1602"/>
      <c r="T45" s="1602"/>
      <c r="U45" s="1602"/>
      <c r="V45" s="1602"/>
      <c r="W45" s="1602"/>
      <c r="X45" s="1603"/>
    </row>
    <row r="46" spans="1:27" ht="18" customHeight="1" x14ac:dyDescent="0.2">
      <c r="B46" s="1814"/>
      <c r="C46" s="1815"/>
      <c r="D46" s="1815"/>
      <c r="E46" s="1815"/>
      <c r="F46" s="1815"/>
      <c r="G46" s="1815"/>
      <c r="H46" s="1816"/>
      <c r="J46" s="1601" t="s">
        <v>376</v>
      </c>
      <c r="K46" s="1602"/>
      <c r="L46" s="1602"/>
      <c r="M46" s="1602"/>
      <c r="N46" s="1602"/>
      <c r="O46" s="1602"/>
      <c r="P46" s="1603"/>
      <c r="R46" s="1814"/>
      <c r="S46" s="1815"/>
      <c r="T46" s="1815"/>
      <c r="U46" s="1815"/>
      <c r="V46" s="1815"/>
      <c r="W46" s="1815"/>
      <c r="X46" s="1816"/>
    </row>
    <row r="47" spans="1:27" ht="18" customHeight="1" x14ac:dyDescent="0.2">
      <c r="B47" s="1954" t="s">
        <v>523</v>
      </c>
      <c r="C47" s="1955"/>
      <c r="D47" s="1955"/>
      <c r="E47" s="1955"/>
      <c r="F47" s="1955"/>
      <c r="G47" s="1955"/>
      <c r="H47" s="1956"/>
      <c r="J47" s="1814"/>
      <c r="K47" s="1815"/>
      <c r="L47" s="1815"/>
      <c r="M47" s="1815"/>
      <c r="N47" s="1815"/>
      <c r="O47" s="1815"/>
      <c r="P47" s="1816"/>
      <c r="R47" s="1954" t="s">
        <v>523</v>
      </c>
      <c r="S47" s="1955"/>
      <c r="T47" s="1955"/>
      <c r="U47" s="1955"/>
      <c r="V47" s="1955"/>
      <c r="W47" s="1955"/>
      <c r="X47" s="1956"/>
    </row>
    <row r="48" spans="1:27" ht="18" customHeight="1" x14ac:dyDescent="0.2">
      <c r="B48" s="1954"/>
      <c r="C48" s="1955"/>
      <c r="D48" s="1955"/>
      <c r="E48" s="1955"/>
      <c r="F48" s="1955"/>
      <c r="G48" s="1955"/>
      <c r="H48" s="1956"/>
      <c r="J48" s="1954" t="s">
        <v>523</v>
      </c>
      <c r="K48" s="1955"/>
      <c r="L48" s="1955"/>
      <c r="M48" s="1955"/>
      <c r="N48" s="1955"/>
      <c r="O48" s="1955"/>
      <c r="P48" s="1956"/>
      <c r="R48" s="1954"/>
      <c r="S48" s="1955"/>
      <c r="T48" s="1955"/>
      <c r="U48" s="1955"/>
      <c r="V48" s="1955"/>
      <c r="W48" s="1955"/>
      <c r="X48" s="1956"/>
    </row>
    <row r="49" spans="1:27" ht="18" customHeight="1" x14ac:dyDescent="0.2">
      <c r="B49" s="1957"/>
      <c r="C49" s="1958"/>
      <c r="D49" s="1958"/>
      <c r="E49" s="1958"/>
      <c r="F49" s="1958"/>
      <c r="G49" s="1958"/>
      <c r="H49" s="1959"/>
      <c r="J49" s="1954"/>
      <c r="K49" s="1955"/>
      <c r="L49" s="1955"/>
      <c r="M49" s="1955"/>
      <c r="N49" s="1955"/>
      <c r="O49" s="1955"/>
      <c r="P49" s="1956"/>
      <c r="R49" s="1957"/>
      <c r="S49" s="1958"/>
      <c r="T49" s="1958"/>
      <c r="U49" s="1958"/>
      <c r="V49" s="1958"/>
      <c r="W49" s="1958"/>
      <c r="X49" s="1959"/>
    </row>
    <row r="50" spans="1:27" ht="18" customHeight="1" x14ac:dyDescent="0.2">
      <c r="B50" s="767"/>
      <c r="C50" s="767"/>
      <c r="D50" s="947"/>
      <c r="E50" s="768"/>
      <c r="F50" s="947"/>
      <c r="J50" s="1957"/>
      <c r="K50" s="1958"/>
      <c r="L50" s="1958"/>
      <c r="M50" s="1958"/>
      <c r="N50" s="1958"/>
      <c r="O50" s="1958"/>
      <c r="P50" s="1959"/>
      <c r="R50" s="767"/>
      <c r="S50" s="767"/>
      <c r="T50" s="947"/>
      <c r="U50" s="768"/>
      <c r="V50" s="947"/>
    </row>
    <row r="51" spans="1:27" s="769" customFormat="1" ht="18" customHeight="1" x14ac:dyDescent="0.2">
      <c r="A51" s="613"/>
      <c r="B51" s="1951" t="s">
        <v>708</v>
      </c>
      <c r="C51" s="1951"/>
      <c r="D51" s="1951"/>
      <c r="E51" s="1951"/>
      <c r="F51" s="1951"/>
      <c r="G51" s="686"/>
      <c r="H51" s="686"/>
      <c r="I51" s="613"/>
      <c r="J51" s="767"/>
      <c r="K51" s="767"/>
      <c r="L51" s="947"/>
      <c r="M51" s="768"/>
      <c r="N51" s="947"/>
      <c r="O51" s="686"/>
      <c r="P51" s="686"/>
      <c r="Q51" s="613"/>
      <c r="R51" s="1951" t="s">
        <v>708</v>
      </c>
      <c r="S51" s="1951"/>
      <c r="T51" s="1951"/>
      <c r="U51" s="1951"/>
      <c r="V51" s="1951"/>
      <c r="W51" s="686"/>
      <c r="X51" s="686"/>
      <c r="Y51" s="613"/>
      <c r="Z51" s="999"/>
      <c r="AA51" s="613"/>
    </row>
    <row r="52" spans="1:27" s="767" customFormat="1" ht="18" customHeight="1" x14ac:dyDescent="0.2">
      <c r="A52" s="613"/>
      <c r="B52" s="1952" t="s">
        <v>713</v>
      </c>
      <c r="C52" s="1952"/>
      <c r="D52" s="1952"/>
      <c r="E52" s="1952"/>
      <c r="F52" s="1952"/>
      <c r="G52" s="686"/>
      <c r="H52" s="686"/>
      <c r="I52" s="613"/>
      <c r="J52" s="1951" t="s">
        <v>708</v>
      </c>
      <c r="K52" s="1951"/>
      <c r="L52" s="1951"/>
      <c r="M52" s="1951"/>
      <c r="N52" s="1951"/>
      <c r="O52" s="686"/>
      <c r="P52" s="686"/>
      <c r="Q52" s="613"/>
      <c r="R52" s="1952" t="s">
        <v>713</v>
      </c>
      <c r="S52" s="1952"/>
      <c r="T52" s="1952"/>
      <c r="U52" s="1952"/>
      <c r="V52" s="1952"/>
      <c r="W52" s="686"/>
      <c r="X52" s="686"/>
      <c r="Y52" s="613"/>
      <c r="Z52" s="999"/>
      <c r="AA52" s="613"/>
    </row>
    <row r="53" spans="1:27" s="767" customFormat="1" ht="18" customHeight="1" x14ac:dyDescent="0.2">
      <c r="A53" s="613"/>
      <c r="B53" s="1953" t="s">
        <v>709</v>
      </c>
      <c r="C53" s="1953"/>
      <c r="D53" s="1953"/>
      <c r="E53" s="1953"/>
      <c r="F53" s="1953"/>
      <c r="G53" s="686"/>
      <c r="H53" s="686"/>
      <c r="I53" s="613"/>
      <c r="J53" s="1952" t="s">
        <v>713</v>
      </c>
      <c r="K53" s="1952"/>
      <c r="L53" s="1952"/>
      <c r="M53" s="1952"/>
      <c r="N53" s="1952"/>
      <c r="O53" s="686"/>
      <c r="P53" s="686"/>
      <c r="Q53" s="613"/>
      <c r="R53" s="1953" t="s">
        <v>709</v>
      </c>
      <c r="S53" s="1953"/>
      <c r="T53" s="1953"/>
      <c r="U53" s="1953"/>
      <c r="V53" s="1953"/>
      <c r="W53" s="686"/>
      <c r="X53" s="686"/>
      <c r="Y53" s="613"/>
      <c r="Z53" s="999"/>
      <c r="AA53" s="613"/>
    </row>
    <row r="54" spans="1:27" s="767" customFormat="1" ht="18" customHeight="1" x14ac:dyDescent="0.2">
      <c r="A54" s="613"/>
      <c r="B54" s="1953" t="s">
        <v>710</v>
      </c>
      <c r="C54" s="1953"/>
      <c r="D54" s="1953"/>
      <c r="E54" s="1953"/>
      <c r="F54" s="1953"/>
      <c r="G54" s="686"/>
      <c r="H54" s="686"/>
      <c r="I54" s="613"/>
      <c r="J54" s="1953" t="s">
        <v>709</v>
      </c>
      <c r="K54" s="1953"/>
      <c r="L54" s="1953"/>
      <c r="M54" s="1953"/>
      <c r="N54" s="1953"/>
      <c r="O54" s="686"/>
      <c r="P54" s="686"/>
      <c r="Q54" s="613"/>
      <c r="R54" s="1953" t="s">
        <v>710</v>
      </c>
      <c r="S54" s="1953"/>
      <c r="T54" s="1953"/>
      <c r="U54" s="1953"/>
      <c r="V54" s="1953"/>
      <c r="W54" s="686"/>
      <c r="X54" s="686"/>
      <c r="Y54" s="613"/>
      <c r="Z54" s="999"/>
      <c r="AA54" s="613"/>
    </row>
    <row r="55" spans="1:27" s="767" customFormat="1" ht="18" customHeight="1" x14ac:dyDescent="0.2">
      <c r="A55" s="613"/>
      <c r="B55" s="1953" t="s">
        <v>711</v>
      </c>
      <c r="C55" s="1953"/>
      <c r="D55" s="1953"/>
      <c r="E55" s="1953"/>
      <c r="F55" s="1953"/>
      <c r="G55" s="686"/>
      <c r="H55" s="686"/>
      <c r="I55" s="613"/>
      <c r="J55" s="1953" t="s">
        <v>710</v>
      </c>
      <c r="K55" s="1953"/>
      <c r="L55" s="1953"/>
      <c r="M55" s="1953"/>
      <c r="N55" s="1953"/>
      <c r="O55" s="686"/>
      <c r="P55" s="686"/>
      <c r="Q55" s="613"/>
      <c r="R55" s="1953" t="s">
        <v>711</v>
      </c>
      <c r="S55" s="1953"/>
      <c r="T55" s="1953"/>
      <c r="U55" s="1953"/>
      <c r="V55" s="1953"/>
      <c r="W55" s="686"/>
      <c r="X55" s="686"/>
      <c r="Y55" s="613"/>
      <c r="Z55" s="999"/>
      <c r="AA55" s="613"/>
    </row>
    <row r="56" spans="1:27" s="767" customFormat="1" ht="18" customHeight="1" x14ac:dyDescent="0.2">
      <c r="A56" s="613"/>
      <c r="B56" s="1953" t="s">
        <v>712</v>
      </c>
      <c r="C56" s="1953"/>
      <c r="D56" s="1953"/>
      <c r="E56" s="1953"/>
      <c r="F56" s="1953"/>
      <c r="G56" s="686"/>
      <c r="H56" s="686"/>
      <c r="I56" s="613"/>
      <c r="J56" s="1953" t="s">
        <v>711</v>
      </c>
      <c r="K56" s="1953"/>
      <c r="L56" s="1953"/>
      <c r="M56" s="1953"/>
      <c r="N56" s="1953"/>
      <c r="O56" s="686"/>
      <c r="P56" s="686"/>
      <c r="Q56" s="613"/>
      <c r="R56" s="1953" t="s">
        <v>712</v>
      </c>
      <c r="S56" s="1953"/>
      <c r="T56" s="1953"/>
      <c r="U56" s="1953"/>
      <c r="V56" s="1953"/>
      <c r="W56" s="686"/>
      <c r="X56" s="686"/>
      <c r="Y56" s="613"/>
      <c r="Z56" s="999"/>
      <c r="AA56" s="613"/>
    </row>
    <row r="57" spans="1:27" ht="18" customHeight="1" x14ac:dyDescent="0.2">
      <c r="B57" s="767"/>
      <c r="C57" s="767"/>
      <c r="D57" s="947"/>
      <c r="E57" s="768"/>
      <c r="F57" s="947"/>
      <c r="J57" s="1953" t="s">
        <v>712</v>
      </c>
      <c r="K57" s="1953"/>
      <c r="L57" s="1953"/>
      <c r="M57" s="1953"/>
      <c r="N57" s="1953"/>
      <c r="R57" s="767"/>
      <c r="S57" s="767"/>
      <c r="T57" s="947"/>
      <c r="U57" s="768"/>
      <c r="V57" s="947"/>
    </row>
    <row r="58" spans="1:27" ht="18" customHeight="1" x14ac:dyDescent="0.2">
      <c r="J58" s="767"/>
      <c r="K58" s="767"/>
      <c r="L58" s="947"/>
      <c r="M58" s="768"/>
      <c r="N58" s="947"/>
    </row>
  </sheetData>
  <mergeCells count="204">
    <mergeCell ref="K27:M27"/>
    <mergeCell ref="N27:P27"/>
    <mergeCell ref="S27:U27"/>
    <mergeCell ref="V27:X27"/>
    <mergeCell ref="R47:X49"/>
    <mergeCell ref="R51:V51"/>
    <mergeCell ref="R52:V52"/>
    <mergeCell ref="R53:V53"/>
    <mergeCell ref="R54:V54"/>
    <mergeCell ref="J46:P47"/>
    <mergeCell ref="J48:P50"/>
    <mergeCell ref="J52:N52"/>
    <mergeCell ref="J53:N53"/>
    <mergeCell ref="J54:N54"/>
    <mergeCell ref="N28:P28"/>
    <mergeCell ref="K30:M30"/>
    <mergeCell ref="N30:P30"/>
    <mergeCell ref="K31:M31"/>
    <mergeCell ref="N31:P31"/>
    <mergeCell ref="M34:P34"/>
    <mergeCell ref="M35:P35"/>
    <mergeCell ref="L37:M37"/>
    <mergeCell ref="O37:P37"/>
    <mergeCell ref="K28:M28"/>
    <mergeCell ref="R55:V55"/>
    <mergeCell ref="R56:V56"/>
    <mergeCell ref="S26:U26"/>
    <mergeCell ref="V26:X26"/>
    <mergeCell ref="S28:U28"/>
    <mergeCell ref="V28:X28"/>
    <mergeCell ref="S30:U30"/>
    <mergeCell ref="V30:X30"/>
    <mergeCell ref="U33:X33"/>
    <mergeCell ref="S22:U22"/>
    <mergeCell ref="V22:X22"/>
    <mergeCell ref="S23:U23"/>
    <mergeCell ref="V23:X23"/>
    <mergeCell ref="S24:U24"/>
    <mergeCell ref="V24:X24"/>
    <mergeCell ref="S25:U25"/>
    <mergeCell ref="V25:X25"/>
    <mergeCell ref="R45:X46"/>
    <mergeCell ref="S17:U17"/>
    <mergeCell ref="V17:X17"/>
    <mergeCell ref="S18:U18"/>
    <mergeCell ref="V18:X18"/>
    <mergeCell ref="S19:U19"/>
    <mergeCell ref="V19:X19"/>
    <mergeCell ref="S20:U20"/>
    <mergeCell ref="V20:X20"/>
    <mergeCell ref="S21:U21"/>
    <mergeCell ref="V21:X21"/>
    <mergeCell ref="S12:U12"/>
    <mergeCell ref="V12:X12"/>
    <mergeCell ref="S13:U13"/>
    <mergeCell ref="V13:X13"/>
    <mergeCell ref="S15:U15"/>
    <mergeCell ref="V15:X15"/>
    <mergeCell ref="N44:P44"/>
    <mergeCell ref="U34:X34"/>
    <mergeCell ref="T36:U36"/>
    <mergeCell ref="W36:X36"/>
    <mergeCell ref="T37:U37"/>
    <mergeCell ref="W37:X37"/>
    <mergeCell ref="T38:U38"/>
    <mergeCell ref="W38:X38"/>
    <mergeCell ref="T39:U39"/>
    <mergeCell ref="W39:X39"/>
    <mergeCell ref="S41:U41"/>
    <mergeCell ref="V41:X41"/>
    <mergeCell ref="S42:U42"/>
    <mergeCell ref="V42:X42"/>
    <mergeCell ref="S43:U43"/>
    <mergeCell ref="V43:X43"/>
    <mergeCell ref="T16:U16"/>
    <mergeCell ref="W16:X16"/>
    <mergeCell ref="J55:N55"/>
    <mergeCell ref="J56:N56"/>
    <mergeCell ref="J57:N57"/>
    <mergeCell ref="L38:M38"/>
    <mergeCell ref="O38:P38"/>
    <mergeCell ref="L39:M39"/>
    <mergeCell ref="O39:P39"/>
    <mergeCell ref="L40:M40"/>
    <mergeCell ref="O40:P40"/>
    <mergeCell ref="K42:M42"/>
    <mergeCell ref="N42:P42"/>
    <mergeCell ref="K43:M43"/>
    <mergeCell ref="N43:P43"/>
    <mergeCell ref="K44:M44"/>
    <mergeCell ref="K22:M22"/>
    <mergeCell ref="N22:P22"/>
    <mergeCell ref="K23:M23"/>
    <mergeCell ref="N23:P23"/>
    <mergeCell ref="K24:M24"/>
    <mergeCell ref="N24:P24"/>
    <mergeCell ref="K25:M25"/>
    <mergeCell ref="N25:P25"/>
    <mergeCell ref="K26:M26"/>
    <mergeCell ref="N26:P26"/>
    <mergeCell ref="K17:M17"/>
    <mergeCell ref="N17:P17"/>
    <mergeCell ref="K18:M18"/>
    <mergeCell ref="N18:P18"/>
    <mergeCell ref="K19:M19"/>
    <mergeCell ref="N19:P19"/>
    <mergeCell ref="K20:M20"/>
    <mergeCell ref="N20:P20"/>
    <mergeCell ref="K21:M21"/>
    <mergeCell ref="N21:P21"/>
    <mergeCell ref="B51:F51"/>
    <mergeCell ref="B52:F52"/>
    <mergeCell ref="B53:F53"/>
    <mergeCell ref="B54:F54"/>
    <mergeCell ref="B55:F55"/>
    <mergeCell ref="B56:F56"/>
    <mergeCell ref="B47:H49"/>
    <mergeCell ref="J4:P4"/>
    <mergeCell ref="K5:M5"/>
    <mergeCell ref="K6:P6"/>
    <mergeCell ref="K7:P7"/>
    <mergeCell ref="K8:P8"/>
    <mergeCell ref="K9:P9"/>
    <mergeCell ref="K10:P10"/>
    <mergeCell ref="K11:M11"/>
    <mergeCell ref="N11:P11"/>
    <mergeCell ref="K12:M12"/>
    <mergeCell ref="N12:P12"/>
    <mergeCell ref="K13:M13"/>
    <mergeCell ref="N13:P13"/>
    <mergeCell ref="K15:M15"/>
    <mergeCell ref="N15:P15"/>
    <mergeCell ref="L16:M16"/>
    <mergeCell ref="O16:P16"/>
    <mergeCell ref="B45:H46"/>
    <mergeCell ref="C30:E30"/>
    <mergeCell ref="F30:H30"/>
    <mergeCell ref="C31:E31"/>
    <mergeCell ref="F31:H31"/>
    <mergeCell ref="D37:E37"/>
    <mergeCell ref="G37:H37"/>
    <mergeCell ref="D38:E38"/>
    <mergeCell ref="G38:H38"/>
    <mergeCell ref="E35:H35"/>
    <mergeCell ref="E34:H34"/>
    <mergeCell ref="D39:E39"/>
    <mergeCell ref="G39:H39"/>
    <mergeCell ref="D40:E40"/>
    <mergeCell ref="G40:H40"/>
    <mergeCell ref="C42:E42"/>
    <mergeCell ref="F42:H42"/>
    <mergeCell ref="C43:E43"/>
    <mergeCell ref="F43:H43"/>
    <mergeCell ref="C23:E23"/>
    <mergeCell ref="F23:H23"/>
    <mergeCell ref="C24:E24"/>
    <mergeCell ref="F24:H24"/>
    <mergeCell ref="C25:E25"/>
    <mergeCell ref="F25:H25"/>
    <mergeCell ref="C26:E26"/>
    <mergeCell ref="F26:H26"/>
    <mergeCell ref="C28:E28"/>
    <mergeCell ref="F28:H28"/>
    <mergeCell ref="C27:E27"/>
    <mergeCell ref="F27:H27"/>
    <mergeCell ref="C18:E18"/>
    <mergeCell ref="F18:H18"/>
    <mergeCell ref="C19:E19"/>
    <mergeCell ref="F19:H19"/>
    <mergeCell ref="C20:E20"/>
    <mergeCell ref="F20:H20"/>
    <mergeCell ref="C21:E21"/>
    <mergeCell ref="F21:H21"/>
    <mergeCell ref="C22:E22"/>
    <mergeCell ref="F22:H22"/>
    <mergeCell ref="C12:E12"/>
    <mergeCell ref="F12:H12"/>
    <mergeCell ref="C13:E13"/>
    <mergeCell ref="F13:H13"/>
    <mergeCell ref="C15:E15"/>
    <mergeCell ref="F15:H15"/>
    <mergeCell ref="D16:E16"/>
    <mergeCell ref="G16:H16"/>
    <mergeCell ref="C17:E17"/>
    <mergeCell ref="F17:H17"/>
    <mergeCell ref="B2:X2"/>
    <mergeCell ref="B4:H4"/>
    <mergeCell ref="C5:E5"/>
    <mergeCell ref="C6:H6"/>
    <mergeCell ref="C7:H7"/>
    <mergeCell ref="C8:H8"/>
    <mergeCell ref="C9:H9"/>
    <mergeCell ref="C10:H10"/>
    <mergeCell ref="C11:E11"/>
    <mergeCell ref="F11:H11"/>
    <mergeCell ref="R4:X4"/>
    <mergeCell ref="S5:U5"/>
    <mergeCell ref="S6:X6"/>
    <mergeCell ref="S7:X7"/>
    <mergeCell ref="S8:X8"/>
    <mergeCell ref="S9:X9"/>
    <mergeCell ref="S10:X10"/>
    <mergeCell ref="S11:U11"/>
    <mergeCell ref="V11:X11"/>
  </mergeCell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A7F8B-D58F-425C-862D-B3628AFB059C}">
  <dimension ref="A2:AA52"/>
  <sheetViews>
    <sheetView showGridLines="0" topLeftCell="M11" zoomScale="70" zoomScaleNormal="70" workbookViewId="0">
      <selection activeCell="AD32" sqref="AD32"/>
    </sheetView>
  </sheetViews>
  <sheetFormatPr baseColWidth="10" defaultColWidth="9.1640625" defaultRowHeight="15" x14ac:dyDescent="0.2"/>
  <cols>
    <col min="1" max="1" width="2.5" style="613" customWidth="1"/>
    <col min="2" max="2" width="44" style="613" customWidth="1"/>
    <col min="3" max="3" width="14.5" style="686" customWidth="1"/>
    <col min="4" max="4" width="7.33203125" style="686" customWidth="1"/>
    <col min="5" max="5" width="14" style="686" customWidth="1"/>
    <col min="6" max="6" width="14.5" style="686" customWidth="1"/>
    <col min="7" max="7" width="7.33203125" style="686" customWidth="1"/>
    <col min="8" max="8" width="14" style="686" customWidth="1"/>
    <col min="9" max="9" width="2.5" style="613" customWidth="1"/>
    <col min="10" max="10" width="44" style="613" customWidth="1"/>
    <col min="11" max="11" width="14.5" style="686" customWidth="1"/>
    <col min="12" max="12" width="7.33203125" style="686" customWidth="1"/>
    <col min="13" max="13" width="14" style="686" customWidth="1"/>
    <col min="14" max="14" width="14.5" style="686" customWidth="1"/>
    <col min="15" max="15" width="7.33203125" style="686" customWidth="1"/>
    <col min="16" max="16" width="14" style="686" customWidth="1"/>
    <col min="17" max="17" width="2.5" style="613" customWidth="1"/>
    <col min="18" max="18" width="44" style="613" customWidth="1"/>
    <col min="19" max="19" width="14.5" style="686" customWidth="1"/>
    <col min="20" max="20" width="7.33203125" style="686" customWidth="1"/>
    <col min="21" max="21" width="14" style="686" customWidth="1"/>
    <col min="22" max="22" width="14.5" style="686" customWidth="1"/>
    <col min="23" max="23" width="7.33203125" style="686" customWidth="1"/>
    <col min="24" max="24" width="14" style="686" customWidth="1"/>
    <col min="25" max="25" width="2.5" style="613" customWidth="1"/>
    <col min="26" max="26" width="1.1640625" style="999" customWidth="1"/>
    <col min="27" max="27" width="2.5" style="613" customWidth="1"/>
    <col min="28" max="16384" width="9.1640625" style="1"/>
  </cols>
  <sheetData>
    <row r="2" spans="1:27" ht="62" x14ac:dyDescent="0.2">
      <c r="B2" s="1660" t="s">
        <v>886</v>
      </c>
      <c r="C2" s="1661"/>
      <c r="D2" s="1661"/>
      <c r="E2" s="1661"/>
      <c r="F2" s="1661"/>
      <c r="G2" s="1661"/>
      <c r="H2" s="1661"/>
      <c r="I2" s="1661"/>
      <c r="J2" s="1661"/>
      <c r="K2" s="1661"/>
      <c r="L2" s="1661"/>
      <c r="M2" s="1661"/>
      <c r="N2" s="1661"/>
      <c r="O2" s="1661"/>
      <c r="P2" s="1661"/>
      <c r="Q2" s="1661"/>
      <c r="R2" s="1661"/>
      <c r="S2" s="1661"/>
      <c r="T2" s="1661"/>
      <c r="U2" s="1661"/>
      <c r="V2" s="1661"/>
      <c r="W2" s="1661"/>
      <c r="X2" s="1662"/>
    </row>
    <row r="4" spans="1:27" ht="21" x14ac:dyDescent="0.2">
      <c r="B4" s="1619" t="s">
        <v>887</v>
      </c>
      <c r="C4" s="1620"/>
      <c r="D4" s="1620"/>
      <c r="E4" s="1620"/>
      <c r="F4" s="1620"/>
      <c r="G4" s="1620"/>
      <c r="H4" s="1621"/>
      <c r="J4" s="1738" t="s">
        <v>888</v>
      </c>
      <c r="K4" s="1739"/>
      <c r="L4" s="1739"/>
      <c r="M4" s="1739"/>
      <c r="N4" s="1739"/>
      <c r="O4" s="1739"/>
      <c r="P4" s="1740"/>
      <c r="R4" s="1907" t="s">
        <v>947</v>
      </c>
      <c r="S4" s="1908"/>
      <c r="T4" s="1908"/>
      <c r="U4" s="1908"/>
      <c r="V4" s="1908"/>
      <c r="W4" s="1908"/>
      <c r="X4" s="1909"/>
    </row>
    <row r="5" spans="1:27" customFormat="1" ht="19.5" customHeight="1" thickBot="1" x14ac:dyDescent="0.25">
      <c r="A5" s="613"/>
      <c r="B5" s="396" t="s">
        <v>15</v>
      </c>
      <c r="C5" s="1731">
        <f ca="1">TODAY()</f>
        <v>43713</v>
      </c>
      <c r="D5" s="1731"/>
      <c r="E5" s="1731"/>
      <c r="F5" s="686"/>
      <c r="G5" s="686"/>
      <c r="H5" s="686"/>
      <c r="I5" s="613"/>
      <c r="J5" s="396" t="s">
        <v>15</v>
      </c>
      <c r="K5" s="1731">
        <f ca="1">TODAY()</f>
        <v>43713</v>
      </c>
      <c r="L5" s="1731"/>
      <c r="M5" s="1731"/>
      <c r="N5" s="686"/>
      <c r="O5" s="686"/>
      <c r="P5" s="686"/>
      <c r="Q5" s="613"/>
      <c r="R5" s="396" t="s">
        <v>15</v>
      </c>
      <c r="S5" s="1961">
        <f ca="1">TODAY()</f>
        <v>43713</v>
      </c>
      <c r="T5" s="1961"/>
      <c r="U5" s="1961"/>
      <c r="V5" s="686"/>
      <c r="W5" s="686"/>
      <c r="X5" s="686"/>
      <c r="Y5" s="613"/>
      <c r="Z5" s="999"/>
      <c r="AA5" s="613"/>
    </row>
    <row r="6" spans="1:27" customFormat="1" ht="19.5" customHeight="1" x14ac:dyDescent="0.2">
      <c r="A6" s="613"/>
      <c r="B6" s="154" t="s">
        <v>24</v>
      </c>
      <c r="C6" s="1729" t="s">
        <v>724</v>
      </c>
      <c r="D6" s="1729"/>
      <c r="E6" s="1729"/>
      <c r="F6" s="1729"/>
      <c r="G6" s="1729"/>
      <c r="H6" s="1730"/>
      <c r="I6" s="613"/>
      <c r="J6" s="154" t="s">
        <v>24</v>
      </c>
      <c r="K6" s="1729" t="s">
        <v>724</v>
      </c>
      <c r="L6" s="1729"/>
      <c r="M6" s="1729"/>
      <c r="N6" s="1729"/>
      <c r="O6" s="1729"/>
      <c r="P6" s="1730"/>
      <c r="Q6" s="613"/>
      <c r="R6" s="154" t="s">
        <v>24</v>
      </c>
      <c r="S6" s="1729" t="s">
        <v>948</v>
      </c>
      <c r="T6" s="1729"/>
      <c r="U6" s="1729"/>
      <c r="V6" s="1729"/>
      <c r="W6" s="1729"/>
      <c r="X6" s="1730"/>
      <c r="Y6" s="613"/>
      <c r="Z6" s="999"/>
      <c r="AA6" s="613"/>
    </row>
    <row r="7" spans="1:27" customFormat="1" ht="19.5" customHeight="1" x14ac:dyDescent="0.2">
      <c r="A7" s="613"/>
      <c r="B7" s="303" t="s">
        <v>250</v>
      </c>
      <c r="C7" s="1727" t="s">
        <v>725</v>
      </c>
      <c r="D7" s="1727"/>
      <c r="E7" s="1727"/>
      <c r="F7" s="1727"/>
      <c r="G7" s="1727"/>
      <c r="H7" s="1728"/>
      <c r="I7" s="613"/>
      <c r="J7" s="303" t="s">
        <v>250</v>
      </c>
      <c r="K7" s="1727" t="s">
        <v>725</v>
      </c>
      <c r="L7" s="1727"/>
      <c r="M7" s="1727"/>
      <c r="N7" s="1727"/>
      <c r="O7" s="1727"/>
      <c r="P7" s="1728"/>
      <c r="Q7" s="613"/>
      <c r="R7" s="303" t="s">
        <v>250</v>
      </c>
      <c r="S7" s="1727" t="s">
        <v>949</v>
      </c>
      <c r="T7" s="1727"/>
      <c r="U7" s="1727"/>
      <c r="V7" s="1727"/>
      <c r="W7" s="1727"/>
      <c r="X7" s="1728"/>
      <c r="Y7" s="1023"/>
      <c r="Z7" s="1025"/>
      <c r="AA7" s="1023"/>
    </row>
    <row r="8" spans="1:27" customFormat="1" ht="19.5" customHeight="1" x14ac:dyDescent="0.2">
      <c r="A8" s="613"/>
      <c r="B8" s="303" t="s">
        <v>25</v>
      </c>
      <c r="C8" s="1555" t="s">
        <v>726</v>
      </c>
      <c r="D8" s="1555"/>
      <c r="E8" s="1555"/>
      <c r="F8" s="1555"/>
      <c r="G8" s="1555"/>
      <c r="H8" s="1556"/>
      <c r="I8" s="613"/>
      <c r="J8" s="303" t="s">
        <v>25</v>
      </c>
      <c r="K8" s="1555" t="s">
        <v>726</v>
      </c>
      <c r="L8" s="1555"/>
      <c r="M8" s="1555"/>
      <c r="N8" s="1555"/>
      <c r="O8" s="1555"/>
      <c r="P8" s="1556"/>
      <c r="Q8" s="613"/>
      <c r="R8" s="303" t="s">
        <v>25</v>
      </c>
      <c r="S8" s="1555" t="s">
        <v>950</v>
      </c>
      <c r="T8" s="1555"/>
      <c r="U8" s="1555"/>
      <c r="V8" s="1555"/>
      <c r="W8" s="1555"/>
      <c r="X8" s="1556"/>
      <c r="Y8" s="260"/>
      <c r="Z8" s="1000"/>
      <c r="AA8" s="613"/>
    </row>
    <row r="9" spans="1:27" customFormat="1" ht="19.5" customHeight="1" x14ac:dyDescent="0.2">
      <c r="A9" s="613"/>
      <c r="B9" s="303" t="s">
        <v>817</v>
      </c>
      <c r="C9" s="1744" t="s">
        <v>876</v>
      </c>
      <c r="D9" s="1744"/>
      <c r="E9" s="1744"/>
      <c r="F9" s="1744"/>
      <c r="G9" s="1744"/>
      <c r="H9" s="1745"/>
      <c r="I9" s="613"/>
      <c r="J9" s="303" t="s">
        <v>817</v>
      </c>
      <c r="K9" s="1744" t="s">
        <v>876</v>
      </c>
      <c r="L9" s="1744"/>
      <c r="M9" s="1744"/>
      <c r="N9" s="1744"/>
      <c r="O9" s="1744"/>
      <c r="P9" s="1745"/>
      <c r="Q9" s="613"/>
      <c r="R9" s="303" t="s">
        <v>817</v>
      </c>
      <c r="S9" s="1744" t="s">
        <v>869</v>
      </c>
      <c r="T9" s="1744"/>
      <c r="U9" s="1744"/>
      <c r="V9" s="1744"/>
      <c r="W9" s="1744"/>
      <c r="X9" s="1745"/>
      <c r="Y9" s="260"/>
      <c r="Z9" s="1000"/>
      <c r="AA9" s="260"/>
    </row>
    <row r="10" spans="1:27" customFormat="1" ht="19.5" customHeight="1" thickBot="1" x14ac:dyDescent="0.25">
      <c r="A10" s="260"/>
      <c r="B10" s="888" t="s">
        <v>764</v>
      </c>
      <c r="C10" s="1742" t="s">
        <v>877</v>
      </c>
      <c r="D10" s="1742"/>
      <c r="E10" s="1742"/>
      <c r="F10" s="1742"/>
      <c r="G10" s="1742"/>
      <c r="H10" s="1743"/>
      <c r="I10" s="260"/>
      <c r="J10" s="888" t="s">
        <v>764</v>
      </c>
      <c r="K10" s="1742" t="s">
        <v>877</v>
      </c>
      <c r="L10" s="1742"/>
      <c r="M10" s="1742"/>
      <c r="N10" s="1742"/>
      <c r="O10" s="1742"/>
      <c r="P10" s="1743"/>
      <c r="Q10" s="260"/>
      <c r="R10" s="888" t="s">
        <v>764</v>
      </c>
      <c r="S10" s="1742" t="s">
        <v>951</v>
      </c>
      <c r="T10" s="1742"/>
      <c r="U10" s="1742"/>
      <c r="V10" s="1742"/>
      <c r="W10" s="1742"/>
      <c r="X10" s="1743"/>
      <c r="Y10" s="260"/>
      <c r="Z10" s="1000"/>
      <c r="AA10" s="613"/>
    </row>
    <row r="11" spans="1:27" customFormat="1" ht="19.5" customHeight="1" thickBot="1" x14ac:dyDescent="0.25">
      <c r="A11" s="613"/>
      <c r="B11" s="1045" t="s">
        <v>172</v>
      </c>
      <c r="C11" s="1746" t="s">
        <v>747</v>
      </c>
      <c r="D11" s="1746"/>
      <c r="E11" s="1746"/>
      <c r="F11" s="1746" t="s">
        <v>748</v>
      </c>
      <c r="G11" s="1746"/>
      <c r="H11" s="1746"/>
      <c r="I11" s="613"/>
      <c r="J11" s="1045" t="s">
        <v>172</v>
      </c>
      <c r="K11" s="1746" t="s">
        <v>747</v>
      </c>
      <c r="L11" s="1746"/>
      <c r="M11" s="1746"/>
      <c r="N11" s="1746" t="s">
        <v>748</v>
      </c>
      <c r="O11" s="1746"/>
      <c r="P11" s="1746"/>
      <c r="Q11" s="613"/>
      <c r="R11" s="1045" t="s">
        <v>172</v>
      </c>
      <c r="S11" s="1962" t="s">
        <v>747</v>
      </c>
      <c r="T11" s="1962"/>
      <c r="U11" s="1962"/>
      <c r="V11" s="1962" t="s">
        <v>748</v>
      </c>
      <c r="W11" s="1962"/>
      <c r="X11" s="1962"/>
      <c r="Y11" s="260"/>
      <c r="Z11" s="1000"/>
      <c r="AA11" s="613"/>
    </row>
    <row r="12" spans="1:27" customFormat="1" ht="19.5" customHeight="1" x14ac:dyDescent="0.2">
      <c r="A12" s="613"/>
      <c r="B12" s="958" t="s">
        <v>291</v>
      </c>
      <c r="C12" s="1700">
        <v>355000</v>
      </c>
      <c r="D12" s="1700"/>
      <c r="E12" s="1700"/>
      <c r="F12" s="1741">
        <v>355000</v>
      </c>
      <c r="G12" s="1700"/>
      <c r="H12" s="1701"/>
      <c r="I12" s="613"/>
      <c r="J12" s="958" t="s">
        <v>82</v>
      </c>
      <c r="K12" s="1700">
        <v>355000</v>
      </c>
      <c r="L12" s="1700"/>
      <c r="M12" s="1700"/>
      <c r="N12" s="1741">
        <v>355000</v>
      </c>
      <c r="O12" s="1700"/>
      <c r="P12" s="1701"/>
      <c r="Q12" s="613"/>
      <c r="R12" s="958" t="s">
        <v>82</v>
      </c>
      <c r="S12" s="1700">
        <v>465000</v>
      </c>
      <c r="T12" s="1700"/>
      <c r="U12" s="1964"/>
      <c r="V12" s="1741">
        <v>465000</v>
      </c>
      <c r="W12" s="1700"/>
      <c r="X12" s="1701"/>
      <c r="Y12" s="260"/>
      <c r="Z12" s="1000"/>
      <c r="AA12" s="260"/>
    </row>
    <row r="13" spans="1:27" customFormat="1" ht="19.5" customHeight="1" x14ac:dyDescent="0.2">
      <c r="A13" s="260"/>
      <c r="B13" s="1008" t="s">
        <v>82</v>
      </c>
      <c r="C13" s="1696">
        <v>355000</v>
      </c>
      <c r="D13" s="1696"/>
      <c r="E13" s="1696"/>
      <c r="F13" s="1747">
        <v>355000</v>
      </c>
      <c r="G13" s="1696"/>
      <c r="H13" s="1697"/>
      <c r="I13" s="260"/>
      <c r="J13" s="1008" t="s">
        <v>84</v>
      </c>
      <c r="K13" s="1696">
        <v>100000</v>
      </c>
      <c r="L13" s="1696"/>
      <c r="M13" s="1696"/>
      <c r="N13" s="1747">
        <v>100000</v>
      </c>
      <c r="O13" s="1696"/>
      <c r="P13" s="1697"/>
      <c r="Q13" s="260"/>
      <c r="R13" s="1008" t="s">
        <v>84</v>
      </c>
      <c r="S13" s="1696">
        <v>272000</v>
      </c>
      <c r="T13" s="1696"/>
      <c r="U13" s="1963"/>
      <c r="V13" s="1747">
        <v>272000</v>
      </c>
      <c r="W13" s="1696"/>
      <c r="X13" s="1697"/>
      <c r="Y13" s="260"/>
      <c r="Z13" s="1000"/>
      <c r="AA13" s="613"/>
    </row>
    <row r="14" spans="1:27" customFormat="1" ht="19.5" customHeight="1" x14ac:dyDescent="0.2">
      <c r="A14" s="613"/>
      <c r="B14" s="971" t="s">
        <v>181</v>
      </c>
      <c r="C14" s="997">
        <f>C12*E14</f>
        <v>230750</v>
      </c>
      <c r="D14" s="924" t="s">
        <v>3</v>
      </c>
      <c r="E14" s="1010">
        <v>0.65</v>
      </c>
      <c r="F14" s="1015">
        <f>F12*H14</f>
        <v>230750</v>
      </c>
      <c r="G14" s="924" t="s">
        <v>3</v>
      </c>
      <c r="H14" s="998">
        <v>0.65</v>
      </c>
      <c r="I14" s="613"/>
      <c r="J14" s="971" t="s">
        <v>181</v>
      </c>
      <c r="K14" s="997">
        <f>K12*M14</f>
        <v>266250</v>
      </c>
      <c r="L14" s="924" t="s">
        <v>3</v>
      </c>
      <c r="M14" s="1010">
        <v>0.75</v>
      </c>
      <c r="N14" s="1015">
        <f>N12*P14</f>
        <v>266250</v>
      </c>
      <c r="O14" s="924" t="s">
        <v>3</v>
      </c>
      <c r="P14" s="998">
        <v>0.75</v>
      </c>
      <c r="Q14" s="613"/>
      <c r="R14" s="971" t="s">
        <v>181</v>
      </c>
      <c r="S14" s="997">
        <f>S12*U14</f>
        <v>372000</v>
      </c>
      <c r="T14" s="924" t="s">
        <v>3</v>
      </c>
      <c r="U14" s="1010">
        <v>0.8</v>
      </c>
      <c r="V14" s="1015">
        <f>V12*X14</f>
        <v>372000</v>
      </c>
      <c r="W14" s="924" t="s">
        <v>3</v>
      </c>
      <c r="X14" s="998">
        <v>0.8</v>
      </c>
      <c r="Y14" s="1047"/>
      <c r="Z14" s="1049"/>
      <c r="AA14" s="1023"/>
    </row>
    <row r="15" spans="1:27" customFormat="1" ht="19.5" customHeight="1" x14ac:dyDescent="0.2">
      <c r="A15" s="613"/>
      <c r="B15" s="970" t="s">
        <v>800</v>
      </c>
      <c r="C15" s="1626">
        <v>6.1249999999999999E-2</v>
      </c>
      <c r="D15" s="1626"/>
      <c r="E15" s="1626"/>
      <c r="F15" s="1704">
        <v>5.7500000000000002E-2</v>
      </c>
      <c r="G15" s="1626"/>
      <c r="H15" s="1627"/>
      <c r="I15" s="613"/>
      <c r="J15" s="970" t="s">
        <v>800</v>
      </c>
      <c r="K15" s="1626">
        <v>6.1249999999999999E-2</v>
      </c>
      <c r="L15" s="1626"/>
      <c r="M15" s="1626"/>
      <c r="N15" s="1704">
        <v>5.7500000000000002E-2</v>
      </c>
      <c r="O15" s="1626"/>
      <c r="P15" s="1627"/>
      <c r="Q15" s="613"/>
      <c r="R15" s="970" t="s">
        <v>800</v>
      </c>
      <c r="S15" s="1626">
        <v>7.0000000000000007E-2</v>
      </c>
      <c r="T15" s="1626"/>
      <c r="U15" s="1966"/>
      <c r="V15" s="1704">
        <v>7.2499999999999995E-2</v>
      </c>
      <c r="W15" s="1626"/>
      <c r="X15" s="1627"/>
      <c r="Y15" s="260"/>
      <c r="Z15" s="1000"/>
      <c r="AA15" s="260"/>
    </row>
    <row r="16" spans="1:27" customFormat="1" ht="19.5" customHeight="1" x14ac:dyDescent="0.2">
      <c r="A16" s="613"/>
      <c r="B16" s="971" t="s">
        <v>799</v>
      </c>
      <c r="C16" s="946">
        <v>30</v>
      </c>
      <c r="D16" s="1735" t="s">
        <v>746</v>
      </c>
      <c r="E16" s="1735"/>
      <c r="F16" s="945">
        <v>30</v>
      </c>
      <c r="G16" s="1735" t="s">
        <v>819</v>
      </c>
      <c r="H16" s="1736"/>
      <c r="I16" s="613"/>
      <c r="J16" s="971" t="s">
        <v>799</v>
      </c>
      <c r="K16" s="946">
        <v>30</v>
      </c>
      <c r="L16" s="1735" t="s">
        <v>746</v>
      </c>
      <c r="M16" s="1735"/>
      <c r="N16" s="945">
        <v>30</v>
      </c>
      <c r="O16" s="1735" t="s">
        <v>819</v>
      </c>
      <c r="P16" s="1736"/>
      <c r="Q16" s="613"/>
      <c r="R16" s="971" t="s">
        <v>799</v>
      </c>
      <c r="S16" s="1316">
        <v>30</v>
      </c>
      <c r="T16" s="1735" t="s">
        <v>746</v>
      </c>
      <c r="U16" s="1965"/>
      <c r="V16" s="1315">
        <v>30</v>
      </c>
      <c r="W16" s="1735" t="s">
        <v>952</v>
      </c>
      <c r="X16" s="1736"/>
      <c r="Y16" s="260"/>
      <c r="Z16" s="1000"/>
      <c r="AA16" s="613"/>
    </row>
    <row r="17" spans="1:27" customFormat="1" ht="19.5" customHeight="1" x14ac:dyDescent="0.2">
      <c r="A17" s="260"/>
      <c r="B17" s="970" t="s">
        <v>798</v>
      </c>
      <c r="C17" s="1628">
        <v>12</v>
      </c>
      <c r="D17" s="1628"/>
      <c r="E17" s="1628"/>
      <c r="F17" s="1705">
        <v>12</v>
      </c>
      <c r="G17" s="1628"/>
      <c r="H17" s="1629"/>
      <c r="I17" s="260"/>
      <c r="J17" s="970" t="s">
        <v>798</v>
      </c>
      <c r="K17" s="1628">
        <v>12</v>
      </c>
      <c r="L17" s="1628"/>
      <c r="M17" s="1628"/>
      <c r="N17" s="1705">
        <v>12</v>
      </c>
      <c r="O17" s="1628"/>
      <c r="P17" s="1629"/>
      <c r="Q17" s="260"/>
      <c r="R17" s="970" t="s">
        <v>798</v>
      </c>
      <c r="S17" s="1628">
        <v>12</v>
      </c>
      <c r="T17" s="1628"/>
      <c r="U17" s="1968"/>
      <c r="V17" s="1705">
        <v>12</v>
      </c>
      <c r="W17" s="1628"/>
      <c r="X17" s="1629"/>
      <c r="Y17" s="260"/>
      <c r="Z17" s="1000"/>
      <c r="AA17" s="613"/>
    </row>
    <row r="18" spans="1:27" customFormat="1" ht="19.5" customHeight="1" x14ac:dyDescent="0.2">
      <c r="A18" s="613"/>
      <c r="B18" s="971" t="s">
        <v>801</v>
      </c>
      <c r="C18" s="1611">
        <f>C16*C17</f>
        <v>360</v>
      </c>
      <c r="D18" s="1611"/>
      <c r="E18" s="1611"/>
      <c r="F18" s="1706">
        <f>F16*F17</f>
        <v>360</v>
      </c>
      <c r="G18" s="1611"/>
      <c r="H18" s="1612"/>
      <c r="I18" s="613"/>
      <c r="J18" s="971" t="s">
        <v>801</v>
      </c>
      <c r="K18" s="1611">
        <f>K16*K17</f>
        <v>360</v>
      </c>
      <c r="L18" s="1611"/>
      <c r="M18" s="1611"/>
      <c r="N18" s="1706">
        <f>N16*N17</f>
        <v>360</v>
      </c>
      <c r="O18" s="1611"/>
      <c r="P18" s="1612"/>
      <c r="Q18" s="613"/>
      <c r="R18" s="971" t="s">
        <v>801</v>
      </c>
      <c r="S18" s="1611">
        <f>S16*S17</f>
        <v>360</v>
      </c>
      <c r="T18" s="1611"/>
      <c r="U18" s="1967"/>
      <c r="V18" s="1706">
        <f>V16*V17</f>
        <v>360</v>
      </c>
      <c r="W18" s="1611"/>
      <c r="X18" s="1612"/>
      <c r="Y18" s="260"/>
      <c r="Z18" s="1000"/>
      <c r="AA18" s="613"/>
    </row>
    <row r="19" spans="1:27" customFormat="1" ht="19.5" customHeight="1" x14ac:dyDescent="0.2">
      <c r="A19" s="613"/>
      <c r="B19" s="970" t="s">
        <v>806</v>
      </c>
      <c r="C19" s="1643">
        <f>-PMT(C15/C17,C18,C14,0)</f>
        <v>1402.0613200824462</v>
      </c>
      <c r="D19" s="1643"/>
      <c r="E19" s="1643"/>
      <c r="F19" s="1707">
        <f>-PMT(F15/F17,F18,F14,0)</f>
        <v>1346.5943662434986</v>
      </c>
      <c r="G19" s="1643"/>
      <c r="H19" s="1644"/>
      <c r="I19" s="613"/>
      <c r="J19" s="970" t="s">
        <v>806</v>
      </c>
      <c r="K19" s="1643">
        <f>-PMT(K15/K17,K18,K14,0)</f>
        <v>1617.7630616335919</v>
      </c>
      <c r="L19" s="1643"/>
      <c r="M19" s="1643"/>
      <c r="N19" s="1707">
        <f>-PMT(N15/N17,N18,N14,0)</f>
        <v>1553.7627302809597</v>
      </c>
      <c r="O19" s="1643"/>
      <c r="P19" s="1644"/>
      <c r="Q19" s="613"/>
      <c r="R19" s="970" t="s">
        <v>806</v>
      </c>
      <c r="S19" s="1643">
        <f>-PMT(S15/S17,S18,S14,0)</f>
        <v>2474.9252820665615</v>
      </c>
      <c r="T19" s="1643"/>
      <c r="U19" s="1970"/>
      <c r="V19" s="1707">
        <f>-PMT(V15/V17,V18,V14,0)</f>
        <v>2537.6957618090337</v>
      </c>
      <c r="W19" s="1643"/>
      <c r="X19" s="1644"/>
      <c r="Y19" s="260"/>
      <c r="Z19" s="1000"/>
      <c r="AA19" s="613"/>
    </row>
    <row r="20" spans="1:27" customFormat="1" ht="19.5" customHeight="1" x14ac:dyDescent="0.2">
      <c r="A20" s="613"/>
      <c r="B20" s="971" t="s">
        <v>802</v>
      </c>
      <c r="C20" s="1563">
        <f>C19*C18</f>
        <v>504742.07522968063</v>
      </c>
      <c r="D20" s="1563"/>
      <c r="E20" s="1563"/>
      <c r="F20" s="1708">
        <f>F19*F18</f>
        <v>484773.9718476595</v>
      </c>
      <c r="G20" s="1563"/>
      <c r="H20" s="1564"/>
      <c r="I20" s="613"/>
      <c r="J20" s="971" t="s">
        <v>802</v>
      </c>
      <c r="K20" s="1563">
        <f>K19*K18</f>
        <v>582394.7021880931</v>
      </c>
      <c r="L20" s="1563"/>
      <c r="M20" s="1563"/>
      <c r="N20" s="1708">
        <f>N19*N18</f>
        <v>559354.58290114545</v>
      </c>
      <c r="O20" s="1563"/>
      <c r="P20" s="1564"/>
      <c r="Q20" s="613"/>
      <c r="R20" s="971" t="s">
        <v>802</v>
      </c>
      <c r="S20" s="1563">
        <f>S19*S18</f>
        <v>890973.10154396214</v>
      </c>
      <c r="T20" s="1563"/>
      <c r="U20" s="1969"/>
      <c r="V20" s="1708">
        <f>V19*V18</f>
        <v>913570.47425125213</v>
      </c>
      <c r="W20" s="1563"/>
      <c r="X20" s="1564"/>
      <c r="Y20" s="260"/>
      <c r="Z20" s="1000"/>
      <c r="AA20" s="613"/>
    </row>
    <row r="21" spans="1:27" customFormat="1" ht="19.5" customHeight="1" x14ac:dyDescent="0.2">
      <c r="A21" s="613"/>
      <c r="B21" s="979" t="s">
        <v>803</v>
      </c>
      <c r="C21" s="1641">
        <f>C20-C14</f>
        <v>273992.07522968063</v>
      </c>
      <c r="D21" s="1641"/>
      <c r="E21" s="1641"/>
      <c r="F21" s="1709">
        <f>F20-F14</f>
        <v>254023.9718476595</v>
      </c>
      <c r="G21" s="1641"/>
      <c r="H21" s="1642"/>
      <c r="I21" s="613"/>
      <c r="J21" s="979" t="s">
        <v>803</v>
      </c>
      <c r="K21" s="1641">
        <f>K20-K14</f>
        <v>316144.7021880931</v>
      </c>
      <c r="L21" s="1641"/>
      <c r="M21" s="1641"/>
      <c r="N21" s="1709">
        <f>N20-N14</f>
        <v>293104.58290114545</v>
      </c>
      <c r="O21" s="1641"/>
      <c r="P21" s="1642"/>
      <c r="Q21" s="613"/>
      <c r="R21" s="979" t="s">
        <v>803</v>
      </c>
      <c r="S21" s="1641">
        <f>S20-S14</f>
        <v>518973.10154396214</v>
      </c>
      <c r="T21" s="1641"/>
      <c r="U21" s="1972"/>
      <c r="V21" s="1709">
        <f>V20-V14</f>
        <v>541570.47425125213</v>
      </c>
      <c r="W21" s="1641"/>
      <c r="X21" s="1642"/>
      <c r="Y21" s="260"/>
      <c r="Z21" s="1000"/>
      <c r="AA21" s="613"/>
    </row>
    <row r="22" spans="1:27" customFormat="1" ht="19.5" customHeight="1" x14ac:dyDescent="0.2">
      <c r="A22" s="613"/>
      <c r="B22" s="971" t="s">
        <v>299</v>
      </c>
      <c r="C22" s="1639">
        <v>2500</v>
      </c>
      <c r="D22" s="1639"/>
      <c r="E22" s="1639"/>
      <c r="F22" s="1726">
        <v>2500</v>
      </c>
      <c r="G22" s="1639"/>
      <c r="H22" s="1640"/>
      <c r="I22" s="613"/>
      <c r="J22" s="971" t="s">
        <v>299</v>
      </c>
      <c r="K22" s="1639">
        <v>2500</v>
      </c>
      <c r="L22" s="1639"/>
      <c r="M22" s="1639"/>
      <c r="N22" s="1726">
        <v>2500</v>
      </c>
      <c r="O22" s="1639"/>
      <c r="P22" s="1640"/>
      <c r="Q22" s="613"/>
      <c r="R22" s="971" t="s">
        <v>299</v>
      </c>
      <c r="S22" s="1639">
        <v>6166</v>
      </c>
      <c r="T22" s="1639"/>
      <c r="U22" s="1971"/>
      <c r="V22" s="1726">
        <v>6166</v>
      </c>
      <c r="W22" s="1639"/>
      <c r="X22" s="1640"/>
      <c r="Y22" s="260"/>
      <c r="Z22" s="1000"/>
      <c r="AA22" s="613"/>
    </row>
    <row r="23" spans="1:27" customFormat="1" ht="19.5" customHeight="1" x14ac:dyDescent="0.2">
      <c r="A23" s="613"/>
      <c r="B23" s="970" t="s">
        <v>524</v>
      </c>
      <c r="C23" s="1615">
        <v>67</v>
      </c>
      <c r="D23" s="1615"/>
      <c r="E23" s="1615"/>
      <c r="F23" s="1721">
        <v>67</v>
      </c>
      <c r="G23" s="1615"/>
      <c r="H23" s="1616"/>
      <c r="I23" s="613"/>
      <c r="J23" s="970" t="s">
        <v>524</v>
      </c>
      <c r="K23" s="1615">
        <v>67</v>
      </c>
      <c r="L23" s="1615"/>
      <c r="M23" s="1615"/>
      <c r="N23" s="1721">
        <v>67</v>
      </c>
      <c r="O23" s="1615"/>
      <c r="P23" s="1616"/>
      <c r="Q23" s="613"/>
      <c r="R23" s="970" t="s">
        <v>524</v>
      </c>
      <c r="S23" s="1615">
        <v>363</v>
      </c>
      <c r="T23" s="1615"/>
      <c r="U23" s="1974"/>
      <c r="V23" s="1721">
        <v>363</v>
      </c>
      <c r="W23" s="1615"/>
      <c r="X23" s="1616"/>
      <c r="Y23" s="260"/>
      <c r="Z23" s="1000"/>
      <c r="AA23" s="613"/>
    </row>
    <row r="24" spans="1:27" customFormat="1" ht="19.5" customHeight="1" x14ac:dyDescent="0.2">
      <c r="A24" s="613"/>
      <c r="B24" s="971" t="s">
        <v>525</v>
      </c>
      <c r="C24" s="1617">
        <v>148</v>
      </c>
      <c r="D24" s="1617"/>
      <c r="E24" s="1617"/>
      <c r="F24" s="1748">
        <v>148</v>
      </c>
      <c r="G24" s="1617"/>
      <c r="H24" s="1618"/>
      <c r="I24" s="613"/>
      <c r="J24" s="971" t="s">
        <v>525</v>
      </c>
      <c r="K24" s="1617">
        <v>148</v>
      </c>
      <c r="L24" s="1617"/>
      <c r="M24" s="1617"/>
      <c r="N24" s="1748">
        <v>148</v>
      </c>
      <c r="O24" s="1617"/>
      <c r="P24" s="1618"/>
      <c r="Q24" s="613"/>
      <c r="R24" s="971" t="s">
        <v>525</v>
      </c>
      <c r="S24" s="1617">
        <v>471</v>
      </c>
      <c r="T24" s="1617"/>
      <c r="U24" s="1973"/>
      <c r="V24" s="1748">
        <v>471</v>
      </c>
      <c r="W24" s="1617"/>
      <c r="X24" s="1618"/>
      <c r="Y24" s="260"/>
      <c r="Z24" s="1000"/>
      <c r="AA24" s="613"/>
    </row>
    <row r="25" spans="1:27" customFormat="1" ht="19.5" customHeight="1" x14ac:dyDescent="0.2">
      <c r="A25" s="613"/>
      <c r="B25" s="970" t="s">
        <v>807</v>
      </c>
      <c r="C25" s="1645">
        <f>C19+C24+C23</f>
        <v>1617.0613200824462</v>
      </c>
      <c r="D25" s="1645"/>
      <c r="E25" s="1645"/>
      <c r="F25" s="1722">
        <f>F19+F24+F23</f>
        <v>1561.5943662434986</v>
      </c>
      <c r="G25" s="1645"/>
      <c r="H25" s="1646"/>
      <c r="I25" s="613"/>
      <c r="J25" s="970" t="s">
        <v>807</v>
      </c>
      <c r="K25" s="1645">
        <f>K19+K24+K23</f>
        <v>1832.7630616335919</v>
      </c>
      <c r="L25" s="1645"/>
      <c r="M25" s="1645"/>
      <c r="N25" s="1722">
        <f>N19+N24+N23</f>
        <v>1768.7627302809597</v>
      </c>
      <c r="O25" s="1645"/>
      <c r="P25" s="1646"/>
      <c r="Q25" s="613"/>
      <c r="R25" s="970" t="s">
        <v>807</v>
      </c>
      <c r="S25" s="1645">
        <f>S19+S24+S23</f>
        <v>3308.9252820665615</v>
      </c>
      <c r="T25" s="1645"/>
      <c r="U25" s="1976"/>
      <c r="V25" s="1722">
        <f>V19+V24+V23</f>
        <v>3371.6957618090337</v>
      </c>
      <c r="W25" s="1645"/>
      <c r="X25" s="1646"/>
      <c r="Y25" s="260"/>
      <c r="Z25" s="1000"/>
      <c r="AA25" s="613"/>
    </row>
    <row r="26" spans="1:27" customFormat="1" ht="19.5" customHeight="1" x14ac:dyDescent="0.2">
      <c r="A26" s="613"/>
      <c r="B26" s="971" t="s">
        <v>808</v>
      </c>
      <c r="C26" s="1647">
        <f>C22/C25</f>
        <v>1.5460143464890601</v>
      </c>
      <c r="D26" s="1647"/>
      <c r="E26" s="1647"/>
      <c r="F26" s="1717">
        <f>F22/F25</f>
        <v>1.6009279067866311</v>
      </c>
      <c r="G26" s="1647"/>
      <c r="H26" s="1648"/>
      <c r="I26" s="613"/>
      <c r="J26" s="971" t="s">
        <v>808</v>
      </c>
      <c r="K26" s="1647">
        <f>K22/K25</f>
        <v>1.3640606646511533</v>
      </c>
      <c r="L26" s="1647"/>
      <c r="M26" s="1647"/>
      <c r="N26" s="1717">
        <f>N22/N25</f>
        <v>1.4134173890032649</v>
      </c>
      <c r="O26" s="1647"/>
      <c r="P26" s="1648"/>
      <c r="Q26" s="613"/>
      <c r="R26" s="971" t="s">
        <v>808</v>
      </c>
      <c r="S26" s="1647">
        <f>S22/S25</f>
        <v>1.863444917725394</v>
      </c>
      <c r="T26" s="1647"/>
      <c r="U26" s="1975"/>
      <c r="V26" s="1717">
        <f>V22/V25</f>
        <v>1.8287533738488089</v>
      </c>
      <c r="W26" s="1647"/>
      <c r="X26" s="1648"/>
      <c r="Y26" s="260"/>
      <c r="Z26" s="1000"/>
      <c r="AA26" s="613"/>
    </row>
    <row r="27" spans="1:27" customFormat="1" ht="19.5" customHeight="1" x14ac:dyDescent="0.2">
      <c r="A27" s="613"/>
      <c r="B27" s="1016" t="s">
        <v>938</v>
      </c>
      <c r="C27" s="1565">
        <f>C22-C25</f>
        <v>882.93867991755383</v>
      </c>
      <c r="D27" s="1565"/>
      <c r="E27" s="1753"/>
      <c r="F27" s="1565">
        <f>F22-F25</f>
        <v>938.4056337565014</v>
      </c>
      <c r="G27" s="1565"/>
      <c r="H27" s="1566"/>
      <c r="I27" s="613"/>
      <c r="J27" s="1016" t="s">
        <v>938</v>
      </c>
      <c r="K27" s="1565">
        <f>K22-K25</f>
        <v>667.23693836640814</v>
      </c>
      <c r="L27" s="1565"/>
      <c r="M27" s="1753"/>
      <c r="N27" s="1565">
        <f>N22-N25</f>
        <v>731.23726971904034</v>
      </c>
      <c r="O27" s="1565"/>
      <c r="P27" s="1566"/>
      <c r="Q27" s="613"/>
      <c r="R27" s="1016" t="s">
        <v>938</v>
      </c>
      <c r="S27" s="1565">
        <f>S22-S25</f>
        <v>2857.0747179334385</v>
      </c>
      <c r="T27" s="1565"/>
      <c r="U27" s="1753"/>
      <c r="V27" s="1990">
        <f>V22-V25</f>
        <v>2794.3042381909663</v>
      </c>
      <c r="W27" s="1565"/>
      <c r="X27" s="1566"/>
      <c r="Y27" s="260"/>
      <c r="Z27" s="1000"/>
      <c r="AA27" s="613"/>
    </row>
    <row r="28" spans="1:27" customFormat="1" ht="19.5" customHeight="1" thickBot="1" x14ac:dyDescent="0.25">
      <c r="A28" s="613"/>
      <c r="B28" s="1307" t="s">
        <v>53</v>
      </c>
      <c r="C28" s="1946" t="s">
        <v>939</v>
      </c>
      <c r="D28" s="1946"/>
      <c r="E28" s="1946"/>
      <c r="F28" s="1947" t="s">
        <v>939</v>
      </c>
      <c r="G28" s="1946"/>
      <c r="H28" s="1948"/>
      <c r="I28" s="613"/>
      <c r="J28" s="1307" t="s">
        <v>53</v>
      </c>
      <c r="K28" s="1946" t="s">
        <v>939</v>
      </c>
      <c r="L28" s="1946"/>
      <c r="M28" s="1946"/>
      <c r="N28" s="1947" t="s">
        <v>939</v>
      </c>
      <c r="O28" s="1946"/>
      <c r="P28" s="1948"/>
      <c r="Q28" s="613"/>
      <c r="R28" s="1307" t="s">
        <v>53</v>
      </c>
      <c r="S28" s="1946" t="s">
        <v>939</v>
      </c>
      <c r="T28" s="1946"/>
      <c r="U28" s="1980"/>
      <c r="V28" s="1947" t="s">
        <v>939</v>
      </c>
      <c r="W28" s="1946"/>
      <c r="X28" s="1948"/>
      <c r="Y28" s="260"/>
      <c r="Z28" s="1000"/>
      <c r="AA28" s="613"/>
    </row>
    <row r="29" spans="1:27" customFormat="1" ht="19.5" customHeight="1" thickBot="1" x14ac:dyDescent="0.25">
      <c r="A29" s="613"/>
      <c r="B29" s="396" t="s">
        <v>208</v>
      </c>
      <c r="C29" s="505"/>
      <c r="D29" s="505"/>
      <c r="E29" s="505"/>
      <c r="F29" s="505"/>
      <c r="G29" s="505"/>
      <c r="H29" s="505"/>
      <c r="I29" s="613"/>
      <c r="J29" s="396" t="s">
        <v>208</v>
      </c>
      <c r="K29" s="505"/>
      <c r="L29" s="505"/>
      <c r="M29" s="505"/>
      <c r="N29" s="505"/>
      <c r="O29" s="505"/>
      <c r="P29" s="505"/>
      <c r="Q29" s="613"/>
      <c r="R29" s="396" t="s">
        <v>208</v>
      </c>
      <c r="S29" s="505"/>
      <c r="T29" s="505"/>
      <c r="U29" s="505"/>
      <c r="V29" s="505"/>
      <c r="W29" s="505"/>
      <c r="X29" s="505"/>
      <c r="Y29" s="260"/>
      <c r="Z29" s="1000"/>
      <c r="AA29" s="613"/>
    </row>
    <row r="30" spans="1:27" customFormat="1" ht="19.5" customHeight="1" x14ac:dyDescent="0.2">
      <c r="A30" s="613"/>
      <c r="B30" s="464" t="s">
        <v>4</v>
      </c>
      <c r="C30" s="1573">
        <f>C12-C14</f>
        <v>124250</v>
      </c>
      <c r="D30" s="1573"/>
      <c r="E30" s="1573"/>
      <c r="F30" s="1720">
        <f>F12-F14</f>
        <v>124250</v>
      </c>
      <c r="G30" s="1573"/>
      <c r="H30" s="1574"/>
      <c r="I30" s="613"/>
      <c r="J30" s="464" t="s">
        <v>881</v>
      </c>
      <c r="K30" s="1573">
        <f>K13-K31</f>
        <v>100000</v>
      </c>
      <c r="L30" s="1573"/>
      <c r="M30" s="1573"/>
      <c r="N30" s="1720">
        <f>N13-N31</f>
        <v>100000</v>
      </c>
      <c r="O30" s="1573"/>
      <c r="P30" s="1574"/>
      <c r="Q30" s="613"/>
      <c r="R30" s="486" t="s">
        <v>43</v>
      </c>
      <c r="S30" s="1684">
        <f>S13</f>
        <v>272000</v>
      </c>
      <c r="T30" s="1684"/>
      <c r="U30" s="1979"/>
      <c r="V30" s="1749">
        <f>V13</f>
        <v>272000</v>
      </c>
      <c r="W30" s="1684"/>
      <c r="X30" s="1685"/>
      <c r="Y30" s="260"/>
      <c r="Z30" s="1000"/>
      <c r="AA30" s="613"/>
    </row>
    <row r="31" spans="1:27" customFormat="1" ht="19.5" customHeight="1" x14ac:dyDescent="0.2">
      <c r="A31" s="613"/>
      <c r="B31" s="465" t="s">
        <v>815</v>
      </c>
      <c r="C31" s="1607">
        <v>1000</v>
      </c>
      <c r="D31" s="1607"/>
      <c r="E31" s="1607"/>
      <c r="F31" s="1949">
        <v>1000</v>
      </c>
      <c r="G31" s="1607"/>
      <c r="H31" s="1950"/>
      <c r="I31" s="613"/>
      <c r="J31" s="465" t="s">
        <v>882</v>
      </c>
      <c r="K31" s="1607">
        <f>MAX(0,K13-K14)</f>
        <v>0</v>
      </c>
      <c r="L31" s="1607"/>
      <c r="M31" s="1607"/>
      <c r="N31" s="1949">
        <f>MAX(0,N13-N14)</f>
        <v>0</v>
      </c>
      <c r="O31" s="1607"/>
      <c r="P31" s="1950"/>
      <c r="Q31" s="613"/>
      <c r="R31" s="466" t="s">
        <v>45</v>
      </c>
      <c r="S31" s="1310">
        <f>S14*U31</f>
        <v>0</v>
      </c>
      <c r="T31" s="920" t="s">
        <v>617</v>
      </c>
      <c r="U31" s="1005">
        <v>0</v>
      </c>
      <c r="V31" s="1011">
        <f>V14*X31</f>
        <v>0</v>
      </c>
      <c r="W31" s="920" t="s">
        <v>617</v>
      </c>
      <c r="X31" s="922">
        <v>0</v>
      </c>
      <c r="Y31" s="260"/>
      <c r="Z31" s="1000"/>
      <c r="AA31" s="613"/>
    </row>
    <row r="32" spans="1:27" customFormat="1" ht="19.5" customHeight="1" x14ac:dyDescent="0.2">
      <c r="A32" s="613"/>
      <c r="B32" s="466" t="s">
        <v>45</v>
      </c>
      <c r="C32" s="995">
        <f>C14*E32</f>
        <v>0</v>
      </c>
      <c r="D32" s="920" t="s">
        <v>617</v>
      </c>
      <c r="E32" s="1005">
        <v>0</v>
      </c>
      <c r="F32" s="1011">
        <f>F14*H32</f>
        <v>0</v>
      </c>
      <c r="G32" s="920" t="s">
        <v>617</v>
      </c>
      <c r="H32" s="922">
        <v>0</v>
      </c>
      <c r="I32" s="613"/>
      <c r="J32" s="466" t="s">
        <v>45</v>
      </c>
      <c r="K32" s="995">
        <f>K14*M32</f>
        <v>0</v>
      </c>
      <c r="L32" s="920" t="s">
        <v>617</v>
      </c>
      <c r="M32" s="1005">
        <v>0</v>
      </c>
      <c r="N32" s="1011">
        <f>N14*P32</f>
        <v>0</v>
      </c>
      <c r="O32" s="920" t="s">
        <v>617</v>
      </c>
      <c r="P32" s="922">
        <v>0</v>
      </c>
      <c r="Q32" s="613"/>
      <c r="R32" s="465" t="s">
        <v>10</v>
      </c>
      <c r="S32" s="1309">
        <f>MAX(3500,S14*U32)</f>
        <v>7440</v>
      </c>
      <c r="T32" s="921" t="s">
        <v>617</v>
      </c>
      <c r="U32" s="1006">
        <v>0.02</v>
      </c>
      <c r="V32" s="1318">
        <f>MAX(3500,V14*X32)</f>
        <v>7440</v>
      </c>
      <c r="W32" s="921" t="s">
        <v>617</v>
      </c>
      <c r="X32" s="923">
        <v>0.02</v>
      </c>
      <c r="Y32" s="260"/>
      <c r="Z32" s="1000"/>
      <c r="AA32" s="613"/>
    </row>
    <row r="33" spans="1:27" customFormat="1" ht="19.5" customHeight="1" x14ac:dyDescent="0.2">
      <c r="A33" s="613"/>
      <c r="B33" s="465" t="s">
        <v>10</v>
      </c>
      <c r="C33" s="996">
        <f>MAX(3500,C14*E33)</f>
        <v>4615</v>
      </c>
      <c r="D33" s="921" t="s">
        <v>617</v>
      </c>
      <c r="E33" s="1006">
        <v>0.02</v>
      </c>
      <c r="F33" s="1012">
        <f>MAX(3500,F14*H33)</f>
        <v>4615</v>
      </c>
      <c r="G33" s="921" t="s">
        <v>617</v>
      </c>
      <c r="H33" s="923">
        <v>0.02</v>
      </c>
      <c r="I33" s="613"/>
      <c r="J33" s="465" t="s">
        <v>10</v>
      </c>
      <c r="K33" s="996">
        <f>MAX(3500,K14*M33)</f>
        <v>5325</v>
      </c>
      <c r="L33" s="921" t="s">
        <v>617</v>
      </c>
      <c r="M33" s="1006">
        <v>0.02</v>
      </c>
      <c r="N33" s="1012">
        <f>MAX(3500,N14*P33)</f>
        <v>5325</v>
      </c>
      <c r="O33" s="921" t="s">
        <v>617</v>
      </c>
      <c r="P33" s="923">
        <v>0.02</v>
      </c>
      <c r="Q33" s="613"/>
      <c r="R33" s="969" t="s">
        <v>5</v>
      </c>
      <c r="S33" s="1304">
        <v>1495</v>
      </c>
      <c r="T33" s="1074"/>
      <c r="U33" s="1977" t="s">
        <v>771</v>
      </c>
      <c r="V33" s="1977"/>
      <c r="W33" s="1977"/>
      <c r="X33" s="1978"/>
      <c r="Y33" s="260"/>
      <c r="Z33" s="1000"/>
      <c r="AA33" s="613"/>
    </row>
    <row r="34" spans="1:27" customFormat="1" ht="19.5" customHeight="1" x14ac:dyDescent="0.2">
      <c r="A34" s="613"/>
      <c r="B34" s="969" t="s">
        <v>5</v>
      </c>
      <c r="C34" s="1304">
        <v>1495</v>
      </c>
      <c r="D34" s="1074"/>
      <c r="E34" s="1977" t="s">
        <v>771</v>
      </c>
      <c r="F34" s="1977"/>
      <c r="G34" s="1977"/>
      <c r="H34" s="1978"/>
      <c r="I34" s="613"/>
      <c r="J34" s="969" t="s">
        <v>5</v>
      </c>
      <c r="K34" s="1304">
        <v>1495</v>
      </c>
      <c r="L34" s="1074"/>
      <c r="M34" s="1977" t="s">
        <v>771</v>
      </c>
      <c r="N34" s="1977"/>
      <c r="O34" s="1977"/>
      <c r="P34" s="1978"/>
      <c r="Q34" s="613"/>
      <c r="R34" s="465" t="s">
        <v>544</v>
      </c>
      <c r="S34" s="1311">
        <v>500</v>
      </c>
      <c r="T34" s="1070"/>
      <c r="U34" s="1983" t="s">
        <v>875</v>
      </c>
      <c r="V34" s="1983"/>
      <c r="W34" s="1983"/>
      <c r="X34" s="1984"/>
      <c r="Y34" s="260"/>
      <c r="Z34" s="1000"/>
      <c r="AA34" s="613"/>
    </row>
    <row r="35" spans="1:27" customFormat="1" ht="19.5" customHeight="1" thickBot="1" x14ac:dyDescent="0.25">
      <c r="A35" s="613"/>
      <c r="B35" s="465" t="s">
        <v>544</v>
      </c>
      <c r="C35" s="1136">
        <v>500</v>
      </c>
      <c r="D35" s="1070"/>
      <c r="E35" s="1983" t="s">
        <v>875</v>
      </c>
      <c r="F35" s="1983"/>
      <c r="G35" s="1983"/>
      <c r="H35" s="1984"/>
      <c r="I35" s="613"/>
      <c r="J35" s="465" t="s">
        <v>544</v>
      </c>
      <c r="K35" s="1136">
        <v>500</v>
      </c>
      <c r="L35" s="1070"/>
      <c r="M35" s="1983" t="s">
        <v>875</v>
      </c>
      <c r="N35" s="1983"/>
      <c r="O35" s="1983"/>
      <c r="P35" s="1984"/>
      <c r="Q35" s="613"/>
      <c r="R35" s="489" t="s">
        <v>424</v>
      </c>
      <c r="S35" s="1317">
        <v>1500</v>
      </c>
      <c r="T35" s="1071"/>
      <c r="U35" s="1981" t="s">
        <v>771</v>
      </c>
      <c r="V35" s="1981"/>
      <c r="W35" s="1981"/>
      <c r="X35" s="1982"/>
      <c r="Y35" s="260"/>
      <c r="Z35" s="1000"/>
      <c r="AA35" s="613"/>
    </row>
    <row r="36" spans="1:27" customFormat="1" ht="19.5" customHeight="1" thickBot="1" x14ac:dyDescent="0.25">
      <c r="A36" s="613"/>
      <c r="B36" s="489" t="s">
        <v>424</v>
      </c>
      <c r="C36" s="612">
        <v>1500</v>
      </c>
      <c r="D36" s="1071"/>
      <c r="E36" s="1981" t="s">
        <v>771</v>
      </c>
      <c r="F36" s="1981"/>
      <c r="G36" s="1981"/>
      <c r="H36" s="1982"/>
      <c r="I36" s="613"/>
      <c r="J36" s="489" t="s">
        <v>424</v>
      </c>
      <c r="K36" s="612">
        <v>1500</v>
      </c>
      <c r="L36" s="1071"/>
      <c r="M36" s="1981" t="s">
        <v>771</v>
      </c>
      <c r="N36" s="1981"/>
      <c r="O36" s="1981"/>
      <c r="P36" s="1982"/>
      <c r="Q36" s="613"/>
      <c r="R36" s="396" t="s">
        <v>169</v>
      </c>
      <c r="S36" s="1314"/>
      <c r="T36" s="1314"/>
      <c r="U36" s="1314"/>
      <c r="V36" s="1314"/>
      <c r="W36" s="1314"/>
      <c r="X36" s="1314"/>
      <c r="Y36" s="260"/>
      <c r="Z36" s="1000"/>
      <c r="AA36" s="613"/>
    </row>
    <row r="37" spans="1:27" customFormat="1" ht="19.5" customHeight="1" thickBot="1" x14ac:dyDescent="0.25">
      <c r="A37" s="613"/>
      <c r="B37" s="396" t="s">
        <v>169</v>
      </c>
      <c r="C37" s="943"/>
      <c r="D37" s="943"/>
      <c r="E37" s="943"/>
      <c r="F37" s="943"/>
      <c r="G37" s="943"/>
      <c r="H37" s="943"/>
      <c r="I37" s="613"/>
      <c r="J37" s="396" t="s">
        <v>169</v>
      </c>
      <c r="K37" s="943"/>
      <c r="L37" s="943"/>
      <c r="M37" s="943"/>
      <c r="N37" s="943"/>
      <c r="O37" s="943"/>
      <c r="P37" s="943"/>
      <c r="Q37" s="613"/>
      <c r="R37" s="372" t="s">
        <v>14</v>
      </c>
      <c r="S37" s="1042">
        <v>2750</v>
      </c>
      <c r="T37" s="1986" t="s">
        <v>770</v>
      </c>
      <c r="U37" s="1987"/>
      <c r="V37" s="1073">
        <v>2750</v>
      </c>
      <c r="W37" s="1986" t="s">
        <v>770</v>
      </c>
      <c r="X37" s="1988"/>
      <c r="Y37" s="260"/>
      <c r="Z37" s="1000"/>
      <c r="AA37" s="613"/>
    </row>
    <row r="38" spans="1:27" customFormat="1" ht="19.5" customHeight="1" x14ac:dyDescent="0.2">
      <c r="A38" s="613"/>
      <c r="B38" s="372" t="s">
        <v>14</v>
      </c>
      <c r="C38" s="1042">
        <v>800</v>
      </c>
      <c r="D38" s="1986" t="s">
        <v>770</v>
      </c>
      <c r="E38" s="1986"/>
      <c r="F38" s="1073">
        <v>800</v>
      </c>
      <c r="G38" s="1986" t="s">
        <v>770</v>
      </c>
      <c r="H38" s="1988"/>
      <c r="I38" s="613"/>
      <c r="J38" s="372" t="s">
        <v>14</v>
      </c>
      <c r="K38" s="1042">
        <v>800</v>
      </c>
      <c r="L38" s="1986" t="s">
        <v>770</v>
      </c>
      <c r="M38" s="1986"/>
      <c r="N38" s="1073">
        <v>800</v>
      </c>
      <c r="O38" s="1986" t="s">
        <v>770</v>
      </c>
      <c r="P38" s="1988"/>
      <c r="Q38" s="613"/>
      <c r="R38" s="374" t="s">
        <v>714</v>
      </c>
      <c r="S38" s="1313">
        <v>195</v>
      </c>
      <c r="T38" s="1609" t="s">
        <v>771</v>
      </c>
      <c r="U38" s="1985"/>
      <c r="V38" s="1312">
        <v>195</v>
      </c>
      <c r="W38" s="1609" t="s">
        <v>771</v>
      </c>
      <c r="X38" s="1610"/>
      <c r="Y38" s="260"/>
      <c r="Z38" s="1000"/>
      <c r="AA38" s="613"/>
    </row>
    <row r="39" spans="1:27" customFormat="1" ht="19.5" customHeight="1" x14ac:dyDescent="0.2">
      <c r="A39" s="613"/>
      <c r="B39" s="374" t="s">
        <v>714</v>
      </c>
      <c r="C39" s="1141">
        <v>195</v>
      </c>
      <c r="D39" s="1609" t="s">
        <v>771</v>
      </c>
      <c r="E39" s="1609"/>
      <c r="F39" s="1140">
        <v>195</v>
      </c>
      <c r="G39" s="1609" t="s">
        <v>771</v>
      </c>
      <c r="H39" s="1610"/>
      <c r="I39" s="613"/>
      <c r="J39" s="374" t="s">
        <v>714</v>
      </c>
      <c r="K39" s="1141">
        <v>195</v>
      </c>
      <c r="L39" s="1609" t="s">
        <v>771</v>
      </c>
      <c r="M39" s="1609"/>
      <c r="N39" s="1140">
        <v>195</v>
      </c>
      <c r="O39" s="1609" t="s">
        <v>771</v>
      </c>
      <c r="P39" s="1610"/>
      <c r="Q39" s="613"/>
      <c r="R39" s="97" t="s">
        <v>878</v>
      </c>
      <c r="S39" s="1311">
        <v>0</v>
      </c>
      <c r="T39" s="1609" t="s">
        <v>771</v>
      </c>
      <c r="U39" s="1985"/>
      <c r="V39" s="1319">
        <v>0</v>
      </c>
      <c r="W39" s="1609" t="s">
        <v>771</v>
      </c>
      <c r="X39" s="1610"/>
      <c r="Y39" s="260"/>
      <c r="Z39" s="1000"/>
      <c r="AA39" s="613"/>
    </row>
    <row r="40" spans="1:27" customFormat="1" ht="19.5" customHeight="1" x14ac:dyDescent="0.2">
      <c r="A40" s="613"/>
      <c r="B40" s="97" t="s">
        <v>878</v>
      </c>
      <c r="C40" s="1136">
        <v>0</v>
      </c>
      <c r="D40" s="1609" t="s">
        <v>771</v>
      </c>
      <c r="E40" s="1609"/>
      <c r="F40" s="1146">
        <v>0</v>
      </c>
      <c r="G40" s="1609" t="s">
        <v>771</v>
      </c>
      <c r="H40" s="1610"/>
      <c r="I40" s="613"/>
      <c r="J40" s="97" t="s">
        <v>878</v>
      </c>
      <c r="K40" s="1136">
        <v>0</v>
      </c>
      <c r="L40" s="1609" t="s">
        <v>771</v>
      </c>
      <c r="M40" s="1609"/>
      <c r="N40" s="1146">
        <v>0</v>
      </c>
      <c r="O40" s="1609" t="s">
        <v>771</v>
      </c>
      <c r="P40" s="1610"/>
      <c r="Q40" s="613"/>
      <c r="R40" s="374" t="s">
        <v>811</v>
      </c>
      <c r="S40" s="1311">
        <v>2000</v>
      </c>
      <c r="T40" s="1609" t="s">
        <v>771</v>
      </c>
      <c r="U40" s="1985"/>
      <c r="V40" s="1319">
        <v>2000</v>
      </c>
      <c r="W40" s="1609" t="s">
        <v>771</v>
      </c>
      <c r="X40" s="1610"/>
      <c r="Y40" s="260"/>
      <c r="Z40" s="1000"/>
      <c r="AA40" s="613"/>
    </row>
    <row r="41" spans="1:27" customFormat="1" ht="19.5" customHeight="1" thickBot="1" x14ac:dyDescent="0.25">
      <c r="A41" s="613"/>
      <c r="B41" s="374" t="s">
        <v>811</v>
      </c>
      <c r="C41" s="1136">
        <v>2000</v>
      </c>
      <c r="D41" s="1609" t="s">
        <v>771</v>
      </c>
      <c r="E41" s="1609"/>
      <c r="F41" s="1146">
        <v>2000</v>
      </c>
      <c r="G41" s="1609" t="s">
        <v>771</v>
      </c>
      <c r="H41" s="1610"/>
      <c r="I41" s="613"/>
      <c r="J41" s="374" t="s">
        <v>811</v>
      </c>
      <c r="K41" s="1136">
        <v>2000</v>
      </c>
      <c r="L41" s="1609" t="s">
        <v>771</v>
      </c>
      <c r="M41" s="1609"/>
      <c r="N41" s="1146">
        <v>2000</v>
      </c>
      <c r="O41" s="1609" t="s">
        <v>771</v>
      </c>
      <c r="P41" s="1610"/>
      <c r="Q41" s="613"/>
      <c r="R41" s="98" t="s">
        <v>821</v>
      </c>
      <c r="S41" s="891">
        <v>2000</v>
      </c>
      <c r="T41" s="1599" t="s">
        <v>771</v>
      </c>
      <c r="U41" s="1993"/>
      <c r="V41" s="1182">
        <v>2000</v>
      </c>
      <c r="W41" s="1599" t="s">
        <v>771</v>
      </c>
      <c r="X41" s="1600"/>
      <c r="Y41" s="260"/>
      <c r="Z41" s="1000"/>
      <c r="AA41" s="260"/>
    </row>
    <row r="42" spans="1:27" ht="19.5" customHeight="1" thickBot="1" x14ac:dyDescent="0.25">
      <c r="B42" s="98" t="s">
        <v>821</v>
      </c>
      <c r="C42" s="891">
        <v>2000</v>
      </c>
      <c r="D42" s="1599" t="s">
        <v>771</v>
      </c>
      <c r="E42" s="1599"/>
      <c r="F42" s="1182">
        <v>2000</v>
      </c>
      <c r="G42" s="1599" t="s">
        <v>771</v>
      </c>
      <c r="H42" s="1600"/>
      <c r="J42" s="98" t="s">
        <v>821</v>
      </c>
      <c r="K42" s="891">
        <v>2000</v>
      </c>
      <c r="L42" s="1599" t="s">
        <v>771</v>
      </c>
      <c r="M42" s="1599"/>
      <c r="N42" s="1182">
        <v>2000</v>
      </c>
      <c r="O42" s="1599" t="s">
        <v>771</v>
      </c>
      <c r="P42" s="1600"/>
      <c r="R42" s="1056" t="s">
        <v>170</v>
      </c>
      <c r="S42" s="508"/>
      <c r="T42" s="227"/>
      <c r="U42" s="227"/>
      <c r="V42" s="508"/>
      <c r="W42" s="227"/>
      <c r="X42" s="227"/>
      <c r="Y42" s="260"/>
    </row>
    <row r="43" spans="1:27" ht="19.5" customHeight="1" thickBot="1" x14ac:dyDescent="0.25">
      <c r="A43" s="260"/>
      <c r="B43" s="1056" t="s">
        <v>170</v>
      </c>
      <c r="C43" s="508"/>
      <c r="D43" s="227"/>
      <c r="E43" s="227"/>
      <c r="F43" s="508"/>
      <c r="G43" s="227"/>
      <c r="H43" s="227"/>
      <c r="J43" s="1056" t="s">
        <v>170</v>
      </c>
      <c r="K43" s="508"/>
      <c r="L43" s="227"/>
      <c r="M43" s="227"/>
      <c r="N43" s="508"/>
      <c r="O43" s="227"/>
      <c r="P43" s="227"/>
      <c r="Q43" s="260"/>
      <c r="R43" s="108" t="s">
        <v>883</v>
      </c>
      <c r="S43" s="1714">
        <f>SUM(S31:S35,S37:S41)</f>
        <v>17880</v>
      </c>
      <c r="T43" s="1714"/>
      <c r="U43" s="1992"/>
      <c r="V43" s="1715">
        <f>SUM(V31:V32,V37:V41,S33:S35)</f>
        <v>17880</v>
      </c>
      <c r="W43" s="1714"/>
      <c r="X43" s="1716"/>
      <c r="Y43" s="260"/>
    </row>
    <row r="44" spans="1:27" s="132" customFormat="1" ht="19.5" customHeight="1" x14ac:dyDescent="0.2">
      <c r="A44" s="613"/>
      <c r="B44" s="491" t="s">
        <v>67</v>
      </c>
      <c r="C44" s="1714">
        <f>SUM(C32:C36,C38:C42)</f>
        <v>13105</v>
      </c>
      <c r="D44" s="1714"/>
      <c r="E44" s="1714"/>
      <c r="F44" s="1715">
        <f>SUM(F32:F33,F38:F42,C34:C36)</f>
        <v>13105</v>
      </c>
      <c r="G44" s="1714"/>
      <c r="H44" s="1716"/>
      <c r="I44" s="613"/>
      <c r="J44" s="108" t="s">
        <v>883</v>
      </c>
      <c r="K44" s="1714">
        <f>SUM(K32:K36,K38:K42)</f>
        <v>13815</v>
      </c>
      <c r="L44" s="1714"/>
      <c r="M44" s="1714"/>
      <c r="N44" s="1715">
        <f>SUM(N32:N33,N38:N42,K34:K36)</f>
        <v>13815</v>
      </c>
      <c r="O44" s="1714"/>
      <c r="P44" s="1716"/>
      <c r="Q44" s="613"/>
      <c r="R44" s="437" t="s">
        <v>884</v>
      </c>
      <c r="S44" s="1756">
        <f>S43+S30</f>
        <v>289880</v>
      </c>
      <c r="T44" s="1756"/>
      <c r="U44" s="1991"/>
      <c r="V44" s="1757">
        <f>V43+V30</f>
        <v>289880</v>
      </c>
      <c r="W44" s="1756"/>
      <c r="X44" s="1758"/>
      <c r="Y44" s="613"/>
      <c r="Z44" s="999"/>
      <c r="AA44" s="613"/>
    </row>
    <row r="45" spans="1:27" ht="19.5" customHeight="1" thickBot="1" x14ac:dyDescent="0.25">
      <c r="B45" s="493" t="s">
        <v>816</v>
      </c>
      <c r="C45" s="1733">
        <f>C44+C30-C31</f>
        <v>136355</v>
      </c>
      <c r="D45" s="1733"/>
      <c r="E45" s="1733"/>
      <c r="F45" s="1732">
        <f>F44+F30-F31</f>
        <v>136355</v>
      </c>
      <c r="G45" s="1733"/>
      <c r="H45" s="1734"/>
      <c r="I45" s="260"/>
      <c r="J45" s="437" t="s">
        <v>884</v>
      </c>
      <c r="K45" s="1756">
        <f>K44+K30</f>
        <v>113815</v>
      </c>
      <c r="L45" s="1756"/>
      <c r="M45" s="1756"/>
      <c r="N45" s="1757">
        <f>N44+N30</f>
        <v>113815</v>
      </c>
      <c r="O45" s="1756"/>
      <c r="P45" s="1758"/>
      <c r="R45" s="98" t="s">
        <v>836</v>
      </c>
      <c r="S45" s="1759">
        <f>S14-S44</f>
        <v>82120</v>
      </c>
      <c r="T45" s="1759"/>
      <c r="U45" s="1760"/>
      <c r="V45" s="1989">
        <f>V14-V44</f>
        <v>82120</v>
      </c>
      <c r="W45" s="1759"/>
      <c r="X45" s="1761"/>
    </row>
    <row r="46" spans="1:27" ht="19.5" customHeight="1" thickBot="1" x14ac:dyDescent="0.25">
      <c r="B46" s="690"/>
      <c r="C46" s="227"/>
      <c r="D46" s="227"/>
      <c r="E46" s="227"/>
      <c r="F46" s="227"/>
      <c r="G46" s="227"/>
      <c r="H46" s="227"/>
      <c r="J46" s="110" t="s">
        <v>535</v>
      </c>
      <c r="K46" s="1733">
        <f>MAX(0,K45-K14)</f>
        <v>0</v>
      </c>
      <c r="L46" s="1733"/>
      <c r="M46" s="1762"/>
      <c r="N46" s="1733">
        <f>MAX(0,N45-N14)</f>
        <v>0</v>
      </c>
      <c r="O46" s="1733"/>
      <c r="P46" s="1734"/>
      <c r="R46" s="690"/>
      <c r="S46" s="227"/>
      <c r="T46" s="227"/>
      <c r="U46" s="227"/>
      <c r="V46" s="227"/>
      <c r="W46" s="227"/>
      <c r="X46" s="227"/>
    </row>
    <row r="47" spans="1:27" ht="19.5" customHeight="1" x14ac:dyDescent="0.2">
      <c r="B47" s="1601" t="s">
        <v>376</v>
      </c>
      <c r="C47" s="1602"/>
      <c r="D47" s="1602"/>
      <c r="E47" s="1602"/>
      <c r="F47" s="1602"/>
      <c r="G47" s="1602"/>
      <c r="H47" s="1603"/>
      <c r="J47" s="690"/>
      <c r="K47" s="227"/>
      <c r="L47" s="227"/>
      <c r="M47" s="227"/>
      <c r="N47" s="227"/>
      <c r="O47" s="227"/>
      <c r="P47" s="227"/>
      <c r="R47" s="1601" t="s">
        <v>376</v>
      </c>
      <c r="S47" s="1602"/>
      <c r="T47" s="1602"/>
      <c r="U47" s="1602"/>
      <c r="V47" s="1602"/>
      <c r="W47" s="1602"/>
      <c r="X47" s="1603"/>
    </row>
    <row r="48" spans="1:27" ht="15" customHeight="1" x14ac:dyDescent="0.2">
      <c r="B48" s="1814"/>
      <c r="C48" s="1815"/>
      <c r="D48" s="1815"/>
      <c r="E48" s="1815"/>
      <c r="F48" s="1815"/>
      <c r="G48" s="1815"/>
      <c r="H48" s="1816"/>
      <c r="J48" s="1601" t="s">
        <v>376</v>
      </c>
      <c r="K48" s="1602"/>
      <c r="L48" s="1602"/>
      <c r="M48" s="1602"/>
      <c r="N48" s="1602"/>
      <c r="O48" s="1602"/>
      <c r="P48" s="1603"/>
      <c r="R48" s="1814"/>
      <c r="S48" s="1815"/>
      <c r="T48" s="1815"/>
      <c r="U48" s="1815"/>
      <c r="V48" s="1815"/>
      <c r="W48" s="1815"/>
      <c r="X48" s="1816"/>
    </row>
    <row r="49" spans="2:24" ht="15" customHeight="1" x14ac:dyDescent="0.2">
      <c r="B49" s="1954" t="s">
        <v>523</v>
      </c>
      <c r="C49" s="1955"/>
      <c r="D49" s="1955"/>
      <c r="E49" s="1955"/>
      <c r="F49" s="1955"/>
      <c r="G49" s="1955"/>
      <c r="H49" s="1956"/>
      <c r="J49" s="1814"/>
      <c r="K49" s="1815"/>
      <c r="L49" s="1815"/>
      <c r="M49" s="1815"/>
      <c r="N49" s="1815"/>
      <c r="O49" s="1815"/>
      <c r="P49" s="1816"/>
      <c r="R49" s="1954" t="s">
        <v>523</v>
      </c>
      <c r="S49" s="1955"/>
      <c r="T49" s="1955"/>
      <c r="U49" s="1955"/>
      <c r="V49" s="1955"/>
      <c r="W49" s="1955"/>
      <c r="X49" s="1956"/>
    </row>
    <row r="50" spans="2:24" ht="15" customHeight="1" x14ac:dyDescent="0.2">
      <c r="B50" s="1954"/>
      <c r="C50" s="1955"/>
      <c r="D50" s="1955"/>
      <c r="E50" s="1955"/>
      <c r="F50" s="1955"/>
      <c r="G50" s="1955"/>
      <c r="H50" s="1956"/>
      <c r="J50" s="1954" t="s">
        <v>523</v>
      </c>
      <c r="K50" s="1955"/>
      <c r="L50" s="1955"/>
      <c r="M50" s="1955"/>
      <c r="N50" s="1955"/>
      <c r="O50" s="1955"/>
      <c r="P50" s="1956"/>
      <c r="R50" s="1954"/>
      <c r="S50" s="1955"/>
      <c r="T50" s="1955"/>
      <c r="U50" s="1955"/>
      <c r="V50" s="1955"/>
      <c r="W50" s="1955"/>
      <c r="X50" s="1956"/>
    </row>
    <row r="51" spans="2:24" ht="15" customHeight="1" x14ac:dyDescent="0.2">
      <c r="B51" s="1957"/>
      <c r="C51" s="1958"/>
      <c r="D51" s="1958"/>
      <c r="E51" s="1958"/>
      <c r="F51" s="1958"/>
      <c r="G51" s="1958"/>
      <c r="H51" s="1959"/>
      <c r="J51" s="1954"/>
      <c r="K51" s="1955"/>
      <c r="L51" s="1955"/>
      <c r="M51" s="1955"/>
      <c r="N51" s="1955"/>
      <c r="O51" s="1955"/>
      <c r="P51" s="1956"/>
      <c r="R51" s="1957"/>
      <c r="S51" s="1958"/>
      <c r="T51" s="1958"/>
      <c r="U51" s="1958"/>
      <c r="V51" s="1958"/>
      <c r="W51" s="1958"/>
      <c r="X51" s="1959"/>
    </row>
    <row r="52" spans="2:24" ht="16" x14ac:dyDescent="0.2">
      <c r="B52" s="767"/>
      <c r="C52" s="767"/>
      <c r="D52" s="947"/>
      <c r="E52" s="768"/>
      <c r="F52" s="947"/>
      <c r="J52" s="1957"/>
      <c r="K52" s="1958"/>
      <c r="L52" s="1958"/>
      <c r="M52" s="1958"/>
      <c r="N52" s="1958"/>
      <c r="O52" s="1958"/>
      <c r="P52" s="1959"/>
      <c r="R52" s="767"/>
      <c r="S52" s="767"/>
      <c r="T52" s="947"/>
      <c r="U52" s="768"/>
      <c r="V52" s="947"/>
    </row>
  </sheetData>
  <mergeCells count="195">
    <mergeCell ref="C27:E27"/>
    <mergeCell ref="F27:H27"/>
    <mergeCell ref="K27:M27"/>
    <mergeCell ref="N27:P27"/>
    <mergeCell ref="S27:U27"/>
    <mergeCell ref="V27:X27"/>
    <mergeCell ref="C44:E44"/>
    <mergeCell ref="F44:H44"/>
    <mergeCell ref="K44:M44"/>
    <mergeCell ref="N44:P44"/>
    <mergeCell ref="S44:U44"/>
    <mergeCell ref="V44:X44"/>
    <mergeCell ref="D42:E42"/>
    <mergeCell ref="G42:H42"/>
    <mergeCell ref="L42:M42"/>
    <mergeCell ref="O42:P42"/>
    <mergeCell ref="S43:U43"/>
    <mergeCell ref="W40:X40"/>
    <mergeCell ref="D41:E41"/>
    <mergeCell ref="G41:H41"/>
    <mergeCell ref="L41:M41"/>
    <mergeCell ref="O41:P41"/>
    <mergeCell ref="T41:U41"/>
    <mergeCell ref="W41:X41"/>
    <mergeCell ref="V45:X45"/>
    <mergeCell ref="K46:M46"/>
    <mergeCell ref="N46:P46"/>
    <mergeCell ref="B47:H48"/>
    <mergeCell ref="R47:X48"/>
    <mergeCell ref="J48:P49"/>
    <mergeCell ref="B49:H51"/>
    <mergeCell ref="R49:X51"/>
    <mergeCell ref="J50:P52"/>
    <mergeCell ref="C45:E45"/>
    <mergeCell ref="F45:H45"/>
    <mergeCell ref="K45:M45"/>
    <mergeCell ref="N45:P45"/>
    <mergeCell ref="S45:U45"/>
    <mergeCell ref="D40:E40"/>
    <mergeCell ref="G40:H40"/>
    <mergeCell ref="L40:M40"/>
    <mergeCell ref="O40:P40"/>
    <mergeCell ref="T40:U40"/>
    <mergeCell ref="V43:X43"/>
    <mergeCell ref="T37:U37"/>
    <mergeCell ref="W37:X37"/>
    <mergeCell ref="D38:E38"/>
    <mergeCell ref="G38:H38"/>
    <mergeCell ref="L38:M38"/>
    <mergeCell ref="O38:P38"/>
    <mergeCell ref="T39:U39"/>
    <mergeCell ref="W39:X39"/>
    <mergeCell ref="E34:H34"/>
    <mergeCell ref="M34:P34"/>
    <mergeCell ref="U35:X35"/>
    <mergeCell ref="E36:H36"/>
    <mergeCell ref="M36:P36"/>
    <mergeCell ref="E35:H35"/>
    <mergeCell ref="M35:P35"/>
    <mergeCell ref="U34:X34"/>
    <mergeCell ref="G39:H39"/>
    <mergeCell ref="O39:P39"/>
    <mergeCell ref="W38:X38"/>
    <mergeCell ref="T38:U38"/>
    <mergeCell ref="L39:M39"/>
    <mergeCell ref="D39:E39"/>
    <mergeCell ref="C31:E31"/>
    <mergeCell ref="F31:H31"/>
    <mergeCell ref="K31:M31"/>
    <mergeCell ref="N31:P31"/>
    <mergeCell ref="U33:X33"/>
    <mergeCell ref="V28:X28"/>
    <mergeCell ref="C30:E30"/>
    <mergeCell ref="F30:H30"/>
    <mergeCell ref="K30:M30"/>
    <mergeCell ref="N30:P30"/>
    <mergeCell ref="S30:U30"/>
    <mergeCell ref="V30:X30"/>
    <mergeCell ref="C28:E28"/>
    <mergeCell ref="F28:H28"/>
    <mergeCell ref="K28:M28"/>
    <mergeCell ref="N28:P28"/>
    <mergeCell ref="S28:U28"/>
    <mergeCell ref="V25:X25"/>
    <mergeCell ref="C26:E26"/>
    <mergeCell ref="F26:H26"/>
    <mergeCell ref="K26:M26"/>
    <mergeCell ref="N26:P26"/>
    <mergeCell ref="S26:U26"/>
    <mergeCell ref="V26:X26"/>
    <mergeCell ref="C25:E25"/>
    <mergeCell ref="F25:H25"/>
    <mergeCell ref="K25:M25"/>
    <mergeCell ref="N25:P25"/>
    <mergeCell ref="S25:U25"/>
    <mergeCell ref="V23:X23"/>
    <mergeCell ref="C24:E24"/>
    <mergeCell ref="F24:H24"/>
    <mergeCell ref="K24:M24"/>
    <mergeCell ref="N24:P24"/>
    <mergeCell ref="S24:U24"/>
    <mergeCell ref="V24:X24"/>
    <mergeCell ref="C23:E23"/>
    <mergeCell ref="F23:H23"/>
    <mergeCell ref="K23:M23"/>
    <mergeCell ref="N23:P23"/>
    <mergeCell ref="S23:U23"/>
    <mergeCell ref="V21:X21"/>
    <mergeCell ref="C22:E22"/>
    <mergeCell ref="F22:H22"/>
    <mergeCell ref="K22:M22"/>
    <mergeCell ref="N22:P22"/>
    <mergeCell ref="S22:U22"/>
    <mergeCell ref="V22:X22"/>
    <mergeCell ref="C21:E21"/>
    <mergeCell ref="F21:H21"/>
    <mergeCell ref="K21:M21"/>
    <mergeCell ref="N21:P21"/>
    <mergeCell ref="S21:U21"/>
    <mergeCell ref="V19:X19"/>
    <mergeCell ref="C20:E20"/>
    <mergeCell ref="F20:H20"/>
    <mergeCell ref="K20:M20"/>
    <mergeCell ref="N20:P20"/>
    <mergeCell ref="S20:U20"/>
    <mergeCell ref="V20:X20"/>
    <mergeCell ref="C19:E19"/>
    <mergeCell ref="F19:H19"/>
    <mergeCell ref="K19:M19"/>
    <mergeCell ref="N19:P19"/>
    <mergeCell ref="S19:U19"/>
    <mergeCell ref="V17:X17"/>
    <mergeCell ref="C18:E18"/>
    <mergeCell ref="F18:H18"/>
    <mergeCell ref="K18:M18"/>
    <mergeCell ref="N18:P18"/>
    <mergeCell ref="S18:U18"/>
    <mergeCell ref="V18:X18"/>
    <mergeCell ref="C17:E17"/>
    <mergeCell ref="F17:H17"/>
    <mergeCell ref="K17:M17"/>
    <mergeCell ref="N17:P17"/>
    <mergeCell ref="S17:U17"/>
    <mergeCell ref="V15:X15"/>
    <mergeCell ref="D16:E16"/>
    <mergeCell ref="G16:H16"/>
    <mergeCell ref="L16:M16"/>
    <mergeCell ref="O16:P16"/>
    <mergeCell ref="T16:U16"/>
    <mergeCell ref="W16:X16"/>
    <mergeCell ref="C15:E15"/>
    <mergeCell ref="F15:H15"/>
    <mergeCell ref="K15:M15"/>
    <mergeCell ref="N15:P15"/>
    <mergeCell ref="S15:U15"/>
    <mergeCell ref="V12:X12"/>
    <mergeCell ref="C13:E13"/>
    <mergeCell ref="F13:H13"/>
    <mergeCell ref="K13:M13"/>
    <mergeCell ref="N13:P13"/>
    <mergeCell ref="S13:U13"/>
    <mergeCell ref="V13:X13"/>
    <mergeCell ref="C12:E12"/>
    <mergeCell ref="F12:H12"/>
    <mergeCell ref="K12:M12"/>
    <mergeCell ref="N12:P12"/>
    <mergeCell ref="S12:U12"/>
    <mergeCell ref="C10:H10"/>
    <mergeCell ref="K10:P10"/>
    <mergeCell ref="S10:X10"/>
    <mergeCell ref="C11:E11"/>
    <mergeCell ref="F11:H11"/>
    <mergeCell ref="K11:M11"/>
    <mergeCell ref="N11:P11"/>
    <mergeCell ref="S11:U11"/>
    <mergeCell ref="V11:X11"/>
    <mergeCell ref="C9:H9"/>
    <mergeCell ref="K9:P9"/>
    <mergeCell ref="S9:X9"/>
    <mergeCell ref="C6:H6"/>
    <mergeCell ref="K6:P6"/>
    <mergeCell ref="S6:X6"/>
    <mergeCell ref="C7:H7"/>
    <mergeCell ref="K7:P7"/>
    <mergeCell ref="S7:X7"/>
    <mergeCell ref="B2:X2"/>
    <mergeCell ref="B4:H4"/>
    <mergeCell ref="J4:P4"/>
    <mergeCell ref="R4:X4"/>
    <mergeCell ref="C5:E5"/>
    <mergeCell ref="K5:M5"/>
    <mergeCell ref="S5:U5"/>
    <mergeCell ref="C8:H8"/>
    <mergeCell ref="K8:P8"/>
    <mergeCell ref="S8:X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36CBA-6C25-4044-B706-EAD58BB3B9E4}">
  <dimension ref="B1:E52"/>
  <sheetViews>
    <sheetView showGridLines="0" zoomScale="70" zoomScaleNormal="70" workbookViewId="0">
      <selection activeCell="I10" sqref="I10"/>
    </sheetView>
  </sheetViews>
  <sheetFormatPr baseColWidth="10" defaultColWidth="9.1640625" defaultRowHeight="15" x14ac:dyDescent="0.2"/>
  <cols>
    <col min="1" max="1" width="2.33203125" style="1" customWidth="1"/>
    <col min="2" max="2" width="49" style="1" customWidth="1"/>
    <col min="3" max="3" width="44.5" style="1" customWidth="1"/>
    <col min="4" max="4" width="3.1640625" style="1" customWidth="1"/>
    <col min="5" max="5" width="21.33203125" style="316" customWidth="1"/>
    <col min="6" max="6" width="3.1640625" style="1" customWidth="1"/>
    <col min="7" max="16384" width="9.1640625" style="1"/>
  </cols>
  <sheetData>
    <row r="1" spans="2:5" ht="30" x14ac:dyDescent="0.35">
      <c r="B1" s="302" t="s">
        <v>263</v>
      </c>
    </row>
    <row r="3" spans="2:5" ht="21" x14ac:dyDescent="0.25">
      <c r="B3" s="1994" t="s">
        <v>99</v>
      </c>
      <c r="C3" s="1994"/>
    </row>
    <row r="4" spans="2:5" ht="23" thickBot="1" x14ac:dyDescent="0.3">
      <c r="B4" s="102" t="s">
        <v>15</v>
      </c>
      <c r="C4" s="101">
        <f ca="1">TODAY()</f>
        <v>43713</v>
      </c>
    </row>
    <row r="5" spans="2:5" customFormat="1" ht="19" x14ac:dyDescent="0.25">
      <c r="B5" s="99" t="s">
        <v>24</v>
      </c>
      <c r="C5" s="255"/>
      <c r="E5" s="319" t="s">
        <v>269</v>
      </c>
    </row>
    <row r="6" spans="2:5" customFormat="1" ht="19" x14ac:dyDescent="0.2">
      <c r="B6" s="303" t="s">
        <v>250</v>
      </c>
      <c r="C6" s="304" t="s">
        <v>275</v>
      </c>
      <c r="E6" s="320" t="s">
        <v>262</v>
      </c>
    </row>
    <row r="7" spans="2:5" customFormat="1" ht="19" x14ac:dyDescent="0.2">
      <c r="B7" s="303" t="s">
        <v>25</v>
      </c>
      <c r="C7" s="304"/>
      <c r="E7" s="321" t="s">
        <v>260</v>
      </c>
    </row>
    <row r="8" spans="2:5" customFormat="1" ht="20" thickBot="1" x14ac:dyDescent="0.25">
      <c r="B8" s="100" t="s">
        <v>256</v>
      </c>
      <c r="C8" s="254" t="s">
        <v>276</v>
      </c>
      <c r="E8" s="322" t="s">
        <v>261</v>
      </c>
    </row>
    <row r="9" spans="2:5" customFormat="1" ht="11.25" customHeight="1" x14ac:dyDescent="0.2">
      <c r="B9" s="74"/>
      <c r="C9" s="74"/>
      <c r="E9" s="317"/>
    </row>
    <row r="10" spans="2:5" customFormat="1" ht="22" thickBot="1" x14ac:dyDescent="0.25">
      <c r="B10" s="90" t="s">
        <v>167</v>
      </c>
      <c r="C10" s="29"/>
      <c r="E10" s="317"/>
    </row>
    <row r="11" spans="2:5" customFormat="1" ht="16" x14ac:dyDescent="0.2">
      <c r="B11" s="96" t="s">
        <v>16</v>
      </c>
      <c r="C11" s="87">
        <v>0</v>
      </c>
      <c r="E11" s="317"/>
    </row>
    <row r="12" spans="2:5" customFormat="1" ht="16" x14ac:dyDescent="0.2">
      <c r="B12" s="97" t="s">
        <v>17</v>
      </c>
      <c r="C12" s="88">
        <v>4</v>
      </c>
      <c r="E12" s="317"/>
    </row>
    <row r="13" spans="2:5" customFormat="1" ht="17" thickBot="1" x14ac:dyDescent="0.25">
      <c r="B13" s="98" t="s">
        <v>47</v>
      </c>
      <c r="C13" s="314">
        <v>640</v>
      </c>
      <c r="E13" s="317"/>
    </row>
    <row r="14" spans="2:5" customFormat="1" ht="15" customHeight="1" thickBot="1" x14ac:dyDescent="0.25">
      <c r="B14" s="74"/>
      <c r="C14" s="74"/>
      <c r="E14" s="323" t="s">
        <v>268</v>
      </c>
    </row>
    <row r="15" spans="2:5" customFormat="1" ht="22" thickBot="1" x14ac:dyDescent="0.25">
      <c r="B15" s="90" t="s">
        <v>168</v>
      </c>
      <c r="C15" s="65"/>
      <c r="E15" s="324">
        <f>C23*C29</f>
        <v>82000</v>
      </c>
    </row>
    <row r="16" spans="2:5" customFormat="1" ht="16" x14ac:dyDescent="0.2">
      <c r="B16" s="79" t="s">
        <v>62</v>
      </c>
      <c r="C16" s="310" t="s">
        <v>267</v>
      </c>
      <c r="E16" s="317"/>
    </row>
    <row r="17" spans="2:5" customFormat="1" ht="16" x14ac:dyDescent="0.2">
      <c r="B17" s="91" t="s">
        <v>89</v>
      </c>
      <c r="C17" s="92">
        <v>700000</v>
      </c>
      <c r="E17" s="317"/>
    </row>
    <row r="18" spans="2:5" customFormat="1" ht="16" x14ac:dyDescent="0.2">
      <c r="B18" s="76" t="s">
        <v>82</v>
      </c>
      <c r="C18" s="81">
        <v>785000</v>
      </c>
      <c r="E18" s="323" t="s">
        <v>230</v>
      </c>
    </row>
    <row r="19" spans="2:5" customFormat="1" ht="16" x14ac:dyDescent="0.2">
      <c r="B19" s="91" t="s">
        <v>237</v>
      </c>
      <c r="C19" s="93">
        <v>1</v>
      </c>
      <c r="E19" s="325">
        <f>C17*C19</f>
        <v>700000</v>
      </c>
    </row>
    <row r="20" spans="2:5" customFormat="1" ht="16" x14ac:dyDescent="0.2">
      <c r="B20" s="76" t="s">
        <v>231</v>
      </c>
      <c r="C20" s="327">
        <f>C17*C19</f>
        <v>700000</v>
      </c>
      <c r="E20" s="317"/>
    </row>
    <row r="21" spans="2:5" customFormat="1" ht="16" x14ac:dyDescent="0.2">
      <c r="B21" s="91" t="s">
        <v>34</v>
      </c>
      <c r="C21" s="328">
        <v>120000</v>
      </c>
      <c r="E21" s="317"/>
    </row>
    <row r="22" spans="2:5" customFormat="1" ht="16" x14ac:dyDescent="0.2">
      <c r="B22" s="76" t="s">
        <v>251</v>
      </c>
      <c r="C22" s="327">
        <f>C21</f>
        <v>120000</v>
      </c>
      <c r="E22" s="317"/>
    </row>
    <row r="23" spans="2:5" customFormat="1" ht="16" x14ac:dyDescent="0.2">
      <c r="B23" s="91" t="s">
        <v>252</v>
      </c>
      <c r="C23" s="329">
        <f>SUM(C20,C22)</f>
        <v>820000</v>
      </c>
      <c r="E23" s="317"/>
    </row>
    <row r="24" spans="2:5" customFormat="1" ht="16" x14ac:dyDescent="0.2">
      <c r="B24" s="76" t="s">
        <v>265</v>
      </c>
      <c r="C24" s="330">
        <v>1250000</v>
      </c>
      <c r="E24" s="318"/>
    </row>
    <row r="25" spans="2:5" customFormat="1" ht="16" x14ac:dyDescent="0.2">
      <c r="B25" s="91" t="s">
        <v>266</v>
      </c>
      <c r="C25" s="93">
        <f>IF(C16="Tier I",0.65,0.7)</f>
        <v>0.7</v>
      </c>
      <c r="E25" s="318"/>
    </row>
    <row r="26" spans="2:5" customFormat="1" ht="16" x14ac:dyDescent="0.2">
      <c r="B26" s="76" t="s">
        <v>270</v>
      </c>
      <c r="C26" s="327">
        <f>C24*C25</f>
        <v>875000</v>
      </c>
      <c r="E26" s="323" t="s">
        <v>39</v>
      </c>
    </row>
    <row r="27" spans="2:5" customFormat="1" ht="16" x14ac:dyDescent="0.2">
      <c r="B27" s="91" t="s">
        <v>254</v>
      </c>
      <c r="C27" s="331">
        <f>SUM(C34,C23)</f>
        <v>844600</v>
      </c>
      <c r="E27" s="326">
        <v>0.03</v>
      </c>
    </row>
    <row r="28" spans="2:5" customFormat="1" ht="16" x14ac:dyDescent="0.2">
      <c r="B28" s="76" t="s">
        <v>1</v>
      </c>
      <c r="C28" s="84" t="s">
        <v>253</v>
      </c>
      <c r="E28" s="317"/>
    </row>
    <row r="29" spans="2:5" customFormat="1" ht="16" x14ac:dyDescent="0.2">
      <c r="B29" s="91" t="s">
        <v>0</v>
      </c>
      <c r="C29" s="95">
        <v>0.1</v>
      </c>
      <c r="E29" s="317"/>
    </row>
    <row r="30" spans="2:5" customFormat="1" ht="17" thickBot="1" x14ac:dyDescent="0.25">
      <c r="B30" s="85" t="s">
        <v>6</v>
      </c>
      <c r="C30" s="250">
        <f>E15/12</f>
        <v>6833.333333333333</v>
      </c>
      <c r="E30" s="317"/>
    </row>
    <row r="31" spans="2:5" customFormat="1" ht="11.25" customHeight="1" x14ac:dyDescent="0.2">
      <c r="B31" s="74"/>
      <c r="C31" s="74"/>
      <c r="E31" s="317"/>
    </row>
    <row r="32" spans="2:5" customFormat="1" ht="22" thickBot="1" x14ac:dyDescent="0.3">
      <c r="B32" s="5" t="s">
        <v>166</v>
      </c>
      <c r="E32" s="317"/>
    </row>
    <row r="33" spans="2:5" customFormat="1" ht="16" x14ac:dyDescent="0.2">
      <c r="B33" s="103" t="s">
        <v>36</v>
      </c>
      <c r="C33" s="104">
        <v>0</v>
      </c>
      <c r="E33" s="317"/>
    </row>
    <row r="34" spans="2:5" customFormat="1" ht="16" x14ac:dyDescent="0.2">
      <c r="B34" s="91" t="s">
        <v>274</v>
      </c>
      <c r="C34" s="313">
        <f>C23*E27</f>
        <v>24600</v>
      </c>
      <c r="E34" s="317"/>
    </row>
    <row r="35" spans="2:5" customFormat="1" ht="16" x14ac:dyDescent="0.2">
      <c r="B35" s="76" t="s">
        <v>255</v>
      </c>
      <c r="C35" s="243">
        <f>C27/100</f>
        <v>8446</v>
      </c>
      <c r="E35" s="317"/>
    </row>
    <row r="36" spans="2:5" customFormat="1" ht="16" x14ac:dyDescent="0.2">
      <c r="B36" s="91" t="s">
        <v>271</v>
      </c>
      <c r="C36" s="311">
        <f>IF(C8="SFR",700,"$900")</f>
        <v>700</v>
      </c>
      <c r="E36" s="317"/>
    </row>
    <row r="37" spans="2:5" customFormat="1" ht="16" x14ac:dyDescent="0.2">
      <c r="B37" s="76" t="s">
        <v>124</v>
      </c>
      <c r="C37" s="332">
        <v>1000</v>
      </c>
      <c r="E37" s="317"/>
    </row>
    <row r="38" spans="2:5" customFormat="1" ht="17" thickBot="1" x14ac:dyDescent="0.25">
      <c r="B38" s="125" t="s">
        <v>259</v>
      </c>
      <c r="C38" s="312">
        <f>IF(C12=0,40000,20000)</f>
        <v>20000</v>
      </c>
      <c r="E38" s="317"/>
    </row>
    <row r="39" spans="2:5" customFormat="1" ht="11.25" customHeight="1" x14ac:dyDescent="0.2">
      <c r="B39" s="74"/>
      <c r="C39" s="74"/>
      <c r="E39" s="317"/>
    </row>
    <row r="40" spans="2:5" customFormat="1" ht="22" thickBot="1" x14ac:dyDescent="0.25">
      <c r="B40" s="107" t="s">
        <v>169</v>
      </c>
      <c r="C40" s="42"/>
      <c r="E40" s="317"/>
    </row>
    <row r="41" spans="2:5" customFormat="1" ht="16" x14ac:dyDescent="0.2">
      <c r="B41" s="96" t="s">
        <v>12</v>
      </c>
      <c r="C41" s="333">
        <v>2000</v>
      </c>
      <c r="E41" s="317"/>
    </row>
    <row r="42" spans="2:5" customFormat="1" ht="17" thickBot="1" x14ac:dyDescent="0.25">
      <c r="B42" s="98" t="s">
        <v>13</v>
      </c>
      <c r="C42" s="334">
        <v>2000</v>
      </c>
      <c r="E42" s="317"/>
    </row>
    <row r="43" spans="2:5" customFormat="1" ht="11.25" customHeight="1" x14ac:dyDescent="0.2">
      <c r="B43" s="74"/>
      <c r="C43" s="74"/>
      <c r="E43" s="317"/>
    </row>
    <row r="44" spans="2:5" ht="22" thickBot="1" x14ac:dyDescent="0.3">
      <c r="B44" s="112" t="s">
        <v>170</v>
      </c>
      <c r="C44" s="74"/>
    </row>
    <row r="45" spans="2:5" ht="16" x14ac:dyDescent="0.2">
      <c r="B45" s="108" t="s">
        <v>257</v>
      </c>
      <c r="C45" s="109">
        <f>SUM(C35,C36,C37)</f>
        <v>10146</v>
      </c>
    </row>
    <row r="46" spans="2:5" ht="17" thickBot="1" x14ac:dyDescent="0.25">
      <c r="B46" s="110" t="s">
        <v>258</v>
      </c>
      <c r="C46" s="111">
        <f>SUM(C38,C45)</f>
        <v>30146</v>
      </c>
    </row>
    <row r="47" spans="2:5" customFormat="1" ht="11.25" customHeight="1" x14ac:dyDescent="0.2">
      <c r="B47" s="74"/>
      <c r="C47" s="74"/>
      <c r="E47" s="317"/>
    </row>
    <row r="48" spans="2:5" ht="16.5" customHeight="1" x14ac:dyDescent="0.2">
      <c r="B48" s="305" t="s">
        <v>273</v>
      </c>
      <c r="C48" s="306"/>
    </row>
    <row r="49" spans="2:3" ht="16.5" customHeight="1" x14ac:dyDescent="0.2">
      <c r="B49" s="315" t="s">
        <v>264</v>
      </c>
      <c r="C49" s="307"/>
    </row>
    <row r="50" spans="2:3" ht="16.5" customHeight="1" x14ac:dyDescent="0.2">
      <c r="B50" s="315" t="s">
        <v>272</v>
      </c>
      <c r="C50" s="307"/>
    </row>
    <row r="51" spans="2:3" ht="16.5" customHeight="1" x14ac:dyDescent="0.2">
      <c r="B51" s="244" t="s">
        <v>20</v>
      </c>
      <c r="C51" s="307"/>
    </row>
    <row r="52" spans="2:3" ht="16.5" customHeight="1" x14ac:dyDescent="0.2">
      <c r="B52" s="308" t="s">
        <v>21</v>
      </c>
      <c r="C52" s="309"/>
    </row>
  </sheetData>
  <mergeCells count="1">
    <mergeCell ref="B3:C3"/>
  </mergeCells>
  <conditionalFormatting sqref="C26">
    <cfRule type="expression" dxfId="5" priority="1">
      <formula>C26&lt;C27</formula>
    </cfRule>
  </conditionalFormatting>
  <dataValidations count="1">
    <dataValidation type="list" allowBlank="1" showInputMessage="1" showErrorMessage="1" sqref="C16" xr:uid="{7814B80D-C2E7-43B7-A60E-F0F9CA5C29EB}">
      <formula1>"Tier I, Tier II, Tier III"</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B1948-09EB-4D43-AD7B-B34B4AA99923}">
  <dimension ref="B1:Q45"/>
  <sheetViews>
    <sheetView showGridLines="0" zoomScale="70" zoomScaleNormal="70" workbookViewId="0">
      <selection activeCell="F16" sqref="F16"/>
    </sheetView>
  </sheetViews>
  <sheetFormatPr baseColWidth="10" defaultColWidth="9.1640625" defaultRowHeight="15" x14ac:dyDescent="0.2"/>
  <cols>
    <col min="1" max="1" width="3" style="613" customWidth="1"/>
    <col min="2" max="2" width="43.5" style="613" customWidth="1"/>
    <col min="3" max="4" width="23.5" style="686" customWidth="1"/>
    <col min="5" max="5" width="2.5" style="613" customWidth="1"/>
    <col min="6" max="6" width="14.6640625" style="613" customWidth="1"/>
    <col min="7" max="7" width="2.6640625" style="613" customWidth="1"/>
    <col min="8" max="8" width="43.5" style="613" customWidth="1"/>
    <col min="9" max="10" width="23.5" style="686" customWidth="1"/>
    <col min="11" max="11" width="2.5" style="613" customWidth="1"/>
    <col min="12" max="12" width="14.6640625" style="613" customWidth="1"/>
    <col min="13" max="13" width="2.6640625" style="613" customWidth="1"/>
    <col min="14" max="15" width="43.33203125" style="613" customWidth="1"/>
    <col min="16" max="16" width="3.6640625" style="613" customWidth="1"/>
    <col min="17" max="17" width="14.83203125" style="613" customWidth="1"/>
    <col min="18" max="16384" width="9.1640625" style="613"/>
  </cols>
  <sheetData>
    <row r="1" spans="2:15" ht="21" x14ac:dyDescent="0.2">
      <c r="B1" s="528" t="s">
        <v>207</v>
      </c>
      <c r="H1" s="528" t="s">
        <v>207</v>
      </c>
    </row>
    <row r="3" spans="2:15" ht="21" x14ac:dyDescent="0.2">
      <c r="B3" s="2003" t="s">
        <v>754</v>
      </c>
      <c r="C3" s="2003"/>
      <c r="D3" s="2003"/>
      <c r="H3" s="2002" t="s">
        <v>755</v>
      </c>
      <c r="I3" s="2002"/>
      <c r="J3" s="2002"/>
      <c r="N3" s="2004" t="s">
        <v>756</v>
      </c>
      <c r="O3" s="2004"/>
    </row>
    <row r="4" spans="2:15" ht="19.5" customHeight="1" thickBot="1" x14ac:dyDescent="0.25">
      <c r="B4" s="120" t="s">
        <v>15</v>
      </c>
      <c r="C4" s="766">
        <f ca="1">TODAY()</f>
        <v>43713</v>
      </c>
      <c r="D4" s="766"/>
      <c r="H4" s="120" t="s">
        <v>15</v>
      </c>
      <c r="I4" s="766">
        <f ca="1">TODAY()</f>
        <v>43713</v>
      </c>
      <c r="J4" s="766"/>
      <c r="N4" s="120" t="s">
        <v>15</v>
      </c>
      <c r="O4" s="766">
        <f ca="1">TODAY()</f>
        <v>43713</v>
      </c>
    </row>
    <row r="5" spans="2:15" ht="19.5" customHeight="1" x14ac:dyDescent="0.2">
      <c r="B5" s="154" t="s">
        <v>24</v>
      </c>
      <c r="C5" s="869" t="s">
        <v>121</v>
      </c>
      <c r="D5" s="870"/>
      <c r="H5" s="154" t="s">
        <v>24</v>
      </c>
      <c r="I5" s="892" t="s">
        <v>121</v>
      </c>
      <c r="J5" s="870"/>
      <c r="N5" s="154" t="s">
        <v>24</v>
      </c>
      <c r="O5" s="870" t="s">
        <v>766</v>
      </c>
    </row>
    <row r="6" spans="2:15" ht="19.5" customHeight="1" x14ac:dyDescent="0.2">
      <c r="B6" s="893" t="s">
        <v>250</v>
      </c>
      <c r="C6" s="895"/>
      <c r="D6" s="894"/>
      <c r="H6" s="893" t="s">
        <v>250</v>
      </c>
      <c r="I6" s="895"/>
      <c r="J6" s="894"/>
      <c r="N6" s="893" t="s">
        <v>250</v>
      </c>
      <c r="O6" s="894" t="s">
        <v>767</v>
      </c>
    </row>
    <row r="7" spans="2:15" s="260" customFormat="1" ht="19.5" customHeight="1" thickBot="1" x14ac:dyDescent="0.25">
      <c r="B7" s="98" t="s">
        <v>25</v>
      </c>
      <c r="C7" s="856" t="s">
        <v>217</v>
      </c>
      <c r="D7" s="857"/>
      <c r="H7" s="100" t="s">
        <v>25</v>
      </c>
      <c r="I7" s="856" t="s">
        <v>217</v>
      </c>
      <c r="J7" s="857"/>
      <c r="N7" s="100" t="s">
        <v>25</v>
      </c>
      <c r="O7" s="857" t="s">
        <v>768</v>
      </c>
    </row>
    <row r="8" spans="2:15" ht="19.5" customHeight="1" thickBot="1" x14ac:dyDescent="0.25">
      <c r="B8" s="122" t="s">
        <v>167</v>
      </c>
      <c r="C8" s="508"/>
      <c r="D8" s="227"/>
      <c r="H8" s="122" t="s">
        <v>167</v>
      </c>
      <c r="I8" s="227"/>
      <c r="J8" s="227"/>
      <c r="N8" s="122" t="s">
        <v>167</v>
      </c>
      <c r="O8" s="227"/>
    </row>
    <row r="9" spans="2:15" ht="19.5" customHeight="1" x14ac:dyDescent="0.2">
      <c r="B9" s="96" t="s">
        <v>65</v>
      </c>
      <c r="C9" s="875">
        <v>7</v>
      </c>
      <c r="D9" s="737"/>
      <c r="H9" s="99" t="s">
        <v>65</v>
      </c>
      <c r="I9" s="875">
        <v>7</v>
      </c>
      <c r="J9" s="737"/>
      <c r="N9" s="99" t="s">
        <v>65</v>
      </c>
      <c r="O9" s="876">
        <v>6</v>
      </c>
    </row>
    <row r="10" spans="2:15" s="260" customFormat="1" ht="19.5" customHeight="1" thickBot="1" x14ac:dyDescent="0.25">
      <c r="B10" s="468" t="s">
        <v>47</v>
      </c>
      <c r="C10" s="873">
        <v>750</v>
      </c>
      <c r="D10" s="881"/>
      <c r="H10" s="888" t="s">
        <v>764</v>
      </c>
      <c r="I10" s="873">
        <v>750</v>
      </c>
      <c r="J10" s="881"/>
      <c r="N10" s="888" t="s">
        <v>764</v>
      </c>
      <c r="O10" s="874">
        <v>700</v>
      </c>
    </row>
    <row r="11" spans="2:15" ht="19.5" customHeight="1" thickBot="1" x14ac:dyDescent="0.25">
      <c r="B11" s="122" t="s">
        <v>172</v>
      </c>
      <c r="C11" s="227"/>
      <c r="D11" s="227"/>
      <c r="H11" s="122" t="s">
        <v>172</v>
      </c>
      <c r="I11" s="227"/>
      <c r="J11" s="227"/>
      <c r="N11" s="122" t="s">
        <v>172</v>
      </c>
      <c r="O11" s="227"/>
    </row>
    <row r="12" spans="2:15" ht="19.5" customHeight="1" x14ac:dyDescent="0.2">
      <c r="B12" s="79" t="s">
        <v>291</v>
      </c>
      <c r="C12" s="871">
        <v>128000</v>
      </c>
      <c r="D12" s="872"/>
      <c r="H12" s="96" t="s">
        <v>180</v>
      </c>
      <c r="I12" s="871">
        <v>128000</v>
      </c>
      <c r="J12" s="872"/>
      <c r="N12" s="79" t="s">
        <v>82</v>
      </c>
      <c r="O12" s="872">
        <v>128000</v>
      </c>
    </row>
    <row r="13" spans="2:15" ht="19.5" customHeight="1" x14ac:dyDescent="0.2">
      <c r="B13" s="465" t="s">
        <v>209</v>
      </c>
      <c r="C13" s="580">
        <v>1400</v>
      </c>
      <c r="D13" s="868"/>
      <c r="H13" s="374" t="s">
        <v>3</v>
      </c>
      <c r="I13" s="763">
        <v>0.75</v>
      </c>
      <c r="J13" s="877"/>
      <c r="N13" s="465" t="s">
        <v>84</v>
      </c>
      <c r="O13" s="868">
        <v>81000</v>
      </c>
    </row>
    <row r="14" spans="2:15" s="260" customFormat="1" ht="19.5" customHeight="1" x14ac:dyDescent="0.2">
      <c r="B14" s="466" t="s">
        <v>492</v>
      </c>
      <c r="C14" s="764">
        <v>260</v>
      </c>
      <c r="D14" s="867"/>
      <c r="H14" s="374" t="s">
        <v>181</v>
      </c>
      <c r="I14" s="764">
        <f>I12*I13</f>
        <v>96000</v>
      </c>
      <c r="J14" s="867"/>
      <c r="N14" s="466" t="s">
        <v>209</v>
      </c>
      <c r="O14" s="867">
        <v>1400</v>
      </c>
    </row>
    <row r="15" spans="2:15" ht="19.5" customHeight="1" x14ac:dyDescent="0.2">
      <c r="B15" s="465" t="s">
        <v>491</v>
      </c>
      <c r="C15" s="580">
        <v>75</v>
      </c>
      <c r="D15" s="868"/>
      <c r="H15" s="374" t="s">
        <v>209</v>
      </c>
      <c r="I15" s="580">
        <v>1400</v>
      </c>
      <c r="J15" s="868"/>
      <c r="N15" s="465" t="s">
        <v>492</v>
      </c>
      <c r="O15" s="868">
        <v>260</v>
      </c>
    </row>
    <row r="16" spans="2:15" ht="19.5" customHeight="1" x14ac:dyDescent="0.2">
      <c r="B16" s="899" t="s">
        <v>218</v>
      </c>
      <c r="C16" s="1998" t="s">
        <v>223</v>
      </c>
      <c r="D16" s="1999"/>
      <c r="H16" s="374" t="s">
        <v>492</v>
      </c>
      <c r="I16" s="764">
        <v>260</v>
      </c>
      <c r="J16" s="867"/>
      <c r="N16" s="899" t="s">
        <v>491</v>
      </c>
      <c r="O16" s="901">
        <v>75</v>
      </c>
    </row>
    <row r="17" spans="2:17" ht="19.5" customHeight="1" x14ac:dyDescent="0.2">
      <c r="B17" s="465" t="s">
        <v>3</v>
      </c>
      <c r="C17" s="763">
        <v>0.75</v>
      </c>
      <c r="D17" s="877"/>
      <c r="H17" s="374" t="s">
        <v>491</v>
      </c>
      <c r="I17" s="580">
        <v>75</v>
      </c>
      <c r="J17" s="868"/>
      <c r="N17" s="465" t="s">
        <v>0</v>
      </c>
      <c r="O17" s="862">
        <v>8.2250000000000004E-2</v>
      </c>
    </row>
    <row r="18" spans="2:17" ht="19.5" customHeight="1" x14ac:dyDescent="0.2">
      <c r="B18" s="466" t="s">
        <v>181</v>
      </c>
      <c r="C18" s="764">
        <f>C12*C17</f>
        <v>96000</v>
      </c>
      <c r="D18" s="867"/>
      <c r="H18" s="374" t="s">
        <v>218</v>
      </c>
      <c r="I18" s="2000" t="s">
        <v>223</v>
      </c>
      <c r="J18" s="2001"/>
      <c r="N18" s="466" t="s">
        <v>3</v>
      </c>
      <c r="O18" s="886">
        <v>0.75</v>
      </c>
    </row>
    <row r="19" spans="2:17" ht="19.5" customHeight="1" x14ac:dyDescent="0.2">
      <c r="B19" s="465" t="s">
        <v>0</v>
      </c>
      <c r="C19" s="765">
        <v>8.2250000000000004E-2</v>
      </c>
      <c r="D19" s="862"/>
      <c r="H19" s="374" t="s">
        <v>0</v>
      </c>
      <c r="I19" s="765">
        <v>8.2250000000000004E-2</v>
      </c>
      <c r="J19" s="862"/>
      <c r="N19" s="465" t="s">
        <v>181</v>
      </c>
      <c r="O19" s="868">
        <f>O18*O12</f>
        <v>96000</v>
      </c>
    </row>
    <row r="20" spans="2:17" ht="19.5" customHeight="1" x14ac:dyDescent="0.2">
      <c r="B20" s="466" t="s">
        <v>1</v>
      </c>
      <c r="C20" s="878" t="s">
        <v>28</v>
      </c>
      <c r="D20" s="863"/>
      <c r="H20" s="374" t="s">
        <v>1</v>
      </c>
      <c r="I20" s="878" t="s">
        <v>28</v>
      </c>
      <c r="J20" s="863"/>
      <c r="N20" s="466" t="s">
        <v>1</v>
      </c>
      <c r="O20" s="863" t="s">
        <v>28</v>
      </c>
    </row>
    <row r="21" spans="2:17" ht="19.5" customHeight="1" x14ac:dyDescent="0.2">
      <c r="B21" s="465" t="s">
        <v>53</v>
      </c>
      <c r="C21" s="828" t="s">
        <v>211</v>
      </c>
      <c r="D21" s="864"/>
      <c r="H21" s="374" t="s">
        <v>53</v>
      </c>
      <c r="I21" s="828" t="s">
        <v>211</v>
      </c>
      <c r="J21" s="864"/>
      <c r="N21" s="465" t="s">
        <v>53</v>
      </c>
      <c r="O21" s="864" t="s">
        <v>212</v>
      </c>
    </row>
    <row r="22" spans="2:17" ht="19.5" customHeight="1" thickBot="1" x14ac:dyDescent="0.25">
      <c r="B22" s="489" t="s">
        <v>758</v>
      </c>
      <c r="C22" s="890">
        <v>1044.53</v>
      </c>
      <c r="D22" s="887"/>
      <c r="H22" s="468" t="s">
        <v>758</v>
      </c>
      <c r="I22" s="890">
        <v>1044.53</v>
      </c>
      <c r="J22" s="887"/>
      <c r="N22" s="466" t="s">
        <v>760</v>
      </c>
      <c r="O22" s="889">
        <v>1044.53</v>
      </c>
    </row>
    <row r="23" spans="2:17" ht="19.5" customHeight="1" thickBot="1" x14ac:dyDescent="0.25">
      <c r="B23" s="120" t="s">
        <v>208</v>
      </c>
      <c r="C23" s="505"/>
      <c r="D23" s="505"/>
      <c r="H23" s="120" t="s">
        <v>208</v>
      </c>
      <c r="I23" s="222"/>
      <c r="J23" s="222"/>
      <c r="N23" s="467" t="s">
        <v>218</v>
      </c>
      <c r="O23" s="619" t="s">
        <v>765</v>
      </c>
    </row>
    <row r="24" spans="2:17" ht="19.5" customHeight="1" thickBot="1" x14ac:dyDescent="0.25">
      <c r="B24" s="486" t="s">
        <v>4</v>
      </c>
      <c r="C24" s="865">
        <f>C12-C18</f>
        <v>32000</v>
      </c>
      <c r="D24" s="866"/>
      <c r="H24" s="491" t="s">
        <v>4</v>
      </c>
      <c r="I24" s="865">
        <f>I12-I14</f>
        <v>32000</v>
      </c>
      <c r="J24" s="866"/>
      <c r="N24" s="120" t="s">
        <v>208</v>
      </c>
      <c r="O24" s="222"/>
    </row>
    <row r="25" spans="2:17" ht="19.5" customHeight="1" x14ac:dyDescent="0.2">
      <c r="B25" s="466" t="s">
        <v>66</v>
      </c>
      <c r="C25" s="858">
        <f>C18*F29</f>
        <v>4800</v>
      </c>
      <c r="D25" s="859"/>
      <c r="E25" s="621"/>
      <c r="F25" s="621"/>
      <c r="G25" s="621"/>
      <c r="H25" s="586" t="s">
        <v>66</v>
      </c>
      <c r="I25" s="858">
        <f>I14*L29</f>
        <v>4800</v>
      </c>
      <c r="J25" s="859"/>
      <c r="K25" s="621"/>
      <c r="L25" s="621"/>
      <c r="M25" s="621"/>
      <c r="N25" s="486" t="s">
        <v>43</v>
      </c>
      <c r="O25" s="866">
        <f>O13</f>
        <v>81000</v>
      </c>
    </row>
    <row r="26" spans="2:17" ht="19.5" customHeight="1" x14ac:dyDescent="0.2">
      <c r="B26" s="465" t="s">
        <v>10</v>
      </c>
      <c r="C26" s="860">
        <v>7500</v>
      </c>
      <c r="D26" s="861"/>
      <c r="E26" s="621"/>
      <c r="F26" s="621"/>
      <c r="G26" s="621"/>
      <c r="H26" s="586" t="s">
        <v>10</v>
      </c>
      <c r="I26" s="860">
        <v>7500</v>
      </c>
      <c r="J26" s="861"/>
      <c r="K26" s="621"/>
      <c r="L26" s="621"/>
      <c r="M26" s="621"/>
      <c r="N26" s="466" t="s">
        <v>216</v>
      </c>
      <c r="O26" s="859">
        <v>3500</v>
      </c>
    </row>
    <row r="27" spans="2:17" ht="19.5" customHeight="1" thickBot="1" x14ac:dyDescent="0.25">
      <c r="B27" s="466" t="s">
        <v>5</v>
      </c>
      <c r="C27" s="858">
        <v>1645</v>
      </c>
      <c r="D27" s="859"/>
      <c r="H27" s="586" t="s">
        <v>5</v>
      </c>
      <c r="I27" s="858">
        <v>1645</v>
      </c>
      <c r="J27" s="859"/>
      <c r="N27" s="465" t="s">
        <v>10</v>
      </c>
      <c r="O27" s="861">
        <v>3500</v>
      </c>
    </row>
    <row r="28" spans="2:17" ht="19.5" customHeight="1" thickBot="1" x14ac:dyDescent="0.25">
      <c r="B28" s="467" t="s">
        <v>222</v>
      </c>
      <c r="C28" s="891">
        <v>4038.45</v>
      </c>
      <c r="D28" s="376"/>
      <c r="F28" s="511" t="s">
        <v>39</v>
      </c>
      <c r="H28" s="493" t="s">
        <v>222</v>
      </c>
      <c r="I28" s="891">
        <v>4038.45</v>
      </c>
      <c r="J28" s="376"/>
      <c r="L28" s="511" t="s">
        <v>39</v>
      </c>
      <c r="N28" s="466" t="s">
        <v>5</v>
      </c>
      <c r="O28" s="859">
        <v>1645</v>
      </c>
    </row>
    <row r="29" spans="2:17" ht="19.5" customHeight="1" thickBot="1" x14ac:dyDescent="0.25">
      <c r="B29" s="120" t="s">
        <v>169</v>
      </c>
      <c r="C29" s="855"/>
      <c r="D29" s="855"/>
      <c r="F29" s="882">
        <v>0.05</v>
      </c>
      <c r="H29" s="120" t="s">
        <v>169</v>
      </c>
      <c r="I29" s="226"/>
      <c r="J29" s="226"/>
      <c r="L29" s="882">
        <v>0.05</v>
      </c>
      <c r="N29" s="467" t="s">
        <v>213</v>
      </c>
      <c r="O29" s="376">
        <v>3137.36</v>
      </c>
      <c r="Q29" s="511" t="s">
        <v>39</v>
      </c>
    </row>
    <row r="30" spans="2:17" ht="19.5" customHeight="1" thickBot="1" x14ac:dyDescent="0.25">
      <c r="B30" s="372" t="s">
        <v>759</v>
      </c>
      <c r="C30" s="373">
        <v>580</v>
      </c>
      <c r="D30" s="900"/>
      <c r="H30" s="372" t="s">
        <v>224</v>
      </c>
      <c r="I30" s="373">
        <v>580</v>
      </c>
      <c r="J30" s="879"/>
      <c r="N30" s="120" t="s">
        <v>169</v>
      </c>
      <c r="O30" s="226"/>
      <c r="Q30" s="882">
        <v>1.4999999999999999E-2</v>
      </c>
    </row>
    <row r="31" spans="2:17" ht="19.5" customHeight="1" x14ac:dyDescent="0.2">
      <c r="B31" s="374" t="s">
        <v>12</v>
      </c>
      <c r="C31" s="861">
        <v>3700</v>
      </c>
      <c r="D31" s="860"/>
      <c r="H31" s="374" t="s">
        <v>12</v>
      </c>
      <c r="I31" s="861">
        <v>3700</v>
      </c>
      <c r="J31" s="345"/>
      <c r="N31" s="372" t="s">
        <v>761</v>
      </c>
      <c r="O31" s="507">
        <v>585</v>
      </c>
    </row>
    <row r="32" spans="2:17" ht="19.5" customHeight="1" thickBot="1" x14ac:dyDescent="0.25">
      <c r="B32" s="98" t="s">
        <v>219</v>
      </c>
      <c r="C32" s="376">
        <v>20400</v>
      </c>
      <c r="D32" s="860"/>
      <c r="H32" s="98" t="s">
        <v>219</v>
      </c>
      <c r="I32" s="376">
        <v>20400</v>
      </c>
      <c r="J32" s="345"/>
      <c r="N32" s="374" t="s">
        <v>762</v>
      </c>
      <c r="O32" s="861">
        <v>1500</v>
      </c>
    </row>
    <row r="33" spans="2:17" ht="19.5" customHeight="1" thickBot="1" x14ac:dyDescent="0.25">
      <c r="B33" s="136"/>
      <c r="C33" s="508"/>
      <c r="D33" s="508"/>
      <c r="H33" s="136"/>
      <c r="I33" s="227"/>
      <c r="J33" s="227"/>
      <c r="N33" s="468" t="s">
        <v>763</v>
      </c>
      <c r="O33" s="376">
        <f>O22+O16</f>
        <v>1119.53</v>
      </c>
    </row>
    <row r="34" spans="2:17" ht="19.5" customHeight="1" thickBot="1" x14ac:dyDescent="0.25">
      <c r="B34" s="491" t="s">
        <v>220</v>
      </c>
      <c r="C34" s="492">
        <f>SUM(C25:C28,C30:C32)</f>
        <v>42663.45</v>
      </c>
      <c r="D34" s="582"/>
      <c r="H34" s="491" t="s">
        <v>220</v>
      </c>
      <c r="I34" s="492">
        <f>SUM(I25:I28,I30:I32)</f>
        <v>42663.45</v>
      </c>
      <c r="J34" s="880"/>
      <c r="N34" s="136"/>
      <c r="O34" s="227"/>
    </row>
    <row r="35" spans="2:17" ht="19.5" customHeight="1" thickBot="1" x14ac:dyDescent="0.25">
      <c r="B35" s="493" t="s">
        <v>221</v>
      </c>
      <c r="C35" s="494">
        <f>C34+C24</f>
        <v>74663.45</v>
      </c>
      <c r="D35" s="582"/>
      <c r="H35" s="493" t="s">
        <v>221</v>
      </c>
      <c r="I35" s="494">
        <f>I34+I24</f>
        <v>74663.45</v>
      </c>
      <c r="J35" s="880"/>
      <c r="N35" s="491" t="s">
        <v>67</v>
      </c>
      <c r="O35" s="492">
        <f>SUM(O26:O33)</f>
        <v>14986.890000000001</v>
      </c>
    </row>
    <row r="36" spans="2:17" ht="19.5" customHeight="1" x14ac:dyDescent="0.2">
      <c r="B36" s="690"/>
      <c r="C36" s="227"/>
      <c r="D36" s="227"/>
      <c r="F36" s="613">
        <v>24375</v>
      </c>
      <c r="H36" s="690"/>
      <c r="I36" s="227"/>
      <c r="J36" s="227"/>
      <c r="L36" s="613">
        <v>24375</v>
      </c>
      <c r="N36" s="586" t="s">
        <v>757</v>
      </c>
      <c r="O36" s="583">
        <f>O35+O25</f>
        <v>95986.89</v>
      </c>
    </row>
    <row r="37" spans="2:17" ht="19.5" customHeight="1" thickBot="1" x14ac:dyDescent="0.25">
      <c r="B37" s="1777" t="s">
        <v>376</v>
      </c>
      <c r="C37" s="1778"/>
      <c r="D37" s="1779"/>
      <c r="H37" s="572" t="s">
        <v>20</v>
      </c>
      <c r="I37" s="897"/>
      <c r="J37" s="898"/>
      <c r="N37" s="885" t="s">
        <v>83</v>
      </c>
      <c r="O37" s="587">
        <f>O19-O25-O35</f>
        <v>13.109999999998763</v>
      </c>
    </row>
    <row r="38" spans="2:17" ht="19.5" customHeight="1" x14ac:dyDescent="0.2">
      <c r="B38" s="1780"/>
      <c r="C38" s="1781"/>
      <c r="D38" s="1782"/>
      <c r="H38" s="573" t="s">
        <v>21</v>
      </c>
      <c r="I38" s="883"/>
      <c r="J38" s="574"/>
      <c r="N38" s="690"/>
      <c r="O38" s="227"/>
    </row>
    <row r="39" spans="2:17" ht="19.5" customHeight="1" x14ac:dyDescent="0.2">
      <c r="B39" s="1995" t="s">
        <v>214</v>
      </c>
      <c r="C39" s="1997"/>
      <c r="D39" s="884"/>
      <c r="H39" s="1668" t="s">
        <v>214</v>
      </c>
      <c r="I39" s="1669"/>
      <c r="J39" s="1670"/>
      <c r="N39" s="1601" t="s">
        <v>376</v>
      </c>
      <c r="O39" s="1603"/>
    </row>
    <row r="40" spans="2:17" s="260" customFormat="1" ht="19.5" customHeight="1" x14ac:dyDescent="0.2">
      <c r="B40" s="613"/>
      <c r="C40" s="686"/>
      <c r="D40" s="686"/>
      <c r="H40" s="613"/>
      <c r="I40" s="686"/>
      <c r="J40" s="686"/>
      <c r="N40" s="1814"/>
      <c r="O40" s="1816"/>
      <c r="P40" s="613"/>
      <c r="Q40" s="613"/>
    </row>
    <row r="41" spans="2:17" ht="19.5" customHeight="1" x14ac:dyDescent="0.2">
      <c r="M41" s="690"/>
      <c r="N41" s="2005" t="s">
        <v>215</v>
      </c>
      <c r="O41" s="2006"/>
      <c r="P41" s="896"/>
      <c r="Q41" s="770"/>
    </row>
    <row r="42" spans="2:17" ht="18.75" customHeight="1" x14ac:dyDescent="0.2">
      <c r="M42" s="690"/>
      <c r="N42" s="1995" t="s">
        <v>214</v>
      </c>
      <c r="O42" s="1996"/>
      <c r="P42" s="896"/>
    </row>
    <row r="43" spans="2:17" x14ac:dyDescent="0.2">
      <c r="M43" s="690"/>
      <c r="N43" s="690"/>
      <c r="O43" s="690"/>
      <c r="P43" s="690"/>
    </row>
    <row r="44" spans="2:17" x14ac:dyDescent="0.2">
      <c r="M44" s="690"/>
      <c r="P44" s="690"/>
    </row>
    <row r="45" spans="2:17" ht="16.5" customHeight="1" x14ac:dyDescent="0.2">
      <c r="M45" s="690"/>
      <c r="P45" s="690"/>
    </row>
  </sheetData>
  <mergeCells count="11">
    <mergeCell ref="N42:O42"/>
    <mergeCell ref="B39:C39"/>
    <mergeCell ref="C16:D16"/>
    <mergeCell ref="I18:J18"/>
    <mergeCell ref="H3:J3"/>
    <mergeCell ref="B3:D3"/>
    <mergeCell ref="N3:O3"/>
    <mergeCell ref="B37:D38"/>
    <mergeCell ref="N41:O41"/>
    <mergeCell ref="N39:O40"/>
    <mergeCell ref="H39:J39"/>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C29C4-5343-4033-A38B-9EB53128576B}">
  <dimension ref="A2:G58"/>
  <sheetViews>
    <sheetView showGridLines="0" topLeftCell="A33" zoomScale="125" zoomScaleNormal="125" workbookViewId="0">
      <selection activeCell="D2" sqref="D2"/>
    </sheetView>
  </sheetViews>
  <sheetFormatPr baseColWidth="10" defaultColWidth="8.83203125" defaultRowHeight="15" x14ac:dyDescent="0.2"/>
  <cols>
    <col min="1" max="1" width="6.6640625" customWidth="1"/>
    <col min="2" max="2" width="2.1640625" customWidth="1"/>
    <col min="3" max="3" width="50.5" customWidth="1"/>
    <col min="4" max="4" width="25.1640625" customWidth="1"/>
    <col min="5" max="5" width="25.1640625" style="2" customWidth="1"/>
    <col min="6" max="6" width="2.1640625" customWidth="1"/>
    <col min="7" max="7" width="18.6640625" customWidth="1"/>
    <col min="8" max="8" width="2.1640625" customWidth="1"/>
  </cols>
  <sheetData>
    <row r="2" spans="1:7" ht="45" customHeight="1" x14ac:dyDescent="0.2">
      <c r="C2" s="585" t="s">
        <v>196</v>
      </c>
    </row>
    <row r="4" spans="1:7" ht="21" x14ac:dyDescent="0.25">
      <c r="C4" s="2007" t="s">
        <v>195</v>
      </c>
      <c r="D4" s="2008"/>
      <c r="E4" s="2009"/>
      <c r="G4" s="1"/>
    </row>
    <row r="5" spans="1:7" ht="23" thickBot="1" x14ac:dyDescent="0.3">
      <c r="C5" s="102" t="s">
        <v>15</v>
      </c>
      <c r="D5" s="101">
        <f ca="1">TODAY()</f>
        <v>43713</v>
      </c>
      <c r="G5" s="1"/>
    </row>
    <row r="6" spans="1:7" ht="19" x14ac:dyDescent="0.25">
      <c r="C6" s="99" t="s">
        <v>24</v>
      </c>
      <c r="D6" s="2028" t="s">
        <v>528</v>
      </c>
      <c r="E6" s="2029"/>
    </row>
    <row r="7" spans="1:7" ht="19" x14ac:dyDescent="0.25">
      <c r="C7" s="303" t="s">
        <v>250</v>
      </c>
      <c r="D7" s="2012" t="s">
        <v>529</v>
      </c>
      <c r="E7" s="2013"/>
    </row>
    <row r="8" spans="1:7" ht="20" thickBot="1" x14ac:dyDescent="0.25">
      <c r="C8" s="100" t="s">
        <v>25</v>
      </c>
      <c r="D8" s="2026" t="s">
        <v>530</v>
      </c>
      <c r="E8" s="2027"/>
    </row>
    <row r="9" spans="1:7" ht="22" thickBot="1" x14ac:dyDescent="0.25">
      <c r="C9" s="90" t="s">
        <v>167</v>
      </c>
      <c r="D9" s="29"/>
    </row>
    <row r="10" spans="1:7" ht="16" x14ac:dyDescent="0.2">
      <c r="C10" s="96" t="s">
        <v>190</v>
      </c>
      <c r="D10" s="202" t="s">
        <v>308</v>
      </c>
      <c r="E10" s="149"/>
    </row>
    <row r="11" spans="1:7" ht="17" thickBot="1" x14ac:dyDescent="0.25">
      <c r="C11" s="98" t="s">
        <v>47</v>
      </c>
      <c r="D11" s="203">
        <v>730</v>
      </c>
      <c r="E11" s="201"/>
    </row>
    <row r="12" spans="1:7" ht="22" thickBot="1" x14ac:dyDescent="0.25">
      <c r="C12" s="90" t="s">
        <v>168</v>
      </c>
      <c r="D12" s="65"/>
    </row>
    <row r="13" spans="1:7" ht="16" x14ac:dyDescent="0.2">
      <c r="A13" s="199" t="s">
        <v>164</v>
      </c>
      <c r="C13" s="200" t="s">
        <v>62</v>
      </c>
      <c r="D13" s="2010" t="s">
        <v>526</v>
      </c>
      <c r="E13" s="2011"/>
    </row>
    <row r="14" spans="1:7" ht="16" x14ac:dyDescent="0.2">
      <c r="A14" s="199" t="s">
        <v>164</v>
      </c>
      <c r="C14" s="91" t="s">
        <v>192</v>
      </c>
      <c r="D14" s="183">
        <v>99000</v>
      </c>
      <c r="E14" s="88"/>
    </row>
    <row r="15" spans="1:7" ht="16" x14ac:dyDescent="0.2">
      <c r="A15" s="199" t="s">
        <v>164</v>
      </c>
      <c r="C15" s="76" t="s">
        <v>198</v>
      </c>
      <c r="D15" s="182">
        <v>120000</v>
      </c>
      <c r="E15" s="191"/>
    </row>
    <row r="16" spans="1:7" ht="16" x14ac:dyDescent="0.2">
      <c r="A16" s="198"/>
      <c r="C16" s="91" t="s">
        <v>199</v>
      </c>
      <c r="D16" s="183">
        <f>D14-D15</f>
        <v>-21000</v>
      </c>
      <c r="E16" s="88"/>
      <c r="G16" s="584">
        <v>1</v>
      </c>
    </row>
    <row r="17" spans="1:7" ht="15.75" customHeight="1" x14ac:dyDescent="0.2">
      <c r="A17" s="199" t="s">
        <v>164</v>
      </c>
      <c r="C17" s="76" t="s">
        <v>193</v>
      </c>
      <c r="D17" s="182">
        <v>300000</v>
      </c>
      <c r="E17" s="191"/>
    </row>
    <row r="18" spans="1:7" ht="15.75" customHeight="1" thickBot="1" x14ac:dyDescent="0.25">
      <c r="A18" s="198"/>
      <c r="C18" s="91" t="s">
        <v>197</v>
      </c>
      <c r="D18" s="187">
        <f>D14+D17</f>
        <v>399000</v>
      </c>
      <c r="E18" s="88"/>
    </row>
    <row r="19" spans="1:7" ht="16" x14ac:dyDescent="0.2">
      <c r="A19" s="198"/>
      <c r="C19" s="76" t="s">
        <v>377</v>
      </c>
      <c r="D19" s="184">
        <f>D14*0.5</f>
        <v>49500</v>
      </c>
      <c r="E19" s="196"/>
      <c r="G19" s="186" t="s">
        <v>200</v>
      </c>
    </row>
    <row r="20" spans="1:7" ht="17" thickBot="1" x14ac:dyDescent="0.25">
      <c r="A20" s="199" t="s">
        <v>164</v>
      </c>
      <c r="C20" s="91" t="s">
        <v>191</v>
      </c>
      <c r="D20" s="188">
        <v>750000</v>
      </c>
      <c r="E20" s="88"/>
      <c r="G20" s="195">
        <v>0.75</v>
      </c>
    </row>
    <row r="21" spans="1:7" ht="16" x14ac:dyDescent="0.2">
      <c r="A21" s="199" t="s">
        <v>164</v>
      </c>
      <c r="C21" s="76" t="s">
        <v>473</v>
      </c>
      <c r="D21" s="197">
        <v>0.8</v>
      </c>
      <c r="E21" s="192">
        <f>D18*D21</f>
        <v>319200</v>
      </c>
    </row>
    <row r="22" spans="1:7" ht="17" thickBot="1" x14ac:dyDescent="0.25">
      <c r="A22" s="199" t="s">
        <v>164</v>
      </c>
      <c r="C22" s="91" t="s">
        <v>201</v>
      </c>
      <c r="D22" s="189">
        <v>0.65</v>
      </c>
      <c r="E22" s="194">
        <f>D20*D22</f>
        <v>487500</v>
      </c>
    </row>
    <row r="23" spans="1:7" ht="16" x14ac:dyDescent="0.2">
      <c r="A23" s="198"/>
      <c r="C23" s="76" t="s">
        <v>202</v>
      </c>
      <c r="D23" s="190">
        <f>G16-D21</f>
        <v>0.19999999999999996</v>
      </c>
      <c r="E23" s="193">
        <f>D18*D23</f>
        <v>79799.999999999985</v>
      </c>
      <c r="G23" s="186" t="s">
        <v>40</v>
      </c>
    </row>
    <row r="24" spans="1:7" ht="16.5" customHeight="1" thickBot="1" x14ac:dyDescent="0.25">
      <c r="A24" s="198"/>
      <c r="C24" s="91" t="s">
        <v>1</v>
      </c>
      <c r="D24" s="2038" t="s">
        <v>441</v>
      </c>
      <c r="E24" s="2039"/>
      <c r="G24" s="185">
        <v>0.02</v>
      </c>
    </row>
    <row r="25" spans="1:7" ht="18.75" customHeight="1" x14ac:dyDescent="0.2">
      <c r="A25" s="198"/>
      <c r="C25" s="76" t="s">
        <v>0</v>
      </c>
      <c r="D25" s="2036" t="s">
        <v>194</v>
      </c>
      <c r="E25" s="2037"/>
    </row>
    <row r="26" spans="1:7" ht="18.75" customHeight="1" x14ac:dyDescent="0.2">
      <c r="A26" s="198"/>
      <c r="C26" s="76"/>
      <c r="D26" s="2036"/>
      <c r="E26" s="2037"/>
    </row>
    <row r="27" spans="1:7" ht="19.5" customHeight="1" x14ac:dyDescent="0.2">
      <c r="A27" s="199" t="s">
        <v>164</v>
      </c>
      <c r="C27" s="402" t="s">
        <v>181</v>
      </c>
      <c r="D27" s="403">
        <v>300000</v>
      </c>
      <c r="E27" s="88"/>
    </row>
    <row r="28" spans="1:7" ht="19.5" customHeight="1" x14ac:dyDescent="0.2">
      <c r="C28" s="2030" t="s">
        <v>527</v>
      </c>
      <c r="D28" s="2031"/>
      <c r="E28" s="2032"/>
    </row>
    <row r="29" spans="1:7" ht="19.5" customHeight="1" x14ac:dyDescent="0.2">
      <c r="C29" s="2030"/>
      <c r="D29" s="2031"/>
      <c r="E29" s="2032"/>
    </row>
    <row r="30" spans="1:7" ht="19.5" customHeight="1" x14ac:dyDescent="0.2">
      <c r="C30" s="2030"/>
      <c r="D30" s="2031"/>
      <c r="E30" s="2032"/>
    </row>
    <row r="31" spans="1:7" ht="19.5" customHeight="1" x14ac:dyDescent="0.2">
      <c r="C31" s="2030"/>
      <c r="D31" s="2031"/>
      <c r="E31" s="2032"/>
    </row>
    <row r="32" spans="1:7" ht="16" thickBot="1" x14ac:dyDescent="0.25">
      <c r="C32" s="2033"/>
      <c r="D32" s="2034"/>
      <c r="E32" s="2035"/>
    </row>
    <row r="33" spans="1:7" ht="22" thickBot="1" x14ac:dyDescent="0.3">
      <c r="C33" s="5" t="s">
        <v>166</v>
      </c>
      <c r="F33" s="2"/>
    </row>
    <row r="34" spans="1:7" ht="16" x14ac:dyDescent="0.2">
      <c r="C34" s="103" t="s">
        <v>778</v>
      </c>
      <c r="D34" s="408"/>
      <c r="E34" s="104">
        <f>MAX(E23-D16,0)</f>
        <v>100799.99999999999</v>
      </c>
      <c r="F34" s="2"/>
    </row>
    <row r="35" spans="1:7" ht="16" x14ac:dyDescent="0.2">
      <c r="A35" s="199" t="s">
        <v>164</v>
      </c>
      <c r="C35" s="91" t="s">
        <v>321</v>
      </c>
      <c r="D35" s="170"/>
      <c r="E35" s="106">
        <f>E21*G24</f>
        <v>6384</v>
      </c>
      <c r="F35" s="2"/>
    </row>
    <row r="36" spans="1:7" ht="16" x14ac:dyDescent="0.2">
      <c r="C36" s="76" t="s">
        <v>319</v>
      </c>
      <c r="D36" s="404"/>
      <c r="E36" s="77">
        <v>6384</v>
      </c>
      <c r="F36" s="2"/>
    </row>
    <row r="37" spans="1:7" ht="16" x14ac:dyDescent="0.2">
      <c r="C37" s="91" t="s">
        <v>322</v>
      </c>
      <c r="D37" s="170"/>
      <c r="E37" s="106">
        <v>500</v>
      </c>
      <c r="F37" s="2"/>
    </row>
    <row r="38" spans="1:7" ht="17" thickBot="1" x14ac:dyDescent="0.25">
      <c r="C38" s="85" t="s">
        <v>320</v>
      </c>
      <c r="D38" s="405"/>
      <c r="E38" s="105">
        <v>300</v>
      </c>
    </row>
    <row r="39" spans="1:7" ht="22" thickBot="1" x14ac:dyDescent="0.25">
      <c r="C39" s="107" t="s">
        <v>169</v>
      </c>
      <c r="D39" s="42"/>
      <c r="F39" s="2"/>
    </row>
    <row r="40" spans="1:7" ht="16" x14ac:dyDescent="0.2">
      <c r="C40" s="96" t="s">
        <v>12</v>
      </c>
      <c r="D40" s="406"/>
      <c r="E40" s="75">
        <v>1500</v>
      </c>
      <c r="F40" s="2"/>
    </row>
    <row r="41" spans="1:7" ht="17" thickBot="1" x14ac:dyDescent="0.25">
      <c r="C41" s="98" t="s">
        <v>13</v>
      </c>
      <c r="D41" s="407"/>
      <c r="E41" s="78">
        <v>1000</v>
      </c>
    </row>
    <row r="42" spans="1:7" ht="22" thickBot="1" x14ac:dyDescent="0.3">
      <c r="C42" s="112" t="s">
        <v>170</v>
      </c>
      <c r="D42" s="74"/>
    </row>
    <row r="43" spans="1:7" ht="16" x14ac:dyDescent="0.2">
      <c r="C43" s="108" t="s">
        <v>378</v>
      </c>
      <c r="D43" s="109">
        <f>SUM(E34:E41:CDD333541)</f>
        <v>116867.99999999999</v>
      </c>
      <c r="G43" s="1"/>
    </row>
    <row r="44" spans="1:7" ht="16" x14ac:dyDescent="0.2">
      <c r="C44" s="437" t="s">
        <v>379</v>
      </c>
      <c r="D44" s="438">
        <f>SUM(E35,E37)</f>
        <v>6884</v>
      </c>
      <c r="G44" s="1"/>
    </row>
    <row r="45" spans="1:7" ht="17" thickBot="1" x14ac:dyDescent="0.25">
      <c r="C45" s="110" t="s">
        <v>380</v>
      </c>
      <c r="D45" s="111">
        <f>D43-E35-E37</f>
        <v>109983.99999999999</v>
      </c>
      <c r="G45" s="1"/>
    </row>
    <row r="46" spans="1:7" ht="15.75" customHeight="1" x14ac:dyDescent="0.2">
      <c r="C46" s="33"/>
      <c r="D46" s="29"/>
      <c r="G46" s="1"/>
    </row>
    <row r="47" spans="1:7" ht="15.75" customHeight="1" x14ac:dyDescent="0.2">
      <c r="C47" s="2020" t="s">
        <v>376</v>
      </c>
      <c r="D47" s="2021"/>
      <c r="E47" s="2022"/>
      <c r="G47" s="1"/>
    </row>
    <row r="48" spans="1:7" x14ac:dyDescent="0.2">
      <c r="C48" s="2023"/>
      <c r="D48" s="2024"/>
      <c r="E48" s="2025"/>
      <c r="G48" s="1"/>
    </row>
    <row r="49" spans="3:7" ht="16" x14ac:dyDescent="0.2">
      <c r="C49" s="2017" t="s">
        <v>375</v>
      </c>
      <c r="D49" s="2018"/>
      <c r="E49" s="2019"/>
      <c r="G49" s="1"/>
    </row>
    <row r="50" spans="3:7" x14ac:dyDescent="0.2">
      <c r="C50" s="2014" t="s">
        <v>374</v>
      </c>
      <c r="D50" s="2015"/>
      <c r="E50" s="2016"/>
    </row>
    <row r="54" spans="3:7" x14ac:dyDescent="0.2">
      <c r="E54"/>
    </row>
    <row r="55" spans="3:7" x14ac:dyDescent="0.2">
      <c r="E55"/>
    </row>
    <row r="56" spans="3:7" x14ac:dyDescent="0.2">
      <c r="E56"/>
    </row>
    <row r="57" spans="3:7" x14ac:dyDescent="0.2">
      <c r="E57"/>
    </row>
    <row r="58" spans="3:7" x14ac:dyDescent="0.2">
      <c r="E58"/>
    </row>
  </sheetData>
  <mergeCells count="11">
    <mergeCell ref="C4:E4"/>
    <mergeCell ref="D13:E13"/>
    <mergeCell ref="D7:E7"/>
    <mergeCell ref="C50:E50"/>
    <mergeCell ref="C49:E49"/>
    <mergeCell ref="C47:E48"/>
    <mergeCell ref="D8:E8"/>
    <mergeCell ref="D6:E6"/>
    <mergeCell ref="C28:E32"/>
    <mergeCell ref="D25:E26"/>
    <mergeCell ref="D24:E2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48B23-124A-431A-969B-DCC85F111573}">
  <dimension ref="A2:R54"/>
  <sheetViews>
    <sheetView showGridLines="0" topLeftCell="A10" zoomScale="70" zoomScaleNormal="70" workbookViewId="0">
      <selection activeCell="G4" sqref="G4:J50"/>
    </sheetView>
  </sheetViews>
  <sheetFormatPr baseColWidth="10" defaultColWidth="9.1640625" defaultRowHeight="15" x14ac:dyDescent="0.2"/>
  <cols>
    <col min="1" max="1" width="2.5" style="613" customWidth="1"/>
    <col min="2" max="2" width="41.5" style="613" customWidth="1"/>
    <col min="3" max="3" width="16.33203125" style="686" customWidth="1"/>
    <col min="4" max="4" width="6.1640625" style="686" customWidth="1"/>
    <col min="5" max="5" width="20.83203125" style="686" customWidth="1"/>
    <col min="6" max="6" width="2.5" style="613" customWidth="1"/>
    <col min="7" max="7" width="37.5" style="260" customWidth="1"/>
    <col min="8" max="8" width="20.83203125" style="260" customWidth="1"/>
    <col min="9" max="9" width="6.1640625" style="260" customWidth="1"/>
    <col min="10" max="10" width="20.83203125" style="260" customWidth="1"/>
    <col min="11" max="11" width="2.5" style="613" customWidth="1"/>
    <col min="12" max="12" width="37.5" style="260" customWidth="1"/>
    <col min="13" max="13" width="20.83203125" style="260" customWidth="1"/>
    <col min="14" max="14" width="6.1640625" style="260" customWidth="1"/>
    <col min="15" max="15" width="20.83203125" style="260" customWidth="1"/>
    <col min="16" max="16" width="2.5" style="613" customWidth="1"/>
    <col min="17" max="17" width="1.1640625" style="999" customWidth="1"/>
    <col min="18" max="18" width="2.5" style="613" customWidth="1"/>
    <col min="19" max="16384" width="9.1640625" style="1"/>
  </cols>
  <sheetData>
    <row r="2" spans="1:18" ht="55.5" customHeight="1" x14ac:dyDescent="0.2">
      <c r="B2" s="1660" t="s">
        <v>895</v>
      </c>
      <c r="C2" s="1661"/>
      <c r="D2" s="1661"/>
      <c r="E2" s="1661"/>
      <c r="F2" s="1661"/>
      <c r="G2" s="1661"/>
      <c r="H2" s="1661"/>
      <c r="I2" s="1661"/>
      <c r="J2" s="1661"/>
      <c r="K2" s="1661"/>
      <c r="L2" s="1661"/>
      <c r="M2" s="1661"/>
      <c r="N2" s="1661"/>
      <c r="O2" s="1662"/>
    </row>
    <row r="4" spans="1:18" ht="21" x14ac:dyDescent="0.2">
      <c r="B4" s="1619" t="s">
        <v>892</v>
      </c>
      <c r="C4" s="1620"/>
      <c r="D4" s="1620"/>
      <c r="E4" s="1621"/>
      <c r="G4" s="1634" t="s">
        <v>893</v>
      </c>
      <c r="H4" s="1635"/>
      <c r="I4" s="1635"/>
      <c r="J4" s="1636"/>
      <c r="L4" s="1651" t="s">
        <v>894</v>
      </c>
      <c r="M4" s="1652"/>
      <c r="N4" s="1652"/>
      <c r="O4" s="1653"/>
    </row>
    <row r="5" spans="1:18" customFormat="1" ht="18.75" customHeight="1" thickBot="1" x14ac:dyDescent="0.25">
      <c r="A5" s="1023"/>
      <c r="B5" s="1017" t="s">
        <v>15</v>
      </c>
      <c r="C5" s="1680">
        <f ca="1">TODAY()</f>
        <v>43713</v>
      </c>
      <c r="D5" s="1680"/>
      <c r="E5" s="1680"/>
      <c r="F5" s="1023"/>
      <c r="G5" s="396" t="s">
        <v>15</v>
      </c>
      <c r="H5" s="1024">
        <f ca="1">TODAY()</f>
        <v>43713</v>
      </c>
      <c r="I5" s="1024"/>
      <c r="J5" s="1024"/>
      <c r="K5" s="1023"/>
      <c r="L5" s="396" t="s">
        <v>15</v>
      </c>
      <c r="M5" s="1024">
        <f ca="1">TODAY()</f>
        <v>43713</v>
      </c>
      <c r="N5" s="1024"/>
      <c r="O5" s="1024"/>
      <c r="P5" s="1023"/>
      <c r="Q5" s="1025"/>
      <c r="R5" s="1023"/>
    </row>
    <row r="6" spans="1:18" customFormat="1" ht="18.75" customHeight="1" x14ac:dyDescent="0.2">
      <c r="A6" s="613"/>
      <c r="B6" s="154" t="s">
        <v>24</v>
      </c>
      <c r="C6" s="1553" t="s">
        <v>766</v>
      </c>
      <c r="D6" s="1553"/>
      <c r="E6" s="1554"/>
      <c r="F6" s="260"/>
      <c r="G6" s="154" t="s">
        <v>24</v>
      </c>
      <c r="H6" s="1553" t="s">
        <v>496</v>
      </c>
      <c r="I6" s="1553"/>
      <c r="J6" s="1554"/>
      <c r="K6" s="260"/>
      <c r="L6" s="154" t="s">
        <v>24</v>
      </c>
      <c r="M6" s="1553" t="s">
        <v>766</v>
      </c>
      <c r="N6" s="1553"/>
      <c r="O6" s="1554"/>
      <c r="P6" s="260"/>
      <c r="Q6" s="1000"/>
      <c r="R6" s="613"/>
    </row>
    <row r="7" spans="1:18" customFormat="1" ht="18.75" customHeight="1" x14ac:dyDescent="0.2">
      <c r="A7" s="260"/>
      <c r="B7" s="303" t="s">
        <v>250</v>
      </c>
      <c r="C7" s="1555" t="s">
        <v>780</v>
      </c>
      <c r="D7" s="1555"/>
      <c r="E7" s="1556"/>
      <c r="F7" s="260"/>
      <c r="G7" s="303" t="s">
        <v>250</v>
      </c>
      <c r="H7" s="1555" t="s">
        <v>930</v>
      </c>
      <c r="I7" s="1555"/>
      <c r="J7" s="1556"/>
      <c r="K7" s="260"/>
      <c r="L7" s="303" t="s">
        <v>250</v>
      </c>
      <c r="M7" s="1555" t="s">
        <v>780</v>
      </c>
      <c r="N7" s="1555"/>
      <c r="O7" s="1556"/>
      <c r="P7" s="260"/>
      <c r="Q7" s="1000"/>
      <c r="R7" s="260"/>
    </row>
    <row r="8" spans="1:18" customFormat="1" ht="18.75" customHeight="1" x14ac:dyDescent="0.2">
      <c r="A8" s="613"/>
      <c r="B8" s="303" t="s">
        <v>25</v>
      </c>
      <c r="C8" s="1555" t="s">
        <v>781</v>
      </c>
      <c r="D8" s="1555"/>
      <c r="E8" s="1556"/>
      <c r="F8" s="260"/>
      <c r="G8" s="303" t="s">
        <v>25</v>
      </c>
      <c r="H8" s="1555" t="s">
        <v>931</v>
      </c>
      <c r="I8" s="1555"/>
      <c r="J8" s="1556"/>
      <c r="K8" s="260"/>
      <c r="L8" s="303" t="s">
        <v>25</v>
      </c>
      <c r="M8" s="1555" t="s">
        <v>781</v>
      </c>
      <c r="N8" s="1555"/>
      <c r="O8" s="1556"/>
      <c r="P8" s="260"/>
      <c r="Q8" s="1000"/>
      <c r="R8" s="613"/>
    </row>
    <row r="9" spans="1:18" customFormat="1" ht="18.75" customHeight="1" x14ac:dyDescent="0.2">
      <c r="A9" s="613"/>
      <c r="B9" s="303" t="s">
        <v>824</v>
      </c>
      <c r="C9" s="1557" t="s">
        <v>823</v>
      </c>
      <c r="D9" s="1557"/>
      <c r="E9" s="1558"/>
      <c r="F9" s="260"/>
      <c r="G9" s="303" t="s">
        <v>824</v>
      </c>
      <c r="H9" s="1557" t="s">
        <v>932</v>
      </c>
      <c r="I9" s="1557"/>
      <c r="J9" s="1558"/>
      <c r="K9" s="260"/>
      <c r="L9" s="303" t="s">
        <v>824</v>
      </c>
      <c r="M9" s="1557" t="s">
        <v>823</v>
      </c>
      <c r="N9" s="1557"/>
      <c r="O9" s="1558"/>
      <c r="P9" s="260"/>
      <c r="Q9" s="1000"/>
      <c r="R9" s="613"/>
    </row>
    <row r="10" spans="1:18" customFormat="1" ht="18.75" customHeight="1" x14ac:dyDescent="0.2">
      <c r="A10" s="260"/>
      <c r="B10" s="893" t="s">
        <v>764</v>
      </c>
      <c r="C10" s="1559">
        <v>700</v>
      </c>
      <c r="D10" s="1559"/>
      <c r="E10" s="1560"/>
      <c r="F10" s="260"/>
      <c r="G10" s="893" t="s">
        <v>764</v>
      </c>
      <c r="H10" s="1559">
        <v>646</v>
      </c>
      <c r="I10" s="1559"/>
      <c r="J10" s="1560"/>
      <c r="K10" s="260"/>
      <c r="L10" s="893" t="s">
        <v>764</v>
      </c>
      <c r="M10" s="1559">
        <v>700</v>
      </c>
      <c r="N10" s="1559"/>
      <c r="O10" s="1560"/>
      <c r="P10" s="260"/>
      <c r="Q10" s="1000"/>
      <c r="R10" s="260"/>
    </row>
    <row r="11" spans="1:18" customFormat="1" ht="18.75" customHeight="1" thickBot="1" x14ac:dyDescent="0.25">
      <c r="A11" s="613"/>
      <c r="B11" s="888" t="s">
        <v>822</v>
      </c>
      <c r="C11" s="1180" t="s">
        <v>315</v>
      </c>
      <c r="D11" s="1180"/>
      <c r="E11" s="1181"/>
      <c r="F11" s="260"/>
      <c r="G11" s="888" t="s">
        <v>822</v>
      </c>
      <c r="H11" s="1180" t="s">
        <v>315</v>
      </c>
      <c r="I11" s="1180"/>
      <c r="J11" s="1181"/>
      <c r="K11" s="260"/>
      <c r="L11" s="888" t="s">
        <v>822</v>
      </c>
      <c r="M11" s="1180" t="s">
        <v>315</v>
      </c>
      <c r="N11" s="1180"/>
      <c r="O11" s="1181"/>
      <c r="P11" s="260"/>
      <c r="Q11" s="1000"/>
      <c r="R11" s="613"/>
    </row>
    <row r="12" spans="1:18" customFormat="1" ht="18.75" customHeight="1" thickBot="1" x14ac:dyDescent="0.25">
      <c r="A12" s="1023"/>
      <c r="B12" s="1045" t="s">
        <v>172</v>
      </c>
      <c r="C12" s="1046"/>
      <c r="D12" s="1046"/>
      <c r="E12" s="1046"/>
      <c r="F12" s="1047"/>
      <c r="G12" s="1045" t="s">
        <v>168</v>
      </c>
      <c r="H12" s="1048"/>
      <c r="I12" s="1048"/>
      <c r="J12" s="1048"/>
      <c r="K12" s="1047"/>
      <c r="L12" s="1045" t="s">
        <v>168</v>
      </c>
      <c r="M12" s="1048"/>
      <c r="N12" s="1048"/>
      <c r="O12" s="1048"/>
      <c r="P12" s="1047"/>
      <c r="Q12" s="1049"/>
      <c r="R12" s="1023"/>
    </row>
    <row r="13" spans="1:18" customFormat="1" ht="18.75" customHeight="1" x14ac:dyDescent="0.2">
      <c r="A13" s="260"/>
      <c r="B13" s="958" t="s">
        <v>291</v>
      </c>
      <c r="C13" s="1183">
        <v>400000</v>
      </c>
      <c r="D13" s="953"/>
      <c r="E13" s="954"/>
      <c r="F13" s="260"/>
      <c r="G13" s="178" t="s">
        <v>46</v>
      </c>
      <c r="H13" s="1003">
        <v>410000</v>
      </c>
      <c r="I13" s="984"/>
      <c r="J13" s="985"/>
      <c r="K13" s="260"/>
      <c r="L13" s="178" t="s">
        <v>46</v>
      </c>
      <c r="M13" s="1003">
        <v>300000</v>
      </c>
      <c r="N13" s="984"/>
      <c r="O13" s="985"/>
      <c r="P13" s="260"/>
      <c r="Q13" s="1000"/>
      <c r="R13" s="260"/>
    </row>
    <row r="14" spans="1:18" customFormat="1" ht="18.75" customHeight="1" x14ac:dyDescent="0.2">
      <c r="A14" s="613"/>
      <c r="B14" s="970" t="s">
        <v>181</v>
      </c>
      <c r="C14" s="774">
        <f>C13*E14</f>
        <v>300000</v>
      </c>
      <c r="D14" s="968" t="s">
        <v>3</v>
      </c>
      <c r="E14" s="993">
        <v>0.75</v>
      </c>
      <c r="F14" s="260"/>
      <c r="G14" s="76" t="s">
        <v>832</v>
      </c>
      <c r="H14" s="1191">
        <v>330000</v>
      </c>
      <c r="I14" s="1185"/>
      <c r="J14" s="1186"/>
      <c r="K14" s="260"/>
      <c r="L14" s="76" t="s">
        <v>832</v>
      </c>
      <c r="M14" s="1191">
        <v>50000</v>
      </c>
      <c r="N14" s="1185"/>
      <c r="O14" s="1186"/>
      <c r="P14" s="260"/>
      <c r="Q14" s="1000"/>
      <c r="R14" s="613"/>
    </row>
    <row r="15" spans="1:18" customFormat="1" ht="18.75" customHeight="1" x14ac:dyDescent="0.2">
      <c r="A15" s="613"/>
      <c r="B15" s="971" t="s">
        <v>800</v>
      </c>
      <c r="C15" s="1189">
        <v>5.9900000000000002E-2</v>
      </c>
      <c r="D15" s="2042" t="s">
        <v>934</v>
      </c>
      <c r="E15" s="2043"/>
      <c r="F15" s="260"/>
      <c r="G15" s="970" t="s">
        <v>936</v>
      </c>
      <c r="H15" s="774">
        <f>H13*J15</f>
        <v>307500</v>
      </c>
      <c r="I15" s="968" t="s">
        <v>3</v>
      </c>
      <c r="J15" s="993">
        <v>0.75</v>
      </c>
      <c r="K15" s="260"/>
      <c r="L15" s="970" t="s">
        <v>181</v>
      </c>
      <c r="M15" s="774">
        <f>M13*O15</f>
        <v>225000</v>
      </c>
      <c r="N15" s="968" t="s">
        <v>3</v>
      </c>
      <c r="O15" s="993">
        <v>0.75</v>
      </c>
      <c r="P15" s="260"/>
      <c r="Q15" s="1000"/>
      <c r="R15" s="613"/>
    </row>
    <row r="16" spans="1:18" customFormat="1" ht="18.75" customHeight="1" x14ac:dyDescent="0.2">
      <c r="A16" s="613"/>
      <c r="B16" s="970" t="s">
        <v>799</v>
      </c>
      <c r="C16" s="1193">
        <v>30</v>
      </c>
      <c r="D16" s="2040" t="s">
        <v>935</v>
      </c>
      <c r="E16" s="2041"/>
      <c r="F16" s="260"/>
      <c r="G16" s="971" t="s">
        <v>800</v>
      </c>
      <c r="H16" s="1189">
        <v>7.1499999999999994E-2</v>
      </c>
      <c r="I16" s="2042" t="s">
        <v>934</v>
      </c>
      <c r="J16" s="2043"/>
      <c r="K16" s="260"/>
      <c r="L16" s="971" t="s">
        <v>800</v>
      </c>
      <c r="M16" s="1189">
        <v>5.5E-2</v>
      </c>
      <c r="N16" s="2042" t="s">
        <v>934</v>
      </c>
      <c r="O16" s="2043"/>
      <c r="P16" s="260"/>
      <c r="Q16" s="1000"/>
      <c r="R16" s="613"/>
    </row>
    <row r="17" spans="1:18" customFormat="1" ht="18.75" customHeight="1" x14ac:dyDescent="0.2">
      <c r="A17" s="613"/>
      <c r="B17" s="971" t="s">
        <v>53</v>
      </c>
      <c r="C17" s="1195" t="s">
        <v>933</v>
      </c>
      <c r="D17" s="1197"/>
      <c r="E17" s="1198"/>
      <c r="F17" s="260"/>
      <c r="G17" s="970" t="s">
        <v>799</v>
      </c>
      <c r="H17" s="1193">
        <v>30</v>
      </c>
      <c r="I17" s="2040" t="s">
        <v>935</v>
      </c>
      <c r="J17" s="2041"/>
      <c r="K17" s="260"/>
      <c r="L17" s="970" t="s">
        <v>799</v>
      </c>
      <c r="M17" s="1193">
        <v>30</v>
      </c>
      <c r="N17" s="2040" t="s">
        <v>935</v>
      </c>
      <c r="O17" s="2041"/>
      <c r="P17" s="260"/>
      <c r="Q17" s="1000"/>
      <c r="R17" s="613"/>
    </row>
    <row r="18" spans="1:18" customFormat="1" ht="18.75" customHeight="1" x14ac:dyDescent="0.2">
      <c r="A18" s="613"/>
      <c r="B18" s="970" t="s">
        <v>798</v>
      </c>
      <c r="C18" s="1628">
        <v>12</v>
      </c>
      <c r="D18" s="1628"/>
      <c r="E18" s="1629"/>
      <c r="F18" s="260"/>
      <c r="G18" s="951" t="s">
        <v>53</v>
      </c>
      <c r="H18" s="1590" t="s">
        <v>933</v>
      </c>
      <c r="I18" s="1590"/>
      <c r="J18" s="2044"/>
      <c r="K18" s="260"/>
      <c r="L18" s="951" t="s">
        <v>53</v>
      </c>
      <c r="M18" s="1590" t="s">
        <v>933</v>
      </c>
      <c r="N18" s="1590"/>
      <c r="O18" s="2044"/>
      <c r="P18" s="260"/>
      <c r="Q18" s="1000"/>
      <c r="R18" s="613"/>
    </row>
    <row r="19" spans="1:18" customFormat="1" ht="18.75" customHeight="1" x14ac:dyDescent="0.2">
      <c r="A19" s="613"/>
      <c r="B19" s="971" t="s">
        <v>801</v>
      </c>
      <c r="C19" s="1611">
        <f>C16*C18</f>
        <v>360</v>
      </c>
      <c r="D19" s="1611"/>
      <c r="E19" s="1612"/>
      <c r="F19" s="260"/>
      <c r="G19" s="970" t="s">
        <v>798</v>
      </c>
      <c r="H19" s="1628">
        <v>12</v>
      </c>
      <c r="I19" s="1628"/>
      <c r="J19" s="1629"/>
      <c r="K19" s="260"/>
      <c r="L19" s="970" t="s">
        <v>798</v>
      </c>
      <c r="M19" s="1628">
        <v>12</v>
      </c>
      <c r="N19" s="1628"/>
      <c r="O19" s="1629"/>
      <c r="P19" s="260"/>
      <c r="Q19" s="1000"/>
      <c r="R19" s="613"/>
    </row>
    <row r="20" spans="1:18" customFormat="1" ht="18.75" customHeight="1" x14ac:dyDescent="0.2">
      <c r="A20" s="613"/>
      <c r="B20" s="970" t="s">
        <v>806</v>
      </c>
      <c r="C20" s="1190">
        <f>C14*C15/12</f>
        <v>1497.5</v>
      </c>
      <c r="D20" s="1645" t="s">
        <v>891</v>
      </c>
      <c r="E20" s="1646"/>
      <c r="F20" s="260"/>
      <c r="G20" s="971" t="s">
        <v>801</v>
      </c>
      <c r="H20" s="1611">
        <f>H17*H19</f>
        <v>360</v>
      </c>
      <c r="I20" s="1611"/>
      <c r="J20" s="1612"/>
      <c r="K20" s="260"/>
      <c r="L20" s="971" t="s">
        <v>801</v>
      </c>
      <c r="M20" s="1611">
        <f>M17*M19</f>
        <v>360</v>
      </c>
      <c r="N20" s="1611"/>
      <c r="O20" s="1612"/>
      <c r="P20" s="260"/>
      <c r="Q20" s="1000"/>
      <c r="R20" s="613"/>
    </row>
    <row r="21" spans="1:18" customFormat="1" ht="18.75" customHeight="1" x14ac:dyDescent="0.2">
      <c r="A21" s="613"/>
      <c r="B21" s="971" t="s">
        <v>839</v>
      </c>
      <c r="C21" s="1563">
        <f>C20*C19</f>
        <v>539100</v>
      </c>
      <c r="D21" s="1563"/>
      <c r="E21" s="1564"/>
      <c r="F21" s="260"/>
      <c r="G21" s="970" t="s">
        <v>806</v>
      </c>
      <c r="H21" s="1190">
        <f>H15*H16/12</f>
        <v>1832.1875</v>
      </c>
      <c r="I21" s="1645" t="s">
        <v>891</v>
      </c>
      <c r="J21" s="1646"/>
      <c r="K21" s="260"/>
      <c r="L21" s="970" t="s">
        <v>806</v>
      </c>
      <c r="M21" s="1190">
        <f>M15*M16/12</f>
        <v>1031.25</v>
      </c>
      <c r="N21" s="1645" t="s">
        <v>891</v>
      </c>
      <c r="O21" s="1646"/>
      <c r="P21" s="260"/>
      <c r="Q21" s="1000"/>
      <c r="R21" s="613"/>
    </row>
    <row r="22" spans="1:18" customFormat="1" ht="18.75" customHeight="1" x14ac:dyDescent="0.2">
      <c r="A22" s="613"/>
      <c r="B22" s="979" t="s">
        <v>803</v>
      </c>
      <c r="C22" s="1641">
        <f>C21-C14</f>
        <v>239100</v>
      </c>
      <c r="D22" s="1641"/>
      <c r="E22" s="1642"/>
      <c r="F22" s="260"/>
      <c r="G22" s="971" t="s">
        <v>839</v>
      </c>
      <c r="H22" s="1563">
        <f>H21*H20</f>
        <v>659587.5</v>
      </c>
      <c r="I22" s="1563"/>
      <c r="J22" s="1564"/>
      <c r="K22" s="260"/>
      <c r="L22" s="971" t="s">
        <v>802</v>
      </c>
      <c r="M22" s="1563">
        <f>M21*M20</f>
        <v>371250</v>
      </c>
      <c r="N22" s="1563"/>
      <c r="O22" s="1564"/>
      <c r="P22" s="260"/>
      <c r="Q22" s="1000"/>
      <c r="R22" s="613"/>
    </row>
    <row r="23" spans="1:18" customFormat="1" ht="18.75" customHeight="1" x14ac:dyDescent="0.2">
      <c r="A23" s="613"/>
      <c r="B23" s="971" t="s">
        <v>299</v>
      </c>
      <c r="C23" s="1639">
        <v>5400</v>
      </c>
      <c r="D23" s="1639"/>
      <c r="E23" s="1640"/>
      <c r="F23" s="260"/>
      <c r="G23" s="979" t="s">
        <v>803</v>
      </c>
      <c r="H23" s="1641">
        <f>H22-H15</f>
        <v>352087.5</v>
      </c>
      <c r="I23" s="1641"/>
      <c r="J23" s="1642"/>
      <c r="K23" s="260"/>
      <c r="L23" s="979" t="s">
        <v>803</v>
      </c>
      <c r="M23" s="1641">
        <f>M22-M15</f>
        <v>146250</v>
      </c>
      <c r="N23" s="1641"/>
      <c r="O23" s="1642"/>
      <c r="P23" s="260"/>
      <c r="Q23" s="1000"/>
      <c r="R23" s="613"/>
    </row>
    <row r="24" spans="1:18" customFormat="1" ht="18.75" customHeight="1" x14ac:dyDescent="0.2">
      <c r="A24" s="613"/>
      <c r="B24" s="970" t="s">
        <v>524</v>
      </c>
      <c r="C24" s="1615">
        <v>400</v>
      </c>
      <c r="D24" s="1615"/>
      <c r="E24" s="1616"/>
      <c r="F24" s="260"/>
      <c r="G24" s="971" t="s">
        <v>299</v>
      </c>
      <c r="H24" s="1613">
        <v>3775</v>
      </c>
      <c r="I24" s="1613"/>
      <c r="J24" s="1614"/>
      <c r="K24" s="260"/>
      <c r="L24" s="971" t="s">
        <v>299</v>
      </c>
      <c r="M24" s="1613">
        <v>1400</v>
      </c>
      <c r="N24" s="1613"/>
      <c r="O24" s="1614"/>
      <c r="P24" s="260"/>
      <c r="Q24" s="1000"/>
      <c r="R24" s="613"/>
    </row>
    <row r="25" spans="1:18" customFormat="1" ht="18.75" customHeight="1" x14ac:dyDescent="0.2">
      <c r="A25" s="613"/>
      <c r="B25" s="971" t="s">
        <v>525</v>
      </c>
      <c r="C25" s="1617">
        <v>300</v>
      </c>
      <c r="D25" s="1617"/>
      <c r="E25" s="1618"/>
      <c r="F25" s="260"/>
      <c r="G25" s="970" t="s">
        <v>524</v>
      </c>
      <c r="H25" s="1615">
        <v>175</v>
      </c>
      <c r="I25" s="1615"/>
      <c r="J25" s="1616"/>
      <c r="K25" s="260"/>
      <c r="L25" s="970" t="s">
        <v>524</v>
      </c>
      <c r="M25" s="1615">
        <v>100</v>
      </c>
      <c r="N25" s="1615"/>
      <c r="O25" s="1616"/>
      <c r="P25" s="260"/>
      <c r="Q25" s="1000"/>
      <c r="R25" s="613"/>
    </row>
    <row r="26" spans="1:18" customFormat="1" ht="18.75" customHeight="1" x14ac:dyDescent="0.2">
      <c r="A26" s="613"/>
      <c r="B26" s="970" t="s">
        <v>807</v>
      </c>
      <c r="C26" s="1645">
        <f>C20+C25+C24</f>
        <v>2197.5</v>
      </c>
      <c r="D26" s="1645"/>
      <c r="E26" s="1646"/>
      <c r="F26" s="260"/>
      <c r="G26" s="971" t="s">
        <v>525</v>
      </c>
      <c r="H26" s="1617">
        <v>765</v>
      </c>
      <c r="I26" s="1617"/>
      <c r="J26" s="1618"/>
      <c r="K26" s="260"/>
      <c r="L26" s="971" t="s">
        <v>525</v>
      </c>
      <c r="M26" s="1617">
        <v>235</v>
      </c>
      <c r="N26" s="1617"/>
      <c r="O26" s="1618"/>
      <c r="P26" s="260"/>
      <c r="Q26" s="1000"/>
      <c r="R26" s="613"/>
    </row>
    <row r="27" spans="1:18" customFormat="1" ht="18.75" customHeight="1" x14ac:dyDescent="0.2">
      <c r="A27" s="613"/>
      <c r="B27" s="971" t="s">
        <v>808</v>
      </c>
      <c r="C27" s="1647">
        <f>C23/C26</f>
        <v>2.4573378839590445</v>
      </c>
      <c r="D27" s="1647"/>
      <c r="E27" s="1648"/>
      <c r="F27" s="260"/>
      <c r="G27" s="970" t="s">
        <v>807</v>
      </c>
      <c r="H27" s="1645">
        <f>H21+H26+H25</f>
        <v>2772.1875</v>
      </c>
      <c r="I27" s="1645"/>
      <c r="J27" s="1646"/>
      <c r="K27" s="260"/>
      <c r="L27" s="970" t="s">
        <v>807</v>
      </c>
      <c r="M27" s="1645">
        <f>M21+M26+M25</f>
        <v>1366.25</v>
      </c>
      <c r="N27" s="1645"/>
      <c r="O27" s="1646"/>
      <c r="P27" s="260"/>
      <c r="Q27" s="1000"/>
      <c r="R27" s="613"/>
    </row>
    <row r="28" spans="1:18" customFormat="1" ht="18.75" customHeight="1" thickBot="1" x14ac:dyDescent="0.25">
      <c r="A28" s="613"/>
      <c r="B28" s="752" t="s">
        <v>938</v>
      </c>
      <c r="C28" s="1308">
        <f>C23-C26</f>
        <v>3202.5</v>
      </c>
      <c r="D28" s="1842" t="s">
        <v>891</v>
      </c>
      <c r="E28" s="1843"/>
      <c r="F28" s="260"/>
      <c r="G28" s="971" t="s">
        <v>808</v>
      </c>
      <c r="H28" s="1647">
        <f>H24/H27</f>
        <v>1.3617405027618081</v>
      </c>
      <c r="I28" s="1647"/>
      <c r="J28" s="1648"/>
      <c r="K28" s="260"/>
      <c r="L28" s="971" t="s">
        <v>808</v>
      </c>
      <c r="M28" s="1647">
        <f>M24/M27</f>
        <v>1.0247026532479415</v>
      </c>
      <c r="N28" s="1647"/>
      <c r="O28" s="1648"/>
      <c r="P28" s="260"/>
      <c r="Q28" s="1000"/>
      <c r="R28" s="613"/>
    </row>
    <row r="29" spans="1:18" customFormat="1" ht="18.75" customHeight="1" thickBot="1" x14ac:dyDescent="0.25">
      <c r="A29" s="613"/>
      <c r="B29" s="1050" t="s">
        <v>166</v>
      </c>
      <c r="C29" s="505"/>
      <c r="D29" s="505"/>
      <c r="E29" s="505"/>
      <c r="F29" s="260"/>
      <c r="G29" s="752" t="s">
        <v>938</v>
      </c>
      <c r="H29" s="1308">
        <f>H24-H27</f>
        <v>1002.8125</v>
      </c>
      <c r="I29" s="1842" t="s">
        <v>891</v>
      </c>
      <c r="J29" s="1843"/>
      <c r="K29" s="260"/>
      <c r="L29" s="752" t="s">
        <v>938</v>
      </c>
      <c r="M29" s="1308">
        <f>M24-M27</f>
        <v>33.75</v>
      </c>
      <c r="N29" s="1842" t="s">
        <v>891</v>
      </c>
      <c r="O29" s="1843"/>
      <c r="P29" s="260"/>
      <c r="Q29" s="1000"/>
      <c r="R29" s="613"/>
    </row>
    <row r="30" spans="1:18" customFormat="1" ht="18.75" customHeight="1" thickBot="1" x14ac:dyDescent="0.25">
      <c r="A30" s="613"/>
      <c r="B30" s="464" t="s">
        <v>4</v>
      </c>
      <c r="C30" s="1573">
        <f>C13-C14</f>
        <v>100000</v>
      </c>
      <c r="D30" s="1573"/>
      <c r="E30" s="1574"/>
      <c r="F30" s="260"/>
      <c r="G30" s="1050" t="s">
        <v>166</v>
      </c>
      <c r="H30" s="965"/>
      <c r="I30" s="965"/>
      <c r="J30" s="965"/>
      <c r="K30" s="260"/>
      <c r="L30" s="1050" t="s">
        <v>166</v>
      </c>
      <c r="M30" s="965"/>
      <c r="N30" s="965"/>
      <c r="O30" s="965"/>
      <c r="P30" s="260"/>
      <c r="Q30" s="1000"/>
      <c r="R30" s="613"/>
    </row>
    <row r="31" spans="1:18" customFormat="1" ht="18.75" customHeight="1" x14ac:dyDescent="0.2">
      <c r="A31" s="613"/>
      <c r="B31" s="465" t="s">
        <v>815</v>
      </c>
      <c r="C31" s="1187">
        <v>0</v>
      </c>
      <c r="D31" s="1594" t="s">
        <v>904</v>
      </c>
      <c r="E31" s="1595"/>
      <c r="F31" s="260"/>
      <c r="G31" s="981" t="s">
        <v>809</v>
      </c>
      <c r="H31" s="944">
        <f>H14-H32</f>
        <v>307500</v>
      </c>
      <c r="I31" s="634"/>
      <c r="J31" s="429"/>
      <c r="K31" s="260"/>
      <c r="L31" s="207" t="s">
        <v>43</v>
      </c>
      <c r="M31" s="987">
        <f>M14</f>
        <v>50000</v>
      </c>
      <c r="N31" s="940"/>
      <c r="O31" s="941"/>
      <c r="P31" s="260"/>
      <c r="Q31" s="1000"/>
      <c r="R31" s="613"/>
    </row>
    <row r="32" spans="1:18" customFormat="1" ht="18.75" customHeight="1" x14ac:dyDescent="0.2">
      <c r="A32" s="613"/>
      <c r="B32" s="466" t="s">
        <v>45</v>
      </c>
      <c r="C32" s="995">
        <f>C14*E32</f>
        <v>4800</v>
      </c>
      <c r="D32" s="920" t="s">
        <v>617</v>
      </c>
      <c r="E32" s="922">
        <v>1.6E-2</v>
      </c>
      <c r="F32" s="260"/>
      <c r="G32" s="980" t="s">
        <v>831</v>
      </c>
      <c r="H32" s="1301">
        <f>MAX(0,H14-H15)</f>
        <v>22500</v>
      </c>
      <c r="I32" s="938"/>
      <c r="J32" s="939"/>
      <c r="K32" s="260"/>
      <c r="L32" s="91" t="s">
        <v>45</v>
      </c>
      <c r="M32" s="725">
        <f>M15*O32</f>
        <v>5625</v>
      </c>
      <c r="N32" s="903" t="s">
        <v>617</v>
      </c>
      <c r="O32" s="989">
        <v>2.5000000000000001E-2</v>
      </c>
      <c r="P32" s="260"/>
      <c r="Q32" s="1000"/>
      <c r="R32" s="613"/>
    </row>
    <row r="33" spans="1:18" customFormat="1" ht="18.75" customHeight="1" x14ac:dyDescent="0.2">
      <c r="A33" s="613"/>
      <c r="B33" s="465" t="s">
        <v>10</v>
      </c>
      <c r="C33" s="996">
        <f>MAX(4000,C14*E33)</f>
        <v>4800</v>
      </c>
      <c r="D33" s="921" t="s">
        <v>617</v>
      </c>
      <c r="E33" s="923">
        <v>1.6E-2</v>
      </c>
      <c r="F33" s="260"/>
      <c r="G33" s="91" t="s">
        <v>45</v>
      </c>
      <c r="H33" s="725">
        <f>H15*J33</f>
        <v>6150</v>
      </c>
      <c r="I33" s="903" t="s">
        <v>617</v>
      </c>
      <c r="J33" s="989">
        <v>0.02</v>
      </c>
      <c r="K33" s="260"/>
      <c r="L33" s="76" t="s">
        <v>10</v>
      </c>
      <c r="M33" s="723">
        <f>MAX(4000,M15*O33)</f>
        <v>4500</v>
      </c>
      <c r="N33" s="904" t="s">
        <v>617</v>
      </c>
      <c r="O33" s="990">
        <v>0.02</v>
      </c>
      <c r="P33" s="260"/>
      <c r="Q33" s="1000"/>
      <c r="R33" s="613"/>
    </row>
    <row r="34" spans="1:18" customFormat="1" ht="18.75" customHeight="1" thickBot="1" x14ac:dyDescent="0.25">
      <c r="A34" s="613"/>
      <c r="B34" s="489" t="s">
        <v>889</v>
      </c>
      <c r="C34" s="1303">
        <v>995</v>
      </c>
      <c r="D34" s="1981" t="s">
        <v>890</v>
      </c>
      <c r="E34" s="1982"/>
      <c r="F34" s="260"/>
      <c r="G34" s="76" t="s">
        <v>10</v>
      </c>
      <c r="H34" s="723">
        <f>MAX(4000,H15*J34)</f>
        <v>6150</v>
      </c>
      <c r="I34" s="904" t="s">
        <v>617</v>
      </c>
      <c r="J34" s="990">
        <v>0.02</v>
      </c>
      <c r="K34" s="260"/>
      <c r="L34" s="467" t="s">
        <v>889</v>
      </c>
      <c r="M34" s="891">
        <v>995</v>
      </c>
      <c r="N34" s="1599" t="s">
        <v>890</v>
      </c>
      <c r="O34" s="1600"/>
      <c r="P34" s="260"/>
      <c r="Q34" s="1000"/>
      <c r="R34" s="613"/>
    </row>
    <row r="35" spans="1:18" customFormat="1" ht="18.75" customHeight="1" thickBot="1" x14ac:dyDescent="0.25">
      <c r="A35" s="613"/>
      <c r="B35" s="1017" t="s">
        <v>169</v>
      </c>
      <c r="C35" s="943"/>
      <c r="D35" s="943"/>
      <c r="E35" s="943"/>
      <c r="F35" s="260"/>
      <c r="G35" s="467" t="s">
        <v>889</v>
      </c>
      <c r="H35" s="891">
        <v>995</v>
      </c>
      <c r="I35" s="1599" t="s">
        <v>890</v>
      </c>
      <c r="J35" s="1600"/>
      <c r="K35" s="260"/>
      <c r="L35" s="1057" t="s">
        <v>169</v>
      </c>
      <c r="M35" s="930"/>
      <c r="N35" s="930"/>
      <c r="O35" s="930"/>
      <c r="P35" s="260"/>
      <c r="Q35" s="1000"/>
      <c r="R35" s="613"/>
    </row>
    <row r="36" spans="1:18" customFormat="1" ht="18.75" customHeight="1" thickBot="1" x14ac:dyDescent="0.25">
      <c r="A36" s="613"/>
      <c r="B36" s="372" t="s">
        <v>14</v>
      </c>
      <c r="C36" s="1042">
        <v>1000</v>
      </c>
      <c r="D36" s="1596" t="s">
        <v>770</v>
      </c>
      <c r="E36" s="1597"/>
      <c r="F36" s="260"/>
      <c r="G36" s="1057" t="s">
        <v>169</v>
      </c>
      <c r="H36" s="930"/>
      <c r="I36" s="930"/>
      <c r="J36" s="930"/>
      <c r="K36" s="260"/>
      <c r="L36" s="372" t="s">
        <v>14</v>
      </c>
      <c r="M36" s="1042">
        <v>650</v>
      </c>
      <c r="N36" s="1596" t="s">
        <v>770</v>
      </c>
      <c r="O36" s="1597"/>
      <c r="P36" s="260"/>
      <c r="Q36" s="1000"/>
      <c r="R36" s="613"/>
    </row>
    <row r="37" spans="1:18" customFormat="1" ht="18.75" customHeight="1" x14ac:dyDescent="0.2">
      <c r="A37" s="613"/>
      <c r="B37" s="374" t="s">
        <v>483</v>
      </c>
      <c r="C37" s="1187">
        <v>595</v>
      </c>
      <c r="D37" s="1609" t="s">
        <v>771</v>
      </c>
      <c r="E37" s="1610"/>
      <c r="F37" s="260"/>
      <c r="G37" s="372" t="s">
        <v>14</v>
      </c>
      <c r="H37" s="1042">
        <v>700</v>
      </c>
      <c r="I37" s="1596" t="s">
        <v>770</v>
      </c>
      <c r="J37" s="1597"/>
      <c r="K37" s="260"/>
      <c r="L37" s="374" t="s">
        <v>483</v>
      </c>
      <c r="M37" s="1187">
        <v>595</v>
      </c>
      <c r="N37" s="1609" t="s">
        <v>771</v>
      </c>
      <c r="O37" s="1610"/>
      <c r="P37" s="260"/>
      <c r="Q37" s="1000"/>
      <c r="R37" s="613"/>
    </row>
    <row r="38" spans="1:18" customFormat="1" ht="18.75" customHeight="1" x14ac:dyDescent="0.2">
      <c r="A38" s="260"/>
      <c r="B38" s="374" t="s">
        <v>811</v>
      </c>
      <c r="C38" s="1187">
        <v>2000</v>
      </c>
      <c r="D38" s="1609" t="s">
        <v>771</v>
      </c>
      <c r="E38" s="1610"/>
      <c r="F38" s="260"/>
      <c r="G38" s="374" t="s">
        <v>483</v>
      </c>
      <c r="H38" s="1187">
        <v>595</v>
      </c>
      <c r="I38" s="1609" t="s">
        <v>771</v>
      </c>
      <c r="J38" s="1610"/>
      <c r="K38" s="260"/>
      <c r="L38" s="374" t="s">
        <v>814</v>
      </c>
      <c r="M38" s="1187">
        <v>1500</v>
      </c>
      <c r="N38" s="1609" t="s">
        <v>771</v>
      </c>
      <c r="O38" s="1610"/>
      <c r="P38" s="260"/>
      <c r="Q38" s="1000"/>
      <c r="R38" s="260"/>
    </row>
    <row r="39" spans="1:18" ht="18.75" customHeight="1" thickBot="1" x14ac:dyDescent="0.25">
      <c r="B39" s="98" t="s">
        <v>821</v>
      </c>
      <c r="C39" s="891">
        <v>1500</v>
      </c>
      <c r="D39" s="1599" t="s">
        <v>771</v>
      </c>
      <c r="E39" s="1600"/>
      <c r="F39" s="260"/>
      <c r="G39" s="374" t="s">
        <v>811</v>
      </c>
      <c r="H39" s="1187">
        <v>1500</v>
      </c>
      <c r="I39" s="1609" t="s">
        <v>771</v>
      </c>
      <c r="J39" s="1610"/>
      <c r="K39" s="260"/>
      <c r="L39" s="98" t="s">
        <v>821</v>
      </c>
      <c r="M39" s="891">
        <v>1500</v>
      </c>
      <c r="N39" s="1599" t="s">
        <v>771</v>
      </c>
      <c r="O39" s="1600"/>
    </row>
    <row r="40" spans="1:18" ht="18.75" customHeight="1" thickBot="1" x14ac:dyDescent="0.25">
      <c r="B40" s="1056" t="s">
        <v>170</v>
      </c>
      <c r="C40" s="508"/>
      <c r="D40" s="227"/>
      <c r="E40" s="227"/>
      <c r="F40" s="260"/>
      <c r="G40" s="98" t="s">
        <v>821</v>
      </c>
      <c r="H40" s="891">
        <v>1500</v>
      </c>
      <c r="I40" s="1599" t="s">
        <v>771</v>
      </c>
      <c r="J40" s="1600"/>
      <c r="K40" s="260"/>
      <c r="L40" s="1056" t="s">
        <v>170</v>
      </c>
      <c r="M40" s="774"/>
      <c r="N40" s="774"/>
      <c r="O40" s="774"/>
    </row>
    <row r="41" spans="1:18" ht="18.75" customHeight="1" thickBot="1" x14ac:dyDescent="0.25">
      <c r="B41" s="491" t="s">
        <v>946</v>
      </c>
      <c r="C41" s="991">
        <f>SUM(C32:C34,C36:C39)</f>
        <v>15690</v>
      </c>
      <c r="D41" s="1608"/>
      <c r="E41" s="1608"/>
      <c r="G41" s="1056" t="s">
        <v>170</v>
      </c>
      <c r="H41" s="774"/>
      <c r="I41" s="774"/>
      <c r="J41" s="774"/>
      <c r="K41" s="260"/>
      <c r="L41" s="108" t="s">
        <v>942</v>
      </c>
      <c r="M41" s="627">
        <f>SUM(M32:M39)</f>
        <v>15365</v>
      </c>
      <c r="N41" s="902"/>
      <c r="O41" s="902"/>
    </row>
    <row r="42" spans="1:18" ht="18.75" customHeight="1" thickBot="1" x14ac:dyDescent="0.25">
      <c r="B42" s="493" t="s">
        <v>816</v>
      </c>
      <c r="C42" s="992">
        <f>C41+C30-C31</f>
        <v>115690</v>
      </c>
      <c r="D42" s="1607"/>
      <c r="E42" s="1607"/>
      <c r="G42" s="108" t="s">
        <v>942</v>
      </c>
      <c r="H42" s="627">
        <f>SUM(H33:H40)</f>
        <v>17590</v>
      </c>
      <c r="I42" s="902"/>
      <c r="J42" s="902"/>
      <c r="L42" s="437" t="s">
        <v>945</v>
      </c>
      <c r="M42" s="775">
        <f>SUM(M41,M31)</f>
        <v>65365</v>
      </c>
      <c r="N42" s="905"/>
      <c r="O42" s="905"/>
    </row>
    <row r="43" spans="1:18" ht="18.75" customHeight="1" thickBot="1" x14ac:dyDescent="0.25">
      <c r="B43" s="690"/>
      <c r="C43" s="227"/>
      <c r="D43" s="227"/>
      <c r="E43" s="227"/>
      <c r="G43" s="437" t="s">
        <v>941</v>
      </c>
      <c r="H43" s="1184">
        <f>SUM(H42,H31)</f>
        <v>325090</v>
      </c>
      <c r="I43" s="905"/>
      <c r="J43" s="905"/>
      <c r="L43" s="98" t="s">
        <v>944</v>
      </c>
      <c r="M43" s="803">
        <f>M15-M42</f>
        <v>159635</v>
      </c>
      <c r="N43" s="906"/>
      <c r="O43" s="906"/>
    </row>
    <row r="44" spans="1:18" ht="18.75" customHeight="1" x14ac:dyDescent="0.2">
      <c r="B44" s="1601" t="s">
        <v>376</v>
      </c>
      <c r="C44" s="1602"/>
      <c r="D44" s="1602"/>
      <c r="E44" s="1603"/>
      <c r="G44" s="437" t="s">
        <v>940</v>
      </c>
      <c r="H44" s="1305">
        <f>MAX(0,H43-H15+H32)</f>
        <v>40090</v>
      </c>
      <c r="I44" s="906"/>
      <c r="J44" s="906"/>
      <c r="L44" s="570"/>
      <c r="M44" s="571"/>
      <c r="N44" s="907"/>
      <c r="O44" s="907"/>
    </row>
    <row r="45" spans="1:18" ht="18.75" customHeight="1" thickBot="1" x14ac:dyDescent="0.25">
      <c r="B45" s="1814"/>
      <c r="C45" s="1815"/>
      <c r="D45" s="1815"/>
      <c r="E45" s="1816"/>
      <c r="G45" s="98" t="s">
        <v>943</v>
      </c>
      <c r="H45" s="1043">
        <f>MIN(H15,H43)</f>
        <v>307500</v>
      </c>
      <c r="I45" s="906"/>
      <c r="J45" s="906"/>
      <c r="L45" s="1601" t="s">
        <v>376</v>
      </c>
      <c r="M45" s="1602"/>
      <c r="N45" s="1602"/>
      <c r="O45" s="1603"/>
    </row>
    <row r="46" spans="1:18" ht="18.75" customHeight="1" x14ac:dyDescent="0.2">
      <c r="B46" s="2045" t="s">
        <v>501</v>
      </c>
      <c r="C46" s="2046"/>
      <c r="D46" s="2046"/>
      <c r="E46" s="2047"/>
      <c r="G46" s="570"/>
      <c r="H46" s="571"/>
      <c r="I46" s="907"/>
      <c r="J46" s="907"/>
      <c r="L46" s="1814"/>
      <c r="M46" s="1815"/>
      <c r="N46" s="1815"/>
      <c r="O46" s="1816"/>
    </row>
    <row r="47" spans="1:18" ht="18.75" customHeight="1" x14ac:dyDescent="0.2">
      <c r="B47" s="2048"/>
      <c r="C47" s="2049"/>
      <c r="D47" s="2049"/>
      <c r="E47" s="2050"/>
      <c r="G47" s="1601" t="s">
        <v>376</v>
      </c>
      <c r="H47" s="1602"/>
      <c r="I47" s="1602"/>
      <c r="J47" s="1603"/>
      <c r="L47" s="2045" t="s">
        <v>501</v>
      </c>
      <c r="M47" s="2046"/>
      <c r="N47" s="2046"/>
      <c r="O47" s="2047"/>
    </row>
    <row r="48" spans="1:18" ht="18.75" customHeight="1" x14ac:dyDescent="0.2">
      <c r="G48" s="1814"/>
      <c r="H48" s="1815"/>
      <c r="I48" s="1815"/>
      <c r="J48" s="1816"/>
      <c r="L48" s="2048"/>
      <c r="M48" s="2049"/>
      <c r="N48" s="2049"/>
      <c r="O48" s="2050"/>
    </row>
    <row r="49" spans="7:10" ht="18.75" customHeight="1" x14ac:dyDescent="0.2">
      <c r="G49" s="2045" t="s">
        <v>501</v>
      </c>
      <c r="H49" s="2046"/>
      <c r="I49" s="2046"/>
      <c r="J49" s="2047"/>
    </row>
    <row r="50" spans="7:10" ht="18.75" customHeight="1" x14ac:dyDescent="0.2">
      <c r="G50" s="2048"/>
      <c r="H50" s="2049"/>
      <c r="I50" s="2049"/>
      <c r="J50" s="2050"/>
    </row>
    <row r="51" spans="7:10" ht="18.75" customHeight="1" x14ac:dyDescent="0.2"/>
    <row r="52" spans="7:10" ht="18.75" customHeight="1" x14ac:dyDescent="0.2"/>
    <row r="53" spans="7:10" ht="18.75" customHeight="1" x14ac:dyDescent="0.2"/>
    <row r="54" spans="7:10" ht="18.75" customHeight="1" x14ac:dyDescent="0.2"/>
  </sheetData>
  <mergeCells count="86">
    <mergeCell ref="N37:O37"/>
    <mergeCell ref="G49:J50"/>
    <mergeCell ref="L47:O48"/>
    <mergeCell ref="L45:O46"/>
    <mergeCell ref="D38:E38"/>
    <mergeCell ref="I38:J38"/>
    <mergeCell ref="D39:E39"/>
    <mergeCell ref="I39:J39"/>
    <mergeCell ref="N38:O38"/>
    <mergeCell ref="I40:J40"/>
    <mergeCell ref="N39:O39"/>
    <mergeCell ref="B46:E47"/>
    <mergeCell ref="D41:E41"/>
    <mergeCell ref="D42:E42"/>
    <mergeCell ref="B44:E45"/>
    <mergeCell ref="G47:J48"/>
    <mergeCell ref="C30:E30"/>
    <mergeCell ref="D36:E36"/>
    <mergeCell ref="D28:E28"/>
    <mergeCell ref="D31:E31"/>
    <mergeCell ref="N29:O29"/>
    <mergeCell ref="I29:J29"/>
    <mergeCell ref="D37:E37"/>
    <mergeCell ref="I37:J37"/>
    <mergeCell ref="C26:E26"/>
    <mergeCell ref="H25:J25"/>
    <mergeCell ref="M25:O25"/>
    <mergeCell ref="C27:E27"/>
    <mergeCell ref="H26:J26"/>
    <mergeCell ref="M26:O26"/>
    <mergeCell ref="M27:O27"/>
    <mergeCell ref="H27:J27"/>
    <mergeCell ref="H28:J28"/>
    <mergeCell ref="M28:O28"/>
    <mergeCell ref="N36:O36"/>
    <mergeCell ref="D34:E34"/>
    <mergeCell ref="I35:J35"/>
    <mergeCell ref="N34:O34"/>
    <mergeCell ref="C24:E24"/>
    <mergeCell ref="H23:J23"/>
    <mergeCell ref="M23:O23"/>
    <mergeCell ref="C25:E25"/>
    <mergeCell ref="H24:J24"/>
    <mergeCell ref="M24:O24"/>
    <mergeCell ref="C22:E22"/>
    <mergeCell ref="C23:E23"/>
    <mergeCell ref="H22:J22"/>
    <mergeCell ref="M22:O22"/>
    <mergeCell ref="H19:J19"/>
    <mergeCell ref="M19:O19"/>
    <mergeCell ref="C21:E21"/>
    <mergeCell ref="H20:J20"/>
    <mergeCell ref="M20:O20"/>
    <mergeCell ref="D20:E20"/>
    <mergeCell ref="I21:J21"/>
    <mergeCell ref="N21:O21"/>
    <mergeCell ref="C18:E18"/>
    <mergeCell ref="I17:J17"/>
    <mergeCell ref="N17:O17"/>
    <mergeCell ref="C19:E19"/>
    <mergeCell ref="H18:J18"/>
    <mergeCell ref="M18:O18"/>
    <mergeCell ref="C10:E10"/>
    <mergeCell ref="H10:J10"/>
    <mergeCell ref="M10:O10"/>
    <mergeCell ref="D16:E16"/>
    <mergeCell ref="I16:J16"/>
    <mergeCell ref="N16:O16"/>
    <mergeCell ref="D15:E15"/>
    <mergeCell ref="C8:E8"/>
    <mergeCell ref="H8:J8"/>
    <mergeCell ref="M8:O8"/>
    <mergeCell ref="C9:E9"/>
    <mergeCell ref="H9:J9"/>
    <mergeCell ref="M9:O9"/>
    <mergeCell ref="B2:O2"/>
    <mergeCell ref="B4:E4"/>
    <mergeCell ref="G4:J4"/>
    <mergeCell ref="L4:O4"/>
    <mergeCell ref="C5:E5"/>
    <mergeCell ref="C6:E6"/>
    <mergeCell ref="H6:J6"/>
    <mergeCell ref="M6:O6"/>
    <mergeCell ref="C7:E7"/>
    <mergeCell ref="H7:J7"/>
    <mergeCell ref="M7:O7"/>
  </mergeCell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81ADA-D465-4AF5-BE8F-F2FE56392866}">
  <dimension ref="A1:AK53"/>
  <sheetViews>
    <sheetView showGridLines="0" topLeftCell="H3" zoomScale="70" zoomScaleNormal="70" workbookViewId="0">
      <selection activeCell="L5" sqref="L5:P42"/>
    </sheetView>
  </sheetViews>
  <sheetFormatPr baseColWidth="10" defaultColWidth="9.1640625" defaultRowHeight="16" x14ac:dyDescent="0.2"/>
  <cols>
    <col min="1" max="1" width="1.83203125" style="1" customWidth="1"/>
    <col min="2" max="2" width="43.5" style="1" customWidth="1"/>
    <col min="3" max="3" width="43.1640625" style="13" customWidth="1"/>
    <col min="4" max="4" width="2.33203125" style="1" customWidth="1"/>
    <col min="5" max="5" width="15.33203125" style="512" customWidth="1"/>
    <col min="6" max="6" width="1.83203125" style="1" customWidth="1"/>
    <col min="7" max="7" width="43.5" style="1" customWidth="1"/>
    <col min="8" max="8" width="43.1640625" style="13" customWidth="1"/>
    <col min="9" max="9" width="2.33203125" style="1" customWidth="1"/>
    <col min="10" max="10" width="15.33203125" style="512" customWidth="1"/>
    <col min="11" max="11" width="1.33203125" style="999" customWidth="1"/>
    <col min="12" max="12" width="1.33203125" style="686" customWidth="1"/>
    <col min="13" max="13" width="48.6640625" style="613" customWidth="1"/>
    <col min="14" max="14" width="21.33203125" style="613" customWidth="1"/>
    <col min="15" max="15" width="8.33203125" style="613" customWidth="1"/>
    <col min="16" max="16" width="17.5" style="686" customWidth="1"/>
    <col min="17" max="17" width="1.33203125" style="1116" customWidth="1"/>
    <col min="18" max="18" width="40.83203125" style="613" customWidth="1"/>
    <col min="19" max="19" width="21.33203125" style="613" customWidth="1"/>
    <col min="20" max="20" width="8.33203125" style="613" customWidth="1"/>
    <col min="21" max="21" width="17.5" style="686" customWidth="1"/>
    <col min="22" max="22" width="1.33203125" style="1116" customWidth="1"/>
    <col min="23" max="23" width="1.33203125" style="999" customWidth="1"/>
    <col min="24" max="24" width="1.33203125" style="686" customWidth="1"/>
    <col min="25" max="25" width="6.6640625" style="693" customWidth="1"/>
    <col min="26" max="26" width="2.1640625" style="260" customWidth="1"/>
    <col min="27" max="27" width="47" style="260" customWidth="1"/>
    <col min="28" max="29" width="17.6640625" style="260" customWidth="1"/>
    <col min="30" max="30" width="16.6640625" style="736" customWidth="1"/>
    <col min="31" max="31" width="2.1640625" style="260" customWidth="1"/>
    <col min="32" max="32" width="18.6640625" style="260" customWidth="1"/>
    <col min="33" max="33" width="2.83203125" style="1" customWidth="1"/>
    <col min="34" max="34" width="43" style="1" customWidth="1"/>
    <col min="35" max="35" width="44.5" style="1" customWidth="1"/>
    <col min="36" max="36" width="4.5" style="1" customWidth="1"/>
    <col min="37" max="37" width="19.1640625" style="236" customWidth="1"/>
    <col min="38" max="16384" width="9.1640625" style="1"/>
  </cols>
  <sheetData>
    <row r="1" spans="1:37" ht="22" x14ac:dyDescent="0.25">
      <c r="B1" s="12" t="s">
        <v>505</v>
      </c>
      <c r="G1" s="12"/>
    </row>
    <row r="2" spans="1:37" ht="62" x14ac:dyDescent="0.25">
      <c r="B2" s="2061" t="s">
        <v>753</v>
      </c>
      <c r="C2" s="2062"/>
      <c r="G2" s="2063" t="s">
        <v>506</v>
      </c>
      <c r="H2" s="2064"/>
      <c r="M2" s="1687" t="s">
        <v>992</v>
      </c>
      <c r="N2" s="1688"/>
      <c r="O2" s="1688"/>
      <c r="P2" s="1688"/>
      <c r="Q2" s="1688"/>
      <c r="R2" s="1688"/>
      <c r="S2" s="1688"/>
      <c r="T2" s="1688"/>
      <c r="U2" s="1689"/>
      <c r="V2" s="1117"/>
      <c r="AA2" s="1763" t="s">
        <v>735</v>
      </c>
      <c r="AB2" s="1764"/>
      <c r="AC2" s="1764"/>
      <c r="AD2" s="1765"/>
      <c r="AF2" s="613"/>
      <c r="AH2" s="2065" t="s">
        <v>474</v>
      </c>
      <c r="AI2" s="2066"/>
    </row>
    <row r="3" spans="1:37" ht="23" thickBot="1" x14ac:dyDescent="0.3">
      <c r="B3" s="120" t="s">
        <v>15</v>
      </c>
      <c r="C3" s="135">
        <f ca="1">TODAY()</f>
        <v>43713</v>
      </c>
      <c r="G3" s="120" t="s">
        <v>15</v>
      </c>
      <c r="H3" s="135">
        <f ca="1">TODAY()</f>
        <v>43713</v>
      </c>
      <c r="AA3" s="102" t="s">
        <v>15</v>
      </c>
      <c r="AB3" s="675">
        <f ca="1">TODAY()</f>
        <v>43713</v>
      </c>
      <c r="AC3" s="675"/>
      <c r="AH3" s="102" t="s">
        <v>15</v>
      </c>
      <c r="AI3" s="101">
        <f ca="1">TODAY()</f>
        <v>43713</v>
      </c>
    </row>
    <row r="4" spans="1:37" customFormat="1" ht="19.5" customHeight="1" x14ac:dyDescent="0.25">
      <c r="A4" s="1"/>
      <c r="B4" s="154" t="s">
        <v>24</v>
      </c>
      <c r="C4" s="155" t="s">
        <v>507</v>
      </c>
      <c r="D4" s="1"/>
      <c r="E4" s="512"/>
      <c r="F4" s="1"/>
      <c r="G4" s="154" t="s">
        <v>24</v>
      </c>
      <c r="H4" s="155" t="s">
        <v>496</v>
      </c>
      <c r="I4" s="1"/>
      <c r="J4" s="512"/>
      <c r="K4" s="999"/>
      <c r="L4" s="613"/>
      <c r="M4" s="1542" t="s">
        <v>993</v>
      </c>
      <c r="N4" s="1543"/>
      <c r="O4" s="1543"/>
      <c r="P4" s="1544"/>
      <c r="Q4" s="1118"/>
      <c r="R4" s="1671" t="s">
        <v>994</v>
      </c>
      <c r="S4" s="1672"/>
      <c r="T4" s="1672"/>
      <c r="U4" s="1673"/>
      <c r="V4" s="1118"/>
      <c r="W4" s="999"/>
      <c r="X4" s="613"/>
      <c r="Y4" s="693"/>
      <c r="Z4" s="260"/>
      <c r="AA4" s="99" t="s">
        <v>24</v>
      </c>
      <c r="AB4" s="1729" t="s">
        <v>732</v>
      </c>
      <c r="AC4" s="1729"/>
      <c r="AD4" s="1730"/>
      <c r="AE4" s="260"/>
      <c r="AF4" s="260"/>
      <c r="AG4" s="1"/>
      <c r="AH4" s="99" t="s">
        <v>24</v>
      </c>
      <c r="AI4" s="550" t="s">
        <v>427</v>
      </c>
      <c r="AK4" s="66"/>
    </row>
    <row r="5" spans="1:37" customFormat="1" ht="19.5" customHeight="1" thickBot="1" x14ac:dyDescent="0.25">
      <c r="B5" s="303" t="s">
        <v>250</v>
      </c>
      <c r="C5" s="552" t="s">
        <v>497</v>
      </c>
      <c r="E5" s="444"/>
      <c r="G5" s="303" t="s">
        <v>250</v>
      </c>
      <c r="H5" s="552" t="s">
        <v>497</v>
      </c>
      <c r="J5" s="444"/>
      <c r="K5" s="999"/>
      <c r="L5" s="613" t="s">
        <v>769</v>
      </c>
      <c r="M5" s="1026" t="s">
        <v>15</v>
      </c>
      <c r="N5" s="1027">
        <f ca="1">TODAY()</f>
        <v>43713</v>
      </c>
      <c r="O5" s="1027"/>
      <c r="P5" s="1027"/>
      <c r="Q5" s="1119"/>
      <c r="R5" s="1026" t="s">
        <v>15</v>
      </c>
      <c r="S5" s="1027">
        <f ca="1">TODAY()</f>
        <v>43713</v>
      </c>
      <c r="T5" s="1027"/>
      <c r="U5" s="1027"/>
      <c r="V5" s="1119"/>
      <c r="W5" s="999"/>
      <c r="X5" s="613" t="s">
        <v>769</v>
      </c>
      <c r="Y5" s="693"/>
      <c r="Z5" s="260"/>
      <c r="AA5" s="303" t="s">
        <v>250</v>
      </c>
      <c r="AB5" s="1727" t="s">
        <v>733</v>
      </c>
      <c r="AC5" s="1727"/>
      <c r="AD5" s="1728"/>
      <c r="AE5" s="260"/>
      <c r="AF5" s="260"/>
      <c r="AH5" s="303" t="s">
        <v>250</v>
      </c>
      <c r="AI5" s="552" t="s">
        <v>428</v>
      </c>
      <c r="AK5" s="66"/>
    </row>
    <row r="6" spans="1:37" customFormat="1" ht="19.5" customHeight="1" thickBot="1" x14ac:dyDescent="0.25">
      <c r="A6" s="1"/>
      <c r="B6" s="100" t="s">
        <v>25</v>
      </c>
      <c r="C6" s="552" t="s">
        <v>498</v>
      </c>
      <c r="D6" s="1"/>
      <c r="E6" s="512"/>
      <c r="F6" s="1"/>
      <c r="G6" s="100" t="s">
        <v>25</v>
      </c>
      <c r="H6" s="549" t="s">
        <v>499</v>
      </c>
      <c r="I6" s="1"/>
      <c r="J6" s="512"/>
      <c r="K6" s="999"/>
      <c r="L6" s="613"/>
      <c r="M6" s="154" t="s">
        <v>24</v>
      </c>
      <c r="N6" s="1553" t="s">
        <v>987</v>
      </c>
      <c r="O6" s="1553"/>
      <c r="P6" s="1554"/>
      <c r="Q6" s="1114"/>
      <c r="R6" s="154" t="s">
        <v>24</v>
      </c>
      <c r="S6" s="1553" t="s">
        <v>909</v>
      </c>
      <c r="T6" s="1553"/>
      <c r="U6" s="1554"/>
      <c r="V6" s="1114"/>
      <c r="W6" s="999"/>
      <c r="X6" s="613"/>
      <c r="Y6" s="693"/>
      <c r="Z6" s="260"/>
      <c r="AA6" s="100" t="s">
        <v>25</v>
      </c>
      <c r="AB6" s="1766" t="s">
        <v>734</v>
      </c>
      <c r="AC6" s="1766"/>
      <c r="AD6" s="1767"/>
      <c r="AE6" s="260"/>
      <c r="AF6" s="260"/>
      <c r="AG6" s="1"/>
      <c r="AH6" s="100" t="s">
        <v>25</v>
      </c>
      <c r="AI6" s="549" t="s">
        <v>429</v>
      </c>
      <c r="AK6" s="66"/>
    </row>
    <row r="7" spans="1:37" customFormat="1" ht="19.5" customHeight="1" thickBot="1" x14ac:dyDescent="0.25">
      <c r="A7" s="1"/>
      <c r="B7" s="122" t="s">
        <v>167</v>
      </c>
      <c r="C7" s="131"/>
      <c r="D7" s="1"/>
      <c r="E7" s="512"/>
      <c r="F7" s="1"/>
      <c r="G7" s="122" t="s">
        <v>167</v>
      </c>
      <c r="H7" s="131"/>
      <c r="I7" s="1"/>
      <c r="J7" s="512"/>
      <c r="K7" s="1025"/>
      <c r="L7" s="260"/>
      <c r="M7" s="303" t="s">
        <v>250</v>
      </c>
      <c r="N7" s="1555" t="s">
        <v>988</v>
      </c>
      <c r="O7" s="1555"/>
      <c r="P7" s="1556"/>
      <c r="Q7" s="1431"/>
      <c r="R7" s="303" t="s">
        <v>250</v>
      </c>
      <c r="S7" s="1555" t="s">
        <v>910</v>
      </c>
      <c r="T7" s="1555"/>
      <c r="U7" s="1556"/>
      <c r="V7" s="1431"/>
      <c r="W7" s="1025"/>
      <c r="X7" s="260"/>
      <c r="Y7" s="693"/>
      <c r="Z7" s="260"/>
      <c r="AA7" s="90" t="s">
        <v>167</v>
      </c>
      <c r="AB7" s="536"/>
      <c r="AC7" s="536"/>
      <c r="AD7" s="736"/>
      <c r="AE7" s="260"/>
      <c r="AF7" s="260"/>
      <c r="AG7" s="1"/>
      <c r="AH7" s="90" t="s">
        <v>167</v>
      </c>
      <c r="AI7" s="29"/>
      <c r="AK7" s="66"/>
    </row>
    <row r="8" spans="1:37" customFormat="1" ht="19.5" customHeight="1" x14ac:dyDescent="0.2">
      <c r="A8" s="73"/>
      <c r="B8" s="148" t="s">
        <v>65</v>
      </c>
      <c r="C8" s="149">
        <v>4</v>
      </c>
      <c r="D8" s="73"/>
      <c r="E8" s="444"/>
      <c r="F8" s="73"/>
      <c r="G8" s="148" t="s">
        <v>65</v>
      </c>
      <c r="H8" s="149">
        <v>4</v>
      </c>
      <c r="I8" s="73"/>
      <c r="J8" s="444"/>
      <c r="K8" s="1000"/>
      <c r="L8" s="613"/>
      <c r="M8" s="303" t="s">
        <v>25</v>
      </c>
      <c r="N8" s="1555" t="s">
        <v>989</v>
      </c>
      <c r="O8" s="1555"/>
      <c r="P8" s="1556"/>
      <c r="Q8" s="1431"/>
      <c r="R8" s="303" t="s">
        <v>25</v>
      </c>
      <c r="S8" s="1555" t="s">
        <v>911</v>
      </c>
      <c r="T8" s="1555"/>
      <c r="U8" s="1556"/>
      <c r="V8" s="1431"/>
      <c r="W8" s="1000"/>
      <c r="X8" s="613"/>
      <c r="Y8" s="693"/>
      <c r="Z8" s="260"/>
      <c r="AA8" s="96" t="s">
        <v>663</v>
      </c>
      <c r="AB8" s="781" t="s">
        <v>308</v>
      </c>
      <c r="AC8" s="781"/>
      <c r="AD8" s="737"/>
      <c r="AE8" s="260"/>
      <c r="AF8" s="260"/>
      <c r="AG8" s="73"/>
      <c r="AH8" s="96" t="s">
        <v>16</v>
      </c>
      <c r="AI8" s="87">
        <v>0</v>
      </c>
      <c r="AK8" s="66"/>
    </row>
    <row r="9" spans="1:37" customFormat="1" ht="19.5" customHeight="1" thickBot="1" x14ac:dyDescent="0.25">
      <c r="A9" s="1"/>
      <c r="B9" s="152" t="s">
        <v>19</v>
      </c>
      <c r="C9" s="153">
        <v>698</v>
      </c>
      <c r="D9" s="1"/>
      <c r="E9" s="512"/>
      <c r="F9" s="1"/>
      <c r="G9" s="152" t="s">
        <v>19</v>
      </c>
      <c r="H9" s="153">
        <v>698</v>
      </c>
      <c r="I9" s="1"/>
      <c r="J9" s="512"/>
      <c r="K9" s="1000"/>
      <c r="L9" s="613"/>
      <c r="M9" s="303" t="s">
        <v>824</v>
      </c>
      <c r="N9" s="1557" t="s">
        <v>990</v>
      </c>
      <c r="O9" s="1557"/>
      <c r="P9" s="1558"/>
      <c r="Q9" s="1447"/>
      <c r="R9" s="303" t="s">
        <v>824</v>
      </c>
      <c r="S9" s="1557">
        <v>0</v>
      </c>
      <c r="T9" s="1557"/>
      <c r="U9" s="1558"/>
      <c r="V9" s="1447"/>
      <c r="W9" s="1000"/>
      <c r="X9" s="613"/>
      <c r="Y9" s="693"/>
      <c r="Z9" s="260"/>
      <c r="AA9" s="98" t="s">
        <v>47</v>
      </c>
      <c r="AB9" s="679">
        <v>750</v>
      </c>
      <c r="AC9" s="679"/>
      <c r="AD9" s="738"/>
      <c r="AE9" s="260"/>
      <c r="AF9" s="260"/>
      <c r="AG9" s="1"/>
      <c r="AH9" s="97" t="s">
        <v>17</v>
      </c>
      <c r="AI9" s="88">
        <v>0</v>
      </c>
      <c r="AK9" s="66"/>
    </row>
    <row r="10" spans="1:37" customFormat="1" ht="19.5" customHeight="1" thickBot="1" x14ac:dyDescent="0.25">
      <c r="A10" s="1"/>
      <c r="B10" s="122" t="s">
        <v>172</v>
      </c>
      <c r="C10" s="131"/>
      <c r="D10" s="1"/>
      <c r="E10" s="512"/>
      <c r="F10" s="1"/>
      <c r="G10" s="122" t="s">
        <v>172</v>
      </c>
      <c r="H10" s="131"/>
      <c r="I10" s="1"/>
      <c r="J10" s="512"/>
      <c r="K10" s="1000"/>
      <c r="L10" s="260"/>
      <c r="M10" s="893" t="s">
        <v>764</v>
      </c>
      <c r="N10" s="1559">
        <v>650</v>
      </c>
      <c r="O10" s="1559"/>
      <c r="P10" s="1560"/>
      <c r="Q10" s="1440"/>
      <c r="R10" s="893" t="s">
        <v>764</v>
      </c>
      <c r="S10" s="1559">
        <v>670</v>
      </c>
      <c r="T10" s="1559"/>
      <c r="U10" s="1560"/>
      <c r="V10" s="1440"/>
      <c r="W10" s="1000"/>
      <c r="X10" s="260"/>
      <c r="Y10" s="754" t="s">
        <v>164</v>
      </c>
      <c r="Z10" s="260"/>
      <c r="AA10" s="90" t="s">
        <v>168</v>
      </c>
      <c r="AB10" s="522"/>
      <c r="AC10" s="522"/>
      <c r="AD10" s="736"/>
      <c r="AE10" s="260"/>
      <c r="AF10" s="260"/>
      <c r="AG10" s="1"/>
      <c r="AH10" s="98" t="s">
        <v>47</v>
      </c>
      <c r="AI10" s="89">
        <v>675</v>
      </c>
      <c r="AK10" s="66"/>
    </row>
    <row r="11" spans="1:37" customFormat="1" ht="19.5" customHeight="1" thickBot="1" x14ac:dyDescent="0.25">
      <c r="A11" s="1"/>
      <c r="B11" s="139" t="s">
        <v>291</v>
      </c>
      <c r="C11" s="215">
        <v>400000</v>
      </c>
      <c r="D11" s="1"/>
      <c r="E11" s="512"/>
      <c r="F11" s="1"/>
      <c r="G11" s="544" t="s">
        <v>470</v>
      </c>
      <c r="H11" s="545">
        <v>690000</v>
      </c>
      <c r="I11" s="1"/>
      <c r="J11" s="512"/>
      <c r="K11" s="1000"/>
      <c r="L11" s="613"/>
      <c r="M11" s="888" t="s">
        <v>822</v>
      </c>
      <c r="N11" s="1180" t="s">
        <v>315</v>
      </c>
      <c r="O11" s="1180"/>
      <c r="P11" s="1181"/>
      <c r="Q11" s="1440"/>
      <c r="R11" s="888" t="s">
        <v>822</v>
      </c>
      <c r="S11" s="1180" t="s">
        <v>521</v>
      </c>
      <c r="T11" s="955"/>
      <c r="U11" s="956"/>
      <c r="V11" s="1440"/>
      <c r="W11" s="1000"/>
      <c r="X11" s="613"/>
      <c r="Y11" s="754" t="s">
        <v>164</v>
      </c>
      <c r="Z11" s="260"/>
      <c r="AA11" s="200" t="s">
        <v>62</v>
      </c>
      <c r="AB11" s="2055" t="s">
        <v>149</v>
      </c>
      <c r="AC11" s="2055"/>
      <c r="AD11" s="2056"/>
      <c r="AE11" s="260"/>
      <c r="AF11" s="260"/>
      <c r="AG11" s="1"/>
      <c r="AH11" s="90" t="s">
        <v>168</v>
      </c>
      <c r="AI11" s="65"/>
      <c r="AK11" s="66"/>
    </row>
    <row r="12" spans="1:37" customFormat="1" ht="19.5" customHeight="1" thickBot="1" x14ac:dyDescent="0.25">
      <c r="A12" s="73"/>
      <c r="B12" s="141" t="s">
        <v>3</v>
      </c>
      <c r="C12" s="216">
        <v>0.75</v>
      </c>
      <c r="D12" s="73"/>
      <c r="E12" s="444"/>
      <c r="F12" s="73"/>
      <c r="G12" s="258" t="s">
        <v>500</v>
      </c>
      <c r="H12" s="546">
        <v>410000</v>
      </c>
      <c r="I12" s="73"/>
      <c r="J12" s="444"/>
      <c r="K12" s="1000"/>
      <c r="L12" s="613"/>
      <c r="M12" s="1045" t="s">
        <v>172</v>
      </c>
      <c r="N12" s="1046"/>
      <c r="O12" s="1046"/>
      <c r="P12" s="1046"/>
      <c r="Q12" s="1120"/>
      <c r="R12" s="1045" t="s">
        <v>172</v>
      </c>
      <c r="S12" s="1046"/>
      <c r="T12" s="1046"/>
      <c r="U12" s="1046"/>
      <c r="V12" s="1120"/>
      <c r="W12" s="1000"/>
      <c r="X12" s="613"/>
      <c r="Y12" s="754" t="s">
        <v>164</v>
      </c>
      <c r="Z12" s="260"/>
      <c r="AA12" s="734" t="s">
        <v>192</v>
      </c>
      <c r="AB12" s="739">
        <v>1400000</v>
      </c>
      <c r="AC12" s="739"/>
      <c r="AD12" s="740"/>
      <c r="AE12" s="260"/>
      <c r="AF12" s="260"/>
      <c r="AG12" s="73"/>
      <c r="AH12" s="79" t="s">
        <v>62</v>
      </c>
      <c r="AI12" s="80" t="s">
        <v>315</v>
      </c>
      <c r="AK12" s="253" t="s">
        <v>238</v>
      </c>
    </row>
    <row r="13" spans="1:37" customFormat="1" ht="19.5" customHeight="1" thickBot="1" x14ac:dyDescent="0.25">
      <c r="A13" s="1"/>
      <c r="B13" s="142" t="s">
        <v>181</v>
      </c>
      <c r="C13" s="217">
        <f>C12*C11</f>
        <v>300000</v>
      </c>
      <c r="D13" s="1"/>
      <c r="E13" s="512"/>
      <c r="F13" s="1"/>
      <c r="G13" s="141" t="s">
        <v>3</v>
      </c>
      <c r="H13" s="553">
        <v>0.6</v>
      </c>
      <c r="I13" s="1"/>
      <c r="J13" s="512"/>
      <c r="K13" s="1000"/>
      <c r="L13" s="613"/>
      <c r="M13" s="178" t="s">
        <v>48</v>
      </c>
      <c r="N13" s="1442">
        <v>280711</v>
      </c>
      <c r="O13" s="928"/>
      <c r="P13" s="929"/>
      <c r="Q13" s="1425"/>
      <c r="R13" s="178" t="s">
        <v>82</v>
      </c>
      <c r="S13" s="1877">
        <v>52000</v>
      </c>
      <c r="T13" s="1877"/>
      <c r="U13" s="1878"/>
      <c r="V13" s="1425"/>
      <c r="W13" s="1000"/>
      <c r="X13" s="613"/>
      <c r="Y13" s="693"/>
      <c r="Z13" s="260"/>
      <c r="AA13" s="91" t="s">
        <v>665</v>
      </c>
      <c r="AB13" s="654">
        <v>0</v>
      </c>
      <c r="AC13" s="654"/>
      <c r="AD13" s="562"/>
      <c r="AE13" s="260"/>
      <c r="AF13" s="742">
        <v>1</v>
      </c>
      <c r="AG13" s="1"/>
      <c r="AH13" s="91" t="s">
        <v>365</v>
      </c>
      <c r="AI13" s="92">
        <v>0</v>
      </c>
      <c r="AK13" s="251">
        <f>AI21*AI24</f>
        <v>17760</v>
      </c>
    </row>
    <row r="14" spans="1:37" customFormat="1" ht="19.5" customHeight="1" x14ac:dyDescent="0.2">
      <c r="A14" s="1"/>
      <c r="B14" s="141" t="s">
        <v>209</v>
      </c>
      <c r="C14" s="218">
        <v>5400</v>
      </c>
      <c r="D14" s="1"/>
      <c r="E14" s="512"/>
      <c r="F14" s="1"/>
      <c r="G14" s="142" t="s">
        <v>504</v>
      </c>
      <c r="H14" s="217">
        <f>H13*H11</f>
        <v>414000</v>
      </c>
      <c r="I14" s="1"/>
      <c r="J14" s="512"/>
      <c r="K14" s="1049"/>
      <c r="L14" s="260"/>
      <c r="M14" s="76" t="s">
        <v>34</v>
      </c>
      <c r="N14" s="1426">
        <v>25000</v>
      </c>
      <c r="O14" s="653"/>
      <c r="P14" s="524"/>
      <c r="Q14" s="1425"/>
      <c r="R14" s="76" t="s">
        <v>832</v>
      </c>
      <c r="S14" s="1711">
        <v>0</v>
      </c>
      <c r="T14" s="1711"/>
      <c r="U14" s="1712"/>
      <c r="V14" s="1425"/>
      <c r="W14" s="1049"/>
      <c r="X14" s="260"/>
      <c r="Y14" s="754" t="s">
        <v>164</v>
      </c>
      <c r="Z14" s="260"/>
      <c r="AA14" s="76" t="s">
        <v>670</v>
      </c>
      <c r="AB14" s="653">
        <f>AB12-AB13</f>
        <v>1400000</v>
      </c>
      <c r="AC14" s="653"/>
      <c r="AD14" s="741"/>
      <c r="AE14" s="260"/>
      <c r="AF14" s="260"/>
      <c r="AG14" s="1"/>
      <c r="AH14" s="76" t="s">
        <v>82</v>
      </c>
      <c r="AI14" s="81">
        <v>90000</v>
      </c>
      <c r="AK14" s="66"/>
    </row>
    <row r="15" spans="1:37" customFormat="1" ht="19.5" customHeight="1" thickBot="1" x14ac:dyDescent="0.25">
      <c r="A15" s="1"/>
      <c r="B15" s="142" t="s">
        <v>210</v>
      </c>
      <c r="C15" s="217">
        <v>700</v>
      </c>
      <c r="D15" s="1"/>
      <c r="E15" s="512"/>
      <c r="F15" s="1"/>
      <c r="G15" s="141" t="s">
        <v>209</v>
      </c>
      <c r="H15" s="218">
        <v>4500</v>
      </c>
      <c r="I15" s="1"/>
      <c r="J15" s="512"/>
      <c r="K15" s="1000"/>
      <c r="L15" s="613"/>
      <c r="M15" s="91" t="s">
        <v>82</v>
      </c>
      <c r="N15" s="1425">
        <v>350000</v>
      </c>
      <c r="O15" s="966"/>
      <c r="P15" s="967"/>
      <c r="Q15" s="1443"/>
      <c r="R15" s="91" t="s">
        <v>34</v>
      </c>
      <c r="S15" s="1870">
        <v>52000</v>
      </c>
      <c r="T15" s="1870"/>
      <c r="U15" s="1871"/>
      <c r="V15" s="1443"/>
      <c r="W15" s="1000"/>
      <c r="X15" s="613"/>
      <c r="Y15" s="693"/>
      <c r="Z15" s="260"/>
      <c r="AA15" s="91" t="s">
        <v>193</v>
      </c>
      <c r="AB15" s="654">
        <v>4200000</v>
      </c>
      <c r="AC15" s="654"/>
      <c r="AD15" s="562"/>
      <c r="AE15" s="260"/>
      <c r="AF15" s="260"/>
      <c r="AG15" s="1"/>
      <c r="AH15" s="91" t="s">
        <v>370</v>
      </c>
      <c r="AI15" s="93">
        <v>0.7</v>
      </c>
      <c r="AK15" s="66"/>
    </row>
    <row r="16" spans="1:37" customFormat="1" ht="19.5" customHeight="1" x14ac:dyDescent="0.2">
      <c r="A16" s="1"/>
      <c r="B16" s="141" t="s">
        <v>479</v>
      </c>
      <c r="C16" s="218" t="s">
        <v>480</v>
      </c>
      <c r="D16" s="1"/>
      <c r="E16" s="512"/>
      <c r="F16" s="1"/>
      <c r="G16" s="142" t="s">
        <v>210</v>
      </c>
      <c r="H16" s="217">
        <v>1425</v>
      </c>
      <c r="I16" s="1"/>
      <c r="J16" s="512"/>
      <c r="K16" s="1000"/>
      <c r="L16" s="613"/>
      <c r="M16" s="713" t="s">
        <v>265</v>
      </c>
      <c r="N16" s="1424">
        <v>445000</v>
      </c>
      <c r="O16" s="714"/>
      <c r="P16" s="715"/>
      <c r="Q16" s="1425"/>
      <c r="R16" s="713" t="s">
        <v>265</v>
      </c>
      <c r="S16" s="1694">
        <v>116000</v>
      </c>
      <c r="T16" s="1694"/>
      <c r="U16" s="1695"/>
      <c r="V16" s="1425"/>
      <c r="W16" s="1000"/>
      <c r="X16" s="613"/>
      <c r="Y16" s="754" t="s">
        <v>164</v>
      </c>
      <c r="Z16" s="260"/>
      <c r="AA16" s="76" t="s">
        <v>197</v>
      </c>
      <c r="AB16" s="743">
        <f>AB12+AB15</f>
        <v>5600000</v>
      </c>
      <c r="AC16" s="743"/>
      <c r="AD16" s="741"/>
      <c r="AE16" s="260"/>
      <c r="AF16" s="770">
        <f>AB23*AB24</f>
        <v>299250</v>
      </c>
      <c r="AG16" s="1"/>
      <c r="AH16" s="76" t="s">
        <v>371</v>
      </c>
      <c r="AI16" s="82">
        <f>AI14*AI15</f>
        <v>62999.999999999993</v>
      </c>
      <c r="AK16" s="253" t="s">
        <v>230</v>
      </c>
    </row>
    <row r="17" spans="1:37" customFormat="1" ht="19.5" customHeight="1" thickBot="1" x14ac:dyDescent="0.25">
      <c r="A17" s="1"/>
      <c r="B17" s="142" t="s">
        <v>0</v>
      </c>
      <c r="C17" s="219">
        <v>5.9900000000000002E-2</v>
      </c>
      <c r="D17" s="1"/>
      <c r="E17" s="512"/>
      <c r="F17" s="1"/>
      <c r="G17" s="141" t="s">
        <v>479</v>
      </c>
      <c r="H17" s="218" t="s">
        <v>480</v>
      </c>
      <c r="I17" s="1"/>
      <c r="J17" s="512"/>
      <c r="K17" s="1000"/>
      <c r="L17" s="613"/>
      <c r="M17" s="91" t="s">
        <v>73</v>
      </c>
      <c r="N17" s="1033">
        <f>P17*N13</f>
        <v>224568.80000000002</v>
      </c>
      <c r="O17" s="908" t="s">
        <v>3</v>
      </c>
      <c r="P17" s="989">
        <v>0.8</v>
      </c>
      <c r="Q17" s="1443"/>
      <c r="R17" s="91" t="s">
        <v>371</v>
      </c>
      <c r="S17" s="1033">
        <f>U17*S13</f>
        <v>41600</v>
      </c>
      <c r="T17" s="908" t="s">
        <v>3</v>
      </c>
      <c r="U17" s="989">
        <v>0.8</v>
      </c>
      <c r="V17" s="1443"/>
      <c r="W17" s="1000"/>
      <c r="X17" s="613"/>
      <c r="Y17" s="754" t="s">
        <v>164</v>
      </c>
      <c r="Z17" s="260"/>
      <c r="AA17" s="735" t="s">
        <v>191</v>
      </c>
      <c r="AB17" s="744">
        <v>8000000</v>
      </c>
      <c r="AC17" s="744"/>
      <c r="AD17" s="745"/>
      <c r="AE17" s="260"/>
      <c r="AF17" s="260"/>
      <c r="AG17" s="1"/>
      <c r="AH17" s="91" t="s">
        <v>34</v>
      </c>
      <c r="AI17" s="94">
        <v>85000</v>
      </c>
      <c r="AK17" s="252">
        <f>AI13*AI15</f>
        <v>0</v>
      </c>
    </row>
    <row r="18" spans="1:37" customFormat="1" ht="19.5" customHeight="1" x14ac:dyDescent="0.2">
      <c r="A18" s="1"/>
      <c r="B18" s="141" t="s">
        <v>1</v>
      </c>
      <c r="C18" s="220" t="s">
        <v>502</v>
      </c>
      <c r="D18" s="1"/>
      <c r="E18" s="512"/>
      <c r="F18" s="1"/>
      <c r="G18" s="142" t="s">
        <v>0</v>
      </c>
      <c r="H18" s="219">
        <v>5.2999999999999999E-2</v>
      </c>
      <c r="I18" s="1"/>
      <c r="J18" s="512"/>
      <c r="K18" s="1000"/>
      <c r="L18" s="613"/>
      <c r="M18" s="76" t="s">
        <v>75</v>
      </c>
      <c r="N18" s="1034">
        <f>P18*N14</f>
        <v>25000</v>
      </c>
      <c r="O18" s="909" t="s">
        <v>776</v>
      </c>
      <c r="P18" s="990">
        <v>1</v>
      </c>
      <c r="Q18" s="1112"/>
      <c r="R18" s="76" t="s">
        <v>75</v>
      </c>
      <c r="S18" s="1034">
        <f>U18*S15</f>
        <v>52000</v>
      </c>
      <c r="T18" s="909" t="s">
        <v>776</v>
      </c>
      <c r="U18" s="990">
        <v>1</v>
      </c>
      <c r="V18" s="1112"/>
      <c r="W18" s="1000"/>
      <c r="X18" s="613"/>
      <c r="Y18" s="693"/>
      <c r="Z18" s="260"/>
      <c r="AA18" s="76" t="s">
        <v>473</v>
      </c>
      <c r="AB18" s="814">
        <v>0.5625</v>
      </c>
      <c r="AC18" s="746"/>
      <c r="AD18" s="747">
        <f>AB18*AB16</f>
        <v>3150000</v>
      </c>
      <c r="AE18" s="260"/>
      <c r="AF18" s="260"/>
      <c r="AG18" s="1"/>
      <c r="AH18" s="76" t="s">
        <v>31</v>
      </c>
      <c r="AI18" s="82">
        <v>85000</v>
      </c>
      <c r="AK18" s="66"/>
    </row>
    <row r="19" spans="1:37" customFormat="1" ht="19.5" customHeight="1" x14ac:dyDescent="0.2">
      <c r="A19" s="1"/>
      <c r="B19" s="142" t="s">
        <v>510</v>
      </c>
      <c r="C19" s="556">
        <v>448050.18</v>
      </c>
      <c r="D19" s="1"/>
      <c r="E19" s="541" t="s">
        <v>233</v>
      </c>
      <c r="F19" s="1"/>
      <c r="G19" s="141" t="s">
        <v>1</v>
      </c>
      <c r="H19" s="220" t="s">
        <v>502</v>
      </c>
      <c r="I19" s="1"/>
      <c r="J19" s="541" t="s">
        <v>233</v>
      </c>
      <c r="K19" s="1000"/>
      <c r="L19" s="613"/>
      <c r="M19" s="91" t="s">
        <v>580</v>
      </c>
      <c r="N19" s="654">
        <f>N16*P19</f>
        <v>311500</v>
      </c>
      <c r="O19" s="908" t="s">
        <v>173</v>
      </c>
      <c r="P19" s="989">
        <v>0.7</v>
      </c>
      <c r="Q19" s="1112"/>
      <c r="R19" s="91" t="s">
        <v>580</v>
      </c>
      <c r="S19" s="654">
        <f>S16*U19</f>
        <v>69600</v>
      </c>
      <c r="T19" s="908" t="s">
        <v>173</v>
      </c>
      <c r="U19" s="989">
        <v>0.6</v>
      </c>
      <c r="V19" s="1112"/>
      <c r="W19" s="1000"/>
      <c r="X19" s="613"/>
      <c r="Y19" s="693"/>
      <c r="Z19" s="260"/>
      <c r="AA19" s="91" t="s">
        <v>731</v>
      </c>
      <c r="AB19" s="748">
        <v>0.6</v>
      </c>
      <c r="AC19" s="748"/>
      <c r="AD19" s="749">
        <f>AB17*AB19</f>
        <v>4800000</v>
      </c>
      <c r="AE19" s="260"/>
      <c r="AF19" s="260"/>
      <c r="AG19" s="1"/>
      <c r="AH19" s="91" t="s">
        <v>265</v>
      </c>
      <c r="AI19" s="94">
        <v>170000</v>
      </c>
      <c r="AK19" s="66"/>
    </row>
    <row r="20" spans="1:37" customFormat="1" ht="19.5" customHeight="1" thickBot="1" x14ac:dyDescent="0.25">
      <c r="A20" s="1"/>
      <c r="B20" s="141" t="s">
        <v>53</v>
      </c>
      <c r="C20" s="220" t="s">
        <v>475</v>
      </c>
      <c r="D20" s="1"/>
      <c r="E20" s="542">
        <f>C17*C13</f>
        <v>17970</v>
      </c>
      <c r="F20" s="1"/>
      <c r="G20" s="142" t="s">
        <v>476</v>
      </c>
      <c r="H20" s="221" t="s">
        <v>477</v>
      </c>
      <c r="I20" s="1"/>
      <c r="J20" s="555">
        <f>H18*H34</f>
        <v>22963.575000000001</v>
      </c>
      <c r="K20" s="1000"/>
      <c r="L20" s="613"/>
      <c r="M20" s="76" t="s">
        <v>855</v>
      </c>
      <c r="N20" s="1840">
        <f>MIN(N17+N18,N19)</f>
        <v>249568.80000000002</v>
      </c>
      <c r="O20" s="1840"/>
      <c r="P20" s="1841"/>
      <c r="Q20" s="1112"/>
      <c r="R20" s="76" t="s">
        <v>906</v>
      </c>
      <c r="S20" s="1840">
        <f>MIN(S17+S18,S19)</f>
        <v>69600</v>
      </c>
      <c r="T20" s="1840"/>
      <c r="U20" s="1841"/>
      <c r="V20" s="1112"/>
      <c r="W20" s="1000"/>
      <c r="X20" s="613"/>
      <c r="Y20" s="754" t="s">
        <v>164</v>
      </c>
      <c r="Z20" s="260"/>
      <c r="AA20" s="76" t="s">
        <v>202</v>
      </c>
      <c r="AB20" s="750">
        <f>AF13-AB18</f>
        <v>0.4375</v>
      </c>
      <c r="AC20" s="750"/>
      <c r="AD20" s="751">
        <f>AB16*AB20</f>
        <v>2450000</v>
      </c>
      <c r="AE20" s="260"/>
      <c r="AF20" s="260"/>
      <c r="AG20" s="1"/>
      <c r="AH20" s="76" t="s">
        <v>300</v>
      </c>
      <c r="AI20" s="82">
        <f>AI19*0.75</f>
        <v>127500</v>
      </c>
      <c r="AK20" s="66"/>
    </row>
    <row r="21" spans="1:37" customFormat="1" ht="19.5" customHeight="1" thickBot="1" x14ac:dyDescent="0.25">
      <c r="A21" s="1"/>
      <c r="B21" s="146" t="s">
        <v>478</v>
      </c>
      <c r="C21" s="540">
        <f>E20/12</f>
        <v>1497.5</v>
      </c>
      <c r="D21" s="1"/>
      <c r="E21" s="512"/>
      <c r="F21" s="1"/>
      <c r="G21" s="141" t="s">
        <v>53</v>
      </c>
      <c r="H21" s="220" t="s">
        <v>511</v>
      </c>
      <c r="I21" s="1"/>
      <c r="J21" s="512"/>
      <c r="K21" s="1000"/>
      <c r="L21" s="613"/>
      <c r="M21" s="1016" t="s">
        <v>800</v>
      </c>
      <c r="N21" s="1422">
        <v>8.9899999999999994E-2</v>
      </c>
      <c r="O21" s="1867" t="s">
        <v>827</v>
      </c>
      <c r="P21" s="1868"/>
      <c r="Q21" s="965"/>
      <c r="R21" s="1016" t="s">
        <v>800</v>
      </c>
      <c r="S21" s="1422">
        <v>0.13800000000000001</v>
      </c>
      <c r="T21" s="1867" t="s">
        <v>827</v>
      </c>
      <c r="U21" s="1868"/>
      <c r="V21" s="965"/>
      <c r="W21" s="1000"/>
      <c r="X21" s="613"/>
      <c r="Y21" s="693"/>
      <c r="Z21" s="260"/>
      <c r="AA21" s="91" t="s">
        <v>313</v>
      </c>
      <c r="AB21" s="815" t="s">
        <v>360</v>
      </c>
      <c r="AC21" s="815"/>
      <c r="AD21" s="816"/>
      <c r="AE21" s="260"/>
      <c r="AF21" s="260"/>
      <c r="AG21" s="1"/>
      <c r="AH21" s="91" t="s">
        <v>433</v>
      </c>
      <c r="AI21" s="123">
        <v>148000</v>
      </c>
      <c r="AK21" s="253" t="s">
        <v>39</v>
      </c>
    </row>
    <row r="22" spans="1:37" customFormat="1" ht="19.5" customHeight="1" thickBot="1" x14ac:dyDescent="0.25">
      <c r="A22" s="1"/>
      <c r="B22" s="120" t="s">
        <v>208</v>
      </c>
      <c r="C22" s="222"/>
      <c r="D22" s="1"/>
      <c r="E22" s="512"/>
      <c r="F22" s="1"/>
      <c r="G22" s="146" t="s">
        <v>478</v>
      </c>
      <c r="H22" s="540">
        <v>2298.96</v>
      </c>
      <c r="I22" s="1"/>
      <c r="J22" s="512"/>
      <c r="K22" s="1000"/>
      <c r="L22" s="613"/>
      <c r="M22" s="971" t="s">
        <v>852</v>
      </c>
      <c r="N22" s="1446">
        <v>12</v>
      </c>
      <c r="O22" s="1611"/>
      <c r="P22" s="1612"/>
      <c r="Q22" s="1435"/>
      <c r="R22" s="971" t="s">
        <v>838</v>
      </c>
      <c r="S22" s="1446">
        <v>9</v>
      </c>
      <c r="T22" s="1611"/>
      <c r="U22" s="1612"/>
      <c r="V22" s="1435"/>
      <c r="W22" s="1000"/>
      <c r="X22" s="613"/>
      <c r="Y22" s="754" t="s">
        <v>164</v>
      </c>
      <c r="Z22" s="260"/>
      <c r="AA22" s="76" t="s">
        <v>1</v>
      </c>
      <c r="AB22" s="2067">
        <v>18</v>
      </c>
      <c r="AC22" s="2067"/>
      <c r="AD22" s="2068"/>
      <c r="AE22" s="260"/>
      <c r="AF22" s="260"/>
      <c r="AG22" s="209"/>
      <c r="AH22" s="76" t="s">
        <v>434</v>
      </c>
      <c r="AI22" s="410">
        <f>AI14*0.15</f>
        <v>13500</v>
      </c>
      <c r="AK22" s="208">
        <v>0.03</v>
      </c>
    </row>
    <row r="23" spans="1:37" customFormat="1" ht="19.5" customHeight="1" thickBot="1" x14ac:dyDescent="0.25">
      <c r="A23" s="1"/>
      <c r="B23" s="210" t="s">
        <v>4</v>
      </c>
      <c r="C23" s="223">
        <f>C11-C13</f>
        <v>100000</v>
      </c>
      <c r="D23" s="209"/>
      <c r="E23" s="445"/>
      <c r="F23" s="1"/>
      <c r="G23" s="120" t="s">
        <v>208</v>
      </c>
      <c r="H23" s="222"/>
      <c r="I23" s="209"/>
      <c r="J23" s="445"/>
      <c r="K23" s="1000"/>
      <c r="L23" s="613"/>
      <c r="M23" s="1016" t="s">
        <v>6</v>
      </c>
      <c r="N23" s="1432">
        <f>N20*N21/12</f>
        <v>1869.6862600000002</v>
      </c>
      <c r="O23" s="1872"/>
      <c r="P23" s="1873"/>
      <c r="Q23" s="1127"/>
      <c r="R23" s="1016" t="s">
        <v>6</v>
      </c>
      <c r="S23" s="1565">
        <f>S20*S21/12</f>
        <v>800.40000000000009</v>
      </c>
      <c r="T23" s="1565"/>
      <c r="U23" s="1566"/>
      <c r="V23" s="1127"/>
      <c r="W23" s="1000"/>
      <c r="X23" s="613"/>
      <c r="Y23" s="693"/>
      <c r="Z23" s="260"/>
      <c r="AA23" s="91" t="s">
        <v>687</v>
      </c>
      <c r="AB23" s="820">
        <v>9.5000000000000001E-2</v>
      </c>
      <c r="AC23" s="821" t="s">
        <v>741</v>
      </c>
      <c r="AD23" s="782">
        <f>AF16/12</f>
        <v>24937.5</v>
      </c>
      <c r="AE23" s="260"/>
      <c r="AF23" s="260"/>
      <c r="AG23" s="209"/>
      <c r="AH23" s="91" t="s">
        <v>1</v>
      </c>
      <c r="AI23" s="551" t="s">
        <v>33</v>
      </c>
      <c r="AK23" s="66"/>
    </row>
    <row r="24" spans="1:37" customFormat="1" ht="19.5" customHeight="1" thickBot="1" x14ac:dyDescent="0.25">
      <c r="A24" s="1"/>
      <c r="B24" s="142" t="s">
        <v>495</v>
      </c>
      <c r="C24" s="224">
        <f>C13*E27</f>
        <v>4800</v>
      </c>
      <c r="D24" s="209"/>
      <c r="E24" s="445"/>
      <c r="F24" s="1"/>
      <c r="G24" s="210" t="s">
        <v>301</v>
      </c>
      <c r="H24" s="223">
        <f>H12</f>
        <v>410000</v>
      </c>
      <c r="I24" s="209"/>
      <c r="J24" s="445"/>
      <c r="K24" s="1000"/>
      <c r="L24" s="621"/>
      <c r="M24" s="817" t="s">
        <v>839</v>
      </c>
      <c r="N24" s="1436">
        <f>N23*N22</f>
        <v>22436.235120000001</v>
      </c>
      <c r="O24" s="1449"/>
      <c r="P24" s="1450"/>
      <c r="Q24" s="1434"/>
      <c r="R24" s="817" t="s">
        <v>839</v>
      </c>
      <c r="S24" s="1856">
        <f>S23*S22</f>
        <v>7203.6</v>
      </c>
      <c r="T24" s="1856"/>
      <c r="U24" s="1857"/>
      <c r="V24" s="1434"/>
      <c r="W24" s="1000"/>
      <c r="X24" s="621"/>
      <c r="Y24" s="693"/>
      <c r="Z24" s="260"/>
      <c r="AA24" s="817" t="s">
        <v>688</v>
      </c>
      <c r="AB24" s="818">
        <f>AD18</f>
        <v>3150000</v>
      </c>
      <c r="AC24" s="818"/>
      <c r="AD24" s="819"/>
      <c r="AE24" s="260"/>
      <c r="AF24" s="260"/>
      <c r="AG24" s="1"/>
      <c r="AH24" s="76" t="s">
        <v>0</v>
      </c>
      <c r="AI24" s="173">
        <v>0.12</v>
      </c>
      <c r="AK24" s="66"/>
    </row>
    <row r="25" spans="1:37" customFormat="1" ht="19.5" customHeight="1" thickBot="1" x14ac:dyDescent="0.25">
      <c r="A25" s="1"/>
      <c r="B25" s="141" t="s">
        <v>10</v>
      </c>
      <c r="C25" s="214">
        <v>4800</v>
      </c>
      <c r="D25" s="1"/>
      <c r="E25" s="512"/>
      <c r="F25" s="1"/>
      <c r="G25" s="142" t="s">
        <v>509</v>
      </c>
      <c r="H25" s="224">
        <f>H14*J27</f>
        <v>7245.0000000000009</v>
      </c>
      <c r="I25" s="1"/>
      <c r="J25" s="512"/>
      <c r="K25" s="1000"/>
      <c r="L25" s="621"/>
      <c r="M25" s="1050" t="s">
        <v>166</v>
      </c>
      <c r="N25" s="1052"/>
      <c r="O25" s="1052"/>
      <c r="P25" s="1053"/>
      <c r="Q25" s="1427"/>
      <c r="R25" s="1050" t="s">
        <v>166</v>
      </c>
      <c r="S25" s="1052"/>
      <c r="T25" s="1052"/>
      <c r="U25" s="1053"/>
      <c r="V25" s="1434"/>
      <c r="W25" s="1000"/>
      <c r="X25" s="621"/>
      <c r="Y25" s="693"/>
      <c r="Z25" s="260"/>
      <c r="AA25" s="528" t="s">
        <v>166</v>
      </c>
      <c r="AB25" s="260"/>
      <c r="AC25" s="260"/>
      <c r="AD25" s="736"/>
      <c r="AE25" s="260"/>
      <c r="AF25" s="260"/>
      <c r="AG25" s="1"/>
      <c r="AH25" s="125" t="s">
        <v>430</v>
      </c>
      <c r="AI25" s="242">
        <f>AK13/12</f>
        <v>1480</v>
      </c>
      <c r="AK25" s="66"/>
    </row>
    <row r="26" spans="1:37" customFormat="1" ht="19.5" customHeight="1" thickBot="1" x14ac:dyDescent="0.3">
      <c r="A26" s="1"/>
      <c r="B26" s="146" t="s">
        <v>481</v>
      </c>
      <c r="C26" s="366">
        <v>995</v>
      </c>
      <c r="D26" s="1"/>
      <c r="E26" s="541" t="s">
        <v>39</v>
      </c>
      <c r="F26" s="1"/>
      <c r="G26" s="141" t="s">
        <v>508</v>
      </c>
      <c r="H26" s="214">
        <v>8280</v>
      </c>
      <c r="I26" s="1"/>
      <c r="J26" s="541" t="s">
        <v>39</v>
      </c>
      <c r="K26" s="1000"/>
      <c r="L26" s="613"/>
      <c r="M26" s="178" t="s">
        <v>4</v>
      </c>
      <c r="N26" s="1844">
        <f>N13-N17</f>
        <v>56142.199999999983</v>
      </c>
      <c r="O26" s="1844"/>
      <c r="P26" s="1845"/>
      <c r="Q26" s="1048"/>
      <c r="R26" s="486" t="s">
        <v>809</v>
      </c>
      <c r="S26" s="1844">
        <f>S14-S27</f>
        <v>0</v>
      </c>
      <c r="T26" s="1844"/>
      <c r="U26" s="1845"/>
      <c r="V26" s="774"/>
      <c r="W26" s="1000"/>
      <c r="X26" s="613"/>
      <c r="Y26" s="754" t="s">
        <v>164</v>
      </c>
      <c r="Z26" s="260"/>
      <c r="AA26" s="79" t="s">
        <v>669</v>
      </c>
      <c r="AB26" s="824">
        <f>MAX(AD20-AB14,0)</f>
        <v>1050000</v>
      </c>
      <c r="AC26" s="825"/>
      <c r="AD26" s="631"/>
      <c r="AE26" s="631"/>
      <c r="AF26" s="631"/>
      <c r="AG26" s="1"/>
      <c r="AH26" s="5" t="s">
        <v>166</v>
      </c>
      <c r="AK26" s="66"/>
    </row>
    <row r="27" spans="1:37" customFormat="1" ht="19.5" customHeight="1" thickBot="1" x14ac:dyDescent="0.25">
      <c r="A27" s="1"/>
      <c r="B27" s="120" t="s">
        <v>169</v>
      </c>
      <c r="C27" s="226"/>
      <c r="D27" s="1"/>
      <c r="E27" s="543">
        <v>1.6E-2</v>
      </c>
      <c r="F27" s="1"/>
      <c r="G27" s="146" t="s">
        <v>124</v>
      </c>
      <c r="H27" s="366">
        <v>1000</v>
      </c>
      <c r="I27" s="1"/>
      <c r="J27" s="543">
        <v>1.7500000000000002E-2</v>
      </c>
      <c r="K27" s="1000"/>
      <c r="L27" s="613"/>
      <c r="M27" s="76" t="s">
        <v>815</v>
      </c>
      <c r="N27" s="1113">
        <v>100</v>
      </c>
      <c r="O27" s="1551" t="s">
        <v>904</v>
      </c>
      <c r="P27" s="1552"/>
      <c r="Q27" s="1423"/>
      <c r="R27" s="466" t="s">
        <v>831</v>
      </c>
      <c r="S27" s="1547">
        <f>MAX(0,S14-S17)</f>
        <v>0</v>
      </c>
      <c r="T27" s="1547"/>
      <c r="U27" s="1548"/>
      <c r="V27" s="774"/>
      <c r="W27" s="1000"/>
      <c r="X27" s="613"/>
      <c r="Y27" s="754" t="s">
        <v>164</v>
      </c>
      <c r="Z27" s="260"/>
      <c r="AA27" s="91" t="s">
        <v>667</v>
      </c>
      <c r="AB27" s="568">
        <f>AB24*AC27</f>
        <v>72450</v>
      </c>
      <c r="AC27" s="822">
        <v>2.3E-2</v>
      </c>
      <c r="AD27" s="631"/>
      <c r="AE27" s="631"/>
      <c r="AF27" s="631"/>
      <c r="AG27" s="1"/>
      <c r="AH27" s="79" t="s">
        <v>397</v>
      </c>
      <c r="AI27" s="104">
        <f>AI21*AK22</f>
        <v>4440</v>
      </c>
      <c r="AK27" s="66"/>
    </row>
    <row r="28" spans="1:37" customFormat="1" ht="19.5" customHeight="1" thickBot="1" x14ac:dyDescent="0.25">
      <c r="A28" s="1"/>
      <c r="B28" s="157" t="s">
        <v>482</v>
      </c>
      <c r="C28" s="230">
        <v>1000</v>
      </c>
      <c r="D28" s="1"/>
      <c r="E28" s="512"/>
      <c r="F28" s="1"/>
      <c r="G28" s="120" t="s">
        <v>169</v>
      </c>
      <c r="H28" s="226"/>
      <c r="I28" s="1"/>
      <c r="J28" s="512"/>
      <c r="K28" s="1000"/>
      <c r="L28" s="613"/>
      <c r="M28" s="91" t="s">
        <v>45</v>
      </c>
      <c r="N28" s="1423">
        <f>MAX(3500,N20*P28)</f>
        <v>4991.3760000000002</v>
      </c>
      <c r="O28" s="910" t="s">
        <v>617</v>
      </c>
      <c r="P28" s="989">
        <v>0.02</v>
      </c>
      <c r="Q28" s="1423"/>
      <c r="R28" s="91" t="s">
        <v>45</v>
      </c>
      <c r="S28" s="1423">
        <f>S20*U28</f>
        <v>1740</v>
      </c>
      <c r="T28" s="910" t="s">
        <v>617</v>
      </c>
      <c r="U28" s="989">
        <v>2.5000000000000001E-2</v>
      </c>
      <c r="V28" s="1427"/>
      <c r="W28" s="1000"/>
      <c r="X28" s="613"/>
      <c r="Y28" s="693"/>
      <c r="Z28" s="260"/>
      <c r="AA28" s="76" t="s">
        <v>10</v>
      </c>
      <c r="AB28" s="628">
        <f>AC28*AB24</f>
        <v>39375</v>
      </c>
      <c r="AC28" s="823">
        <v>1.2500000000000001E-2</v>
      </c>
      <c r="AD28" s="631"/>
      <c r="AE28" s="631"/>
      <c r="AF28" s="631"/>
      <c r="AG28" s="1"/>
      <c r="AH28" s="91" t="s">
        <v>10</v>
      </c>
      <c r="AI28" s="430">
        <v>4000</v>
      </c>
      <c r="AK28" s="66"/>
    </row>
    <row r="29" spans="1:37" customFormat="1" ht="19.5" customHeight="1" x14ac:dyDescent="0.2">
      <c r="A29" s="1"/>
      <c r="B29" s="150" t="s">
        <v>393</v>
      </c>
      <c r="C29" s="214">
        <v>2000</v>
      </c>
      <c r="D29" s="1"/>
      <c r="E29" s="512"/>
      <c r="F29" s="1"/>
      <c r="G29" s="157" t="s">
        <v>482</v>
      </c>
      <c r="H29" s="230">
        <v>750</v>
      </c>
      <c r="I29" s="1"/>
      <c r="J29" s="512"/>
      <c r="K29" s="1000"/>
      <c r="L29" s="613"/>
      <c r="M29" s="76" t="s">
        <v>10</v>
      </c>
      <c r="N29" s="1429">
        <f>MAX(3500,P29*N20)</f>
        <v>4991.3760000000002</v>
      </c>
      <c r="O29" s="911" t="s">
        <v>617</v>
      </c>
      <c r="P29" s="990">
        <v>0.02</v>
      </c>
      <c r="Q29" s="1115"/>
      <c r="R29" s="76" t="s">
        <v>10</v>
      </c>
      <c r="S29" s="1429">
        <f>MAX(3500,U29*S20)</f>
        <v>3500</v>
      </c>
      <c r="T29" s="911" t="s">
        <v>617</v>
      </c>
      <c r="U29" s="990">
        <v>0.02</v>
      </c>
      <c r="V29" s="1048"/>
      <c r="W29" s="1000"/>
      <c r="X29" s="613"/>
      <c r="Y29" s="693"/>
      <c r="Z29" s="260"/>
      <c r="AA29" s="91" t="s">
        <v>739</v>
      </c>
      <c r="AB29" s="568">
        <v>3000</v>
      </c>
      <c r="AC29" s="756"/>
      <c r="AD29" s="631"/>
      <c r="AE29" s="631"/>
      <c r="AF29" s="631"/>
      <c r="AG29" s="1"/>
      <c r="AH29" s="76" t="s">
        <v>432</v>
      </c>
      <c r="AI29" s="411">
        <f>AI25*12</f>
        <v>17760</v>
      </c>
      <c r="AK29" s="66"/>
    </row>
    <row r="30" spans="1:37" customFormat="1" ht="19.5" customHeight="1" thickBot="1" x14ac:dyDescent="0.25">
      <c r="A30" s="1"/>
      <c r="B30" s="213" t="s">
        <v>400</v>
      </c>
      <c r="C30" s="225">
        <v>1500</v>
      </c>
      <c r="D30" s="1"/>
      <c r="E30" s="512"/>
      <c r="F30" s="1"/>
      <c r="G30" s="150" t="s">
        <v>393</v>
      </c>
      <c r="H30" s="214">
        <v>1500</v>
      </c>
      <c r="I30" s="1"/>
      <c r="J30" s="512"/>
      <c r="K30" s="1000"/>
      <c r="L30" s="613"/>
      <c r="M30" s="91" t="s">
        <v>986</v>
      </c>
      <c r="N30" s="1433">
        <v>300</v>
      </c>
      <c r="O30" s="1549" t="s">
        <v>771</v>
      </c>
      <c r="P30" s="1550"/>
      <c r="Q30" s="1115"/>
      <c r="R30" s="91" t="s">
        <v>986</v>
      </c>
      <c r="S30" s="1433">
        <v>1245</v>
      </c>
      <c r="T30" s="1549" t="s">
        <v>771</v>
      </c>
      <c r="U30" s="1550"/>
      <c r="V30" s="1423"/>
      <c r="W30" s="1000"/>
      <c r="X30" s="613"/>
      <c r="Y30" s="693"/>
      <c r="Z30" s="260"/>
      <c r="AA30" s="76" t="s">
        <v>740</v>
      </c>
      <c r="AB30" s="628">
        <f>AC30*AB24</f>
        <v>3937.5</v>
      </c>
      <c r="AC30" s="724">
        <v>1.25E-3</v>
      </c>
      <c r="AD30" s="631"/>
      <c r="AE30" s="631"/>
      <c r="AF30" s="631"/>
      <c r="AG30" s="1"/>
      <c r="AH30" s="91" t="s">
        <v>5</v>
      </c>
      <c r="AI30" s="106">
        <v>999</v>
      </c>
      <c r="AK30" s="66"/>
    </row>
    <row r="31" spans="1:37" customFormat="1" ht="19.5" customHeight="1" thickBot="1" x14ac:dyDescent="0.3">
      <c r="A31" s="1"/>
      <c r="B31" s="112" t="s">
        <v>170</v>
      </c>
      <c r="C31" s="227"/>
      <c r="D31" s="1"/>
      <c r="E31" s="512"/>
      <c r="F31" s="1"/>
      <c r="G31" s="213" t="s">
        <v>400</v>
      </c>
      <c r="H31" s="225">
        <v>1500</v>
      </c>
      <c r="I31" s="1"/>
      <c r="J31" s="512"/>
      <c r="K31" s="1000"/>
      <c r="L31" s="613"/>
      <c r="M31" s="85" t="s">
        <v>124</v>
      </c>
      <c r="N31" s="671">
        <v>600</v>
      </c>
      <c r="O31" s="1569" t="s">
        <v>771</v>
      </c>
      <c r="P31" s="1570"/>
      <c r="Q31" s="1423"/>
      <c r="R31" s="85" t="s">
        <v>124</v>
      </c>
      <c r="S31" s="671">
        <v>440</v>
      </c>
      <c r="T31" s="1569" t="s">
        <v>771</v>
      </c>
      <c r="U31" s="1570"/>
      <c r="V31" s="1423"/>
      <c r="W31" s="1000"/>
      <c r="X31" s="613"/>
      <c r="Y31" s="693"/>
      <c r="Z31" s="260"/>
      <c r="AA31" s="826" t="s">
        <v>736</v>
      </c>
      <c r="AB31" s="727">
        <v>300</v>
      </c>
      <c r="AC31" s="827" t="s">
        <v>737</v>
      </c>
      <c r="AD31" s="631"/>
      <c r="AE31" s="778"/>
      <c r="AF31" s="631"/>
      <c r="AG31" s="1"/>
      <c r="AH31" s="76" t="s">
        <v>7</v>
      </c>
      <c r="AI31" s="243">
        <v>125</v>
      </c>
      <c r="AK31" s="66"/>
    </row>
    <row r="32" spans="1:37" customFormat="1" ht="19.5" customHeight="1" thickBot="1" x14ac:dyDescent="0.3">
      <c r="A32" s="1"/>
      <c r="B32" s="211" t="s">
        <v>220</v>
      </c>
      <c r="C32" s="228">
        <f>SUM(C24:C26,C28:C30)</f>
        <v>15095</v>
      </c>
      <c r="D32" s="1"/>
      <c r="E32" s="512"/>
      <c r="F32" s="1"/>
      <c r="G32" s="112" t="s">
        <v>170</v>
      </c>
      <c r="H32" s="227"/>
      <c r="I32" s="1"/>
      <c r="J32" s="512"/>
      <c r="K32" s="1000"/>
      <c r="L32" s="613"/>
      <c r="M32" s="396" t="s">
        <v>169</v>
      </c>
      <c r="N32" s="1054"/>
      <c r="O32" s="1054"/>
      <c r="P32" s="1054"/>
      <c r="Q32" s="1423"/>
      <c r="R32" s="396" t="s">
        <v>169</v>
      </c>
      <c r="S32" s="1054"/>
      <c r="T32" s="1054"/>
      <c r="U32" s="1054"/>
      <c r="V32" s="1115"/>
      <c r="W32" s="1000"/>
      <c r="X32" s="613"/>
      <c r="Y32" s="693"/>
      <c r="Z32" s="260"/>
      <c r="AA32" s="129" t="s">
        <v>169</v>
      </c>
      <c r="AB32" s="534"/>
      <c r="AC32" s="534"/>
      <c r="AD32" s="778"/>
      <c r="AE32" s="778"/>
      <c r="AF32" s="631"/>
      <c r="AG32" s="1"/>
      <c r="AH32" s="125" t="s">
        <v>8</v>
      </c>
      <c r="AI32" s="126">
        <v>89</v>
      </c>
      <c r="AK32" s="66"/>
    </row>
    <row r="33" spans="1:37" customFormat="1" ht="19.5" customHeight="1" thickBot="1" x14ac:dyDescent="0.25">
      <c r="A33" s="1"/>
      <c r="B33" s="212" t="s">
        <v>221</v>
      </c>
      <c r="C33" s="229">
        <f>C32+C23</f>
        <v>115095</v>
      </c>
      <c r="D33" s="1"/>
      <c r="E33" s="512"/>
      <c r="F33" s="1"/>
      <c r="G33" s="211" t="s">
        <v>67</v>
      </c>
      <c r="H33" s="228">
        <f>SUM(H25:H26,H29:H31)</f>
        <v>19275</v>
      </c>
      <c r="I33" s="1"/>
      <c r="J33" s="512"/>
      <c r="K33" s="1000"/>
      <c r="L33" s="613"/>
      <c r="M33" s="96" t="s">
        <v>14</v>
      </c>
      <c r="N33" s="1438">
        <v>600</v>
      </c>
      <c r="O33" s="1596" t="s">
        <v>770</v>
      </c>
      <c r="P33" s="1597"/>
      <c r="Q33" s="1121"/>
      <c r="R33" s="96" t="s">
        <v>14</v>
      </c>
      <c r="S33" s="1438">
        <v>600</v>
      </c>
      <c r="T33" s="1596" t="s">
        <v>770</v>
      </c>
      <c r="U33" s="1597"/>
      <c r="V33" s="1115"/>
      <c r="W33" s="1000"/>
      <c r="X33" s="613"/>
      <c r="Y33" s="693"/>
      <c r="Z33" s="260"/>
      <c r="AA33" s="96" t="s">
        <v>730</v>
      </c>
      <c r="AB33" s="779">
        <v>1500</v>
      </c>
      <c r="AC33" s="780"/>
      <c r="AD33" s="778"/>
      <c r="AE33" s="778"/>
      <c r="AF33" s="631"/>
      <c r="AG33" s="1"/>
      <c r="AH33" s="107" t="s">
        <v>169</v>
      </c>
      <c r="AI33" s="42"/>
      <c r="AK33" s="66"/>
    </row>
    <row r="34" spans="1:37" customFormat="1" ht="19.5" customHeight="1" thickBot="1" x14ac:dyDescent="0.25">
      <c r="A34" s="1"/>
      <c r="B34" s="132"/>
      <c r="C34" s="131"/>
      <c r="D34" s="1"/>
      <c r="E34" s="512"/>
      <c r="F34" s="1"/>
      <c r="G34" s="152" t="s">
        <v>503</v>
      </c>
      <c r="H34" s="554">
        <f>H33+H14</f>
        <v>433275</v>
      </c>
      <c r="I34" s="1"/>
      <c r="J34" s="512"/>
      <c r="K34" s="1000"/>
      <c r="L34" s="613"/>
      <c r="M34" s="97" t="s">
        <v>814</v>
      </c>
      <c r="N34" s="1439">
        <v>1500</v>
      </c>
      <c r="O34" s="1592" t="s">
        <v>771</v>
      </c>
      <c r="P34" s="1593"/>
      <c r="Q34" s="1428"/>
      <c r="R34" s="97" t="s">
        <v>814</v>
      </c>
      <c r="S34" s="1439">
        <v>1500</v>
      </c>
      <c r="T34" s="1592" t="s">
        <v>771</v>
      </c>
      <c r="U34" s="1593"/>
      <c r="V34" s="1423"/>
      <c r="W34" s="1000"/>
      <c r="X34" s="613"/>
      <c r="Y34" s="754" t="s">
        <v>164</v>
      </c>
      <c r="Z34" s="260"/>
      <c r="AA34" s="97" t="s">
        <v>12</v>
      </c>
      <c r="AB34" s="1791">
        <v>1500</v>
      </c>
      <c r="AC34" s="1792"/>
      <c r="AD34" s="778"/>
      <c r="AE34" s="778"/>
      <c r="AF34" s="631"/>
      <c r="AG34" s="1"/>
      <c r="AH34" s="96" t="s">
        <v>316</v>
      </c>
      <c r="AI34" s="409">
        <v>650</v>
      </c>
      <c r="AK34" s="66"/>
    </row>
    <row r="35" spans="1:37" customFormat="1" ht="19.5" customHeight="1" thickBot="1" x14ac:dyDescent="0.25">
      <c r="A35" s="1"/>
      <c r="B35" s="245" t="s">
        <v>20</v>
      </c>
      <c r="C35" s="367"/>
      <c r="D35" s="1"/>
      <c r="E35" s="512"/>
      <c r="F35" s="1"/>
      <c r="G35" s="132"/>
      <c r="H35" s="131"/>
      <c r="I35" s="1"/>
      <c r="J35" s="512"/>
      <c r="K35" s="1000"/>
      <c r="L35" s="613"/>
      <c r="M35" s="98" t="s">
        <v>821</v>
      </c>
      <c r="N35" s="1441">
        <v>1500</v>
      </c>
      <c r="O35" s="1545" t="s">
        <v>771</v>
      </c>
      <c r="P35" s="1546"/>
      <c r="Q35" s="1423"/>
      <c r="R35" s="98" t="s">
        <v>821</v>
      </c>
      <c r="S35" s="1441">
        <v>0</v>
      </c>
      <c r="T35" s="1545" t="s">
        <v>771</v>
      </c>
      <c r="U35" s="1546"/>
      <c r="V35" s="1423"/>
      <c r="W35" s="1000"/>
      <c r="X35" s="613"/>
      <c r="Y35" s="754" t="s">
        <v>164</v>
      </c>
      <c r="Z35" s="260"/>
      <c r="AA35" s="98" t="s">
        <v>13</v>
      </c>
      <c r="AB35" s="1934">
        <v>2000</v>
      </c>
      <c r="AC35" s="1935"/>
      <c r="AD35" s="778"/>
      <c r="AE35" s="260"/>
      <c r="AF35" s="260"/>
      <c r="AG35" s="1"/>
      <c r="AH35" s="374" t="s">
        <v>336</v>
      </c>
      <c r="AI35" s="419">
        <v>199</v>
      </c>
      <c r="AK35" s="66"/>
    </row>
    <row r="36" spans="1:37" customFormat="1" ht="19.5" customHeight="1" thickBot="1" x14ac:dyDescent="0.25">
      <c r="A36" s="1"/>
      <c r="B36" s="368" t="s">
        <v>21</v>
      </c>
      <c r="C36" s="369"/>
      <c r="D36" s="1"/>
      <c r="E36" s="512"/>
      <c r="F36" s="1"/>
      <c r="G36" s="245" t="s">
        <v>20</v>
      </c>
      <c r="H36" s="367"/>
      <c r="I36" s="1"/>
      <c r="J36" s="512"/>
      <c r="K36" s="1000"/>
      <c r="L36" s="613"/>
      <c r="M36" s="1056" t="s">
        <v>170</v>
      </c>
      <c r="N36" s="1054"/>
      <c r="O36" s="1054"/>
      <c r="P36" s="1054"/>
      <c r="Q36" s="1423"/>
      <c r="R36" s="1056" t="s">
        <v>170</v>
      </c>
      <c r="S36" s="1054"/>
      <c r="T36" s="1054"/>
      <c r="U36" s="1054"/>
      <c r="V36" s="1423"/>
      <c r="W36" s="1000"/>
      <c r="X36" s="613"/>
      <c r="Y36" s="693"/>
      <c r="Z36" s="260"/>
      <c r="AA36" s="497" t="s">
        <v>170</v>
      </c>
      <c r="AB36" s="534"/>
      <c r="AC36" s="534"/>
      <c r="AD36" s="736"/>
      <c r="AE36" s="260"/>
      <c r="AF36" s="260"/>
      <c r="AG36" s="1"/>
      <c r="AH36" s="97" t="s">
        <v>12</v>
      </c>
      <c r="AI36" s="394">
        <v>1500</v>
      </c>
      <c r="AK36" s="66"/>
    </row>
    <row r="37" spans="1:37" customFormat="1" ht="19.5" customHeight="1" thickBot="1" x14ac:dyDescent="0.25">
      <c r="A37" s="73"/>
      <c r="B37" s="1"/>
      <c r="C37" s="13"/>
      <c r="D37" s="1"/>
      <c r="E37" s="512"/>
      <c r="F37" s="73"/>
      <c r="G37" s="368" t="s">
        <v>21</v>
      </c>
      <c r="H37" s="369"/>
      <c r="I37" s="1"/>
      <c r="J37" s="512"/>
      <c r="K37" s="1000"/>
      <c r="L37" s="613"/>
      <c r="M37" s="108" t="s">
        <v>23</v>
      </c>
      <c r="N37" s="1445">
        <f>SUM(N28:N29,N33:N35,N30:N31,)</f>
        <v>14482.752</v>
      </c>
      <c r="O37" s="1448"/>
      <c r="P37" s="1448"/>
      <c r="Q37" s="1121"/>
      <c r="R37" s="108" t="s">
        <v>23</v>
      </c>
      <c r="S37" s="1445">
        <f>SUM(S28:S29,S33:S35,S30:S31)</f>
        <v>9025</v>
      </c>
      <c r="T37" s="1448"/>
      <c r="U37" s="1448"/>
      <c r="V37" s="1121"/>
      <c r="W37" s="1000"/>
      <c r="X37" s="613"/>
      <c r="Y37" s="693"/>
      <c r="Z37" s="260"/>
      <c r="AA37" s="108" t="s">
        <v>378</v>
      </c>
      <c r="AB37" s="1787">
        <f>SUM(AB27:AB35)</f>
        <v>124062.5</v>
      </c>
      <c r="AC37" s="1788"/>
      <c r="AD37" s="736"/>
      <c r="AE37" s="260"/>
      <c r="AF37" s="613"/>
      <c r="AG37" s="73"/>
      <c r="AH37" s="98" t="s">
        <v>13</v>
      </c>
      <c r="AI37" s="78">
        <v>0</v>
      </c>
      <c r="AK37" s="66"/>
    </row>
    <row r="38" spans="1:37" ht="19.5" customHeight="1" thickBot="1" x14ac:dyDescent="0.3">
      <c r="D38" s="73"/>
      <c r="E38" s="444"/>
      <c r="I38" s="73"/>
      <c r="J38" s="444"/>
      <c r="K38" s="1000"/>
      <c r="L38" s="613"/>
      <c r="M38" s="110" t="s">
        <v>841</v>
      </c>
      <c r="N38" s="1444">
        <f>N37+N26-N27</f>
        <v>70524.95199999999</v>
      </c>
      <c r="O38" s="1448"/>
      <c r="P38" s="1448"/>
      <c r="Q38" s="902"/>
      <c r="R38" s="437" t="s">
        <v>907</v>
      </c>
      <c r="S38" s="1041">
        <f>S37+S27</f>
        <v>9025</v>
      </c>
      <c r="T38" s="1448"/>
      <c r="U38" s="1448"/>
      <c r="V38" s="1428"/>
      <c r="W38" s="1000"/>
      <c r="X38" s="613"/>
      <c r="AA38" s="110" t="s">
        <v>668</v>
      </c>
      <c r="AB38" s="1789">
        <f>AB37+AB26</f>
        <v>1174062.5</v>
      </c>
      <c r="AC38" s="1790"/>
      <c r="AF38" s="613"/>
      <c r="AH38" s="112" t="s">
        <v>170</v>
      </c>
      <c r="AI38" s="74"/>
    </row>
    <row r="39" spans="1:37" ht="19.5" customHeight="1" x14ac:dyDescent="0.2">
      <c r="K39" s="1000"/>
      <c r="L39" s="260"/>
      <c r="M39" s="535"/>
      <c r="N39" s="536"/>
      <c r="O39" s="536"/>
      <c r="P39" s="536"/>
      <c r="Q39" s="902"/>
      <c r="R39" s="437" t="s">
        <v>846</v>
      </c>
      <c r="S39" s="1041">
        <f>MAX(0,S38-S17)</f>
        <v>0</v>
      </c>
      <c r="T39" s="1448"/>
      <c r="U39" s="1448"/>
      <c r="V39" s="1423"/>
      <c r="W39" s="1000"/>
      <c r="X39" s="260"/>
      <c r="AA39" s="535"/>
      <c r="AB39" s="536"/>
      <c r="AC39" s="536"/>
      <c r="AF39" s="613"/>
      <c r="AH39" s="108" t="s">
        <v>23</v>
      </c>
      <c r="AI39" s="109">
        <f>SUM(AI27:AI37)</f>
        <v>29762</v>
      </c>
    </row>
    <row r="40" spans="1:37" ht="19.5" customHeight="1" thickBot="1" x14ac:dyDescent="0.25">
      <c r="K40" s="1000"/>
      <c r="L40" s="613"/>
      <c r="M40" s="1601" t="s">
        <v>376</v>
      </c>
      <c r="N40" s="1602"/>
      <c r="O40" s="1602"/>
      <c r="P40" s="1603"/>
      <c r="Q40" s="902"/>
      <c r="R40" s="98" t="s">
        <v>845</v>
      </c>
      <c r="S40" s="1039">
        <f>MAX(0,S17-S38-S26)</f>
        <v>32575</v>
      </c>
      <c r="T40" s="1448"/>
      <c r="U40" s="1448"/>
      <c r="V40" s="1423"/>
      <c r="W40" s="1000"/>
      <c r="X40" s="613"/>
      <c r="AA40" s="1601" t="s">
        <v>707</v>
      </c>
      <c r="AB40" s="1602"/>
      <c r="AC40" s="1602"/>
      <c r="AD40" s="1603"/>
      <c r="AF40" s="613"/>
      <c r="AH40" s="98" t="s">
        <v>372</v>
      </c>
      <c r="AI40" s="174">
        <v>36800</v>
      </c>
    </row>
    <row r="41" spans="1:37" ht="19.5" customHeight="1" x14ac:dyDescent="0.2">
      <c r="L41" s="613"/>
      <c r="M41" s="1814"/>
      <c r="N41" s="1815"/>
      <c r="O41" s="1815"/>
      <c r="P41" s="1816"/>
      <c r="Q41" s="902"/>
      <c r="R41" s="535"/>
      <c r="S41" s="536"/>
      <c r="T41" s="536"/>
      <c r="U41" s="536"/>
      <c r="V41" s="1121"/>
      <c r="X41" s="613"/>
      <c r="AA41" s="1814"/>
      <c r="AB41" s="1815"/>
      <c r="AC41" s="1815"/>
      <c r="AD41" s="1816"/>
      <c r="AF41" s="613"/>
      <c r="AH41" s="33"/>
      <c r="AI41" s="29"/>
    </row>
    <row r="42" spans="1:37" ht="19.5" customHeight="1" x14ac:dyDescent="0.2">
      <c r="L42" s="613"/>
      <c r="M42" s="1580" t="s">
        <v>991</v>
      </c>
      <c r="N42" s="1581"/>
      <c r="O42" s="1581"/>
      <c r="P42" s="1582"/>
      <c r="Q42" s="1122"/>
      <c r="R42" s="1601" t="s">
        <v>376</v>
      </c>
      <c r="S42" s="1602"/>
      <c r="T42" s="1602"/>
      <c r="U42" s="1603"/>
      <c r="V42" s="902"/>
      <c r="X42" s="613"/>
      <c r="AA42" s="1771" t="s">
        <v>704</v>
      </c>
      <c r="AB42" s="1772"/>
      <c r="AC42" s="1772"/>
      <c r="AD42" s="1773"/>
      <c r="AF42" s="613"/>
      <c r="AH42" s="2057" t="s">
        <v>431</v>
      </c>
      <c r="AI42" s="2058"/>
    </row>
    <row r="43" spans="1:37" ht="19.5" customHeight="1" x14ac:dyDescent="0.2">
      <c r="M43" s="1869"/>
      <c r="N43" s="1869"/>
      <c r="O43" s="1869"/>
      <c r="P43" s="1869"/>
      <c r="Q43" s="1437"/>
      <c r="R43" s="1814"/>
      <c r="S43" s="1815"/>
      <c r="T43" s="1815"/>
      <c r="U43" s="1816"/>
      <c r="V43" s="902"/>
      <c r="AA43" s="1768" t="s">
        <v>705</v>
      </c>
      <c r="AB43" s="1769"/>
      <c r="AC43" s="1769"/>
      <c r="AD43" s="1770"/>
      <c r="AF43" s="613"/>
      <c r="AH43" s="2059"/>
      <c r="AI43" s="2060"/>
    </row>
    <row r="44" spans="1:37" ht="15.75" customHeight="1" x14ac:dyDescent="0.2">
      <c r="M44" s="1869"/>
      <c r="N44" s="1869"/>
      <c r="O44" s="1869"/>
      <c r="P44" s="1869"/>
      <c r="Q44" s="1437"/>
      <c r="R44" s="1580" t="s">
        <v>991</v>
      </c>
      <c r="S44" s="1581"/>
      <c r="T44" s="1581"/>
      <c r="U44" s="1582"/>
      <c r="V44" s="902"/>
      <c r="AA44" s="2051" t="s">
        <v>738</v>
      </c>
      <c r="AB44" s="2052"/>
      <c r="AC44" s="2052"/>
      <c r="AD44" s="2053"/>
      <c r="AF44" s="613"/>
      <c r="AH44" s="244" t="s">
        <v>20</v>
      </c>
      <c r="AI44" s="307"/>
    </row>
    <row r="45" spans="1:37" x14ac:dyDescent="0.2">
      <c r="P45" s="613"/>
      <c r="Q45" s="1440"/>
      <c r="R45" s="1869"/>
      <c r="S45" s="1869"/>
      <c r="T45" s="1869"/>
      <c r="U45" s="1869"/>
      <c r="V45" s="902"/>
      <c r="AA45" s="2054"/>
      <c r="AB45" s="2054"/>
      <c r="AC45" s="2054"/>
      <c r="AD45" s="2054"/>
      <c r="AH45" s="308" t="s">
        <v>21</v>
      </c>
      <c r="AI45" s="309"/>
    </row>
    <row r="46" spans="1:37" x14ac:dyDescent="0.2">
      <c r="Q46" s="1440"/>
      <c r="R46" s="1869"/>
      <c r="S46" s="1869"/>
      <c r="T46" s="1869"/>
      <c r="U46" s="1869"/>
      <c r="V46" s="1122"/>
      <c r="AD46" s="260"/>
    </row>
    <row r="47" spans="1:37" x14ac:dyDescent="0.2">
      <c r="Q47" s="1440"/>
      <c r="U47" s="613"/>
      <c r="V47" s="1437"/>
      <c r="AD47" s="260"/>
    </row>
    <row r="48" spans="1:37" x14ac:dyDescent="0.2">
      <c r="Q48" s="1430"/>
      <c r="V48" s="1437"/>
      <c r="AD48" s="260"/>
    </row>
    <row r="49" spans="17:30" x14ac:dyDescent="0.2">
      <c r="Q49" s="1430"/>
      <c r="V49" s="1440"/>
      <c r="AD49" s="260"/>
    </row>
    <row r="50" spans="17:30" x14ac:dyDescent="0.2">
      <c r="V50" s="1440"/>
      <c r="AD50" s="260"/>
    </row>
    <row r="51" spans="17:30" x14ac:dyDescent="0.2">
      <c r="V51" s="1440"/>
    </row>
    <row r="52" spans="17:30" x14ac:dyDescent="0.2">
      <c r="V52" s="1430"/>
    </row>
    <row r="53" spans="17:30" x14ac:dyDescent="0.2">
      <c r="V53" s="1430"/>
    </row>
  </sheetData>
  <mergeCells count="65">
    <mergeCell ref="R45:U46"/>
    <mergeCell ref="M40:P41"/>
    <mergeCell ref="M42:P42"/>
    <mergeCell ref="R42:U43"/>
    <mergeCell ref="M43:P44"/>
    <mergeCell ref="R44:U44"/>
    <mergeCell ref="O33:P33"/>
    <mergeCell ref="T33:U33"/>
    <mergeCell ref="O34:P34"/>
    <mergeCell ref="T34:U34"/>
    <mergeCell ref="O35:P35"/>
    <mergeCell ref="T35:U35"/>
    <mergeCell ref="O30:P30"/>
    <mergeCell ref="T30:U30"/>
    <mergeCell ref="O31:P31"/>
    <mergeCell ref="T31:U31"/>
    <mergeCell ref="N26:P26"/>
    <mergeCell ref="S26:U26"/>
    <mergeCell ref="O27:P27"/>
    <mergeCell ref="S27:U27"/>
    <mergeCell ref="O22:P22"/>
    <mergeCell ref="T22:U22"/>
    <mergeCell ref="O23:P23"/>
    <mergeCell ref="S23:U23"/>
    <mergeCell ref="S24:U24"/>
    <mergeCell ref="S15:U15"/>
    <mergeCell ref="S16:U16"/>
    <mergeCell ref="N20:P20"/>
    <mergeCell ref="S20:U20"/>
    <mergeCell ref="O21:P21"/>
    <mergeCell ref="T21:U21"/>
    <mergeCell ref="S9:U9"/>
    <mergeCell ref="N10:P10"/>
    <mergeCell ref="S10:U10"/>
    <mergeCell ref="S13:U13"/>
    <mergeCell ref="S14:U14"/>
    <mergeCell ref="N9:P9"/>
    <mergeCell ref="AH42:AI43"/>
    <mergeCell ref="B2:C2"/>
    <mergeCell ref="G2:H2"/>
    <mergeCell ref="AH2:AI2"/>
    <mergeCell ref="AB22:AD22"/>
    <mergeCell ref="AB34:AC34"/>
    <mergeCell ref="AB35:AC35"/>
    <mergeCell ref="AB37:AC37"/>
    <mergeCell ref="AB38:AC38"/>
    <mergeCell ref="AA40:AD41"/>
    <mergeCell ref="AA42:AD42"/>
    <mergeCell ref="AA43:AD43"/>
    <mergeCell ref="M2:U2"/>
    <mergeCell ref="M4:P4"/>
    <mergeCell ref="R4:U4"/>
    <mergeCell ref="N6:P6"/>
    <mergeCell ref="AA44:AD44"/>
    <mergeCell ref="AA45:AD45"/>
    <mergeCell ref="AA2:AD2"/>
    <mergeCell ref="AB4:AD4"/>
    <mergeCell ref="AB5:AD5"/>
    <mergeCell ref="AB6:AD6"/>
    <mergeCell ref="AB11:AD11"/>
    <mergeCell ref="S6:U6"/>
    <mergeCell ref="N7:P7"/>
    <mergeCell ref="S7:U7"/>
    <mergeCell ref="N8:P8"/>
    <mergeCell ref="S8:U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DAC15-F8EF-40B5-A55A-3ECF857BE136}">
  <dimension ref="A1:AE82"/>
  <sheetViews>
    <sheetView showGridLines="0" tabSelected="1" topLeftCell="A24" zoomScale="70" zoomScaleNormal="70" workbookViewId="0">
      <selection activeCell="F36" sqref="F36"/>
    </sheetView>
  </sheetViews>
  <sheetFormatPr baseColWidth="10" defaultColWidth="9.1640625" defaultRowHeight="16" x14ac:dyDescent="0.2"/>
  <cols>
    <col min="1" max="1" width="20.5" style="1199" customWidth="1"/>
    <col min="2" max="2" width="2" style="1200" customWidth="1"/>
    <col min="3" max="3" width="21.6640625" style="1201" customWidth="1"/>
    <col min="4" max="4" width="2" style="1200" customWidth="1"/>
    <col min="5" max="5" width="2" style="1202" customWidth="1"/>
    <col min="6" max="6" width="38.83203125" style="1202" customWidth="1"/>
    <col min="7" max="7" width="19.33203125" style="1203" customWidth="1"/>
    <col min="8" max="8" width="45.5" style="1202" customWidth="1"/>
    <col min="9" max="9" width="30" style="1202" customWidth="1"/>
    <col min="10" max="10" width="11.5" style="1202" customWidth="1"/>
    <col min="11" max="14" width="9.1640625" style="1202"/>
    <col min="15" max="15" width="3.33203125" style="1202" customWidth="1"/>
    <col min="16" max="16" width="3.1640625" style="1204" customWidth="1"/>
    <col min="17" max="17" width="2" style="1202" customWidth="1"/>
    <col min="18" max="18" width="34.5" style="1207" customWidth="1"/>
    <col min="19" max="19" width="10.1640625" style="1207" customWidth="1"/>
    <col min="20" max="20" width="15.1640625" style="1207" customWidth="1"/>
    <col min="21" max="21" width="11.6640625" style="1207" customWidth="1"/>
    <col min="22" max="22" width="1.5" style="1207" customWidth="1"/>
    <col min="23" max="23" width="36.1640625" style="1207" customWidth="1"/>
    <col min="24" max="24" width="22.83203125" style="1207" customWidth="1"/>
    <col min="25" max="25" width="22.83203125" style="1202" customWidth="1"/>
    <col min="26" max="26" width="11.5" style="1202" bestFit="1" customWidth="1"/>
    <col min="27" max="16384" width="9.1640625" style="1202"/>
  </cols>
  <sheetData>
    <row r="1" spans="1:27" ht="17.25" customHeight="1" x14ac:dyDescent="0.2">
      <c r="R1" s="1205" t="s">
        <v>512</v>
      </c>
      <c r="S1" s="1205"/>
      <c r="T1" s="1206"/>
    </row>
    <row r="2" spans="1:27" ht="27" customHeight="1" x14ac:dyDescent="0.25">
      <c r="F2" s="1355" t="s">
        <v>422</v>
      </c>
      <c r="G2" s="1356"/>
      <c r="T2" s="1206"/>
      <c r="W2" s="1208"/>
      <c r="X2" s="1208"/>
      <c r="Y2" s="1200"/>
      <c r="Z2" s="1200"/>
    </row>
    <row r="3" spans="1:27" ht="27" customHeight="1" thickBot="1" x14ac:dyDescent="0.25">
      <c r="F3" s="1209">
        <f ca="1">NOW()</f>
        <v>43713.560022569443</v>
      </c>
      <c r="R3" s="1513" t="s">
        <v>696</v>
      </c>
      <c r="S3" s="1513"/>
      <c r="T3" s="1513"/>
      <c r="U3" s="1513"/>
      <c r="W3" s="1534"/>
      <c r="X3" s="1534"/>
      <c r="Y3" s="1534"/>
      <c r="Z3" s="1534"/>
    </row>
    <row r="4" spans="1:27" ht="17.25" customHeight="1" x14ac:dyDescent="0.2">
      <c r="A4" s="1210" t="s">
        <v>178</v>
      </c>
      <c r="C4" s="1211" t="s">
        <v>164</v>
      </c>
      <c r="F4" s="1212" t="s">
        <v>24</v>
      </c>
      <c r="G4" s="1538" t="s">
        <v>1030</v>
      </c>
      <c r="H4" s="1539"/>
      <c r="R4" s="1514" t="s">
        <v>143</v>
      </c>
      <c r="S4" s="1514"/>
      <c r="T4" s="1517">
        <v>190000</v>
      </c>
      <c r="U4" s="1517"/>
      <c r="W4" s="1213"/>
      <c r="X4" s="1213"/>
      <c r="Y4" s="1214"/>
      <c r="Z4" s="1215"/>
    </row>
    <row r="5" spans="1:27" ht="17.25" customHeight="1" x14ac:dyDescent="0.2">
      <c r="A5" s="1216">
        <f>G20*0.09</f>
        <v>7902</v>
      </c>
      <c r="F5" s="1217" t="s">
        <v>250</v>
      </c>
      <c r="G5" s="1531" t="s">
        <v>326</v>
      </c>
      <c r="H5" s="1531"/>
      <c r="R5" s="1515" t="s">
        <v>303</v>
      </c>
      <c r="S5" s="1515"/>
      <c r="T5" s="1540">
        <v>40000</v>
      </c>
      <c r="U5" s="1540"/>
      <c r="W5" s="1213"/>
      <c r="X5" s="1213"/>
      <c r="Y5" s="1214"/>
      <c r="Z5" s="1215"/>
      <c r="AA5" s="1218"/>
    </row>
    <row r="6" spans="1:27" ht="17.25" customHeight="1" thickBot="1" x14ac:dyDescent="0.25">
      <c r="A6" s="1219">
        <f>A5/12</f>
        <v>658.5</v>
      </c>
      <c r="C6" s="1211" t="s">
        <v>164</v>
      </c>
      <c r="F6" s="1220" t="s">
        <v>150</v>
      </c>
      <c r="G6" s="2150" t="s">
        <v>1029</v>
      </c>
      <c r="H6" s="1537"/>
      <c r="R6" s="1221" t="s">
        <v>426</v>
      </c>
      <c r="S6" s="1221"/>
      <c r="T6" s="1541">
        <f>T5*0.1</f>
        <v>4000</v>
      </c>
      <c r="U6" s="1541"/>
      <c r="W6" s="1213"/>
      <c r="X6" s="1222"/>
      <c r="Y6" s="1223"/>
      <c r="Z6" s="1215"/>
    </row>
    <row r="7" spans="1:27" s="1227" customFormat="1" ht="17.25" customHeight="1" x14ac:dyDescent="0.2">
      <c r="A7" s="1224"/>
      <c r="B7" s="1225"/>
      <c r="C7" s="1226"/>
      <c r="D7" s="1225"/>
      <c r="F7" s="1520" t="s">
        <v>327</v>
      </c>
      <c r="G7" s="1520"/>
      <c r="H7" s="1357"/>
      <c r="I7" s="1357"/>
      <c r="J7" s="1357"/>
      <c r="K7" s="1357"/>
      <c r="L7" s="1357"/>
      <c r="P7" s="1228"/>
      <c r="R7" s="1229" t="s">
        <v>197</v>
      </c>
      <c r="S7" s="1229"/>
      <c r="T7" s="1519">
        <f>T4+T5+T6</f>
        <v>234000</v>
      </c>
      <c r="U7" s="1519"/>
      <c r="V7" s="1207"/>
      <c r="W7" s="1213"/>
      <c r="X7" s="1213"/>
      <c r="Y7" s="1230"/>
      <c r="Z7" s="1231"/>
      <c r="AA7" s="1202"/>
    </row>
    <row r="8" spans="1:27" s="1227" customFormat="1" ht="17.25" customHeight="1" x14ac:dyDescent="0.2">
      <c r="A8" s="1224"/>
      <c r="B8" s="1225"/>
      <c r="C8" s="1226"/>
      <c r="D8" s="1225"/>
      <c r="F8" s="1520"/>
      <c r="G8" s="1520"/>
      <c r="H8" s="1357"/>
      <c r="I8" s="1357"/>
      <c r="J8" s="1357"/>
      <c r="K8" s="1357"/>
      <c r="L8" s="1357"/>
      <c r="P8" s="1228"/>
      <c r="R8" s="1514" t="s">
        <v>173</v>
      </c>
      <c r="S8" s="1514"/>
      <c r="T8" s="1517">
        <v>340000</v>
      </c>
      <c r="U8" s="1517"/>
      <c r="V8" s="1207"/>
      <c r="W8" s="1213"/>
      <c r="X8" s="1213"/>
      <c r="Y8" s="1230"/>
      <c r="Z8" s="1232"/>
      <c r="AA8" s="1202"/>
    </row>
    <row r="9" spans="1:27" s="1227" customFormat="1" ht="17.25" customHeight="1" x14ac:dyDescent="0.2">
      <c r="A9" s="1224"/>
      <c r="B9" s="1225"/>
      <c r="C9" s="1226"/>
      <c r="D9" s="1225"/>
      <c r="F9" s="1520"/>
      <c r="G9" s="1520"/>
      <c r="H9" s="1357"/>
      <c r="I9" s="1357"/>
      <c r="J9" s="1357"/>
      <c r="K9" s="1357"/>
      <c r="L9" s="1357"/>
      <c r="P9" s="1228"/>
      <c r="R9" s="1518" t="s">
        <v>570</v>
      </c>
      <c r="S9" s="1518"/>
      <c r="T9" s="1536">
        <f>T7/T8</f>
        <v>0.68823529411764706</v>
      </c>
      <c r="U9" s="1536"/>
      <c r="V9" s="1207"/>
      <c r="W9" s="1213"/>
      <c r="X9" s="1213"/>
      <c r="Y9" s="1230"/>
      <c r="Z9" s="1232"/>
    </row>
    <row r="10" spans="1:27" s="1227" customFormat="1" ht="17.25" customHeight="1" x14ac:dyDescent="0.2">
      <c r="A10" s="1224"/>
      <c r="B10" s="1225"/>
      <c r="C10" s="1226"/>
      <c r="D10" s="1225"/>
      <c r="F10" s="1520"/>
      <c r="G10" s="1520"/>
      <c r="H10" s="1320"/>
      <c r="I10" s="1320"/>
      <c r="J10" s="1320"/>
      <c r="K10" s="1320"/>
      <c r="L10" s="1320"/>
      <c r="P10" s="1228"/>
      <c r="Q10" s="1225"/>
      <c r="R10" s="1514" t="s">
        <v>613</v>
      </c>
      <c r="S10" s="1514"/>
      <c r="T10" s="1516">
        <f>T8*0.7</f>
        <v>237999.99999999997</v>
      </c>
      <c r="U10" s="1516"/>
      <c r="V10" s="1208"/>
      <c r="W10" s="1213"/>
      <c r="X10" s="1213"/>
      <c r="Y10" s="1231"/>
      <c r="Z10" s="1231"/>
      <c r="AA10" s="1202"/>
    </row>
    <row r="11" spans="1:27" s="1227" customFormat="1" ht="17.25" customHeight="1" x14ac:dyDescent="0.2">
      <c r="A11" s="1224"/>
      <c r="B11" s="1225"/>
      <c r="C11" s="1226"/>
      <c r="D11" s="1225"/>
      <c r="F11" s="1320"/>
      <c r="G11" s="1320"/>
      <c r="H11" s="1320"/>
      <c r="I11" s="1320"/>
      <c r="J11" s="1320"/>
      <c r="K11" s="1320"/>
      <c r="L11" s="1320"/>
      <c r="P11" s="1228"/>
      <c r="Q11" s="1225"/>
      <c r="R11" s="1235" t="s">
        <v>689</v>
      </c>
      <c r="S11" s="1235"/>
      <c r="T11" s="1535">
        <f>MAX(0,T7-T10)</f>
        <v>0</v>
      </c>
      <c r="U11" s="1535"/>
      <c r="V11" s="1236"/>
      <c r="W11" s="1213"/>
      <c r="X11" s="1213"/>
      <c r="Y11" s="1231"/>
      <c r="Z11" s="1231"/>
      <c r="AA11" s="1202"/>
    </row>
    <row r="12" spans="1:27" ht="17.25" customHeight="1" thickBot="1" x14ac:dyDescent="0.25">
      <c r="A12" s="1210" t="s">
        <v>923</v>
      </c>
      <c r="C12" s="1226"/>
      <c r="F12" s="1233" t="s">
        <v>135</v>
      </c>
      <c r="G12" s="1234"/>
      <c r="Q12" s="1200"/>
      <c r="R12" s="1221" t="s">
        <v>545</v>
      </c>
      <c r="S12" s="1221"/>
      <c r="T12" s="1238">
        <f>T5/T4</f>
        <v>0.21052631578947367</v>
      </c>
      <c r="U12" s="1238"/>
      <c r="V12" s="1208"/>
      <c r="W12" s="1239"/>
      <c r="X12" s="1239"/>
      <c r="Y12" s="1231"/>
      <c r="Z12" s="1231"/>
    </row>
    <row r="13" spans="1:27" ht="17.25" customHeight="1" x14ac:dyDescent="0.2">
      <c r="A13" s="1237">
        <v>4000</v>
      </c>
      <c r="C13" s="1226"/>
      <c r="F13" s="1358" t="s">
        <v>138</v>
      </c>
      <c r="G13" s="1532" t="str">
        <f>G6</f>
        <v>3919 Boarman Ave 
Baltimore MD 21215</v>
      </c>
      <c r="H13" s="1533"/>
      <c r="Q13" s="1200"/>
      <c r="R13" s="1213" t="s">
        <v>547</v>
      </c>
      <c r="S13" s="1213"/>
      <c r="T13" s="1231">
        <f>T5/T7</f>
        <v>0.17094017094017094</v>
      </c>
      <c r="U13" s="1231"/>
      <c r="V13" s="1208"/>
      <c r="W13" s="1208"/>
      <c r="X13" s="1208"/>
      <c r="Y13" s="1240"/>
      <c r="Z13" s="1240"/>
    </row>
    <row r="14" spans="1:27" ht="17.25" customHeight="1" x14ac:dyDescent="0.2">
      <c r="A14" s="1241"/>
      <c r="C14" s="1226"/>
      <c r="F14" s="1253" t="s">
        <v>455</v>
      </c>
      <c r="G14" s="1531" t="s">
        <v>531</v>
      </c>
      <c r="H14" s="1531"/>
      <c r="Q14" s="1200"/>
      <c r="R14" s="1245" t="s">
        <v>546</v>
      </c>
      <c r="S14" s="1245"/>
      <c r="T14" s="1246">
        <f>T4/T7</f>
        <v>0.81196581196581197</v>
      </c>
      <c r="U14" s="1246"/>
      <c r="V14" s="1208"/>
      <c r="W14" s="1208"/>
      <c r="X14" s="1208"/>
      <c r="Y14" s="1200"/>
      <c r="Z14" s="1200"/>
    </row>
    <row r="15" spans="1:27" ht="17.25" customHeight="1" x14ac:dyDescent="0.2">
      <c r="A15" s="1243" t="s">
        <v>548</v>
      </c>
      <c r="C15" s="1211" t="s">
        <v>164</v>
      </c>
      <c r="F15" s="1242" t="s">
        <v>139</v>
      </c>
      <c r="G15" s="1528">
        <v>103000</v>
      </c>
      <c r="H15" s="1528"/>
      <c r="Q15" s="1200"/>
      <c r="R15" s="1208"/>
      <c r="S15" s="1208"/>
      <c r="T15" s="1208"/>
      <c r="U15" s="1208"/>
      <c r="V15" s="1208"/>
      <c r="W15" s="1208"/>
      <c r="X15" s="1208"/>
      <c r="Y15" s="1200"/>
      <c r="Z15" s="1200"/>
    </row>
    <row r="16" spans="1:27" ht="17.25" customHeight="1" x14ac:dyDescent="0.2">
      <c r="A16" s="1219">
        <f>G20*0.02</f>
        <v>1756</v>
      </c>
      <c r="C16" s="1211" t="s">
        <v>164</v>
      </c>
      <c r="F16" s="1253" t="s">
        <v>143</v>
      </c>
      <c r="G16" s="1530">
        <v>68000</v>
      </c>
      <c r="H16" s="1530"/>
      <c r="Q16" s="1200"/>
      <c r="R16" s="1513" t="s">
        <v>697</v>
      </c>
      <c r="S16" s="1513"/>
      <c r="T16" s="1513"/>
      <c r="U16" s="1513"/>
      <c r="W16" s="1208"/>
      <c r="X16" s="1208"/>
      <c r="Y16" s="1200"/>
      <c r="Z16" s="1200"/>
    </row>
    <row r="17" spans="1:26" ht="17.25" customHeight="1" x14ac:dyDescent="0.2">
      <c r="C17" s="1211" t="s">
        <v>164</v>
      </c>
      <c r="F17" s="1242" t="s">
        <v>137</v>
      </c>
      <c r="G17" s="1528">
        <v>18000</v>
      </c>
      <c r="H17" s="1528"/>
      <c r="Q17" s="1200"/>
      <c r="R17" s="1221" t="s">
        <v>143</v>
      </c>
      <c r="S17" s="1221"/>
      <c r="T17" s="1247">
        <v>210000</v>
      </c>
      <c r="U17" s="1248"/>
      <c r="Y17" s="1200"/>
      <c r="Z17" s="1200"/>
    </row>
    <row r="18" spans="1:26" ht="17.25" customHeight="1" x14ac:dyDescent="0.2">
      <c r="C18" s="1211"/>
      <c r="F18" s="1244" t="s">
        <v>426</v>
      </c>
      <c r="G18" s="1529">
        <f>G17*0.1</f>
        <v>1800</v>
      </c>
      <c r="H18" s="1529"/>
      <c r="R18" s="1249" t="s">
        <v>303</v>
      </c>
      <c r="S18" s="1249"/>
      <c r="T18" s="1214">
        <v>20000</v>
      </c>
      <c r="U18" s="1215"/>
      <c r="W18" s="1208"/>
      <c r="X18" s="1208"/>
    </row>
    <row r="19" spans="1:26" ht="17.25" customHeight="1" x14ac:dyDescent="0.2">
      <c r="C19" s="1211" t="s">
        <v>164</v>
      </c>
      <c r="F19" s="1242" t="s">
        <v>145</v>
      </c>
      <c r="G19" s="1528">
        <v>135000</v>
      </c>
      <c r="H19" s="1528"/>
      <c r="R19" s="1221" t="s">
        <v>197</v>
      </c>
      <c r="S19" s="1221"/>
      <c r="T19" s="1248">
        <f>T17+T18</f>
        <v>230000</v>
      </c>
      <c r="U19" s="1248"/>
      <c r="W19" s="1208"/>
      <c r="X19" s="1208"/>
      <c r="Y19" s="1200"/>
      <c r="Z19" s="1200"/>
    </row>
    <row r="20" spans="1:26" ht="17.25" customHeight="1" x14ac:dyDescent="0.2">
      <c r="F20" s="1244" t="s">
        <v>141</v>
      </c>
      <c r="G20" s="1527">
        <f>G16+G17+G18</f>
        <v>87800</v>
      </c>
      <c r="H20" s="1527"/>
      <c r="R20" s="1250" t="s">
        <v>173</v>
      </c>
      <c r="S20" s="1250"/>
      <c r="T20" s="1251">
        <v>350000</v>
      </c>
      <c r="U20" s="1252">
        <f>T19/T20</f>
        <v>0.65714285714285714</v>
      </c>
      <c r="Y20" s="1200"/>
      <c r="Z20" s="1200"/>
    </row>
    <row r="21" spans="1:26" ht="17.25" customHeight="1" x14ac:dyDescent="0.2">
      <c r="F21" s="1242" t="s">
        <v>203</v>
      </c>
      <c r="G21" s="1526">
        <f>G20/G19</f>
        <v>0.65037037037037038</v>
      </c>
      <c r="H21" s="1526"/>
      <c r="R21" s="1213" t="s">
        <v>567</v>
      </c>
      <c r="S21" s="1213"/>
      <c r="T21" s="1230">
        <f>T20*0.65</f>
        <v>227500</v>
      </c>
    </row>
    <row r="22" spans="1:26" ht="17.25" customHeight="1" x14ac:dyDescent="0.2">
      <c r="F22" s="1253" t="s">
        <v>140</v>
      </c>
      <c r="G22" s="1525">
        <f>G19*0.75</f>
        <v>101250</v>
      </c>
      <c r="H22" s="1525"/>
      <c r="R22" s="1221" t="s">
        <v>568</v>
      </c>
      <c r="S22" s="1221"/>
      <c r="T22" s="1254">
        <f>T20*0.7</f>
        <v>244999.99999999997</v>
      </c>
      <c r="U22" s="1255"/>
    </row>
    <row r="23" spans="1:26" ht="17.25" customHeight="1" x14ac:dyDescent="0.2">
      <c r="A23" s="1210" t="s">
        <v>204</v>
      </c>
      <c r="F23" s="1242" t="s">
        <v>151</v>
      </c>
      <c r="G23" s="1524">
        <v>0.09</v>
      </c>
      <c r="H23" s="1524"/>
      <c r="R23" s="1213" t="s">
        <v>569</v>
      </c>
      <c r="S23" s="1213"/>
      <c r="T23" s="1230">
        <f>T20*0.75</f>
        <v>262500</v>
      </c>
      <c r="U23" s="1256"/>
    </row>
    <row r="24" spans="1:26" ht="17.25" customHeight="1" x14ac:dyDescent="0.2">
      <c r="A24" s="1219">
        <f>G16*0.9</f>
        <v>61200</v>
      </c>
      <c r="F24" s="1253" t="s">
        <v>205</v>
      </c>
      <c r="G24" s="1523">
        <f>G17+A24</f>
        <v>79200</v>
      </c>
      <c r="H24" s="1523"/>
      <c r="R24" s="1221" t="s">
        <v>545</v>
      </c>
      <c r="S24" s="1221"/>
      <c r="T24" s="1238">
        <f>T18/T17</f>
        <v>9.5238095238095233E-2</v>
      </c>
      <c r="U24" s="1238"/>
    </row>
    <row r="25" spans="1:26" ht="17.25" customHeight="1" thickBot="1" x14ac:dyDescent="0.25">
      <c r="A25" s="1257"/>
      <c r="F25" s="1258" t="s">
        <v>142</v>
      </c>
      <c r="G25" s="1521" t="s">
        <v>152</v>
      </c>
      <c r="H25" s="1522"/>
      <c r="R25" s="1213" t="s">
        <v>547</v>
      </c>
      <c r="S25" s="1213"/>
      <c r="T25" s="1231">
        <f>T18/T19</f>
        <v>8.6956521739130432E-2</v>
      </c>
      <c r="U25" s="1231"/>
    </row>
    <row r="26" spans="1:26" ht="17.25" customHeight="1" x14ac:dyDescent="0.2">
      <c r="G26" s="1202"/>
      <c r="R26" s="1260" t="s">
        <v>546</v>
      </c>
      <c r="S26" s="1260"/>
      <c r="T26" s="1261">
        <f>T17/T19</f>
        <v>0.91304347826086951</v>
      </c>
      <c r="U26" s="1261"/>
    </row>
    <row r="27" spans="1:26" ht="17.25" customHeight="1" x14ac:dyDescent="0.2">
      <c r="F27" s="1259" t="s">
        <v>165</v>
      </c>
    </row>
    <row r="28" spans="1:26" ht="17.25" customHeight="1" x14ac:dyDescent="0.2">
      <c r="F28" s="1262" t="s">
        <v>187</v>
      </c>
      <c r="R28" s="1513" t="s">
        <v>715</v>
      </c>
      <c r="S28" s="1513"/>
      <c r="T28" s="1513"/>
      <c r="U28" s="1513"/>
      <c r="V28" s="1513"/>
      <c r="W28" s="1513"/>
      <c r="X28" s="1513"/>
    </row>
    <row r="29" spans="1:26" ht="17.25" customHeight="1" x14ac:dyDescent="0.2">
      <c r="F29" s="1263" t="s">
        <v>188</v>
      </c>
      <c r="R29" s="1221" t="s">
        <v>143</v>
      </c>
      <c r="S29" s="1221"/>
      <c r="T29" s="1247">
        <v>53000</v>
      </c>
      <c r="U29" s="1247"/>
      <c r="V29" s="1249"/>
      <c r="W29" s="1264" t="s">
        <v>570</v>
      </c>
      <c r="X29" s="1238">
        <f>T33/T36</f>
        <v>0.72</v>
      </c>
    </row>
    <row r="30" spans="1:26" ht="17.25" customHeight="1" x14ac:dyDescent="0.2">
      <c r="F30" s="1263" t="s">
        <v>144</v>
      </c>
      <c r="R30" s="1213" t="s">
        <v>73</v>
      </c>
      <c r="S30" s="1266">
        <v>0.9</v>
      </c>
      <c r="T30" s="1215">
        <f>T29*S30</f>
        <v>47700</v>
      </c>
      <c r="U30" s="1267"/>
      <c r="V30" s="1249"/>
      <c r="W30" s="1268" t="s">
        <v>571</v>
      </c>
      <c r="X30" s="1231">
        <f>100%-X29</f>
        <v>0.28000000000000003</v>
      </c>
    </row>
    <row r="31" spans="1:26" ht="17.25" customHeight="1" x14ac:dyDescent="0.2">
      <c r="F31" s="1265" t="s">
        <v>136</v>
      </c>
      <c r="R31" s="1221" t="s">
        <v>651</v>
      </c>
      <c r="S31" s="1221"/>
      <c r="T31" s="1247">
        <v>55000</v>
      </c>
      <c r="U31" s="1247"/>
      <c r="V31" s="1249"/>
      <c r="W31" s="1264" t="s">
        <v>573</v>
      </c>
      <c r="X31" s="1270">
        <f>T36*0.65</f>
        <v>97500</v>
      </c>
    </row>
    <row r="32" spans="1:26" ht="17.25" customHeight="1" thickBot="1" x14ac:dyDescent="0.25">
      <c r="F32" s="1269" t="s">
        <v>146</v>
      </c>
      <c r="R32" s="1213" t="s">
        <v>722</v>
      </c>
      <c r="S32" s="1266">
        <v>0.9</v>
      </c>
      <c r="T32" s="1215">
        <f>T31*S32</f>
        <v>49500</v>
      </c>
      <c r="U32" s="1215"/>
      <c r="V32" s="1249"/>
      <c r="W32" s="1268" t="s">
        <v>574</v>
      </c>
      <c r="X32" s="1235">
        <f>T36*0.7</f>
        <v>105000</v>
      </c>
    </row>
    <row r="33" spans="2:24" ht="17.25" customHeight="1" x14ac:dyDescent="0.2">
      <c r="F33" s="1366" t="s">
        <v>953</v>
      </c>
      <c r="G33" s="1506">
        <v>950</v>
      </c>
      <c r="H33" s="1507"/>
      <c r="R33" s="1221" t="s">
        <v>197</v>
      </c>
      <c r="S33" s="1221"/>
      <c r="T33" s="1248">
        <f>T29+T31</f>
        <v>108000</v>
      </c>
      <c r="U33" s="1248"/>
      <c r="V33" s="1249"/>
      <c r="W33" s="1271" t="s">
        <v>575</v>
      </c>
      <c r="X33" s="1272">
        <f>T36*0.75</f>
        <v>112500</v>
      </c>
    </row>
    <row r="34" spans="2:24" ht="17.25" customHeight="1" x14ac:dyDescent="0.2">
      <c r="F34" s="1367" t="s">
        <v>1031</v>
      </c>
      <c r="G34" s="1373">
        <f>MAX(0,A13-G45)</f>
        <v>2244</v>
      </c>
      <c r="H34" s="1359" t="s">
        <v>956</v>
      </c>
      <c r="R34" s="1518" t="s">
        <v>576</v>
      </c>
      <c r="S34" s="1518"/>
      <c r="T34" s="1215">
        <f>T30+T32</f>
        <v>97200</v>
      </c>
      <c r="U34" s="1215"/>
      <c r="V34" s="1249"/>
      <c r="W34" s="1268" t="s">
        <v>716</v>
      </c>
      <c r="X34" s="1231">
        <f>T31/T29</f>
        <v>1.0377358490566038</v>
      </c>
    </row>
    <row r="35" spans="2:24" ht="17.25" customHeight="1" x14ac:dyDescent="0.2">
      <c r="F35" s="1368" t="s">
        <v>236</v>
      </c>
      <c r="G35" s="1505"/>
      <c r="H35" s="1505"/>
      <c r="R35" s="1221" t="s">
        <v>241</v>
      </c>
      <c r="S35" s="1221"/>
      <c r="T35" s="1273">
        <f>T34/T33</f>
        <v>0.9</v>
      </c>
      <c r="U35" s="1273"/>
      <c r="V35" s="1231"/>
      <c r="W35" s="1264" t="s">
        <v>717</v>
      </c>
      <c r="X35" s="1238">
        <f>T31/T33</f>
        <v>0.5092592592592593</v>
      </c>
    </row>
    <row r="36" spans="2:24" ht="17.25" customHeight="1" x14ac:dyDescent="0.2">
      <c r="B36" s="1202"/>
      <c r="F36" s="1369" t="s">
        <v>402</v>
      </c>
      <c r="G36" s="1501">
        <v>125</v>
      </c>
      <c r="H36" s="1501"/>
      <c r="R36" s="1213" t="s">
        <v>173</v>
      </c>
      <c r="S36" s="1213"/>
      <c r="T36" s="1214">
        <v>150000</v>
      </c>
      <c r="U36" s="1214"/>
      <c r="W36" s="1274" t="s">
        <v>572</v>
      </c>
      <c r="X36" s="1275">
        <f>T29/T33</f>
        <v>0.49074074074074076</v>
      </c>
    </row>
    <row r="37" spans="2:24" ht="17.25" customHeight="1" x14ac:dyDescent="0.2">
      <c r="B37" s="1202"/>
      <c r="F37" s="1370" t="s">
        <v>403</v>
      </c>
      <c r="G37" s="1511">
        <f>A6</f>
        <v>658.5</v>
      </c>
      <c r="H37" s="1512"/>
      <c r="R37" s="1221" t="s">
        <v>203</v>
      </c>
      <c r="S37" s="1221"/>
      <c r="T37" s="1238">
        <f>T34/T36</f>
        <v>0.64800000000000002</v>
      </c>
      <c r="U37" s="1238"/>
      <c r="W37" s="1264" t="s">
        <v>577</v>
      </c>
      <c r="X37" s="1276">
        <f>T33-T34</f>
        <v>10800</v>
      </c>
    </row>
    <row r="38" spans="2:24" ht="17.25" customHeight="1" x14ac:dyDescent="0.2">
      <c r="B38" s="1202"/>
      <c r="F38" s="1508" t="s">
        <v>954</v>
      </c>
      <c r="G38" s="1509"/>
      <c r="H38" s="1510"/>
      <c r="R38" s="1208"/>
      <c r="S38" s="1208"/>
      <c r="T38" s="1208"/>
      <c r="U38" s="1208"/>
    </row>
    <row r="39" spans="2:24" ht="17.25" customHeight="1" x14ac:dyDescent="0.2">
      <c r="B39" s="1202"/>
      <c r="F39" s="1242" t="s">
        <v>407</v>
      </c>
      <c r="G39" s="1504">
        <f>G16</f>
        <v>68000</v>
      </c>
      <c r="H39" s="1504"/>
      <c r="R39" s="1513" t="s">
        <v>659</v>
      </c>
      <c r="S39" s="1513"/>
      <c r="T39" s="1513"/>
      <c r="U39" s="1513"/>
    </row>
    <row r="40" spans="2:24" ht="17.25" customHeight="1" x14ac:dyDescent="0.2">
      <c r="B40" s="1202"/>
      <c r="F40" s="1253" t="s">
        <v>720</v>
      </c>
      <c r="G40" s="1372">
        <f>G17</f>
        <v>18000</v>
      </c>
      <c r="H40" s="1371" t="s">
        <v>955</v>
      </c>
      <c r="Q40" s="1200"/>
      <c r="R40" s="1221" t="s">
        <v>143</v>
      </c>
      <c r="S40" s="1221"/>
      <c r="T40" s="1247">
        <v>53000</v>
      </c>
      <c r="U40" s="1248"/>
    </row>
    <row r="41" spans="2:24" ht="17.25" customHeight="1" x14ac:dyDescent="0.2">
      <c r="B41" s="1202"/>
      <c r="F41" s="1242" t="s">
        <v>405</v>
      </c>
      <c r="G41" s="1504">
        <f>A6*6</f>
        <v>3951</v>
      </c>
      <c r="H41" s="1504"/>
      <c r="Q41" s="1200"/>
      <c r="R41" s="1249" t="s">
        <v>651</v>
      </c>
      <c r="S41" s="1249"/>
      <c r="T41" s="1214">
        <v>55000</v>
      </c>
      <c r="U41" s="1215"/>
    </row>
    <row r="42" spans="2:24" ht="17.25" customHeight="1" x14ac:dyDescent="0.2">
      <c r="B42" s="1202"/>
      <c r="F42" s="1253" t="s">
        <v>406</v>
      </c>
      <c r="G42" s="1503" t="s">
        <v>149</v>
      </c>
      <c r="H42" s="1503"/>
      <c r="Q42" s="1200"/>
      <c r="R42" s="1221" t="s">
        <v>197</v>
      </c>
      <c r="S42" s="1221"/>
      <c r="T42" s="1248">
        <f>T40+T41</f>
        <v>108000</v>
      </c>
      <c r="U42" s="1248"/>
    </row>
    <row r="43" spans="2:24" ht="17.25" customHeight="1" x14ac:dyDescent="0.2">
      <c r="B43" s="1202"/>
      <c r="F43" s="1242" t="s">
        <v>147</v>
      </c>
      <c r="G43" s="1502">
        <f>G20*0.0075</f>
        <v>658.5</v>
      </c>
      <c r="H43" s="1502"/>
      <c r="Q43" s="1200"/>
      <c r="R43" s="1250" t="s">
        <v>173</v>
      </c>
      <c r="S43" s="1250"/>
      <c r="T43" s="1251">
        <v>150000</v>
      </c>
      <c r="U43" s="1252">
        <f>T42/T43</f>
        <v>0.72</v>
      </c>
      <c r="V43" s="1208"/>
      <c r="W43" s="1208"/>
      <c r="X43" s="1208"/>
    </row>
    <row r="44" spans="2:24" ht="17.25" customHeight="1" x14ac:dyDescent="0.2">
      <c r="B44" s="1202"/>
      <c r="F44" s="1253" t="s">
        <v>148</v>
      </c>
      <c r="G44" s="1501">
        <v>805</v>
      </c>
      <c r="H44" s="1501"/>
      <c r="Q44" s="1200"/>
      <c r="R44" s="1213" t="s">
        <v>652</v>
      </c>
      <c r="S44" s="1222">
        <v>0.85</v>
      </c>
      <c r="T44" s="1223">
        <f>S44*T42</f>
        <v>91800</v>
      </c>
      <c r="U44" s="1215"/>
      <c r="V44" s="1208"/>
      <c r="W44" s="1208"/>
      <c r="X44" s="1208"/>
    </row>
    <row r="45" spans="2:24" ht="17.25" customHeight="1" thickBot="1" x14ac:dyDescent="0.25">
      <c r="B45" s="1202"/>
      <c r="C45" s="1277" t="s">
        <v>896</v>
      </c>
      <c r="F45" s="1258" t="s">
        <v>924</v>
      </c>
      <c r="G45" s="1499">
        <f>G20*0.02</f>
        <v>1756</v>
      </c>
      <c r="H45" s="1500"/>
      <c r="Q45" s="1200"/>
      <c r="R45" s="1221" t="s">
        <v>653</v>
      </c>
      <c r="S45" s="1278">
        <f>100%-S44</f>
        <v>0.15000000000000002</v>
      </c>
      <c r="T45" s="1279">
        <f>S45*T42</f>
        <v>16200.000000000002</v>
      </c>
      <c r="U45" s="1248"/>
      <c r="V45" s="1208"/>
      <c r="W45" s="1208"/>
      <c r="X45" s="1208"/>
    </row>
    <row r="46" spans="2:24" ht="17.25" customHeight="1" x14ac:dyDescent="0.2">
      <c r="B46" s="1202"/>
      <c r="F46" s="1365" t="s">
        <v>234</v>
      </c>
      <c r="G46" s="1365"/>
      <c r="R46" s="1213" t="s">
        <v>654</v>
      </c>
      <c r="S46" s="1213"/>
      <c r="T46" s="1230">
        <f>T43*0.65</f>
        <v>97500</v>
      </c>
      <c r="U46" s="1208"/>
      <c r="V46" s="1208"/>
      <c r="W46" s="1208"/>
      <c r="X46" s="1208"/>
    </row>
    <row r="47" spans="2:24" ht="17.25" customHeight="1" x14ac:dyDescent="0.2">
      <c r="B47" s="1202"/>
      <c r="F47" s="1280" t="s">
        <v>235</v>
      </c>
      <c r="G47" s="1280"/>
      <c r="R47" s="1221" t="s">
        <v>655</v>
      </c>
      <c r="S47" s="1221"/>
      <c r="T47" s="1254">
        <f>T43*0.7</f>
        <v>105000</v>
      </c>
      <c r="U47" s="1255"/>
      <c r="V47" s="1208"/>
      <c r="W47" s="1208"/>
      <c r="X47" s="1208"/>
    </row>
    <row r="48" spans="2:24" ht="17.25" customHeight="1" x14ac:dyDescent="0.2">
      <c r="B48" s="1202"/>
      <c r="F48" s="1354" t="s">
        <v>404</v>
      </c>
      <c r="G48" s="1354"/>
      <c r="H48" s="1354"/>
      <c r="I48" s="1354"/>
      <c r="J48" s="1354"/>
      <c r="K48" s="1354"/>
      <c r="L48" s="1354"/>
      <c r="M48" s="1354"/>
      <c r="R48" s="1213" t="s">
        <v>656</v>
      </c>
      <c r="S48" s="1213"/>
      <c r="T48" s="1230">
        <f>T43*0.75</f>
        <v>112500</v>
      </c>
      <c r="U48" s="1232"/>
      <c r="V48" s="1208"/>
      <c r="W48" s="1208"/>
      <c r="X48" s="1208"/>
    </row>
    <row r="49" spans="1:31" ht="17.25" customHeight="1" x14ac:dyDescent="0.2">
      <c r="B49" s="1202"/>
      <c r="F49" s="1265"/>
      <c r="R49" s="1221" t="s">
        <v>657</v>
      </c>
      <c r="S49" s="1221"/>
      <c r="T49" s="1238">
        <f>T41/T40</f>
        <v>1.0377358490566038</v>
      </c>
      <c r="U49" s="1238"/>
      <c r="V49" s="1208"/>
      <c r="W49" s="1208"/>
      <c r="X49" s="1208"/>
    </row>
    <row r="50" spans="1:31" ht="17.25" customHeight="1" thickBot="1" x14ac:dyDescent="0.25">
      <c r="B50" s="1202"/>
      <c r="F50" s="1233" t="s">
        <v>206</v>
      </c>
      <c r="R50" s="1213" t="s">
        <v>658</v>
      </c>
      <c r="S50" s="1213"/>
      <c r="T50" s="1231">
        <f>T41/T42</f>
        <v>0.5092592592592593</v>
      </c>
      <c r="U50" s="1231"/>
      <c r="V50" s="1208"/>
      <c r="W50" s="1208"/>
      <c r="X50" s="1208"/>
    </row>
    <row r="51" spans="1:31" ht="17.25" customHeight="1" x14ac:dyDescent="0.2">
      <c r="B51" s="1202"/>
      <c r="F51" s="1361" t="s">
        <v>157</v>
      </c>
      <c r="G51" s="1360" t="s">
        <v>179</v>
      </c>
      <c r="H51" s="1281"/>
      <c r="I51" s="1281"/>
      <c r="J51" s="1281"/>
      <c r="K51" s="1281"/>
      <c r="L51" s="1281"/>
      <c r="M51" s="1282"/>
      <c r="R51" s="1260" t="s">
        <v>546</v>
      </c>
      <c r="S51" s="1260"/>
      <c r="T51" s="1261">
        <f>T40/T42</f>
        <v>0.49074074074074076</v>
      </c>
      <c r="U51" s="1261"/>
      <c r="V51" s="1208"/>
      <c r="W51" s="1208"/>
      <c r="X51" s="1208"/>
    </row>
    <row r="52" spans="1:31" ht="17.25" customHeight="1" x14ac:dyDescent="0.2">
      <c r="F52" s="1362" t="s">
        <v>155</v>
      </c>
      <c r="G52" s="1283" t="s">
        <v>153</v>
      </c>
      <c r="H52" s="1284"/>
      <c r="I52" s="1284"/>
      <c r="J52" s="1284"/>
      <c r="K52" s="1284"/>
      <c r="L52" s="1284"/>
      <c r="M52" s="1285"/>
      <c r="R52" s="1208"/>
      <c r="S52" s="1208"/>
      <c r="T52" s="1208"/>
      <c r="U52" s="1208"/>
      <c r="V52" s="1208"/>
      <c r="W52" s="1208"/>
      <c r="X52" s="1208"/>
      <c r="AA52" s="1200"/>
      <c r="AB52" s="1200"/>
      <c r="AC52" s="1200"/>
      <c r="AD52" s="1200"/>
      <c r="AE52" s="1200"/>
    </row>
    <row r="53" spans="1:31" ht="17.25" customHeight="1" x14ac:dyDescent="0.2">
      <c r="F53" s="1363"/>
      <c r="G53" s="1283" t="s">
        <v>156</v>
      </c>
      <c r="H53" s="1284"/>
      <c r="I53" s="1284"/>
      <c r="J53" s="1284"/>
      <c r="K53" s="1284"/>
      <c r="L53" s="1284"/>
      <c r="M53" s="1285"/>
      <c r="V53" s="1208"/>
      <c r="W53" s="1208"/>
      <c r="X53" s="1208"/>
      <c r="Y53" s="1200"/>
      <c r="Z53" s="1200"/>
      <c r="AA53" s="1200"/>
      <c r="AB53" s="1200"/>
      <c r="AC53" s="1200"/>
      <c r="AD53" s="1200"/>
      <c r="AE53" s="1200"/>
    </row>
    <row r="54" spans="1:31" ht="17.25" customHeight="1" thickBot="1" x14ac:dyDescent="0.25">
      <c r="F54" s="1364"/>
      <c r="G54" s="1286" t="s">
        <v>154</v>
      </c>
      <c r="H54" s="1287"/>
      <c r="I54" s="1287"/>
      <c r="J54" s="1287"/>
      <c r="K54" s="1287"/>
      <c r="L54" s="1287"/>
      <c r="M54" s="1288"/>
      <c r="V54" s="1208"/>
      <c r="W54" s="1208"/>
      <c r="X54" s="1208"/>
      <c r="Y54" s="1200"/>
      <c r="Z54" s="1200"/>
      <c r="AA54" s="1200"/>
      <c r="AB54" s="1200"/>
      <c r="AC54" s="1200"/>
      <c r="AD54" s="1200"/>
      <c r="AE54" s="1200"/>
    </row>
    <row r="55" spans="1:31" ht="17.25" customHeight="1" x14ac:dyDescent="0.2">
      <c r="F55" s="1265"/>
      <c r="G55" s="1265"/>
      <c r="V55" s="1208"/>
      <c r="W55" s="1208"/>
      <c r="X55" s="1208"/>
      <c r="Y55" s="1200"/>
      <c r="Z55" s="1200"/>
      <c r="AA55" s="1200"/>
      <c r="AB55" s="1200"/>
      <c r="AC55" s="1200"/>
      <c r="AD55" s="1200"/>
      <c r="AE55" s="1200"/>
    </row>
    <row r="56" spans="1:31" ht="17.25" customHeight="1" x14ac:dyDescent="0.2">
      <c r="F56" s="1265" t="s">
        <v>159</v>
      </c>
      <c r="R56" s="1208"/>
      <c r="S56" s="1208"/>
      <c r="T56" s="1208"/>
      <c r="U56" s="1208"/>
      <c r="V56" s="1208"/>
      <c r="W56" s="1208"/>
      <c r="X56" s="1208"/>
      <c r="Y56" s="1200"/>
      <c r="Z56" s="1200"/>
      <c r="AA56" s="1200"/>
      <c r="AB56" s="1200"/>
      <c r="AC56" s="1200"/>
      <c r="AD56" s="1200"/>
      <c r="AE56" s="1200"/>
    </row>
    <row r="57" spans="1:31" ht="17.25" customHeight="1" x14ac:dyDescent="0.2">
      <c r="F57" s="1265" t="s">
        <v>158</v>
      </c>
      <c r="Q57" s="1200"/>
      <c r="R57" s="1208"/>
      <c r="S57" s="1208"/>
      <c r="T57" s="1208"/>
      <c r="U57" s="1208"/>
      <c r="Y57" s="1200"/>
      <c r="Z57" s="1200"/>
      <c r="AA57" s="1200"/>
      <c r="AB57" s="1200"/>
      <c r="AC57" s="1200"/>
      <c r="AD57" s="1200"/>
      <c r="AE57" s="1200"/>
    </row>
    <row r="58" spans="1:31" s="1204" customFormat="1" ht="17.25" customHeight="1" x14ac:dyDescent="0.2">
      <c r="A58" s="1199"/>
      <c r="B58" s="1200"/>
      <c r="C58" s="1201"/>
      <c r="D58" s="1200"/>
      <c r="E58" s="1202"/>
      <c r="F58" s="1203"/>
      <c r="G58" s="1203"/>
      <c r="H58" s="1202"/>
      <c r="I58" s="1202"/>
      <c r="J58" s="1202"/>
      <c r="K58" s="1202"/>
      <c r="L58" s="1202"/>
      <c r="M58" s="1202"/>
      <c r="N58" s="1202"/>
      <c r="O58" s="1202"/>
      <c r="Q58" s="1200"/>
      <c r="R58" s="1208"/>
      <c r="S58" s="1208"/>
      <c r="T58" s="1208"/>
      <c r="U58" s="1208"/>
      <c r="V58" s="1207"/>
      <c r="W58" s="1207"/>
      <c r="X58" s="1207"/>
      <c r="Y58" s="1200"/>
      <c r="Z58" s="1200"/>
      <c r="AA58" s="1200"/>
      <c r="AB58" s="1200"/>
      <c r="AC58" s="1200"/>
      <c r="AD58" s="1200"/>
      <c r="AE58" s="1200"/>
    </row>
    <row r="59" spans="1:31" ht="17.25" customHeight="1" x14ac:dyDescent="0.2">
      <c r="F59" s="1262" t="s">
        <v>160</v>
      </c>
      <c r="Q59" s="1200"/>
      <c r="R59" s="1208"/>
      <c r="S59" s="1208"/>
      <c r="T59" s="1208"/>
      <c r="U59" s="1208"/>
      <c r="Y59" s="1200"/>
      <c r="Z59" s="1200"/>
      <c r="AA59" s="1200"/>
      <c r="AB59" s="1200"/>
      <c r="AC59" s="1200"/>
      <c r="AD59" s="1200"/>
      <c r="AE59" s="1200"/>
    </row>
    <row r="60" spans="1:31" ht="17.25" customHeight="1" x14ac:dyDescent="0.2">
      <c r="F60" s="1262" t="s">
        <v>161</v>
      </c>
      <c r="Q60" s="1200"/>
      <c r="R60" s="1208"/>
      <c r="S60" s="1208"/>
      <c r="T60" s="1208"/>
      <c r="U60" s="1208"/>
      <c r="Y60" s="1200"/>
      <c r="Z60" s="1200"/>
      <c r="AA60" s="1200"/>
      <c r="AB60" s="1200"/>
      <c r="AC60" s="1200"/>
      <c r="AD60" s="1200"/>
      <c r="AE60" s="1200"/>
    </row>
    <row r="61" spans="1:31" ht="17.25" customHeight="1" x14ac:dyDescent="0.2">
      <c r="F61" s="1262" t="s">
        <v>162</v>
      </c>
      <c r="Y61" s="1200"/>
      <c r="Z61" s="1200"/>
      <c r="AA61" s="1200"/>
      <c r="AB61" s="1200"/>
      <c r="AC61" s="1200"/>
      <c r="AD61" s="1200"/>
      <c r="AE61" s="1200"/>
    </row>
    <row r="62" spans="1:31" ht="17.25" customHeight="1" x14ac:dyDescent="0.2">
      <c r="F62" s="1262" t="s">
        <v>163</v>
      </c>
      <c r="Y62" s="1200"/>
      <c r="Z62" s="1200"/>
      <c r="AA62" s="1200"/>
      <c r="AB62" s="1200"/>
      <c r="AC62" s="1200"/>
      <c r="AD62" s="1200"/>
      <c r="AE62" s="1200"/>
    </row>
    <row r="63" spans="1:31" ht="17.25" customHeight="1" x14ac:dyDescent="0.2">
      <c r="F63" s="1262"/>
      <c r="Q63" s="1200"/>
      <c r="Y63" s="1200"/>
      <c r="Z63" s="1200"/>
      <c r="AA63" s="1200"/>
      <c r="AB63" s="1200"/>
      <c r="AC63" s="1200"/>
      <c r="AD63" s="1200"/>
      <c r="AE63" s="1200"/>
    </row>
    <row r="64" spans="1:31" ht="17.25" customHeight="1" x14ac:dyDescent="0.2">
      <c r="F64" s="1353" t="s">
        <v>565</v>
      </c>
      <c r="G64" s="1353"/>
      <c r="H64" s="1353"/>
      <c r="Q64" s="1200"/>
      <c r="Y64" s="1200"/>
      <c r="Z64" s="1200"/>
      <c r="AA64" s="1200"/>
      <c r="AB64" s="1200"/>
      <c r="AC64" s="1200"/>
      <c r="AD64" s="1200"/>
      <c r="AE64" s="1200"/>
    </row>
    <row r="65" spans="6:31" ht="17.25" customHeight="1" x14ac:dyDescent="0.2">
      <c r="F65" s="1259" t="s">
        <v>559</v>
      </c>
      <c r="Q65" s="1200"/>
      <c r="Y65" s="1200"/>
      <c r="Z65" s="1200"/>
      <c r="AA65" s="1200"/>
      <c r="AB65" s="1200"/>
      <c r="AC65" s="1200"/>
      <c r="AD65" s="1200"/>
      <c r="AE65" s="1200"/>
    </row>
    <row r="66" spans="6:31" ht="17.25" customHeight="1" x14ac:dyDescent="0.2">
      <c r="F66" s="1289" t="s">
        <v>549</v>
      </c>
      <c r="Q66" s="1200"/>
      <c r="Y66" s="1200"/>
      <c r="Z66" s="1200"/>
    </row>
    <row r="67" spans="6:31" ht="17.25" customHeight="1" x14ac:dyDescent="0.2">
      <c r="F67" s="1289" t="s">
        <v>560</v>
      </c>
      <c r="Q67" s="1200"/>
    </row>
    <row r="68" spans="6:31" ht="17.25" customHeight="1" x14ac:dyDescent="0.2">
      <c r="F68" s="1289" t="s">
        <v>550</v>
      </c>
    </row>
    <row r="69" spans="6:31" ht="17.25" customHeight="1" x14ac:dyDescent="0.2">
      <c r="F69" s="1289" t="s">
        <v>561</v>
      </c>
    </row>
    <row r="70" spans="6:31" ht="17.25" customHeight="1" x14ac:dyDescent="0.2">
      <c r="F70" s="1289" t="s">
        <v>562</v>
      </c>
    </row>
    <row r="71" spans="6:31" ht="17.25" customHeight="1" x14ac:dyDescent="0.2">
      <c r="F71" s="1289" t="s">
        <v>551</v>
      </c>
    </row>
    <row r="72" spans="6:31" ht="17.25" customHeight="1" x14ac:dyDescent="0.2">
      <c r="F72" s="1289" t="s">
        <v>563</v>
      </c>
    </row>
    <row r="73" spans="6:31" ht="17.25" customHeight="1" x14ac:dyDescent="0.2">
      <c r="F73" s="1289" t="s">
        <v>552</v>
      </c>
    </row>
    <row r="74" spans="6:31" ht="17.25" customHeight="1" x14ac:dyDescent="0.2">
      <c r="F74" s="1289" t="s">
        <v>553</v>
      </c>
    </row>
    <row r="75" spans="6:31" ht="17.25" customHeight="1" x14ac:dyDescent="0.2">
      <c r="F75" s="1289" t="s">
        <v>554</v>
      </c>
    </row>
    <row r="76" spans="6:31" ht="17.25" customHeight="1" x14ac:dyDescent="0.2">
      <c r="F76" s="1289" t="s">
        <v>555</v>
      </c>
    </row>
    <row r="77" spans="6:31" ht="17.25" customHeight="1" x14ac:dyDescent="0.2">
      <c r="F77" s="1289" t="s">
        <v>564</v>
      </c>
    </row>
    <row r="78" spans="6:31" ht="17.25" customHeight="1" x14ac:dyDescent="0.2">
      <c r="F78" s="1289" t="s">
        <v>556</v>
      </c>
    </row>
    <row r="79" spans="6:31" ht="17.25" customHeight="1" x14ac:dyDescent="0.2">
      <c r="F79" s="1289" t="s">
        <v>557</v>
      </c>
    </row>
    <row r="80" spans="6:31" ht="17.25" customHeight="1" x14ac:dyDescent="0.2">
      <c r="F80" s="1289" t="s">
        <v>558</v>
      </c>
    </row>
    <row r="82" spans="1:15" x14ac:dyDescent="0.2">
      <c r="A82" s="1290"/>
      <c r="B82" s="1291"/>
      <c r="C82" s="1291"/>
      <c r="D82" s="1291"/>
      <c r="E82" s="1204"/>
      <c r="F82" s="1204"/>
      <c r="G82" s="1292"/>
      <c r="H82" s="1204"/>
      <c r="I82" s="1204"/>
      <c r="J82" s="1204"/>
      <c r="K82" s="1204"/>
      <c r="L82" s="1204"/>
      <c r="M82" s="1204"/>
      <c r="N82" s="1204"/>
      <c r="O82" s="1204"/>
    </row>
  </sheetData>
  <mergeCells count="47">
    <mergeCell ref="G6:H6"/>
    <mergeCell ref="G5:H5"/>
    <mergeCell ref="G4:H4"/>
    <mergeCell ref="R3:U3"/>
    <mergeCell ref="T4:U4"/>
    <mergeCell ref="T5:U5"/>
    <mergeCell ref="T6:U6"/>
    <mergeCell ref="W3:Z3"/>
    <mergeCell ref="R34:S34"/>
    <mergeCell ref="R16:U16"/>
    <mergeCell ref="T11:U11"/>
    <mergeCell ref="R8:S8"/>
    <mergeCell ref="T9:U9"/>
    <mergeCell ref="F7:G10"/>
    <mergeCell ref="G25:H25"/>
    <mergeCell ref="G24:H24"/>
    <mergeCell ref="G23:H23"/>
    <mergeCell ref="G22:H22"/>
    <mergeCell ref="G21:H21"/>
    <mergeCell ref="G20:H20"/>
    <mergeCell ref="G19:H19"/>
    <mergeCell ref="G18:H18"/>
    <mergeCell ref="G17:H17"/>
    <mergeCell ref="G16:H16"/>
    <mergeCell ref="G15:H15"/>
    <mergeCell ref="G14:H14"/>
    <mergeCell ref="G13:H13"/>
    <mergeCell ref="R39:U39"/>
    <mergeCell ref="R4:S4"/>
    <mergeCell ref="R5:S5"/>
    <mergeCell ref="R28:X28"/>
    <mergeCell ref="R10:S10"/>
    <mergeCell ref="T10:U10"/>
    <mergeCell ref="T8:U8"/>
    <mergeCell ref="R9:S9"/>
    <mergeCell ref="T7:U7"/>
    <mergeCell ref="G35:H35"/>
    <mergeCell ref="G33:H33"/>
    <mergeCell ref="G39:H39"/>
    <mergeCell ref="F38:H38"/>
    <mergeCell ref="G37:H37"/>
    <mergeCell ref="G36:H36"/>
    <mergeCell ref="G45:H45"/>
    <mergeCell ref="G44:H44"/>
    <mergeCell ref="G43:H43"/>
    <mergeCell ref="G42:H42"/>
    <mergeCell ref="G41:H41"/>
  </mergeCells>
  <conditionalFormatting sqref="G21">
    <cfRule type="cellIs" dxfId="48" priority="61" operator="greaterThan">
      <formula>0.7</formula>
    </cfRule>
    <cfRule type="cellIs" dxfId="47" priority="62" operator="greaterThan">
      <formula>70</formula>
    </cfRule>
  </conditionalFormatting>
  <conditionalFormatting sqref="T9">
    <cfRule type="cellIs" dxfId="46" priority="45" operator="lessThan">
      <formula>0.7</formula>
    </cfRule>
    <cfRule type="expression" priority="46">
      <formula>T9&lt;70%</formula>
    </cfRule>
    <cfRule type="expression" dxfId="45" priority="47">
      <formula>T9&gt;70%</formula>
    </cfRule>
    <cfRule type="expression" dxfId="44" priority="48">
      <formula>"H67&gt;70"</formula>
    </cfRule>
  </conditionalFormatting>
  <conditionalFormatting sqref="U20">
    <cfRule type="cellIs" dxfId="43" priority="40" operator="lessThan">
      <formula>0.7</formula>
    </cfRule>
    <cfRule type="expression" priority="41">
      <formula>U20&lt;70%</formula>
    </cfRule>
    <cfRule type="expression" dxfId="42" priority="42">
      <formula>U20&gt;70%</formula>
    </cfRule>
    <cfRule type="expression" dxfId="41" priority="43">
      <formula>"H67&gt;70"</formula>
    </cfRule>
  </conditionalFormatting>
  <conditionalFormatting sqref="R21:S21">
    <cfRule type="expression" dxfId="40" priority="38">
      <formula>$T$83&gt;#REF!</formula>
    </cfRule>
  </conditionalFormatting>
  <conditionalFormatting sqref="T21">
    <cfRule type="expression" dxfId="39" priority="37">
      <formula>$T$83&gt;#REF!</formula>
    </cfRule>
  </conditionalFormatting>
  <conditionalFormatting sqref="W31">
    <cfRule type="expression" dxfId="38" priority="31">
      <formula>$T$83&gt;#REF!</formula>
    </cfRule>
  </conditionalFormatting>
  <conditionalFormatting sqref="X31">
    <cfRule type="expression" dxfId="37" priority="30">
      <formula>$T$83&gt;#REF!</formula>
    </cfRule>
  </conditionalFormatting>
  <conditionalFormatting sqref="W32:X32">
    <cfRule type="expression" dxfId="36" priority="68">
      <formula>$T$83&gt;T33</formula>
    </cfRule>
  </conditionalFormatting>
  <conditionalFormatting sqref="W33:X33">
    <cfRule type="expression" dxfId="35" priority="69">
      <formula>$T$83&gt;T36</formula>
    </cfRule>
  </conditionalFormatting>
  <conditionalFormatting sqref="R10 R22:R23">
    <cfRule type="expression" dxfId="34" priority="72">
      <formula>$T$83&gt;T7</formula>
    </cfRule>
  </conditionalFormatting>
  <conditionalFormatting sqref="T10">
    <cfRule type="expression" dxfId="33" priority="73">
      <formula>$T$83&gt;U7</formula>
    </cfRule>
  </conditionalFormatting>
  <conditionalFormatting sqref="T22:T23">
    <cfRule type="expression" dxfId="32" priority="75">
      <formula>$T$83&gt;U19</formula>
    </cfRule>
  </conditionalFormatting>
  <conditionalFormatting sqref="S22:S23">
    <cfRule type="expression" dxfId="31" priority="81">
      <formula>$T$83&gt;U19</formula>
    </cfRule>
  </conditionalFormatting>
  <conditionalFormatting sqref="U43">
    <cfRule type="cellIs" dxfId="30" priority="23" operator="lessThan">
      <formula>0.7</formula>
    </cfRule>
    <cfRule type="expression" priority="24">
      <formula>U43&lt;70%</formula>
    </cfRule>
    <cfRule type="expression" dxfId="29" priority="25">
      <formula>U43&gt;70%</formula>
    </cfRule>
    <cfRule type="expression" dxfId="28" priority="26">
      <formula>"H67&gt;70"</formula>
    </cfRule>
  </conditionalFormatting>
  <conditionalFormatting sqref="R46:S46">
    <cfRule type="expression" dxfId="27" priority="22">
      <formula>$T$83&gt;#REF!</formula>
    </cfRule>
  </conditionalFormatting>
  <conditionalFormatting sqref="T46">
    <cfRule type="expression" dxfId="26" priority="21">
      <formula>$T$83&gt;#REF!</formula>
    </cfRule>
  </conditionalFormatting>
  <conditionalFormatting sqref="T47:T48">
    <cfRule type="expression" dxfId="25" priority="28">
      <formula>$T$83&gt;U42</formula>
    </cfRule>
  </conditionalFormatting>
  <conditionalFormatting sqref="S47:S48">
    <cfRule type="expression" dxfId="24" priority="29">
      <formula>$T$83&gt;U42</formula>
    </cfRule>
  </conditionalFormatting>
  <conditionalFormatting sqref="R47">
    <cfRule type="expression" dxfId="23" priority="20">
      <formula>$T$83&gt;#REF!</formula>
    </cfRule>
  </conditionalFormatting>
  <conditionalFormatting sqref="R48">
    <cfRule type="expression" dxfId="22" priority="19">
      <formula>$T$83&gt;#REF!</formula>
    </cfRule>
  </conditionalFormatting>
  <conditionalFormatting sqref="W10:X10">
    <cfRule type="expression" dxfId="21" priority="12">
      <formula>$T$83&gt;#REF!</formula>
    </cfRule>
  </conditionalFormatting>
  <conditionalFormatting sqref="Y10:Y11">
    <cfRule type="expression" dxfId="20" priority="11">
      <formula>$T$83&gt;#REF!</formula>
    </cfRule>
  </conditionalFormatting>
  <conditionalFormatting sqref="Y12:Y13">
    <cfRule type="expression" dxfId="19" priority="17">
      <formula>$T$83&gt;Z6</formula>
    </cfRule>
  </conditionalFormatting>
  <conditionalFormatting sqref="X11:X12">
    <cfRule type="expression" dxfId="18" priority="18">
      <formula>$T$83&gt;Z6</formula>
    </cfRule>
  </conditionalFormatting>
  <conditionalFormatting sqref="W11">
    <cfRule type="expression" dxfId="17" priority="10">
      <formula>$T$83&gt;#REF!</formula>
    </cfRule>
  </conditionalFormatting>
  <conditionalFormatting sqref="W12">
    <cfRule type="expression" dxfId="16" priority="9">
      <formula>$T$83&gt;#REF!</formula>
    </cfRule>
  </conditionalFormatting>
  <conditionalFormatting sqref="W7:X7">
    <cfRule type="expression" dxfId="15" priority="6">
      <formula>$T$83&gt;#REF!</formula>
    </cfRule>
  </conditionalFormatting>
  <conditionalFormatting sqref="Y7">
    <cfRule type="expression" dxfId="14" priority="5">
      <formula>$T$83&gt;#REF!</formula>
    </cfRule>
  </conditionalFormatting>
  <conditionalFormatting sqref="Y8:Y9">
    <cfRule type="expression" dxfId="13" priority="7">
      <formula>$T$83&gt;Z3</formula>
    </cfRule>
  </conditionalFormatting>
  <conditionalFormatting sqref="X8:X9">
    <cfRule type="expression" dxfId="12" priority="8">
      <formula>$T$83&gt;Z3</formula>
    </cfRule>
  </conditionalFormatting>
  <conditionalFormatting sqref="W8">
    <cfRule type="expression" dxfId="11" priority="4">
      <formula>$T$83&gt;#REF!</formula>
    </cfRule>
  </conditionalFormatting>
  <conditionalFormatting sqref="W9">
    <cfRule type="expression" dxfId="10" priority="3">
      <formula>$T$83&gt;#REF!</formula>
    </cfRule>
  </conditionalFormatting>
  <conditionalFormatting sqref="Z7">
    <cfRule type="expression" dxfId="9" priority="2">
      <formula>$T$83&gt;#REF!</formula>
    </cfRule>
  </conditionalFormatting>
  <conditionalFormatting sqref="T11:U11">
    <cfRule type="cellIs" dxfId="8" priority="1" operator="greaterThan">
      <formula>0</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33189-4E24-4A07-A456-D75E017483C0}">
  <dimension ref="A1:X84"/>
  <sheetViews>
    <sheetView showGridLines="0" topLeftCell="S1" zoomScale="70" zoomScaleNormal="70" workbookViewId="0">
      <selection activeCell="AB26" sqref="AB26"/>
    </sheetView>
  </sheetViews>
  <sheetFormatPr baseColWidth="10" defaultColWidth="9.1640625" defaultRowHeight="15" x14ac:dyDescent="0.2"/>
  <cols>
    <col min="1" max="1" width="1.5" style="1" customWidth="1"/>
    <col min="2" max="2" width="43.5" style="1" customWidth="1"/>
    <col min="3" max="3" width="43.1640625" style="13" customWidth="1"/>
    <col min="4" max="4" width="1.6640625" style="1" customWidth="1"/>
    <col min="5" max="5" width="16.5" style="1" customWidth="1"/>
    <col min="6" max="6" width="1.5" style="1" customWidth="1"/>
    <col min="7" max="7" width="45.83203125" style="1" customWidth="1"/>
    <col min="8" max="8" width="45.83203125" style="13" customWidth="1"/>
    <col min="9" max="9" width="1.6640625" style="1" customWidth="1"/>
    <col min="10" max="10" width="17" style="1" customWidth="1"/>
    <col min="11" max="11" width="1.6640625" style="1" customWidth="1"/>
    <col min="12" max="12" width="43" style="1" customWidth="1"/>
    <col min="13" max="13" width="44.5" style="1" customWidth="1"/>
    <col min="14" max="14" width="5.5" style="1" customWidth="1"/>
    <col min="15" max="15" width="17.83203125" style="1" customWidth="1"/>
    <col min="16" max="16" width="5.5" style="1" customWidth="1"/>
    <col min="17" max="17" width="47.83203125" customWidth="1"/>
    <col min="18" max="18" width="46.6640625" customWidth="1"/>
    <col min="19" max="19" width="17.5" style="1" customWidth="1"/>
    <col min="20" max="20" width="1.6640625" style="1" customWidth="1"/>
    <col min="21" max="21" width="44.1640625" style="1" customWidth="1"/>
    <col min="22" max="22" width="46.6640625" style="1" customWidth="1"/>
    <col min="23" max="23" width="5.5" style="1" customWidth="1"/>
    <col min="24" max="24" width="17.83203125" style="236" customWidth="1"/>
    <col min="25" max="16384" width="9.1640625" style="1"/>
  </cols>
  <sheetData>
    <row r="1" spans="2:24" ht="22" x14ac:dyDescent="0.25">
      <c r="B1" s="12" t="s">
        <v>100</v>
      </c>
      <c r="G1" s="12"/>
    </row>
    <row r="3" spans="2:24" s="236" customFormat="1" ht="19.5" customHeight="1" x14ac:dyDescent="0.25">
      <c r="B3" s="2069" t="s">
        <v>412</v>
      </c>
      <c r="C3" s="2070"/>
      <c r="G3" s="2073" t="s">
        <v>421</v>
      </c>
      <c r="H3" s="2074"/>
      <c r="L3" s="2071" t="s">
        <v>337</v>
      </c>
      <c r="M3" s="2072"/>
      <c r="Q3" s="2079" t="s">
        <v>338</v>
      </c>
      <c r="R3" s="2080"/>
      <c r="U3" s="2071" t="s">
        <v>339</v>
      </c>
      <c r="V3" s="2072"/>
    </row>
    <row r="4" spans="2:24" ht="18" customHeight="1" thickBot="1" x14ac:dyDescent="0.3">
      <c r="B4" s="120" t="s">
        <v>15</v>
      </c>
      <c r="C4" s="135">
        <f ca="1">TODAY()</f>
        <v>43713</v>
      </c>
      <c r="G4" s="120" t="s">
        <v>15</v>
      </c>
      <c r="H4" s="135">
        <f ca="1">TODAY()</f>
        <v>43713</v>
      </c>
      <c r="L4" s="120" t="s">
        <v>15</v>
      </c>
      <c r="M4" s="121">
        <f ca="1">TODAY()</f>
        <v>43713</v>
      </c>
      <c r="Q4" s="129" t="s">
        <v>15</v>
      </c>
      <c r="R4" s="342">
        <f ca="1">TODAY()</f>
        <v>43713</v>
      </c>
      <c r="S4" s="132"/>
      <c r="U4" s="120" t="s">
        <v>15</v>
      </c>
      <c r="V4" s="425">
        <f ca="1">TODAY()</f>
        <v>43713</v>
      </c>
    </row>
    <row r="5" spans="2:24" customFormat="1" ht="18" customHeight="1" x14ac:dyDescent="0.25">
      <c r="B5" s="154" t="s">
        <v>24</v>
      </c>
      <c r="C5" s="155" t="s">
        <v>286</v>
      </c>
      <c r="E5" s="1"/>
      <c r="G5" s="154" t="s">
        <v>24</v>
      </c>
      <c r="H5" s="155" t="s">
        <v>448</v>
      </c>
      <c r="J5" s="1"/>
      <c r="L5" s="99" t="s">
        <v>24</v>
      </c>
      <c r="M5" s="113" t="s">
        <v>310</v>
      </c>
      <c r="Q5" s="99" t="s">
        <v>24</v>
      </c>
      <c r="R5" s="335" t="s">
        <v>125</v>
      </c>
      <c r="S5" s="133"/>
      <c r="U5" s="99" t="s">
        <v>24</v>
      </c>
      <c r="V5" s="420" t="s">
        <v>373</v>
      </c>
      <c r="X5" s="66"/>
    </row>
    <row r="6" spans="2:24" customFormat="1" ht="18" customHeight="1" x14ac:dyDescent="0.25">
      <c r="B6" s="303" t="s">
        <v>250</v>
      </c>
      <c r="C6" s="474"/>
      <c r="G6" s="303" t="s">
        <v>250</v>
      </c>
      <c r="H6" s="474" t="s">
        <v>449</v>
      </c>
      <c r="L6" s="303" t="s">
        <v>250</v>
      </c>
      <c r="M6" s="472"/>
      <c r="Q6" s="303" t="s">
        <v>250</v>
      </c>
      <c r="R6" s="473"/>
      <c r="S6" s="133"/>
      <c r="U6" s="303" t="s">
        <v>250</v>
      </c>
      <c r="V6" s="304" t="s">
        <v>388</v>
      </c>
      <c r="X6" s="66"/>
    </row>
    <row r="7" spans="2:24" customFormat="1" ht="18" customHeight="1" thickBot="1" x14ac:dyDescent="0.25">
      <c r="B7" s="100" t="s">
        <v>25</v>
      </c>
      <c r="C7" s="114" t="s">
        <v>287</v>
      </c>
      <c r="E7" s="1"/>
      <c r="G7" s="100" t="s">
        <v>25</v>
      </c>
      <c r="H7" s="114" t="s">
        <v>452</v>
      </c>
      <c r="J7" s="1"/>
      <c r="L7" s="100" t="s">
        <v>25</v>
      </c>
      <c r="M7" s="114" t="s">
        <v>177</v>
      </c>
      <c r="Q7" s="100" t="s">
        <v>25</v>
      </c>
      <c r="R7" s="114" t="s">
        <v>126</v>
      </c>
      <c r="S7" s="133"/>
      <c r="U7" s="100" t="s">
        <v>25</v>
      </c>
      <c r="V7" s="114" t="s">
        <v>396</v>
      </c>
      <c r="X7" s="66"/>
    </row>
    <row r="8" spans="2:24" customFormat="1" ht="18" customHeight="1" thickBot="1" x14ac:dyDescent="0.25">
      <c r="B8" s="122" t="s">
        <v>167</v>
      </c>
      <c r="C8" s="131"/>
      <c r="E8" s="1"/>
      <c r="G8" s="122" t="s">
        <v>167</v>
      </c>
      <c r="H8" s="131"/>
      <c r="J8" s="1"/>
      <c r="L8" s="122" t="s">
        <v>167</v>
      </c>
      <c r="M8" s="117"/>
      <c r="Q8" s="170"/>
      <c r="R8" s="172"/>
      <c r="S8" s="133"/>
      <c r="U8" s="122" t="s">
        <v>167</v>
      </c>
      <c r="V8" s="117"/>
      <c r="X8" s="66"/>
    </row>
    <row r="9" spans="2:24" customFormat="1" ht="18" customHeight="1" thickBot="1" x14ac:dyDescent="0.25">
      <c r="B9" s="96" t="s">
        <v>65</v>
      </c>
      <c r="C9" s="87">
        <v>4</v>
      </c>
      <c r="E9" s="73"/>
      <c r="G9" s="96" t="s">
        <v>65</v>
      </c>
      <c r="H9" s="87" t="s">
        <v>450</v>
      </c>
      <c r="J9" s="73"/>
      <c r="L9" s="96" t="s">
        <v>16</v>
      </c>
      <c r="M9" s="87" t="s">
        <v>307</v>
      </c>
      <c r="Q9" s="129" t="s">
        <v>167</v>
      </c>
      <c r="R9" s="176"/>
      <c r="S9" s="133"/>
      <c r="U9" s="96" t="s">
        <v>16</v>
      </c>
      <c r="V9" s="87">
        <v>3</v>
      </c>
      <c r="X9" s="66"/>
    </row>
    <row r="10" spans="2:24" customFormat="1" ht="18" customHeight="1" thickBot="1" x14ac:dyDescent="0.25">
      <c r="B10" s="468" t="s">
        <v>47</v>
      </c>
      <c r="C10" s="475">
        <v>741</v>
      </c>
      <c r="E10" s="1"/>
      <c r="G10" s="468" t="s">
        <v>47</v>
      </c>
      <c r="H10" s="475" t="s">
        <v>149</v>
      </c>
      <c r="J10" s="1"/>
      <c r="L10" s="97" t="s">
        <v>103</v>
      </c>
      <c r="M10" s="88" t="s">
        <v>308</v>
      </c>
      <c r="Q10" s="148" t="s">
        <v>16</v>
      </c>
      <c r="R10" s="346">
        <v>4</v>
      </c>
      <c r="S10" s="133"/>
      <c r="U10" s="97" t="s">
        <v>103</v>
      </c>
      <c r="V10" s="88">
        <v>0</v>
      </c>
      <c r="X10" s="66"/>
    </row>
    <row r="11" spans="2:24" customFormat="1" ht="18" customHeight="1" thickBot="1" x14ac:dyDescent="0.25">
      <c r="B11" s="122" t="s">
        <v>172</v>
      </c>
      <c r="C11" s="131"/>
      <c r="E11" s="1"/>
      <c r="G11" s="122" t="s">
        <v>172</v>
      </c>
      <c r="H11" s="131"/>
      <c r="J11" s="1"/>
      <c r="L11" s="98" t="s">
        <v>47</v>
      </c>
      <c r="M11" s="89" t="s">
        <v>311</v>
      </c>
      <c r="Q11" s="213" t="s">
        <v>19</v>
      </c>
      <c r="R11" s="347" t="s">
        <v>127</v>
      </c>
      <c r="S11" s="133"/>
      <c r="U11" s="98" t="s">
        <v>47</v>
      </c>
      <c r="V11" s="89">
        <v>690</v>
      </c>
      <c r="X11" s="66"/>
    </row>
    <row r="12" spans="2:24" customFormat="1" ht="18" customHeight="1" thickBot="1" x14ac:dyDescent="0.25">
      <c r="B12" s="79" t="s">
        <v>291</v>
      </c>
      <c r="C12" s="476">
        <v>145000</v>
      </c>
      <c r="E12" s="1"/>
      <c r="G12" s="79" t="s">
        <v>291</v>
      </c>
      <c r="H12" s="476">
        <v>4518690</v>
      </c>
      <c r="J12" s="1"/>
      <c r="L12" s="122" t="s">
        <v>172</v>
      </c>
      <c r="M12" s="86"/>
      <c r="Q12" s="170"/>
      <c r="R12" s="175"/>
      <c r="S12" s="133"/>
      <c r="U12" s="122" t="s">
        <v>172</v>
      </c>
      <c r="V12" s="86"/>
      <c r="X12" s="66"/>
    </row>
    <row r="13" spans="2:24" customFormat="1" ht="18" customHeight="1" thickBot="1" x14ac:dyDescent="0.3">
      <c r="B13" s="465" t="s">
        <v>3</v>
      </c>
      <c r="C13" s="477">
        <v>0.75</v>
      </c>
      <c r="E13" s="73"/>
      <c r="G13" s="465" t="s">
        <v>3</v>
      </c>
      <c r="H13" s="516">
        <v>0.75</v>
      </c>
      <c r="J13" s="73"/>
      <c r="L13" s="79" t="s">
        <v>89</v>
      </c>
      <c r="M13" s="127">
        <v>2300000</v>
      </c>
      <c r="Q13" s="5" t="s">
        <v>172</v>
      </c>
      <c r="R13" s="339"/>
      <c r="S13" s="133"/>
      <c r="U13" s="79" t="s">
        <v>89</v>
      </c>
      <c r="V13" s="127">
        <v>270900</v>
      </c>
      <c r="X13" s="66"/>
    </row>
    <row r="14" spans="2:24" customFormat="1" ht="18" customHeight="1" x14ac:dyDescent="0.2">
      <c r="B14" s="466" t="s">
        <v>181</v>
      </c>
      <c r="C14" s="478">
        <f>C12*C13</f>
        <v>108750</v>
      </c>
      <c r="E14" s="1"/>
      <c r="G14" s="466" t="s">
        <v>414</v>
      </c>
      <c r="H14" s="478">
        <f>H12*H13</f>
        <v>3389017.5</v>
      </c>
      <c r="J14" s="1"/>
      <c r="L14" s="91" t="s">
        <v>82</v>
      </c>
      <c r="M14" s="92">
        <v>2600000</v>
      </c>
      <c r="Q14" s="139" t="s">
        <v>46</v>
      </c>
      <c r="R14" s="357">
        <v>230000</v>
      </c>
      <c r="S14" s="133"/>
      <c r="U14" s="91" t="s">
        <v>340</v>
      </c>
      <c r="V14" s="92">
        <v>400000</v>
      </c>
      <c r="X14" s="66"/>
    </row>
    <row r="15" spans="2:24" customFormat="1" ht="18" customHeight="1" x14ac:dyDescent="0.2">
      <c r="B15" s="465" t="s">
        <v>209</v>
      </c>
      <c r="C15" s="479">
        <v>2200</v>
      </c>
      <c r="E15" s="1"/>
      <c r="G15" s="465" t="s">
        <v>451</v>
      </c>
      <c r="H15" s="479">
        <v>473742</v>
      </c>
      <c r="J15" s="1"/>
      <c r="L15" s="76" t="s">
        <v>104</v>
      </c>
      <c r="M15" s="81">
        <v>1950000</v>
      </c>
      <c r="Q15" s="256" t="s">
        <v>131</v>
      </c>
      <c r="R15" s="348">
        <v>0.75</v>
      </c>
      <c r="S15" s="133"/>
      <c r="U15" s="76" t="s">
        <v>341</v>
      </c>
      <c r="V15" s="371">
        <v>0.7</v>
      </c>
      <c r="X15" s="289" t="s">
        <v>342</v>
      </c>
    </row>
    <row r="16" spans="2:24" customFormat="1" ht="18" customHeight="1" x14ac:dyDescent="0.2">
      <c r="B16" s="466" t="s">
        <v>210</v>
      </c>
      <c r="C16" s="478">
        <v>371</v>
      </c>
      <c r="E16" s="1"/>
      <c r="G16" s="466" t="s">
        <v>210</v>
      </c>
      <c r="H16" s="478"/>
      <c r="J16" s="1"/>
      <c r="L16" s="91" t="s">
        <v>98</v>
      </c>
      <c r="M16" s="93" t="s">
        <v>112</v>
      </c>
      <c r="Q16" s="258" t="s">
        <v>0</v>
      </c>
      <c r="R16" s="358">
        <v>6.7500000000000004E-2</v>
      </c>
      <c r="S16" s="133"/>
      <c r="U16" s="91" t="s">
        <v>345</v>
      </c>
      <c r="V16" s="426">
        <f>V13*X16</f>
        <v>189630</v>
      </c>
      <c r="X16" s="424">
        <v>0.7</v>
      </c>
    </row>
    <row r="17" spans="1:24" customFormat="1" ht="18" customHeight="1" x14ac:dyDescent="0.2">
      <c r="B17" s="466" t="s">
        <v>278</v>
      </c>
      <c r="C17" s="480">
        <v>6.8750000000000006E-2</v>
      </c>
      <c r="E17" s="1"/>
      <c r="G17" s="465" t="s">
        <v>415</v>
      </c>
      <c r="H17" s="495">
        <v>5.5E-2</v>
      </c>
      <c r="J17" s="1"/>
      <c r="L17" s="76" t="s">
        <v>34</v>
      </c>
      <c r="M17" s="82">
        <v>305000</v>
      </c>
      <c r="Q17" s="256" t="s">
        <v>130</v>
      </c>
      <c r="R17" s="349" t="s">
        <v>283</v>
      </c>
      <c r="S17" s="133"/>
      <c r="U17" s="76" t="s">
        <v>344</v>
      </c>
      <c r="V17" s="82">
        <f>V14*X19</f>
        <v>300000</v>
      </c>
      <c r="X17" s="66"/>
    </row>
    <row r="18" spans="1:24" customFormat="1" ht="18" customHeight="1" x14ac:dyDescent="0.2">
      <c r="B18" s="465" t="s">
        <v>130</v>
      </c>
      <c r="C18" s="481" t="s">
        <v>408</v>
      </c>
      <c r="E18" s="1"/>
      <c r="G18" s="466" t="s">
        <v>1</v>
      </c>
      <c r="H18" s="504" t="s">
        <v>453</v>
      </c>
      <c r="J18" s="1"/>
      <c r="L18" s="91" t="s">
        <v>75</v>
      </c>
      <c r="M18" s="94">
        <v>305000</v>
      </c>
      <c r="Q18" s="256"/>
      <c r="R18" s="349" t="s">
        <v>284</v>
      </c>
      <c r="S18" s="133"/>
      <c r="U18" s="91" t="s">
        <v>306</v>
      </c>
      <c r="V18" s="427" t="s">
        <v>309</v>
      </c>
      <c r="X18" s="289" t="s">
        <v>343</v>
      </c>
    </row>
    <row r="19" spans="1:24" customFormat="1" ht="18" customHeight="1" x14ac:dyDescent="0.2">
      <c r="B19" s="465"/>
      <c r="C19" s="481" t="s">
        <v>409</v>
      </c>
      <c r="E19" s="1"/>
      <c r="G19" s="465" t="s">
        <v>413</v>
      </c>
      <c r="H19" s="498" t="s">
        <v>454</v>
      </c>
      <c r="J19" s="1"/>
      <c r="L19" s="76" t="s">
        <v>174</v>
      </c>
      <c r="M19" s="386">
        <f>M20*0.7</f>
        <v>2310000</v>
      </c>
      <c r="Q19" s="256"/>
      <c r="R19" s="349" t="s">
        <v>285</v>
      </c>
      <c r="S19" s="133"/>
      <c r="U19" s="76" t="s">
        <v>2</v>
      </c>
      <c r="V19" s="83">
        <v>189630</v>
      </c>
      <c r="X19" s="424">
        <v>0.75</v>
      </c>
    </row>
    <row r="20" spans="1:24" customFormat="1" ht="18" customHeight="1" thickBot="1" x14ac:dyDescent="0.25">
      <c r="B20" s="465"/>
      <c r="C20" s="481" t="s">
        <v>410</v>
      </c>
      <c r="E20" s="1"/>
      <c r="G20" s="489" t="s">
        <v>417</v>
      </c>
      <c r="H20" s="499" t="s">
        <v>416</v>
      </c>
      <c r="J20" s="1"/>
      <c r="L20" s="91" t="s">
        <v>173</v>
      </c>
      <c r="M20" s="94">
        <v>3300000</v>
      </c>
      <c r="Q20" s="258" t="s">
        <v>49</v>
      </c>
      <c r="R20" s="359">
        <v>172500</v>
      </c>
      <c r="S20" s="336" t="s">
        <v>40</v>
      </c>
      <c r="U20" s="91" t="s">
        <v>1</v>
      </c>
      <c r="V20" s="428" t="s">
        <v>395</v>
      </c>
      <c r="X20" s="66"/>
    </row>
    <row r="21" spans="1:24" customFormat="1" ht="18" customHeight="1" thickBot="1" x14ac:dyDescent="0.25">
      <c r="B21" s="466" t="s">
        <v>1</v>
      </c>
      <c r="C21" s="482" t="s">
        <v>28</v>
      </c>
      <c r="E21" s="1"/>
      <c r="G21" s="120" t="s">
        <v>208</v>
      </c>
      <c r="H21" s="222"/>
      <c r="J21" s="1"/>
      <c r="L21" s="76" t="s">
        <v>306</v>
      </c>
      <c r="M21" s="130" t="s">
        <v>309</v>
      </c>
      <c r="Q21" s="256" t="s">
        <v>1</v>
      </c>
      <c r="R21" s="350" t="s">
        <v>28</v>
      </c>
      <c r="S21" s="336"/>
      <c r="U21" s="85" t="s">
        <v>0</v>
      </c>
      <c r="V21" s="401">
        <v>9.5000000000000001E-2</v>
      </c>
      <c r="X21" s="66"/>
    </row>
    <row r="22" spans="1:24" customFormat="1" ht="18" customHeight="1" thickBot="1" x14ac:dyDescent="0.25">
      <c r="B22" s="465" t="s">
        <v>296</v>
      </c>
      <c r="C22" s="483">
        <v>714</v>
      </c>
      <c r="E22" s="362" t="s">
        <v>288</v>
      </c>
      <c r="G22" s="464" t="s">
        <v>4</v>
      </c>
      <c r="H22" s="515">
        <f>H12*J24</f>
        <v>1129672.5</v>
      </c>
      <c r="J22" s="362" t="s">
        <v>288</v>
      </c>
      <c r="L22" s="91" t="s">
        <v>32</v>
      </c>
      <c r="M22" s="123">
        <f>M18+M15</f>
        <v>2255000</v>
      </c>
      <c r="Q22" s="360" t="s">
        <v>53</v>
      </c>
      <c r="R22" s="361" t="s">
        <v>128</v>
      </c>
      <c r="S22" s="337">
        <v>0.01</v>
      </c>
      <c r="U22" s="129" t="s">
        <v>189</v>
      </c>
      <c r="V22" s="1"/>
      <c r="X22" s="66"/>
    </row>
    <row r="23" spans="1:24" customFormat="1" ht="18" customHeight="1" x14ac:dyDescent="0.2">
      <c r="B23" s="466" t="s">
        <v>411</v>
      </c>
      <c r="C23" s="484">
        <f>C22+C16</f>
        <v>1085</v>
      </c>
      <c r="E23" s="363">
        <v>1</v>
      </c>
      <c r="G23" s="465" t="s">
        <v>445</v>
      </c>
      <c r="H23" s="375">
        <v>115</v>
      </c>
      <c r="J23" s="363">
        <v>1</v>
      </c>
      <c r="L23" s="76" t="s">
        <v>113</v>
      </c>
      <c r="M23" s="83">
        <f>M18</f>
        <v>305000</v>
      </c>
      <c r="O23" s="384" t="s">
        <v>40</v>
      </c>
      <c r="Q23" s="170"/>
      <c r="R23" s="204"/>
      <c r="S23" s="133"/>
      <c r="U23" s="103" t="s">
        <v>36</v>
      </c>
      <c r="V23" s="104">
        <f>V13-V19</f>
        <v>81270</v>
      </c>
      <c r="X23" s="421" t="s">
        <v>40</v>
      </c>
    </row>
    <row r="24" spans="1:24" customFormat="1" ht="18" customHeight="1" thickBot="1" x14ac:dyDescent="0.25">
      <c r="A24" s="370" t="s">
        <v>297</v>
      </c>
      <c r="B24" s="467" t="s">
        <v>53</v>
      </c>
      <c r="C24" s="485" t="s">
        <v>289</v>
      </c>
      <c r="E24" s="365">
        <f>E23-C13</f>
        <v>0.25</v>
      </c>
      <c r="F24" s="370"/>
      <c r="G24" s="466" t="s">
        <v>446</v>
      </c>
      <c r="H24" s="488">
        <v>4500</v>
      </c>
      <c r="J24" s="496">
        <f>J23-H13</f>
        <v>0.25</v>
      </c>
      <c r="L24" s="91" t="s">
        <v>101</v>
      </c>
      <c r="M24" s="124">
        <v>1950000</v>
      </c>
      <c r="O24" s="57">
        <v>1.4999999999999999E-2</v>
      </c>
      <c r="Q24" s="129" t="s">
        <v>189</v>
      </c>
      <c r="R24" s="204"/>
      <c r="S24" s="133"/>
      <c r="U24" s="91" t="s">
        <v>175</v>
      </c>
      <c r="V24" s="106">
        <f>V19*X24</f>
        <v>3792.6</v>
      </c>
      <c r="X24" s="57">
        <v>0.02</v>
      </c>
    </row>
    <row r="25" spans="1:24" customFormat="1" ht="18" customHeight="1" thickBot="1" x14ac:dyDescent="0.25">
      <c r="B25" s="120" t="s">
        <v>208</v>
      </c>
      <c r="C25" s="222"/>
      <c r="E25" s="1"/>
      <c r="G25" s="465" t="s">
        <v>5</v>
      </c>
      <c r="H25" s="375">
        <v>500</v>
      </c>
      <c r="J25" s="1"/>
      <c r="L25" s="76" t="s">
        <v>1</v>
      </c>
      <c r="M25" s="128" t="s">
        <v>176</v>
      </c>
      <c r="Q25" s="353" t="s">
        <v>43</v>
      </c>
      <c r="R25" s="354">
        <v>135000</v>
      </c>
      <c r="S25" s="133"/>
      <c r="U25" s="85" t="s">
        <v>349</v>
      </c>
      <c r="V25" s="105">
        <v>4000</v>
      </c>
      <c r="X25" s="66"/>
    </row>
    <row r="26" spans="1:24" customFormat="1" ht="18" customHeight="1" thickBot="1" x14ac:dyDescent="0.25">
      <c r="B26" s="486" t="s">
        <v>4</v>
      </c>
      <c r="C26" s="487">
        <f>C12*E24</f>
        <v>36250</v>
      </c>
      <c r="E26" s="362" t="s">
        <v>39</v>
      </c>
      <c r="G26" s="466" t="s">
        <v>105</v>
      </c>
      <c r="H26" s="488">
        <f>H14*J27</f>
        <v>33890.175000000003</v>
      </c>
      <c r="J26" s="362" t="s">
        <v>39</v>
      </c>
      <c r="L26" s="125" t="s">
        <v>0</v>
      </c>
      <c r="M26" s="385">
        <v>0.08</v>
      </c>
      <c r="Q26" s="256" t="s">
        <v>45</v>
      </c>
      <c r="R26" s="351">
        <f>R20*S22</f>
        <v>1725</v>
      </c>
      <c r="S26" s="133"/>
      <c r="U26" s="129" t="s">
        <v>171</v>
      </c>
      <c r="V26" s="74"/>
      <c r="X26" s="289" t="s">
        <v>346</v>
      </c>
    </row>
    <row r="27" spans="1:24" customFormat="1" ht="18" customHeight="1" thickBot="1" x14ac:dyDescent="0.25">
      <c r="B27" s="466" t="s">
        <v>105</v>
      </c>
      <c r="C27" s="488">
        <f>C14*E27</f>
        <v>1087.5</v>
      </c>
      <c r="E27" s="364">
        <v>0.01</v>
      </c>
      <c r="G27" s="467" t="s">
        <v>10</v>
      </c>
      <c r="H27" s="376">
        <f>H14*J30</f>
        <v>33890.175000000003</v>
      </c>
      <c r="J27" s="364">
        <v>0.01</v>
      </c>
      <c r="L27" s="129" t="s">
        <v>189</v>
      </c>
      <c r="M27" s="1"/>
      <c r="Q27" s="355" t="s">
        <v>10</v>
      </c>
      <c r="R27" s="356">
        <v>4000</v>
      </c>
      <c r="S27" s="133"/>
      <c r="U27" s="96" t="s">
        <v>348</v>
      </c>
      <c r="V27" s="429">
        <v>18200</v>
      </c>
      <c r="X27" s="424">
        <v>0.01</v>
      </c>
    </row>
    <row r="28" spans="1:24" customFormat="1" ht="18" customHeight="1" thickBot="1" x14ac:dyDescent="0.25">
      <c r="B28" s="465" t="s">
        <v>10</v>
      </c>
      <c r="C28" s="375">
        <v>3500</v>
      </c>
      <c r="E28" s="1"/>
      <c r="G28" s="120" t="s">
        <v>169</v>
      </c>
      <c r="H28" s="226"/>
      <c r="J28" s="1"/>
      <c r="L28" s="103" t="s">
        <v>36</v>
      </c>
      <c r="M28" s="104">
        <f>M13-M15</f>
        <v>350000</v>
      </c>
      <c r="Q28" s="256" t="s">
        <v>5</v>
      </c>
      <c r="R28" s="351">
        <v>1450</v>
      </c>
      <c r="S28" s="133"/>
      <c r="U28" s="97" t="s">
        <v>12</v>
      </c>
      <c r="V28" s="430">
        <v>4000</v>
      </c>
      <c r="X28" s="66"/>
    </row>
    <row r="29" spans="1:24" customFormat="1" ht="18" customHeight="1" thickBot="1" x14ac:dyDescent="0.25">
      <c r="B29" s="466" t="s">
        <v>5</v>
      </c>
      <c r="C29" s="488">
        <v>1295</v>
      </c>
      <c r="E29" s="1"/>
      <c r="G29" s="372" t="s">
        <v>418</v>
      </c>
      <c r="H29" s="373">
        <v>30000</v>
      </c>
      <c r="J29" s="362" t="s">
        <v>401</v>
      </c>
      <c r="L29" s="91" t="s">
        <v>175</v>
      </c>
      <c r="M29" s="106">
        <f>M22*O24</f>
        <v>33825</v>
      </c>
      <c r="Q29" s="258" t="s">
        <v>129</v>
      </c>
      <c r="R29" s="356">
        <v>1590</v>
      </c>
      <c r="S29" s="133"/>
      <c r="U29" s="98" t="s">
        <v>13</v>
      </c>
      <c r="V29" s="78">
        <v>2350</v>
      </c>
      <c r="X29" s="66"/>
    </row>
    <row r="30" spans="1:24" customFormat="1" ht="18" customHeight="1" thickBot="1" x14ac:dyDescent="0.3">
      <c r="B30" s="465" t="s">
        <v>277</v>
      </c>
      <c r="C30" s="375">
        <v>295</v>
      </c>
      <c r="E30" s="1"/>
      <c r="G30" s="374" t="s">
        <v>12</v>
      </c>
      <c r="H30" s="375">
        <v>0</v>
      </c>
      <c r="J30" s="364">
        <v>0.01</v>
      </c>
      <c r="L30" s="76" t="s">
        <v>102</v>
      </c>
      <c r="M30" s="77">
        <v>2095</v>
      </c>
      <c r="Q30" s="257" t="s">
        <v>132</v>
      </c>
      <c r="R30" s="352">
        <v>694</v>
      </c>
      <c r="S30" s="133"/>
      <c r="U30" s="112"/>
      <c r="V30" s="112"/>
      <c r="X30" s="66"/>
    </row>
    <row r="31" spans="1:24" customFormat="1" ht="18" customHeight="1" thickBot="1" x14ac:dyDescent="0.25">
      <c r="B31" s="489" t="s">
        <v>279</v>
      </c>
      <c r="C31" s="490">
        <v>694.95</v>
      </c>
      <c r="E31" s="1"/>
      <c r="G31" s="98" t="s">
        <v>292</v>
      </c>
      <c r="H31" s="376">
        <v>0</v>
      </c>
      <c r="J31" s="1"/>
      <c r="L31" s="125" t="s">
        <v>10</v>
      </c>
      <c r="M31" s="126">
        <v>11560</v>
      </c>
      <c r="Q31" s="170"/>
      <c r="R31" s="171"/>
      <c r="S31" s="133"/>
      <c r="U31" s="469" t="s">
        <v>106</v>
      </c>
      <c r="V31" s="470">
        <f>SUM(V23:V29)</f>
        <v>113612.6</v>
      </c>
      <c r="X31" s="66"/>
    </row>
    <row r="32" spans="1:24" customFormat="1" ht="18" customHeight="1" thickBot="1" x14ac:dyDescent="0.25">
      <c r="B32" s="120" t="s">
        <v>169</v>
      </c>
      <c r="C32" s="226"/>
      <c r="E32" s="1"/>
      <c r="G32" s="136"/>
      <c r="H32" s="345"/>
      <c r="J32" s="1"/>
      <c r="L32" s="129" t="s">
        <v>171</v>
      </c>
      <c r="M32" s="74"/>
      <c r="Q32" s="129" t="s">
        <v>169</v>
      </c>
      <c r="R32" s="171"/>
      <c r="S32" s="133"/>
      <c r="U32" s="118"/>
      <c r="V32" s="118"/>
      <c r="X32" s="66"/>
    </row>
    <row r="33" spans="2:24" customFormat="1" ht="18" customHeight="1" thickBot="1" x14ac:dyDescent="0.25">
      <c r="B33" s="372" t="s">
        <v>290</v>
      </c>
      <c r="C33" s="373">
        <v>800</v>
      </c>
      <c r="E33" s="1"/>
      <c r="G33" s="497" t="s">
        <v>170</v>
      </c>
      <c r="H33" s="227"/>
      <c r="J33" s="1"/>
      <c r="L33" s="96" t="s">
        <v>12</v>
      </c>
      <c r="M33" s="134">
        <v>2000</v>
      </c>
      <c r="Q33" s="96" t="s">
        <v>280</v>
      </c>
      <c r="R33" s="181"/>
      <c r="S33" s="338">
        <f>SUM(R25:R35)</f>
        <v>147459</v>
      </c>
      <c r="U33" s="389" t="s">
        <v>347</v>
      </c>
      <c r="V33" s="390"/>
      <c r="X33" s="66"/>
    </row>
    <row r="34" spans="2:24" customFormat="1" ht="18" customHeight="1" thickBot="1" x14ac:dyDescent="0.25">
      <c r="B34" s="374" t="s">
        <v>12</v>
      </c>
      <c r="C34" s="375">
        <v>2000</v>
      </c>
      <c r="E34" s="1"/>
      <c r="G34" s="491" t="s">
        <v>293</v>
      </c>
      <c r="H34" s="492">
        <f>SUM(H26:H27,H29:H31)</f>
        <v>97780.35</v>
      </c>
      <c r="J34" s="1"/>
      <c r="L34" s="98" t="s">
        <v>13</v>
      </c>
      <c r="M34" s="78">
        <v>2000</v>
      </c>
      <c r="Q34" s="97" t="s">
        <v>281</v>
      </c>
      <c r="R34" s="106"/>
      <c r="S34" s="338"/>
      <c r="U34" s="387" t="s">
        <v>305</v>
      </c>
      <c r="V34" s="388"/>
      <c r="X34" s="66"/>
    </row>
    <row r="35" spans="2:24" customFormat="1" ht="18" customHeight="1" thickBot="1" x14ac:dyDescent="0.3">
      <c r="B35" s="98" t="s">
        <v>292</v>
      </c>
      <c r="C35" s="376">
        <v>2000</v>
      </c>
      <c r="E35" s="1"/>
      <c r="G35" s="493" t="s">
        <v>221</v>
      </c>
      <c r="H35" s="494">
        <f>H34+H22</f>
        <v>1227452.8500000001</v>
      </c>
      <c r="J35" s="1"/>
      <c r="L35" s="112"/>
      <c r="M35" s="112"/>
      <c r="Q35" s="98" t="s">
        <v>282</v>
      </c>
      <c r="R35" s="126">
        <v>3000</v>
      </c>
      <c r="U35" s="246" t="s">
        <v>20</v>
      </c>
      <c r="V35" s="247"/>
      <c r="X35" s="66"/>
    </row>
    <row r="36" spans="2:24" customFormat="1" ht="18" customHeight="1" thickBot="1" x14ac:dyDescent="0.25">
      <c r="B36" s="136"/>
      <c r="C36" s="345"/>
      <c r="E36" s="1"/>
      <c r="G36" s="132"/>
      <c r="H36" s="131"/>
      <c r="J36" s="1"/>
      <c r="L36" s="108" t="s">
        <v>106</v>
      </c>
      <c r="M36" s="109">
        <f>SUM(M29:M34)</f>
        <v>51480</v>
      </c>
      <c r="N36" s="59"/>
      <c r="O36" s="115" t="e">
        <f>SUM(M28:M31,#REF!,M33,M34)</f>
        <v>#REF!</v>
      </c>
      <c r="P36" s="59"/>
      <c r="Q36" s="340"/>
      <c r="R36" s="205"/>
      <c r="U36" s="391" t="s">
        <v>21</v>
      </c>
      <c r="V36" s="369"/>
      <c r="W36" s="59"/>
      <c r="X36" s="66"/>
    </row>
    <row r="37" spans="2:24" customFormat="1" ht="18" customHeight="1" thickBot="1" x14ac:dyDescent="0.3">
      <c r="B37" s="112" t="s">
        <v>170</v>
      </c>
      <c r="C37" s="227"/>
      <c r="E37" s="1"/>
      <c r="G37" s="500" t="s">
        <v>20</v>
      </c>
      <c r="H37" s="501"/>
      <c r="J37" s="1"/>
      <c r="L37" s="110" t="s">
        <v>9</v>
      </c>
      <c r="M37" s="111">
        <f>SUM(M28:M34)</f>
        <v>401480</v>
      </c>
      <c r="Q37" s="178" t="s">
        <v>44</v>
      </c>
      <c r="R37" s="343">
        <f>SUM(R26:R35)</f>
        <v>12459</v>
      </c>
      <c r="U37" s="119"/>
      <c r="V37" s="117"/>
      <c r="X37" s="66"/>
    </row>
    <row r="38" spans="2:24" customFormat="1" ht="18" customHeight="1" thickBot="1" x14ac:dyDescent="0.25">
      <c r="B38" s="491" t="s">
        <v>293</v>
      </c>
      <c r="C38" s="492">
        <f>SUM(C27:C31,C33:C35)</f>
        <v>11672.45</v>
      </c>
      <c r="E38" s="73"/>
      <c r="G38" s="502" t="s">
        <v>21</v>
      </c>
      <c r="H38" s="503"/>
      <c r="J38" s="73"/>
      <c r="L38" s="118"/>
      <c r="M38" s="118"/>
      <c r="Q38" s="125" t="s">
        <v>90</v>
      </c>
      <c r="R38" s="344">
        <f>SUM(R20-S33)</f>
        <v>25041</v>
      </c>
      <c r="U38" s="1"/>
      <c r="V38" s="1"/>
      <c r="X38" s="66"/>
    </row>
    <row r="39" spans="2:24" customFormat="1" ht="18" customHeight="1" thickBot="1" x14ac:dyDescent="0.25">
      <c r="B39" s="493" t="s">
        <v>221</v>
      </c>
      <c r="C39" s="494">
        <f>C38+C26</f>
        <v>47922.45</v>
      </c>
      <c r="E39" s="1"/>
      <c r="G39" s="2075" t="s">
        <v>419</v>
      </c>
      <c r="H39" s="2076"/>
      <c r="J39" s="1"/>
      <c r="L39" s="389" t="s">
        <v>304</v>
      </c>
      <c r="M39" s="390"/>
      <c r="Q39" s="339"/>
      <c r="R39" s="176"/>
      <c r="U39" s="132"/>
      <c r="V39" s="132"/>
      <c r="X39" s="66"/>
    </row>
    <row r="40" spans="2:24" ht="18" customHeight="1" x14ac:dyDescent="0.2">
      <c r="B40" s="132"/>
      <c r="C40" s="131"/>
      <c r="G40" s="2077" t="s">
        <v>420</v>
      </c>
      <c r="H40" s="2078"/>
      <c r="L40" s="387" t="s">
        <v>305</v>
      </c>
      <c r="M40" s="388"/>
      <c r="Q40" s="341" t="s">
        <v>20</v>
      </c>
      <c r="R40" s="176"/>
      <c r="U40" s="132"/>
      <c r="V40" s="132"/>
    </row>
    <row r="41" spans="2:24" ht="18" customHeight="1" x14ac:dyDescent="0.2">
      <c r="B41" s="245" t="s">
        <v>20</v>
      </c>
      <c r="C41" s="367"/>
      <c r="L41" s="246" t="s">
        <v>20</v>
      </c>
      <c r="M41" s="247"/>
      <c r="Q41" s="341" t="s">
        <v>21</v>
      </c>
      <c r="R41" s="176"/>
      <c r="V41" s="13"/>
    </row>
    <row r="42" spans="2:24" ht="18" customHeight="1" x14ac:dyDescent="0.2">
      <c r="B42" s="368" t="s">
        <v>21</v>
      </c>
      <c r="C42" s="369"/>
      <c r="L42" s="391" t="s">
        <v>21</v>
      </c>
      <c r="M42" s="369"/>
      <c r="Q42" s="48"/>
      <c r="R42" s="33"/>
      <c r="V42" s="13"/>
    </row>
    <row r="43" spans="2:24" ht="18" customHeight="1" x14ac:dyDescent="0.2">
      <c r="L43" s="119"/>
      <c r="M43" s="117"/>
      <c r="O43"/>
      <c r="V43" s="13"/>
      <c r="X43" s="66"/>
    </row>
    <row r="44" spans="2:24" ht="18" customHeight="1" x14ac:dyDescent="0.2">
      <c r="D44" s="132"/>
      <c r="E44" s="132"/>
      <c r="I44" s="132"/>
      <c r="J44" s="132"/>
      <c r="K44" s="132"/>
      <c r="O44" s="133"/>
      <c r="T44" s="132"/>
      <c r="V44" s="13"/>
      <c r="X44" s="422"/>
    </row>
    <row r="45" spans="2:24" ht="18" customHeight="1" x14ac:dyDescent="0.2">
      <c r="D45" s="132"/>
      <c r="E45" s="132"/>
      <c r="I45" s="132"/>
      <c r="J45" s="132"/>
      <c r="K45" s="132"/>
      <c r="L45" s="132"/>
      <c r="M45" s="132"/>
      <c r="O45" s="133"/>
      <c r="T45" s="132"/>
      <c r="V45" s="13"/>
      <c r="X45" s="422"/>
    </row>
    <row r="46" spans="2:24" x14ac:dyDescent="0.2">
      <c r="D46" s="132"/>
      <c r="E46" s="132"/>
      <c r="I46" s="132"/>
      <c r="J46" s="132"/>
      <c r="K46" s="132"/>
      <c r="L46" s="132"/>
      <c r="M46" s="132"/>
      <c r="O46" s="133"/>
      <c r="T46" s="132"/>
      <c r="V46" s="13"/>
      <c r="X46" s="422"/>
    </row>
    <row r="47" spans="2:24" x14ac:dyDescent="0.2">
      <c r="D47" s="132"/>
      <c r="E47" s="132"/>
      <c r="I47" s="132"/>
      <c r="J47" s="132"/>
      <c r="K47" s="132"/>
      <c r="M47" s="13"/>
      <c r="O47" s="133"/>
      <c r="T47" s="132"/>
      <c r="V47" s="13"/>
      <c r="X47" s="422"/>
    </row>
    <row r="48" spans="2:24" x14ac:dyDescent="0.2">
      <c r="D48" s="132"/>
      <c r="E48" s="132"/>
      <c r="I48" s="132"/>
      <c r="J48" s="132"/>
      <c r="K48" s="132"/>
      <c r="M48" s="13"/>
      <c r="O48" s="133"/>
      <c r="T48" s="132"/>
      <c r="V48" s="13"/>
      <c r="X48" s="422"/>
    </row>
    <row r="49" spans="4:24" x14ac:dyDescent="0.2">
      <c r="D49" s="132"/>
      <c r="E49" s="132"/>
      <c r="I49" s="132"/>
      <c r="J49" s="132"/>
      <c r="K49" s="132"/>
      <c r="M49" s="13"/>
      <c r="O49" s="133"/>
      <c r="T49" s="132"/>
      <c r="V49" s="13"/>
      <c r="X49" s="422"/>
    </row>
    <row r="50" spans="4:24" x14ac:dyDescent="0.2">
      <c r="D50" s="132"/>
      <c r="E50" s="132"/>
      <c r="I50" s="132"/>
      <c r="J50" s="132"/>
      <c r="K50" s="132"/>
      <c r="M50" s="13"/>
      <c r="O50" s="133"/>
      <c r="T50" s="132"/>
      <c r="V50" s="13"/>
      <c r="X50" s="422"/>
    </row>
    <row r="51" spans="4:24" x14ac:dyDescent="0.2">
      <c r="D51" s="132"/>
      <c r="E51" s="132"/>
      <c r="I51" s="132"/>
      <c r="J51" s="132"/>
      <c r="K51" s="132"/>
      <c r="M51" s="13"/>
      <c r="O51" s="133"/>
      <c r="T51" s="132"/>
      <c r="V51" s="13"/>
      <c r="X51" s="422"/>
    </row>
    <row r="52" spans="4:24" x14ac:dyDescent="0.2">
      <c r="D52" s="132"/>
      <c r="E52" s="132"/>
      <c r="I52" s="132"/>
      <c r="J52" s="132"/>
      <c r="K52" s="132"/>
      <c r="M52" s="13"/>
      <c r="O52" s="133"/>
      <c r="T52" s="132"/>
      <c r="V52" s="13"/>
      <c r="X52" s="422"/>
    </row>
    <row r="53" spans="4:24" x14ac:dyDescent="0.2">
      <c r="D53" s="132"/>
      <c r="E53" s="132"/>
      <c r="I53" s="132"/>
      <c r="J53" s="132"/>
      <c r="K53" s="132"/>
      <c r="M53" s="13"/>
      <c r="O53" s="133"/>
      <c r="T53" s="132"/>
      <c r="V53" s="13"/>
      <c r="X53" s="422"/>
    </row>
    <row r="54" spans="4:24" x14ac:dyDescent="0.2">
      <c r="D54" s="132"/>
      <c r="E54" s="132"/>
      <c r="I54" s="132"/>
      <c r="J54" s="132"/>
      <c r="K54" s="132"/>
      <c r="M54" s="13"/>
      <c r="O54" s="133"/>
      <c r="T54" s="132"/>
      <c r="V54" s="13"/>
      <c r="X54" s="422"/>
    </row>
    <row r="55" spans="4:24" x14ac:dyDescent="0.2">
      <c r="D55" s="132"/>
      <c r="E55" s="132"/>
      <c r="I55" s="132"/>
      <c r="J55" s="132"/>
      <c r="K55" s="132"/>
      <c r="M55" s="13"/>
      <c r="O55" s="133"/>
      <c r="T55" s="132"/>
      <c r="V55" s="13"/>
      <c r="X55" s="422"/>
    </row>
    <row r="56" spans="4:24" x14ac:dyDescent="0.2">
      <c r="D56" s="132"/>
      <c r="E56" s="132"/>
      <c r="I56" s="132"/>
      <c r="J56" s="132"/>
      <c r="K56" s="132"/>
      <c r="M56" s="13"/>
      <c r="O56" s="133"/>
      <c r="T56" s="132"/>
      <c r="V56" s="13"/>
      <c r="X56" s="422"/>
    </row>
    <row r="57" spans="4:24" x14ac:dyDescent="0.2">
      <c r="D57" s="132"/>
      <c r="E57" s="132"/>
      <c r="I57" s="132"/>
      <c r="J57" s="132"/>
      <c r="K57" s="132"/>
      <c r="M57" s="13"/>
      <c r="O57" s="133"/>
      <c r="T57" s="132"/>
      <c r="V57" s="13"/>
      <c r="X57" s="422"/>
    </row>
    <row r="58" spans="4:24" x14ac:dyDescent="0.2">
      <c r="D58" s="132"/>
      <c r="E58" s="132"/>
      <c r="I58" s="132"/>
      <c r="J58" s="132"/>
      <c r="K58" s="132"/>
      <c r="M58" s="13"/>
      <c r="O58" s="133"/>
      <c r="T58" s="132"/>
      <c r="U58" s="13"/>
      <c r="V58" s="13"/>
      <c r="X58" s="422"/>
    </row>
    <row r="59" spans="4:24" x14ac:dyDescent="0.2">
      <c r="D59" s="132"/>
      <c r="E59" s="132"/>
      <c r="I59" s="132"/>
      <c r="J59" s="132"/>
      <c r="K59" s="132"/>
      <c r="M59" s="13"/>
      <c r="O59" s="133"/>
      <c r="T59" s="132"/>
      <c r="U59" s="13"/>
      <c r="V59" s="13"/>
      <c r="X59" s="422"/>
    </row>
    <row r="60" spans="4:24" x14ac:dyDescent="0.2">
      <c r="D60" s="132"/>
      <c r="E60" s="132"/>
      <c r="I60" s="132"/>
      <c r="J60" s="132"/>
      <c r="K60" s="132"/>
      <c r="M60" s="13"/>
      <c r="N60" s="13"/>
      <c r="P60" s="13"/>
      <c r="T60" s="132"/>
      <c r="U60" s="13"/>
      <c r="V60" s="13"/>
      <c r="W60" s="13"/>
    </row>
    <row r="61" spans="4:24" x14ac:dyDescent="0.2">
      <c r="D61" s="132"/>
      <c r="E61" s="132"/>
      <c r="I61" s="132"/>
      <c r="J61" s="132"/>
      <c r="K61" s="132"/>
      <c r="M61" s="13"/>
      <c r="N61" s="13"/>
      <c r="P61" s="13"/>
      <c r="T61" s="132"/>
      <c r="U61" s="13"/>
      <c r="V61" s="13"/>
      <c r="W61" s="13"/>
    </row>
    <row r="62" spans="4:24" ht="16" x14ac:dyDescent="0.2">
      <c r="D62" s="132"/>
      <c r="E62" s="132"/>
      <c r="I62" s="132"/>
      <c r="J62" s="132"/>
      <c r="K62" s="132"/>
      <c r="M62" s="13"/>
      <c r="N62" s="13"/>
      <c r="P62" s="13"/>
      <c r="T62" s="132"/>
      <c r="U62" s="13"/>
      <c r="V62" s="74"/>
      <c r="W62" s="13"/>
    </row>
    <row r="63" spans="4:24" ht="16" x14ac:dyDescent="0.2">
      <c r="M63" s="13"/>
      <c r="N63" s="13"/>
      <c r="P63" s="13"/>
      <c r="U63" s="13"/>
      <c r="V63" s="74"/>
      <c r="W63" s="13"/>
    </row>
    <row r="64" spans="4:24" ht="16" x14ac:dyDescent="0.2">
      <c r="L64" s="13"/>
      <c r="M64" s="13"/>
      <c r="N64" s="13"/>
      <c r="P64" s="13"/>
      <c r="U64" s="13"/>
      <c r="V64" s="74"/>
      <c r="W64" s="13"/>
    </row>
    <row r="65" spans="12:23" ht="16" x14ac:dyDescent="0.2">
      <c r="L65" s="13"/>
      <c r="M65" s="13"/>
      <c r="N65" s="13"/>
      <c r="P65" s="13"/>
      <c r="U65" s="13"/>
      <c r="V65" s="74"/>
      <c r="W65" s="13"/>
    </row>
    <row r="66" spans="12:23" ht="16" x14ac:dyDescent="0.2">
      <c r="L66" s="13"/>
      <c r="M66" s="13"/>
      <c r="N66" s="13"/>
      <c r="P66" s="13"/>
      <c r="U66" s="13"/>
      <c r="V66" s="74"/>
      <c r="W66" s="13"/>
    </row>
    <row r="67" spans="12:23" ht="16" x14ac:dyDescent="0.2">
      <c r="L67" s="13"/>
      <c r="M67" s="13"/>
      <c r="N67" s="13"/>
      <c r="P67" s="13"/>
      <c r="U67" s="13"/>
      <c r="V67" s="74"/>
      <c r="W67" s="13"/>
    </row>
    <row r="68" spans="12:23" ht="16" x14ac:dyDescent="0.2">
      <c r="L68" s="13"/>
      <c r="M68" s="74"/>
      <c r="N68" s="13"/>
      <c r="P68" s="13"/>
      <c r="U68" s="13"/>
      <c r="V68" s="74"/>
      <c r="W68" s="13"/>
    </row>
    <row r="69" spans="12:23" ht="16" x14ac:dyDescent="0.2">
      <c r="L69" s="13"/>
      <c r="M69" s="74"/>
      <c r="N69" s="13"/>
      <c r="P69" s="13"/>
      <c r="U69" s="13"/>
      <c r="V69" s="74"/>
      <c r="W69" s="13"/>
    </row>
    <row r="70" spans="12:23" ht="16" x14ac:dyDescent="0.2">
      <c r="L70" s="13"/>
      <c r="M70" s="74"/>
      <c r="N70" s="13"/>
      <c r="P70" s="13"/>
      <c r="U70" s="13"/>
      <c r="V70" s="118"/>
      <c r="W70" s="13"/>
    </row>
    <row r="71" spans="12:23" ht="16" x14ac:dyDescent="0.2">
      <c r="L71" s="13"/>
      <c r="M71" s="74"/>
      <c r="N71" s="13"/>
      <c r="P71" s="13"/>
      <c r="U71" s="13"/>
      <c r="V71" s="118"/>
      <c r="W71" s="13"/>
    </row>
    <row r="72" spans="12:23" ht="16" x14ac:dyDescent="0.2">
      <c r="L72" s="13"/>
      <c r="M72" s="74"/>
      <c r="N72" s="13"/>
      <c r="P72" s="13"/>
      <c r="U72" s="13"/>
      <c r="V72" s="117"/>
      <c r="W72" s="13"/>
    </row>
    <row r="73" spans="12:23" ht="16" x14ac:dyDescent="0.2">
      <c r="L73" s="13"/>
      <c r="M73" s="74"/>
      <c r="N73" s="13"/>
      <c r="P73" s="13"/>
      <c r="U73" s="13"/>
      <c r="V73" s="117"/>
      <c r="W73" s="13"/>
    </row>
    <row r="74" spans="12:23" ht="16" x14ac:dyDescent="0.2">
      <c r="L74" s="13"/>
      <c r="M74" s="74"/>
      <c r="N74" s="13"/>
      <c r="P74" s="13"/>
      <c r="U74" s="13"/>
      <c r="V74" s="117"/>
      <c r="W74" s="13"/>
    </row>
    <row r="75" spans="12:23" ht="16" x14ac:dyDescent="0.2">
      <c r="L75" s="13"/>
      <c r="M75" s="74"/>
      <c r="N75" s="13"/>
      <c r="P75" s="13"/>
      <c r="U75" s="13"/>
      <c r="V75" s="132"/>
      <c r="W75" s="13"/>
    </row>
    <row r="76" spans="12:23" ht="16" x14ac:dyDescent="0.2">
      <c r="L76" s="13"/>
      <c r="M76" s="118"/>
      <c r="N76" s="13"/>
      <c r="P76" s="13"/>
      <c r="U76" s="13"/>
      <c r="V76" s="132"/>
      <c r="W76" s="13"/>
    </row>
    <row r="77" spans="12:23" ht="16" x14ac:dyDescent="0.2">
      <c r="L77" s="13"/>
      <c r="M77" s="118"/>
      <c r="N77" s="13"/>
      <c r="P77" s="13"/>
      <c r="U77" s="13"/>
      <c r="W77" s="13"/>
    </row>
    <row r="78" spans="12:23" ht="16" x14ac:dyDescent="0.2">
      <c r="L78" s="13"/>
      <c r="M78" s="117"/>
      <c r="N78" s="13"/>
      <c r="P78" s="13"/>
      <c r="U78" s="13"/>
      <c r="W78" s="13"/>
    </row>
    <row r="79" spans="12:23" ht="16" x14ac:dyDescent="0.2">
      <c r="L79" s="13"/>
      <c r="M79" s="117"/>
      <c r="N79" s="13"/>
      <c r="P79" s="13"/>
      <c r="W79" s="13"/>
    </row>
    <row r="80" spans="12:23" ht="16" x14ac:dyDescent="0.2">
      <c r="L80" s="13"/>
      <c r="M80" s="117"/>
      <c r="N80" s="13"/>
      <c r="P80" s="13"/>
      <c r="W80" s="13"/>
    </row>
    <row r="81" spans="12:24" x14ac:dyDescent="0.2">
      <c r="L81" s="13"/>
      <c r="M81" s="132"/>
      <c r="O81" s="132"/>
      <c r="X81" s="423"/>
    </row>
    <row r="82" spans="12:24" x14ac:dyDescent="0.2">
      <c r="L82" s="13"/>
      <c r="M82" s="132"/>
    </row>
    <row r="83" spans="12:24" x14ac:dyDescent="0.2">
      <c r="L83" s="13"/>
    </row>
    <row r="84" spans="12:24" x14ac:dyDescent="0.2">
      <c r="L84" s="13"/>
    </row>
  </sheetData>
  <mergeCells count="7">
    <mergeCell ref="B3:C3"/>
    <mergeCell ref="U3:V3"/>
    <mergeCell ref="G3:H3"/>
    <mergeCell ref="G39:H39"/>
    <mergeCell ref="G40:H40"/>
    <mergeCell ref="Q3:R3"/>
    <mergeCell ref="L3:M3"/>
  </mergeCells>
  <conditionalFormatting sqref="V17">
    <cfRule type="expression" dxfId="4" priority="3">
      <formula>V16&lt;$V$17</formula>
    </cfRule>
    <cfRule type="expression" dxfId="3" priority="4">
      <formula>V16&gt;$V$17</formula>
    </cfRule>
  </conditionalFormatting>
  <conditionalFormatting sqref="V16">
    <cfRule type="expression" dxfId="2" priority="1">
      <formula>V17&gt;$V$16</formula>
    </cfRule>
    <cfRule type="expression" dxfId="1" priority="2">
      <formula>V17&lt;$V$16</formula>
    </cfRule>
  </conditionalFormatting>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AA540-0571-4980-904A-35EFDC528FB6}">
  <dimension ref="B1:Y45"/>
  <sheetViews>
    <sheetView showGridLines="0" zoomScale="72" zoomScaleNormal="72" workbookViewId="0">
      <selection activeCell="J15" sqref="J15"/>
    </sheetView>
  </sheetViews>
  <sheetFormatPr baseColWidth="10" defaultColWidth="9.1640625" defaultRowHeight="15" x14ac:dyDescent="0.2"/>
  <cols>
    <col min="1" max="1" width="3" style="1" customWidth="1"/>
    <col min="2" max="2" width="42.5" style="1" customWidth="1"/>
    <col min="3" max="3" width="42.5" style="13" customWidth="1"/>
    <col min="4" max="4" width="2.5" style="1" customWidth="1"/>
    <col min="5" max="5" width="14.6640625" style="1" customWidth="1"/>
    <col min="6" max="6" width="2.6640625" style="1" customWidth="1"/>
    <col min="7" max="7" width="42.5" style="1" customWidth="1"/>
    <col min="8" max="8" width="42.5" style="13" customWidth="1"/>
    <col min="9" max="9" width="2.6640625" style="1" customWidth="1"/>
    <col min="10" max="10" width="14.1640625" style="236" customWidth="1"/>
    <col min="11" max="11" width="1.1640625" style="613" customWidth="1"/>
    <col min="12" max="13" width="48.83203125" style="613" customWidth="1"/>
    <col min="14" max="14" width="1.83203125" style="1" customWidth="1"/>
    <col min="15" max="15" width="17.5" style="236" customWidth="1"/>
    <col min="16" max="16" width="1.83203125" style="1" customWidth="1"/>
    <col min="17" max="17" width="38.5" customWidth="1"/>
    <col min="18" max="18" width="38" style="260" customWidth="1"/>
    <col min="19" max="19" width="1.83203125" style="1" customWidth="1"/>
    <col min="20" max="20" width="16.33203125" style="66" customWidth="1"/>
    <col min="21" max="21" width="1.83203125" style="1" customWidth="1"/>
    <col min="22" max="22" width="38.5" customWidth="1"/>
    <col min="23" max="23" width="38" style="260" customWidth="1"/>
    <col min="24" max="24" width="3.6640625" style="1" customWidth="1"/>
    <col min="25" max="25" width="16.33203125" style="66" customWidth="1"/>
    <col min="26" max="16384" width="9.1640625" style="1"/>
  </cols>
  <sheetData>
    <row r="1" spans="2:25" ht="21" x14ac:dyDescent="0.25">
      <c r="B1" s="5" t="s">
        <v>38</v>
      </c>
      <c r="G1" s="5" t="s">
        <v>38</v>
      </c>
    </row>
    <row r="3" spans="2:25" ht="18.75" customHeight="1" x14ac:dyDescent="0.25">
      <c r="B3" s="2073" t="s">
        <v>335</v>
      </c>
      <c r="C3" s="2074"/>
      <c r="G3" s="2085" t="s">
        <v>334</v>
      </c>
      <c r="H3" s="2086"/>
      <c r="L3" s="2089" t="s">
        <v>333</v>
      </c>
      <c r="M3" s="2090"/>
      <c r="Q3" s="2087" t="s">
        <v>488</v>
      </c>
      <c r="R3" s="2088"/>
      <c r="V3" s="2081" t="s">
        <v>490</v>
      </c>
      <c r="W3" s="2082"/>
    </row>
    <row r="4" spans="2:25" ht="18.75" customHeight="1" thickBot="1" x14ac:dyDescent="0.3">
      <c r="B4" s="120" t="s">
        <v>15</v>
      </c>
      <c r="C4" s="135">
        <f ca="1">TODAY()</f>
        <v>43713</v>
      </c>
      <c r="G4" s="120" t="s">
        <v>15</v>
      </c>
      <c r="H4" s="135">
        <f ca="1">TODAY()</f>
        <v>43713</v>
      </c>
      <c r="L4" s="413" t="s">
        <v>15</v>
      </c>
      <c r="M4" s="558">
        <f ca="1">TODAY()</f>
        <v>43713</v>
      </c>
      <c r="Q4" s="234" t="s">
        <v>15</v>
      </c>
      <c r="R4" s="261">
        <f ca="1">TODAY()</f>
        <v>43713</v>
      </c>
      <c r="V4" s="234" t="s">
        <v>15</v>
      </c>
      <c r="W4" s="261">
        <f ca="1">TODAY()</f>
        <v>43713</v>
      </c>
    </row>
    <row r="5" spans="2:25" ht="18.75" customHeight="1" thickBot="1" x14ac:dyDescent="0.3">
      <c r="B5" s="154" t="s">
        <v>24</v>
      </c>
      <c r="C5" s="155" t="s">
        <v>442</v>
      </c>
      <c r="G5" s="154" t="s">
        <v>24</v>
      </c>
      <c r="H5" s="155" t="s">
        <v>442</v>
      </c>
      <c r="L5" s="154" t="s">
        <v>24</v>
      </c>
      <c r="M5" s="262" t="s">
        <v>585</v>
      </c>
      <c r="Q5" s="99" t="s">
        <v>24</v>
      </c>
      <c r="R5" s="262" t="s">
        <v>447</v>
      </c>
      <c r="V5" s="99" t="s">
        <v>24</v>
      </c>
      <c r="W5" s="262" t="s">
        <v>513</v>
      </c>
    </row>
    <row r="6" spans="2:25" customFormat="1" ht="18.75" customHeight="1" x14ac:dyDescent="0.2">
      <c r="B6" s="154" t="s">
        <v>250</v>
      </c>
      <c r="C6" s="514" t="s">
        <v>444</v>
      </c>
      <c r="G6" s="303" t="s">
        <v>250</v>
      </c>
      <c r="H6" s="514" t="s">
        <v>444</v>
      </c>
      <c r="J6" s="66"/>
      <c r="K6" s="260"/>
      <c r="L6" s="303" t="s">
        <v>250</v>
      </c>
      <c r="M6" s="414" t="s">
        <v>586</v>
      </c>
      <c r="O6" s="66"/>
      <c r="Q6" s="303" t="s">
        <v>250</v>
      </c>
      <c r="R6" s="392" t="s">
        <v>487</v>
      </c>
      <c r="T6" s="66"/>
      <c r="V6" s="303" t="s">
        <v>250</v>
      </c>
      <c r="W6" s="392" t="s">
        <v>514</v>
      </c>
      <c r="Y6" s="66"/>
    </row>
    <row r="7" spans="2:25" ht="18.75" customHeight="1" thickBot="1" x14ac:dyDescent="0.25">
      <c r="B7" s="100" t="s">
        <v>25</v>
      </c>
      <c r="C7" s="156" t="s">
        <v>443</v>
      </c>
      <c r="G7" s="100" t="s">
        <v>25</v>
      </c>
      <c r="H7" s="513" t="s">
        <v>443</v>
      </c>
      <c r="L7" s="100" t="s">
        <v>25</v>
      </c>
      <c r="M7" s="559" t="s">
        <v>587</v>
      </c>
      <c r="Q7" s="100" t="s">
        <v>25</v>
      </c>
      <c r="R7" s="263" t="s">
        <v>486</v>
      </c>
      <c r="V7" s="100" t="s">
        <v>25</v>
      </c>
      <c r="W7" s="263" t="s">
        <v>515</v>
      </c>
    </row>
    <row r="8" spans="2:25" ht="18.75" customHeight="1" thickBot="1" x14ac:dyDescent="0.25">
      <c r="B8" s="122" t="s">
        <v>167</v>
      </c>
      <c r="C8" s="131"/>
      <c r="D8" s="73"/>
      <c r="E8" s="73"/>
      <c r="F8" s="73"/>
      <c r="G8" s="122" t="s">
        <v>167</v>
      </c>
      <c r="H8" s="131"/>
      <c r="L8" s="129" t="s">
        <v>167</v>
      </c>
      <c r="M8" s="264"/>
      <c r="Q8" s="129" t="s">
        <v>167</v>
      </c>
      <c r="R8" s="264"/>
      <c r="V8" s="129" t="s">
        <v>167</v>
      </c>
      <c r="W8" s="264"/>
    </row>
    <row r="9" spans="2:25" s="73" customFormat="1" ht="18.75" customHeight="1" x14ac:dyDescent="0.2">
      <c r="B9" s="148" t="s">
        <v>65</v>
      </c>
      <c r="C9" s="149">
        <v>2</v>
      </c>
      <c r="D9" s="1"/>
      <c r="E9" s="1"/>
      <c r="F9" s="1"/>
      <c r="G9" s="148" t="s">
        <v>65</v>
      </c>
      <c r="H9" s="149">
        <v>2</v>
      </c>
      <c r="J9" s="66"/>
      <c r="K9" s="260"/>
      <c r="L9" s="96" t="s">
        <v>329</v>
      </c>
      <c r="M9" s="561">
        <v>0</v>
      </c>
      <c r="O9" s="66"/>
      <c r="Q9" s="148" t="s">
        <v>16</v>
      </c>
      <c r="R9" s="265">
        <v>0</v>
      </c>
      <c r="T9" s="66"/>
      <c r="V9" s="148" t="s">
        <v>16</v>
      </c>
      <c r="W9" s="265">
        <v>0</v>
      </c>
      <c r="Y9" s="66"/>
    </row>
    <row r="10" spans="2:25" ht="18.75" customHeight="1" thickBot="1" x14ac:dyDescent="0.25">
      <c r="B10" s="150" t="s">
        <v>17</v>
      </c>
      <c r="C10" s="151">
        <v>0</v>
      </c>
      <c r="G10" s="152" t="s">
        <v>19</v>
      </c>
      <c r="H10" s="153">
        <v>747</v>
      </c>
      <c r="L10" s="374" t="s">
        <v>328</v>
      </c>
      <c r="M10" s="614">
        <v>1</v>
      </c>
      <c r="Q10" s="259" t="s">
        <v>312</v>
      </c>
      <c r="R10" s="266">
        <v>1</v>
      </c>
      <c r="V10" s="259" t="s">
        <v>312</v>
      </c>
      <c r="W10" s="266">
        <v>0</v>
      </c>
    </row>
    <row r="11" spans="2:25" ht="18.75" customHeight="1" thickBot="1" x14ac:dyDescent="0.25">
      <c r="B11" s="152" t="s">
        <v>19</v>
      </c>
      <c r="C11" s="153">
        <v>747</v>
      </c>
      <c r="G11" s="122" t="s">
        <v>172</v>
      </c>
      <c r="H11" s="131"/>
      <c r="L11" s="468" t="s">
        <v>589</v>
      </c>
      <c r="M11" s="615">
        <v>737</v>
      </c>
      <c r="Q11" s="213" t="s">
        <v>330</v>
      </c>
      <c r="R11" s="267">
        <v>628</v>
      </c>
      <c r="V11" s="213" t="s">
        <v>330</v>
      </c>
      <c r="W11" s="267">
        <v>628</v>
      </c>
    </row>
    <row r="12" spans="2:25" ht="18.75" customHeight="1" thickBot="1" x14ac:dyDescent="0.25">
      <c r="B12" s="122" t="s">
        <v>172</v>
      </c>
      <c r="C12" s="131"/>
      <c r="D12" s="73"/>
      <c r="E12" s="73"/>
      <c r="F12" s="73"/>
      <c r="G12" s="139" t="s">
        <v>229</v>
      </c>
      <c r="H12" s="140">
        <v>425000</v>
      </c>
      <c r="L12" s="416" t="s">
        <v>172</v>
      </c>
      <c r="M12" s="616"/>
      <c r="Q12" s="286" t="s">
        <v>172</v>
      </c>
      <c r="R12" s="264"/>
      <c r="V12" s="286" t="s">
        <v>172</v>
      </c>
      <c r="W12" s="264"/>
    </row>
    <row r="13" spans="2:25" s="73" customFormat="1" ht="18.75" customHeight="1" x14ac:dyDescent="0.2">
      <c r="B13" s="139" t="s">
        <v>228</v>
      </c>
      <c r="C13" s="140">
        <v>425000</v>
      </c>
      <c r="D13" s="1"/>
      <c r="E13" s="1"/>
      <c r="F13" s="1"/>
      <c r="G13" s="141" t="s">
        <v>84</v>
      </c>
      <c r="H13" s="160">
        <v>300000</v>
      </c>
      <c r="J13" s="66"/>
      <c r="K13" s="260"/>
      <c r="L13" s="79" t="s">
        <v>588</v>
      </c>
      <c r="M13" s="592">
        <v>403800</v>
      </c>
      <c r="O13" s="66"/>
      <c r="Q13" s="139" t="s">
        <v>485</v>
      </c>
      <c r="R13" s="215">
        <v>112500</v>
      </c>
      <c r="T13" s="66"/>
      <c r="V13" s="544" t="s">
        <v>484</v>
      </c>
      <c r="W13" s="545">
        <v>107000</v>
      </c>
      <c r="Y13" s="66"/>
    </row>
    <row r="14" spans="2:25" ht="18.75" customHeight="1" x14ac:dyDescent="0.2">
      <c r="B14" s="141" t="s">
        <v>227</v>
      </c>
      <c r="C14" s="160">
        <v>300000</v>
      </c>
      <c r="G14" s="142" t="s">
        <v>3</v>
      </c>
      <c r="H14" s="161">
        <v>0.8</v>
      </c>
      <c r="L14" s="465" t="s">
        <v>34</v>
      </c>
      <c r="M14" s="590">
        <v>75000</v>
      </c>
      <c r="Q14" s="256" t="s">
        <v>72</v>
      </c>
      <c r="R14" s="269">
        <v>238500</v>
      </c>
      <c r="V14" s="258" t="s">
        <v>71</v>
      </c>
      <c r="W14" s="546">
        <v>0</v>
      </c>
    </row>
    <row r="15" spans="2:25" ht="18.75" customHeight="1" x14ac:dyDescent="0.2">
      <c r="B15" s="142" t="s">
        <v>3</v>
      </c>
      <c r="C15" s="161">
        <v>0.8</v>
      </c>
      <c r="G15" s="141" t="s">
        <v>181</v>
      </c>
      <c r="H15" s="160">
        <f>H12*H14</f>
        <v>340000</v>
      </c>
      <c r="L15" s="466" t="s">
        <v>197</v>
      </c>
      <c r="M15" s="589">
        <f>M13+M14</f>
        <v>478800</v>
      </c>
      <c r="Q15" s="258" t="s">
        <v>197</v>
      </c>
      <c r="R15" s="268">
        <f>R13+R14</f>
        <v>351000</v>
      </c>
      <c r="V15" s="256" t="s">
        <v>72</v>
      </c>
      <c r="W15" s="269">
        <v>513000</v>
      </c>
    </row>
    <row r="16" spans="2:25" ht="18.75" customHeight="1" x14ac:dyDescent="0.2">
      <c r="B16" s="141" t="s">
        <v>181</v>
      </c>
      <c r="C16" s="160">
        <f>C13*C15</f>
        <v>340000</v>
      </c>
      <c r="G16" s="142" t="s">
        <v>0</v>
      </c>
      <c r="H16" s="143">
        <v>6.5000000000000002E-2</v>
      </c>
      <c r="L16" s="465" t="s">
        <v>74</v>
      </c>
      <c r="M16" s="591">
        <v>0.9</v>
      </c>
      <c r="Q16" s="256" t="s">
        <v>248</v>
      </c>
      <c r="R16" s="269">
        <v>600000</v>
      </c>
      <c r="V16" s="258" t="s">
        <v>197</v>
      </c>
      <c r="W16" s="268">
        <f>W13+W15</f>
        <v>620000</v>
      </c>
    </row>
    <row r="17" spans="2:25" ht="18.75" customHeight="1" x14ac:dyDescent="0.2">
      <c r="B17" s="142" t="s">
        <v>0</v>
      </c>
      <c r="C17" s="143">
        <v>6.5000000000000002E-2</v>
      </c>
      <c r="G17" s="141" t="s">
        <v>1</v>
      </c>
      <c r="H17" s="144" t="s">
        <v>134</v>
      </c>
      <c r="L17" s="466" t="s">
        <v>331</v>
      </c>
      <c r="M17" s="617">
        <f>M16*M15</f>
        <v>430920</v>
      </c>
      <c r="Q17" s="258" t="s">
        <v>241</v>
      </c>
      <c r="R17" s="297">
        <v>0.9</v>
      </c>
      <c r="T17" s="289" t="s">
        <v>240</v>
      </c>
      <c r="V17" s="256" t="s">
        <v>248</v>
      </c>
      <c r="W17" s="269">
        <v>1600000</v>
      </c>
      <c r="Y17" s="289" t="s">
        <v>240</v>
      </c>
    </row>
    <row r="18" spans="2:25" ht="18.75" customHeight="1" x14ac:dyDescent="0.2">
      <c r="B18" s="141" t="s">
        <v>1</v>
      </c>
      <c r="C18" s="144" t="s">
        <v>134</v>
      </c>
      <c r="G18" s="142" t="s">
        <v>182</v>
      </c>
      <c r="H18" s="145">
        <v>2269.0300000000002</v>
      </c>
      <c r="L18" s="465" t="s">
        <v>1</v>
      </c>
      <c r="M18" s="595" t="s">
        <v>63</v>
      </c>
      <c r="O18" s="289" t="s">
        <v>240</v>
      </c>
      <c r="Q18" s="256" t="s">
        <v>2</v>
      </c>
      <c r="R18" s="298">
        <f>R15*R17</f>
        <v>315900</v>
      </c>
      <c r="T18" s="292">
        <f>R18*R21</f>
        <v>33959.25</v>
      </c>
      <c r="V18" s="258" t="s">
        <v>241</v>
      </c>
      <c r="W18" s="557">
        <v>0.2419354839</v>
      </c>
      <c r="Y18" s="292">
        <f>W19*W22</f>
        <v>17250.000002069999</v>
      </c>
    </row>
    <row r="19" spans="2:25" ht="18.75" customHeight="1" x14ac:dyDescent="0.2">
      <c r="B19" s="142" t="s">
        <v>182</v>
      </c>
      <c r="C19" s="145">
        <v>2269.0300000000002</v>
      </c>
      <c r="G19" s="142" t="s">
        <v>30</v>
      </c>
      <c r="H19" s="163">
        <f>H15*J23</f>
        <v>5100</v>
      </c>
      <c r="L19" s="466" t="s">
        <v>0</v>
      </c>
      <c r="M19" s="618">
        <v>0.1</v>
      </c>
      <c r="O19" s="292">
        <f>M17*M19</f>
        <v>43092</v>
      </c>
      <c r="Q19" s="258" t="s">
        <v>203</v>
      </c>
      <c r="R19" s="271">
        <f>R18/R16</f>
        <v>0.52649999999999997</v>
      </c>
      <c r="T19" s="288"/>
      <c r="V19" s="256" t="s">
        <v>2</v>
      </c>
      <c r="W19" s="298">
        <f>W16*W18</f>
        <v>150000.00001799999</v>
      </c>
      <c r="Y19" s="288"/>
    </row>
    <row r="20" spans="2:25" ht="18.75" customHeight="1" thickBot="1" x14ac:dyDescent="0.25">
      <c r="B20" s="141" t="s">
        <v>4</v>
      </c>
      <c r="C20" s="162">
        <v>0</v>
      </c>
      <c r="G20" s="141" t="s">
        <v>10</v>
      </c>
      <c r="H20" s="162">
        <v>6800</v>
      </c>
      <c r="L20" s="467" t="s">
        <v>64</v>
      </c>
      <c r="M20" s="619">
        <f>O19/12</f>
        <v>3591</v>
      </c>
      <c r="Q20" s="256" t="s">
        <v>1</v>
      </c>
      <c r="R20" s="270" t="s">
        <v>63</v>
      </c>
      <c r="V20" s="258" t="s">
        <v>203</v>
      </c>
      <c r="W20" s="271">
        <f>W19/W17</f>
        <v>9.3750000011250001E-2</v>
      </c>
    </row>
    <row r="21" spans="2:25" ht="18.75" customHeight="1" thickBot="1" x14ac:dyDescent="0.25">
      <c r="B21" s="142" t="s">
        <v>66</v>
      </c>
      <c r="C21" s="163">
        <f>E22*C16</f>
        <v>5100</v>
      </c>
      <c r="E21" s="168" t="s">
        <v>39</v>
      </c>
      <c r="G21" s="142" t="s">
        <v>26</v>
      </c>
      <c r="H21" s="163">
        <v>500</v>
      </c>
      <c r="L21" s="129" t="s">
        <v>189</v>
      </c>
      <c r="M21" s="272"/>
      <c r="O21" s="417" t="s">
        <v>39</v>
      </c>
      <c r="Q21" s="258" t="s">
        <v>0</v>
      </c>
      <c r="R21" s="271">
        <v>0.1075</v>
      </c>
      <c r="T21" s="293" t="s">
        <v>39</v>
      </c>
      <c r="V21" s="256" t="s">
        <v>1</v>
      </c>
      <c r="W21" s="270" t="s">
        <v>63</v>
      </c>
      <c r="Y21" s="293" t="s">
        <v>39</v>
      </c>
    </row>
    <row r="22" spans="2:25" ht="18.75" customHeight="1" thickBot="1" x14ac:dyDescent="0.25">
      <c r="B22" s="141" t="s">
        <v>10</v>
      </c>
      <c r="C22" s="162">
        <v>4125</v>
      </c>
      <c r="E22" s="169">
        <v>1.4999999999999999E-2</v>
      </c>
      <c r="G22" s="141" t="s">
        <v>225</v>
      </c>
      <c r="H22" s="162">
        <v>75</v>
      </c>
      <c r="J22" s="235" t="s">
        <v>39</v>
      </c>
      <c r="L22" s="464" t="s">
        <v>591</v>
      </c>
      <c r="M22" s="515">
        <f>M15-M17</f>
        <v>47880</v>
      </c>
      <c r="O22" s="418">
        <v>1.2500000000000001E-2</v>
      </c>
      <c r="Q22" s="256" t="s">
        <v>242</v>
      </c>
      <c r="R22" s="298">
        <f>T18/12</f>
        <v>2829.9375</v>
      </c>
      <c r="T22" s="294">
        <v>1.4999999999999999E-2</v>
      </c>
      <c r="V22" s="258" t="s">
        <v>0</v>
      </c>
      <c r="W22" s="271">
        <v>0.115</v>
      </c>
      <c r="Y22" s="294">
        <v>1.4999999999999999E-2</v>
      </c>
    </row>
    <row r="23" spans="2:25" ht="18.75" customHeight="1" thickBot="1" x14ac:dyDescent="0.25">
      <c r="B23" s="142" t="s">
        <v>26</v>
      </c>
      <c r="C23" s="163">
        <v>500</v>
      </c>
      <c r="G23" s="146" t="s">
        <v>226</v>
      </c>
      <c r="H23" s="164">
        <f>H18*3</f>
        <v>6807.09</v>
      </c>
      <c r="J23" s="237">
        <v>1.4999999999999999E-2</v>
      </c>
      <c r="L23" s="465" t="s">
        <v>45</v>
      </c>
      <c r="M23" s="596">
        <f>M17*O22</f>
        <v>5386.5</v>
      </c>
      <c r="Q23" s="360" t="s">
        <v>313</v>
      </c>
      <c r="R23" s="393" t="s">
        <v>133</v>
      </c>
      <c r="V23" s="256" t="s">
        <v>242</v>
      </c>
      <c r="W23" s="298">
        <f>Y18/12</f>
        <v>1437.5000001725</v>
      </c>
    </row>
    <row r="24" spans="2:25" ht="18.75" customHeight="1" thickBot="1" x14ac:dyDescent="0.25">
      <c r="B24" s="141" t="s">
        <v>225</v>
      </c>
      <c r="C24" s="162">
        <v>75</v>
      </c>
      <c r="G24" s="120" t="s">
        <v>169</v>
      </c>
      <c r="H24" s="138"/>
      <c r="L24" s="466" t="s">
        <v>10</v>
      </c>
      <c r="M24" s="593">
        <v>8618.4</v>
      </c>
      <c r="Q24" s="129" t="s">
        <v>189</v>
      </c>
      <c r="R24" s="272"/>
      <c r="V24" s="360" t="s">
        <v>313</v>
      </c>
      <c r="W24" s="393" t="s">
        <v>133</v>
      </c>
    </row>
    <row r="25" spans="2:25" ht="18.75" customHeight="1" thickBot="1" x14ac:dyDescent="0.25">
      <c r="B25" s="146" t="s">
        <v>226</v>
      </c>
      <c r="C25" s="164">
        <f>C21*3</f>
        <v>15300</v>
      </c>
      <c r="G25" s="157" t="s">
        <v>12</v>
      </c>
      <c r="H25" s="165">
        <v>1500</v>
      </c>
      <c r="L25" s="465" t="s">
        <v>26</v>
      </c>
      <c r="M25" s="596">
        <v>500</v>
      </c>
      <c r="Q25" s="210" t="s">
        <v>239</v>
      </c>
      <c r="R25" s="547">
        <f>R22*6</f>
        <v>16979.625</v>
      </c>
      <c r="V25" s="129" t="s">
        <v>189</v>
      </c>
      <c r="W25" s="272"/>
    </row>
    <row r="26" spans="2:25" ht="18.75" customHeight="1" thickBot="1" x14ac:dyDescent="0.25">
      <c r="B26" s="120" t="s">
        <v>169</v>
      </c>
      <c r="C26" s="138"/>
      <c r="G26" s="152" t="s">
        <v>13</v>
      </c>
      <c r="H26" s="166">
        <v>0</v>
      </c>
      <c r="L26" s="466" t="s">
        <v>80</v>
      </c>
      <c r="M26" s="593">
        <f>M20*6</f>
        <v>21546</v>
      </c>
      <c r="Q26" s="142" t="s">
        <v>81</v>
      </c>
      <c r="R26" s="548">
        <f>R14*0.1</f>
        <v>23850</v>
      </c>
      <c r="V26" s="210" t="s">
        <v>239</v>
      </c>
      <c r="W26" s="547">
        <f>W23*6</f>
        <v>8625.0000010349995</v>
      </c>
    </row>
    <row r="27" spans="2:25" ht="18.75" customHeight="1" thickBot="1" x14ac:dyDescent="0.25">
      <c r="B27" s="157" t="s">
        <v>183</v>
      </c>
      <c r="C27" s="165">
        <v>600</v>
      </c>
      <c r="G27" s="136"/>
      <c r="H27" s="131"/>
      <c r="L27" s="467" t="s">
        <v>81</v>
      </c>
      <c r="M27" s="376">
        <f>M14*0.1</f>
        <v>7500</v>
      </c>
      <c r="Q27" s="256" t="s">
        <v>243</v>
      </c>
      <c r="R27" s="274">
        <f>R15*R28</f>
        <v>35099.999999999993</v>
      </c>
      <c r="T27" s="289" t="s">
        <v>244</v>
      </c>
      <c r="V27" s="142" t="s">
        <v>81</v>
      </c>
      <c r="W27" s="548">
        <f>W19*0.1</f>
        <v>15000.000001799999</v>
      </c>
      <c r="Y27" s="289" t="s">
        <v>244</v>
      </c>
    </row>
    <row r="28" spans="2:25" ht="18.75" customHeight="1" thickBot="1" x14ac:dyDescent="0.25">
      <c r="B28" s="150" t="s">
        <v>12</v>
      </c>
      <c r="C28" s="162">
        <v>1500</v>
      </c>
      <c r="G28" s="211" t="s">
        <v>67</v>
      </c>
      <c r="H28" s="238">
        <f>SUM(H19:H26)</f>
        <v>20782.09</v>
      </c>
      <c r="L28" s="129" t="s">
        <v>169</v>
      </c>
      <c r="M28" s="276"/>
      <c r="Q28" s="258" t="s">
        <v>245</v>
      </c>
      <c r="R28" s="296">
        <f>T28-R17</f>
        <v>9.9999999999999978E-2</v>
      </c>
      <c r="T28" s="290">
        <v>1</v>
      </c>
      <c r="V28" s="256" t="s">
        <v>243</v>
      </c>
      <c r="W28" s="274">
        <f>W16*W29</f>
        <v>0</v>
      </c>
      <c r="Y28" s="290">
        <v>1</v>
      </c>
    </row>
    <row r="29" spans="2:25" ht="18.75" customHeight="1" thickBot="1" x14ac:dyDescent="0.25">
      <c r="B29" s="152" t="s">
        <v>13</v>
      </c>
      <c r="C29" s="166">
        <v>0</v>
      </c>
      <c r="G29" s="152" t="s">
        <v>83</v>
      </c>
      <c r="H29" s="239">
        <f>H15-H28-H13</f>
        <v>19217.909999999974</v>
      </c>
      <c r="L29" s="372" t="s">
        <v>14</v>
      </c>
      <c r="M29" s="594">
        <v>600</v>
      </c>
      <c r="Q29" s="256" t="s">
        <v>30</v>
      </c>
      <c r="R29" s="274">
        <f>R18*T22</f>
        <v>4738.5</v>
      </c>
      <c r="T29" s="291">
        <f>T28-R17</f>
        <v>9.9999999999999978E-2</v>
      </c>
      <c r="V29" s="258" t="s">
        <v>245</v>
      </c>
      <c r="W29" s="296">
        <v>0</v>
      </c>
      <c r="Y29" s="291">
        <f>Y28-W18</f>
        <v>0.75806451610000003</v>
      </c>
    </row>
    <row r="30" spans="2:25" ht="18.75" customHeight="1" thickBot="1" x14ac:dyDescent="0.25">
      <c r="B30" s="136"/>
      <c r="C30" s="131"/>
      <c r="G30" s="132"/>
      <c r="H30" s="131"/>
      <c r="L30" s="374" t="s">
        <v>12</v>
      </c>
      <c r="M30" s="596">
        <v>1500</v>
      </c>
      <c r="Q30" s="258" t="s">
        <v>314</v>
      </c>
      <c r="R30" s="273">
        <v>6318</v>
      </c>
      <c r="V30" s="256" t="s">
        <v>30</v>
      </c>
      <c r="W30" s="274">
        <f>W19*Y22</f>
        <v>2250.0000002699999</v>
      </c>
    </row>
    <row r="31" spans="2:25" ht="18.75" customHeight="1" thickBot="1" x14ac:dyDescent="0.25">
      <c r="B31" s="158" t="s">
        <v>67</v>
      </c>
      <c r="C31" s="167">
        <f>SUM(C20:C29)</f>
        <v>27200</v>
      </c>
      <c r="G31" s="119" t="s">
        <v>20</v>
      </c>
      <c r="H31" s="240"/>
      <c r="L31" s="468" t="s">
        <v>13</v>
      </c>
      <c r="M31" s="376">
        <v>1500</v>
      </c>
      <c r="Q31" s="257" t="s">
        <v>26</v>
      </c>
      <c r="R31" s="275">
        <v>500</v>
      </c>
      <c r="V31" s="258" t="s">
        <v>314</v>
      </c>
      <c r="W31" s="273">
        <v>4000</v>
      </c>
    </row>
    <row r="32" spans="2:25" ht="18.75" customHeight="1" thickBot="1" x14ac:dyDescent="0.25">
      <c r="B32" s="132"/>
      <c r="C32" s="131"/>
      <c r="D32" s="73"/>
      <c r="E32" s="73"/>
      <c r="F32" s="73"/>
      <c r="G32" s="241" t="s">
        <v>21</v>
      </c>
      <c r="H32" s="117"/>
      <c r="L32" s="412"/>
      <c r="M32" s="620"/>
      <c r="Q32" s="232"/>
      <c r="R32" s="276"/>
      <c r="V32" s="257" t="s">
        <v>26</v>
      </c>
      <c r="W32" s="275">
        <v>500</v>
      </c>
    </row>
    <row r="33" spans="2:25" s="73" customFormat="1" ht="18.75" customHeight="1" thickBot="1" x14ac:dyDescent="0.25">
      <c r="B33" s="137" t="s">
        <v>20</v>
      </c>
      <c r="C33" s="131"/>
      <c r="D33" s="1"/>
      <c r="E33" s="1"/>
      <c r="F33" s="1"/>
      <c r="G33" s="1"/>
      <c r="H33" s="13"/>
      <c r="J33" s="66"/>
      <c r="K33" s="260"/>
      <c r="L33" s="108" t="s">
        <v>298</v>
      </c>
      <c r="M33" s="627">
        <f>SUM(M23,M24,M25,M29,M30,M31)</f>
        <v>18104.900000000001</v>
      </c>
      <c r="O33" s="67">
        <f>SUM(M22:M25,M29,M30,M31)</f>
        <v>65984.899999999994</v>
      </c>
      <c r="Q33" s="129" t="s">
        <v>169</v>
      </c>
      <c r="R33" s="276"/>
      <c r="T33" s="295">
        <f>SUM(R27:R31,R34,R35,R36)</f>
        <v>50256.599999999991</v>
      </c>
      <c r="V33" s="232"/>
      <c r="W33" s="276"/>
      <c r="Y33" s="295">
        <f>SUM(W28:W32,W35,W36,W37)</f>
        <v>11350.00000027</v>
      </c>
    </row>
    <row r="34" spans="2:25" ht="18.75" customHeight="1" thickBot="1" x14ac:dyDescent="0.25">
      <c r="B34" s="159" t="s">
        <v>21</v>
      </c>
      <c r="C34" s="147"/>
      <c r="L34" s="110" t="s">
        <v>590</v>
      </c>
      <c r="M34" s="626">
        <f>SUM(M22:M31)</f>
        <v>95030.9</v>
      </c>
      <c r="Q34" s="148" t="s">
        <v>14</v>
      </c>
      <c r="R34" s="277">
        <v>600</v>
      </c>
      <c r="V34" s="129" t="s">
        <v>169</v>
      </c>
      <c r="W34" s="276"/>
    </row>
    <row r="35" spans="2:25" ht="18.75" customHeight="1" x14ac:dyDescent="0.2">
      <c r="L35" s="621"/>
      <c r="M35" s="616"/>
      <c r="Q35" s="259" t="s">
        <v>12</v>
      </c>
      <c r="R35" s="274">
        <v>1500</v>
      </c>
      <c r="V35" s="148" t="s">
        <v>14</v>
      </c>
      <c r="W35" s="277">
        <v>600</v>
      </c>
    </row>
    <row r="36" spans="2:25" ht="18.75" customHeight="1" thickBot="1" x14ac:dyDescent="0.25">
      <c r="L36" s="2091" t="s">
        <v>332</v>
      </c>
      <c r="M36" s="2092"/>
      <c r="Q36" s="213" t="s">
        <v>13</v>
      </c>
      <c r="R36" s="275">
        <v>1500</v>
      </c>
      <c r="V36" s="259" t="s">
        <v>12</v>
      </c>
      <c r="W36" s="274">
        <v>2000</v>
      </c>
    </row>
    <row r="37" spans="2:25" ht="18.75" customHeight="1" thickBot="1" x14ac:dyDescent="0.25">
      <c r="L37" s="622" t="s">
        <v>20</v>
      </c>
      <c r="M37" s="623"/>
      <c r="Q37" s="287"/>
      <c r="R37" s="276"/>
      <c r="V37" s="213" t="s">
        <v>13</v>
      </c>
      <c r="W37" s="275">
        <v>2000</v>
      </c>
    </row>
    <row r="38" spans="2:25" ht="18.75" customHeight="1" thickBot="1" x14ac:dyDescent="0.25">
      <c r="L38" s="624" t="s">
        <v>21</v>
      </c>
      <c r="M38" s="625"/>
      <c r="Q38" s="148" t="s">
        <v>246</v>
      </c>
      <c r="R38" s="278">
        <f>SUM(R27:R36)</f>
        <v>50256.599999999991</v>
      </c>
      <c r="V38" s="287"/>
      <c r="W38" s="276"/>
    </row>
    <row r="39" spans="2:25" ht="18.75" customHeight="1" x14ac:dyDescent="0.2">
      <c r="Q39" s="259" t="s">
        <v>249</v>
      </c>
      <c r="R39" s="299">
        <f>R25+R26</f>
        <v>40829.625</v>
      </c>
      <c r="V39" s="148" t="s">
        <v>246</v>
      </c>
      <c r="W39" s="278">
        <f>SUM(W28:W37)</f>
        <v>11350.00000027</v>
      </c>
    </row>
    <row r="40" spans="2:25" ht="18.75" customHeight="1" thickBot="1" x14ac:dyDescent="0.25">
      <c r="Q40" s="300" t="s">
        <v>247</v>
      </c>
      <c r="R40" s="301">
        <f>SUM(R38,R25,R26)</f>
        <v>91086.224999999991</v>
      </c>
      <c r="V40" s="259" t="s">
        <v>249</v>
      </c>
      <c r="W40" s="299">
        <f>W26+W27</f>
        <v>23625.000002834997</v>
      </c>
    </row>
    <row r="41" spans="2:25" ht="18.75" customHeight="1" thickBot="1" x14ac:dyDescent="0.25">
      <c r="Q41" s="231"/>
      <c r="R41" s="279"/>
      <c r="V41" s="300" t="s">
        <v>247</v>
      </c>
      <c r="W41" s="301">
        <f>SUM(W39,W26,W27)</f>
        <v>34975.000003105</v>
      </c>
    </row>
    <row r="42" spans="2:25" ht="18.75" customHeight="1" x14ac:dyDescent="0.2">
      <c r="Q42" s="2083" t="s">
        <v>489</v>
      </c>
      <c r="R42" s="2084"/>
      <c r="V42" s="231"/>
      <c r="W42" s="279"/>
    </row>
    <row r="43" spans="2:25" ht="18.75" customHeight="1" x14ac:dyDescent="0.2">
      <c r="Q43" s="280" t="s">
        <v>20</v>
      </c>
      <c r="R43" s="281"/>
      <c r="V43" s="284" t="s">
        <v>516</v>
      </c>
      <c r="W43" s="285"/>
    </row>
    <row r="44" spans="2:25" ht="18.75" customHeight="1" x14ac:dyDescent="0.2">
      <c r="Q44" s="282" t="s">
        <v>21</v>
      </c>
      <c r="R44" s="283"/>
      <c r="V44" s="280" t="s">
        <v>20</v>
      </c>
      <c r="W44" s="281"/>
    </row>
    <row r="45" spans="2:25" ht="18.75" customHeight="1" x14ac:dyDescent="0.2">
      <c r="V45" s="282" t="s">
        <v>21</v>
      </c>
      <c r="W45" s="283"/>
    </row>
  </sheetData>
  <mergeCells count="7">
    <mergeCell ref="V3:W3"/>
    <mergeCell ref="Q42:R42"/>
    <mergeCell ref="G3:H3"/>
    <mergeCell ref="B3:C3"/>
    <mergeCell ref="Q3:R3"/>
    <mergeCell ref="L3:M3"/>
    <mergeCell ref="L36:M36"/>
  </mergeCells>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B169-1005-4213-BDB7-C436D6B446B8}">
  <dimension ref="B2:F38"/>
  <sheetViews>
    <sheetView showGridLines="0" topLeftCell="A7" zoomScale="80" zoomScaleNormal="80" workbookViewId="0">
      <selection activeCell="I27" sqref="I27"/>
    </sheetView>
  </sheetViews>
  <sheetFormatPr baseColWidth="10" defaultColWidth="9.1640625" defaultRowHeight="15" x14ac:dyDescent="0.2"/>
  <cols>
    <col min="1" max="1" width="2.83203125" style="260" customWidth="1"/>
    <col min="2" max="2" width="43" style="631" customWidth="1"/>
    <col min="3" max="4" width="20.5" style="631" customWidth="1"/>
    <col min="5" max="5" width="3.5" style="444" customWidth="1"/>
    <col min="6" max="6" width="25" style="260" customWidth="1"/>
    <col min="7" max="16384" width="9.1640625" style="260"/>
  </cols>
  <sheetData>
    <row r="2" spans="2:5" ht="18.75" customHeight="1" x14ac:dyDescent="0.2">
      <c r="B2" s="629" t="s">
        <v>592</v>
      </c>
    </row>
    <row r="3" spans="2:5" ht="18.75" customHeight="1" x14ac:dyDescent="0.2">
      <c r="B3" s="630"/>
    </row>
    <row r="4" spans="2:5" ht="18.75" customHeight="1" x14ac:dyDescent="0.2">
      <c r="B4" s="636" t="s">
        <v>599</v>
      </c>
    </row>
    <row r="5" spans="2:5" ht="18.75" customHeight="1" x14ac:dyDescent="0.2">
      <c r="B5" s="636" t="s">
        <v>600</v>
      </c>
    </row>
    <row r="6" spans="2:5" ht="18.75" customHeight="1" x14ac:dyDescent="0.2">
      <c r="B6" s="636" t="s">
        <v>593</v>
      </c>
    </row>
    <row r="7" spans="2:5" ht="18.75" customHeight="1" x14ac:dyDescent="0.2">
      <c r="B7" s="637" t="s">
        <v>594</v>
      </c>
    </row>
    <row r="8" spans="2:5" ht="18.75" customHeight="1" x14ac:dyDescent="0.2"/>
    <row r="9" spans="2:5" ht="18.75" customHeight="1" x14ac:dyDescent="0.2">
      <c r="B9" s="631" t="s">
        <v>611</v>
      </c>
    </row>
    <row r="10" spans="2:5" ht="18.75" customHeight="1" x14ac:dyDescent="0.2">
      <c r="B10" s="2096" t="s">
        <v>601</v>
      </c>
      <c r="C10" s="2096"/>
      <c r="D10" s="2096"/>
    </row>
    <row r="11" spans="2:5" ht="19.5" customHeight="1" thickBot="1" x14ac:dyDescent="0.25">
      <c r="B11" s="129" t="s">
        <v>15</v>
      </c>
      <c r="C11" s="261">
        <f ca="1">TODAY()</f>
        <v>43713</v>
      </c>
      <c r="D11" s="261"/>
    </row>
    <row r="12" spans="2:5" ht="19.5" customHeight="1" x14ac:dyDescent="0.2">
      <c r="B12" s="99" t="s">
        <v>24</v>
      </c>
      <c r="C12" s="1553" t="s">
        <v>532</v>
      </c>
      <c r="D12" s="1554"/>
      <c r="E12" s="645" t="s">
        <v>610</v>
      </c>
    </row>
    <row r="13" spans="2:5" ht="19.5" customHeight="1" x14ac:dyDescent="0.2">
      <c r="B13" s="303" t="s">
        <v>250</v>
      </c>
      <c r="C13" s="1555" t="s">
        <v>533</v>
      </c>
      <c r="D13" s="1556"/>
      <c r="E13" s="645" t="s">
        <v>610</v>
      </c>
    </row>
    <row r="14" spans="2:5" ht="19.5" customHeight="1" thickBot="1" x14ac:dyDescent="0.25">
      <c r="B14" s="100" t="s">
        <v>25</v>
      </c>
      <c r="C14" s="1766" t="s">
        <v>534</v>
      </c>
      <c r="D14" s="1767"/>
      <c r="E14" s="645" t="s">
        <v>610</v>
      </c>
    </row>
    <row r="15" spans="2:5" ht="19.5" customHeight="1" thickBot="1" x14ac:dyDescent="0.25">
      <c r="B15" s="122" t="s">
        <v>168</v>
      </c>
      <c r="C15" s="560"/>
      <c r="D15" s="560"/>
    </row>
    <row r="16" spans="2:5" ht="19.5" customHeight="1" x14ac:dyDescent="0.2">
      <c r="B16" s="79" t="s">
        <v>595</v>
      </c>
      <c r="C16" s="2107">
        <v>100000</v>
      </c>
      <c r="D16" s="2108"/>
      <c r="E16" s="645" t="s">
        <v>610</v>
      </c>
    </row>
    <row r="17" spans="2:6" ht="19.5" customHeight="1" x14ac:dyDescent="0.2">
      <c r="B17" s="91" t="s">
        <v>596</v>
      </c>
      <c r="C17" s="1643">
        <v>130000</v>
      </c>
      <c r="D17" s="1644"/>
      <c r="E17" s="645" t="s">
        <v>610</v>
      </c>
    </row>
    <row r="18" spans="2:6" ht="19.5" customHeight="1" x14ac:dyDescent="0.2">
      <c r="B18" s="76" t="s">
        <v>3</v>
      </c>
      <c r="C18" s="2105">
        <v>1</v>
      </c>
      <c r="D18" s="2106"/>
    </row>
    <row r="19" spans="2:6" ht="19.5" customHeight="1" thickBot="1" x14ac:dyDescent="0.25">
      <c r="B19" s="125" t="s">
        <v>597</v>
      </c>
      <c r="C19" s="2103">
        <f>C16*C18</f>
        <v>100000</v>
      </c>
      <c r="D19" s="2104"/>
    </row>
    <row r="20" spans="2:6" ht="19.5" customHeight="1" thickBot="1" x14ac:dyDescent="0.25">
      <c r="B20" s="632" t="s">
        <v>166</v>
      </c>
      <c r="C20" s="633"/>
      <c r="D20" s="633"/>
    </row>
    <row r="21" spans="2:6" ht="19.5" customHeight="1" x14ac:dyDescent="0.2">
      <c r="B21" s="178" t="s">
        <v>45</v>
      </c>
      <c r="C21" s="634">
        <f>MAX(750,C19*D21)</f>
        <v>1000</v>
      </c>
      <c r="D21" s="635">
        <v>0.01</v>
      </c>
      <c r="E21" s="645" t="s">
        <v>610</v>
      </c>
      <c r="F21" s="647" t="s">
        <v>612</v>
      </c>
    </row>
    <row r="22" spans="2:6" ht="19.5" customHeight="1" x14ac:dyDescent="0.2">
      <c r="B22" s="76" t="s">
        <v>10</v>
      </c>
      <c r="C22" s="628">
        <v>3000</v>
      </c>
      <c r="D22" s="243"/>
      <c r="E22" s="645" t="s">
        <v>610</v>
      </c>
    </row>
    <row r="23" spans="2:6" ht="19.5" customHeight="1" x14ac:dyDescent="0.2">
      <c r="B23" s="91" t="s">
        <v>26</v>
      </c>
      <c r="C23" s="568">
        <v>99</v>
      </c>
      <c r="D23" s="430"/>
    </row>
    <row r="24" spans="2:6" ht="19.5" customHeight="1" thickBot="1" x14ac:dyDescent="0.25">
      <c r="B24" s="489" t="s">
        <v>12</v>
      </c>
      <c r="C24" s="612">
        <v>1500</v>
      </c>
      <c r="D24" s="646"/>
    </row>
    <row r="25" spans="2:6" ht="19.5" customHeight="1" thickBot="1" x14ac:dyDescent="0.25"/>
    <row r="26" spans="2:6" ht="19.5" customHeight="1" x14ac:dyDescent="0.2">
      <c r="B26" s="638" t="s">
        <v>293</v>
      </c>
      <c r="C26" s="1785">
        <f>SUM(C21:C24)</f>
        <v>5599</v>
      </c>
      <c r="D26" s="2095"/>
    </row>
    <row r="27" spans="2:6" ht="19.5" customHeight="1" thickBot="1" x14ac:dyDescent="0.25">
      <c r="B27" s="98" t="s">
        <v>598</v>
      </c>
      <c r="C27" s="2093">
        <f>C17-C19-C26</f>
        <v>24401</v>
      </c>
      <c r="D27" s="2094"/>
    </row>
    <row r="29" spans="2:6" ht="15.75" customHeight="1" x14ac:dyDescent="0.2">
      <c r="B29" s="2097" t="s">
        <v>602</v>
      </c>
      <c r="C29" s="2098"/>
      <c r="D29" s="2099"/>
    </row>
    <row r="30" spans="2:6" x14ac:dyDescent="0.2">
      <c r="B30" s="2100"/>
      <c r="C30" s="2101"/>
      <c r="D30" s="2102"/>
    </row>
    <row r="31" spans="2:6" x14ac:dyDescent="0.2">
      <c r="B31" s="2100"/>
      <c r="C31" s="2101"/>
      <c r="D31" s="2102"/>
    </row>
    <row r="32" spans="2:6" ht="16" x14ac:dyDescent="0.2">
      <c r="B32" s="644" t="s">
        <v>603</v>
      </c>
      <c r="D32" s="639"/>
    </row>
    <row r="33" spans="2:4" ht="16" x14ac:dyDescent="0.2">
      <c r="B33" s="640" t="s">
        <v>604</v>
      </c>
      <c r="D33" s="639"/>
    </row>
    <row r="34" spans="2:4" ht="16" x14ac:dyDescent="0.2">
      <c r="B34" s="640" t="s">
        <v>605</v>
      </c>
      <c r="D34" s="639"/>
    </row>
    <row r="35" spans="2:4" ht="16" x14ac:dyDescent="0.2">
      <c r="B35" s="640" t="s">
        <v>606</v>
      </c>
      <c r="D35" s="639"/>
    </row>
    <row r="36" spans="2:4" ht="16" x14ac:dyDescent="0.2">
      <c r="B36" s="640" t="s">
        <v>607</v>
      </c>
      <c r="D36" s="639"/>
    </row>
    <row r="37" spans="2:4" ht="16" x14ac:dyDescent="0.2">
      <c r="B37" s="640" t="s">
        <v>608</v>
      </c>
      <c r="D37" s="639"/>
    </row>
    <row r="38" spans="2:4" ht="16" x14ac:dyDescent="0.2">
      <c r="B38" s="641" t="s">
        <v>609</v>
      </c>
      <c r="C38" s="642"/>
      <c r="D38" s="643"/>
    </row>
  </sheetData>
  <mergeCells count="11">
    <mergeCell ref="C27:D27"/>
    <mergeCell ref="C26:D26"/>
    <mergeCell ref="B10:D10"/>
    <mergeCell ref="B29:D31"/>
    <mergeCell ref="C14:D14"/>
    <mergeCell ref="C13:D13"/>
    <mergeCell ref="C12:D12"/>
    <mergeCell ref="C19:D19"/>
    <mergeCell ref="C18:D18"/>
    <mergeCell ref="C17:D17"/>
    <mergeCell ref="C16:D16"/>
  </mergeCell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915E7-4741-435B-980B-473EE69DF63E}">
  <dimension ref="A1:K44"/>
  <sheetViews>
    <sheetView showGridLines="0" zoomScale="70" zoomScaleNormal="70" workbookViewId="0">
      <selection activeCell="F7" sqref="F7"/>
    </sheetView>
  </sheetViews>
  <sheetFormatPr baseColWidth="10" defaultColWidth="9.1640625" defaultRowHeight="15" x14ac:dyDescent="0.2"/>
  <cols>
    <col min="1" max="1" width="1.83203125" style="1" customWidth="1"/>
    <col min="2" max="2" width="44.33203125" style="1" customWidth="1"/>
    <col min="3" max="3" width="44.33203125" style="13" customWidth="1"/>
    <col min="4" max="4" width="2.83203125" style="1" customWidth="1"/>
    <col min="5" max="5" width="14.6640625" style="13" customWidth="1"/>
    <col min="6" max="6" width="4.5" style="1" customWidth="1"/>
    <col min="7" max="7" width="1.83203125" style="1" customWidth="1"/>
    <col min="8" max="8" width="44.33203125" style="1" customWidth="1"/>
    <col min="9" max="9" width="44.33203125" style="13" customWidth="1"/>
    <col min="10" max="10" width="2.83203125" style="1" customWidth="1"/>
    <col min="11" max="11" width="14.6640625" style="13" customWidth="1"/>
    <col min="12" max="16384" width="9.1640625" style="1"/>
  </cols>
  <sheetData>
    <row r="1" spans="1:11" ht="22" x14ac:dyDescent="0.25">
      <c r="B1" s="12" t="s">
        <v>463</v>
      </c>
      <c r="H1" s="12"/>
    </row>
    <row r="3" spans="1:11" ht="21" x14ac:dyDescent="0.25">
      <c r="B3" s="2073" t="s">
        <v>469</v>
      </c>
      <c r="C3" s="2074"/>
      <c r="E3" s="1"/>
      <c r="H3" s="2110" t="s">
        <v>472</v>
      </c>
      <c r="I3" s="2111"/>
      <c r="K3" s="1"/>
    </row>
    <row r="4" spans="1:11" ht="23" thickBot="1" x14ac:dyDescent="0.3">
      <c r="B4" s="120" t="s">
        <v>15</v>
      </c>
      <c r="C4" s="135">
        <f ca="1">TODAY()</f>
        <v>43713</v>
      </c>
      <c r="E4" s="1"/>
      <c r="H4" s="120" t="s">
        <v>15</v>
      </c>
      <c r="I4" s="135">
        <f ca="1">TODAY()</f>
        <v>43713</v>
      </c>
      <c r="K4" s="1"/>
    </row>
    <row r="5" spans="1:11" customFormat="1" ht="19.5" customHeight="1" x14ac:dyDescent="0.25">
      <c r="A5" s="1"/>
      <c r="B5" s="154" t="s">
        <v>24</v>
      </c>
      <c r="C5" s="155" t="s">
        <v>435</v>
      </c>
      <c r="D5" s="1"/>
      <c r="E5" s="1"/>
      <c r="G5" s="1"/>
      <c r="H5" s="154" t="s">
        <v>24</v>
      </c>
      <c r="I5" s="155" t="s">
        <v>435</v>
      </c>
      <c r="J5" s="1"/>
      <c r="K5" s="1"/>
    </row>
    <row r="6" spans="1:11" customFormat="1" ht="19.5" customHeight="1" x14ac:dyDescent="0.2">
      <c r="B6" s="303" t="s">
        <v>250</v>
      </c>
      <c r="C6" s="539" t="s">
        <v>436</v>
      </c>
      <c r="H6" s="303" t="s">
        <v>250</v>
      </c>
      <c r="I6" s="539" t="s">
        <v>436</v>
      </c>
    </row>
    <row r="7" spans="1:11" customFormat="1" ht="19.5" customHeight="1" thickBot="1" x14ac:dyDescent="0.25">
      <c r="A7" s="1"/>
      <c r="B7" s="100" t="s">
        <v>25</v>
      </c>
      <c r="C7" s="538" t="s">
        <v>437</v>
      </c>
      <c r="D7" s="1"/>
      <c r="E7" s="1"/>
      <c r="G7" s="1"/>
      <c r="H7" s="100" t="s">
        <v>25</v>
      </c>
      <c r="I7" s="538" t="s">
        <v>437</v>
      </c>
      <c r="J7" s="1"/>
      <c r="K7" s="1"/>
    </row>
    <row r="8" spans="1:11" customFormat="1" ht="19.5" customHeight="1" thickBot="1" x14ac:dyDescent="0.25">
      <c r="A8" s="1"/>
      <c r="B8" s="122" t="s">
        <v>167</v>
      </c>
      <c r="C8" s="131"/>
      <c r="D8" s="1"/>
      <c r="E8" s="1"/>
      <c r="G8" s="1"/>
      <c r="H8" s="122" t="s">
        <v>167</v>
      </c>
      <c r="I8" s="131"/>
      <c r="J8" s="1"/>
      <c r="K8" s="1"/>
    </row>
    <row r="9" spans="1:11" customFormat="1" ht="19.5" customHeight="1" x14ac:dyDescent="0.2">
      <c r="A9" s="73"/>
      <c r="B9" s="96" t="s">
        <v>65</v>
      </c>
      <c r="C9" s="87">
        <v>0</v>
      </c>
      <c r="D9" s="73"/>
      <c r="E9" s="73"/>
      <c r="G9" s="73"/>
      <c r="H9" s="96" t="s">
        <v>65</v>
      </c>
      <c r="I9" s="87">
        <v>0</v>
      </c>
      <c r="J9" s="73"/>
      <c r="K9" s="73"/>
    </row>
    <row r="10" spans="1:11" customFormat="1" ht="19.5" customHeight="1" thickBot="1" x14ac:dyDescent="0.25">
      <c r="A10" s="1"/>
      <c r="B10" s="468" t="s">
        <v>47</v>
      </c>
      <c r="C10" s="475">
        <v>725</v>
      </c>
      <c r="D10" s="1"/>
      <c r="E10" s="1"/>
      <c r="G10" s="1"/>
      <c r="H10" s="468" t="s">
        <v>47</v>
      </c>
      <c r="I10" s="475">
        <v>725</v>
      </c>
      <c r="J10" s="1"/>
      <c r="K10" s="1"/>
    </row>
    <row r="11" spans="1:11" customFormat="1" ht="19.5" customHeight="1" thickBot="1" x14ac:dyDescent="0.25">
      <c r="A11" s="1"/>
      <c r="B11" s="122" t="s">
        <v>172</v>
      </c>
      <c r="C11" s="131"/>
      <c r="D11" s="1"/>
      <c r="E11" s="1"/>
      <c r="F11" t="s">
        <v>471</v>
      </c>
      <c r="G11" s="1"/>
      <c r="H11" s="122" t="s">
        <v>172</v>
      </c>
      <c r="I11" s="131"/>
      <c r="J11" s="1"/>
      <c r="K11" s="1"/>
    </row>
    <row r="12" spans="1:11" customFormat="1" ht="19.5" customHeight="1" x14ac:dyDescent="0.2">
      <c r="A12" s="1"/>
      <c r="B12" s="79" t="s">
        <v>291</v>
      </c>
      <c r="C12" s="476">
        <v>400000</v>
      </c>
      <c r="D12" s="1"/>
      <c r="E12" s="1"/>
      <c r="G12" s="1"/>
      <c r="H12" s="79" t="s">
        <v>470</v>
      </c>
      <c r="I12" s="476">
        <v>400000</v>
      </c>
      <c r="J12" s="1"/>
      <c r="K12" s="1"/>
    </row>
    <row r="13" spans="1:11" customFormat="1" ht="19.5" customHeight="1" x14ac:dyDescent="0.2">
      <c r="A13" s="73"/>
      <c r="B13" s="465" t="s">
        <v>3</v>
      </c>
      <c r="C13" s="477">
        <v>0.75</v>
      </c>
      <c r="D13" s="73"/>
      <c r="E13" s="73"/>
      <c r="G13" s="73"/>
      <c r="H13" s="465" t="s">
        <v>3</v>
      </c>
      <c r="I13" s="477">
        <v>0.75</v>
      </c>
      <c r="J13" s="73"/>
      <c r="K13" s="73"/>
    </row>
    <row r="14" spans="1:11" customFormat="1" ht="19.5" customHeight="1" x14ac:dyDescent="0.2">
      <c r="A14" s="1"/>
      <c r="B14" s="466" t="s">
        <v>181</v>
      </c>
      <c r="C14" s="478">
        <f>C12*C13</f>
        <v>300000</v>
      </c>
      <c r="D14" s="1"/>
      <c r="E14" s="1"/>
      <c r="G14" s="1"/>
      <c r="H14" s="466" t="s">
        <v>181</v>
      </c>
      <c r="I14" s="478">
        <f>I12*I13</f>
        <v>300000</v>
      </c>
      <c r="J14" s="1"/>
      <c r="K14" s="1"/>
    </row>
    <row r="15" spans="1:11" customFormat="1" ht="19.5" customHeight="1" x14ac:dyDescent="0.2">
      <c r="A15" s="1"/>
      <c r="B15" s="465" t="s">
        <v>209</v>
      </c>
      <c r="C15" s="479">
        <v>5400</v>
      </c>
      <c r="D15" s="1"/>
      <c r="E15" s="1"/>
      <c r="G15" s="1"/>
      <c r="H15" s="465" t="s">
        <v>209</v>
      </c>
      <c r="I15" s="479">
        <v>5400</v>
      </c>
      <c r="J15" s="1"/>
      <c r="K15" s="1"/>
    </row>
    <row r="16" spans="1:11" customFormat="1" ht="19.5" customHeight="1" x14ac:dyDescent="0.2">
      <c r="A16" s="1"/>
      <c r="B16" s="466" t="s">
        <v>210</v>
      </c>
      <c r="C16" s="478">
        <v>700</v>
      </c>
      <c r="D16" s="1"/>
      <c r="E16" s="1"/>
      <c r="G16" s="1"/>
      <c r="H16" s="466" t="s">
        <v>210</v>
      </c>
      <c r="I16" s="478">
        <v>700</v>
      </c>
      <c r="J16" s="1"/>
      <c r="K16" s="1"/>
    </row>
    <row r="17" spans="1:11" customFormat="1" ht="19.5" customHeight="1" x14ac:dyDescent="0.2">
      <c r="A17" s="1"/>
      <c r="B17" s="465" t="s">
        <v>438</v>
      </c>
      <c r="C17" s="495">
        <v>7.1849999999999997E-2</v>
      </c>
      <c r="D17" s="1"/>
      <c r="E17" s="1"/>
      <c r="G17" s="1"/>
      <c r="H17" s="465" t="s">
        <v>438</v>
      </c>
      <c r="I17" s="495">
        <v>7.1849999999999997E-2</v>
      </c>
      <c r="J17" s="1"/>
      <c r="K17" s="1"/>
    </row>
    <row r="18" spans="1:11" customFormat="1" ht="19.5" customHeight="1" x14ac:dyDescent="0.2">
      <c r="A18" s="1"/>
      <c r="B18" s="466" t="s">
        <v>439</v>
      </c>
      <c r="C18" s="480">
        <v>7.6850000000000002E-2</v>
      </c>
      <c r="D18" s="1"/>
      <c r="E18" s="1"/>
      <c r="G18" s="1"/>
      <c r="H18" s="466" t="s">
        <v>439</v>
      </c>
      <c r="I18" s="480">
        <v>7.6850000000000002E-2</v>
      </c>
      <c r="J18" s="1"/>
      <c r="K18" s="1"/>
    </row>
    <row r="19" spans="1:11" customFormat="1" ht="19.5" customHeight="1" x14ac:dyDescent="0.2">
      <c r="A19" s="1"/>
      <c r="B19" s="466" t="s">
        <v>465</v>
      </c>
      <c r="C19" s="480" t="s">
        <v>466</v>
      </c>
      <c r="D19" s="1"/>
      <c r="E19" s="1"/>
      <c r="G19" s="1"/>
      <c r="H19" s="466" t="s">
        <v>465</v>
      </c>
      <c r="I19" s="480" t="s">
        <v>466</v>
      </c>
      <c r="J19" s="1"/>
      <c r="K19" s="1"/>
    </row>
    <row r="20" spans="1:11" customFormat="1" ht="19.5" customHeight="1" x14ac:dyDescent="0.2">
      <c r="A20" s="1"/>
      <c r="B20" s="465" t="s">
        <v>1</v>
      </c>
      <c r="C20" s="498" t="s">
        <v>440</v>
      </c>
      <c r="D20" s="1"/>
      <c r="E20" s="1"/>
      <c r="G20" s="1"/>
      <c r="H20" s="465" t="s">
        <v>1</v>
      </c>
      <c r="I20" s="498" t="s">
        <v>440</v>
      </c>
      <c r="J20" s="1"/>
      <c r="K20" s="1"/>
    </row>
    <row r="21" spans="1:11" customFormat="1" ht="19.5" customHeight="1" thickBot="1" x14ac:dyDescent="0.25">
      <c r="A21" s="1"/>
      <c r="B21" s="489" t="s">
        <v>53</v>
      </c>
      <c r="C21" s="499" t="s">
        <v>464</v>
      </c>
      <c r="D21" s="1"/>
      <c r="E21" s="1"/>
      <c r="G21" s="1"/>
      <c r="H21" s="489" t="s">
        <v>53</v>
      </c>
      <c r="I21" s="499" t="s">
        <v>464</v>
      </c>
      <c r="J21" s="1"/>
      <c r="K21" s="1"/>
    </row>
    <row r="22" spans="1:11" customFormat="1" ht="19.5" customHeight="1" thickBot="1" x14ac:dyDescent="0.25">
      <c r="A22" s="1"/>
      <c r="B22" s="120" t="s">
        <v>208</v>
      </c>
      <c r="C22" s="505"/>
      <c r="D22" s="1"/>
      <c r="E22" s="1"/>
      <c r="G22" s="1"/>
      <c r="H22" s="120" t="s">
        <v>208</v>
      </c>
      <c r="I22" s="505"/>
      <c r="J22" s="1"/>
      <c r="K22" s="1"/>
    </row>
    <row r="23" spans="1:11" customFormat="1" ht="19.5" customHeight="1" x14ac:dyDescent="0.2">
      <c r="A23" s="1"/>
      <c r="B23" s="486" t="s">
        <v>4</v>
      </c>
      <c r="C23" s="487">
        <f>C12-C14</f>
        <v>100000</v>
      </c>
      <c r="D23" s="1"/>
      <c r="E23" s="1"/>
      <c r="G23" s="1"/>
      <c r="H23" s="486" t="s">
        <v>4</v>
      </c>
      <c r="I23" s="487">
        <f>I12-I14</f>
        <v>100000</v>
      </c>
      <c r="J23" s="1"/>
      <c r="K23" s="1"/>
    </row>
    <row r="24" spans="1:11" customFormat="1" ht="19.5" customHeight="1" x14ac:dyDescent="0.2">
      <c r="A24" s="1"/>
      <c r="B24" s="466" t="s">
        <v>45</v>
      </c>
      <c r="C24" s="488">
        <f>C14*E25</f>
        <v>9000</v>
      </c>
      <c r="D24" s="209"/>
      <c r="E24" s="362" t="s">
        <v>39</v>
      </c>
      <c r="G24" s="1"/>
      <c r="H24" s="466" t="s">
        <v>45</v>
      </c>
      <c r="I24" s="488">
        <f>I14*K25</f>
        <v>9000</v>
      </c>
      <c r="J24" s="209"/>
      <c r="K24" s="362" t="s">
        <v>39</v>
      </c>
    </row>
    <row r="25" spans="1:11" customFormat="1" ht="19.5" customHeight="1" x14ac:dyDescent="0.2">
      <c r="A25" s="1"/>
      <c r="B25" s="465" t="s">
        <v>10</v>
      </c>
      <c r="C25" s="375">
        <v>4500</v>
      </c>
      <c r="D25" s="209"/>
      <c r="E25" s="509">
        <v>0.03</v>
      </c>
      <c r="G25" s="1"/>
      <c r="H25" s="465" t="s">
        <v>10</v>
      </c>
      <c r="I25" s="375">
        <v>4500</v>
      </c>
      <c r="J25" s="209"/>
      <c r="K25" s="509">
        <v>0.03</v>
      </c>
    </row>
    <row r="26" spans="1:11" customFormat="1" ht="19.5" customHeight="1" x14ac:dyDescent="0.2">
      <c r="A26" s="1"/>
      <c r="B26" s="466" t="s">
        <v>468</v>
      </c>
      <c r="C26" s="488">
        <v>1495</v>
      </c>
      <c r="D26" s="1"/>
      <c r="E26" s="510">
        <f>C14*E25</f>
        <v>9000</v>
      </c>
      <c r="G26" s="1"/>
      <c r="H26" s="466" t="s">
        <v>468</v>
      </c>
      <c r="I26" s="488">
        <v>1495</v>
      </c>
      <c r="J26" s="1"/>
      <c r="K26" s="510">
        <f>I14*K25</f>
        <v>9000</v>
      </c>
    </row>
    <row r="27" spans="1:11" customFormat="1" ht="19.5" customHeight="1" thickBot="1" x14ac:dyDescent="0.25">
      <c r="A27" s="1"/>
      <c r="B27" s="467" t="s">
        <v>467</v>
      </c>
      <c r="C27" s="376">
        <v>1500</v>
      </c>
      <c r="D27" s="1"/>
      <c r="E27" s="1"/>
      <c r="G27" s="1"/>
      <c r="H27" s="467" t="s">
        <v>467</v>
      </c>
      <c r="I27" s="376">
        <v>1500</v>
      </c>
      <c r="J27" s="1"/>
      <c r="K27" s="1"/>
    </row>
    <row r="28" spans="1:11" customFormat="1" ht="19.5" customHeight="1" thickBot="1" x14ac:dyDescent="0.25">
      <c r="A28" s="1"/>
      <c r="B28" s="120" t="s">
        <v>169</v>
      </c>
      <c r="C28" s="506"/>
      <c r="D28" s="1"/>
      <c r="E28" s="1"/>
      <c r="G28" s="1"/>
      <c r="H28" s="120" t="s">
        <v>169</v>
      </c>
      <c r="I28" s="506"/>
      <c r="J28" s="1"/>
      <c r="K28" s="1"/>
    </row>
    <row r="29" spans="1:11" customFormat="1" ht="19.5" customHeight="1" x14ac:dyDescent="0.2">
      <c r="A29" s="1"/>
      <c r="B29" s="372" t="s">
        <v>425</v>
      </c>
      <c r="C29" s="507">
        <v>1250</v>
      </c>
      <c r="D29" s="1"/>
      <c r="E29" s="1"/>
      <c r="G29" s="1"/>
      <c r="H29" s="372" t="s">
        <v>425</v>
      </c>
      <c r="I29" s="507">
        <v>1250</v>
      </c>
      <c r="J29" s="1"/>
      <c r="K29" s="1"/>
    </row>
    <row r="30" spans="1:11" customFormat="1" ht="19.5" customHeight="1" x14ac:dyDescent="0.2">
      <c r="A30" s="1"/>
      <c r="B30" s="374" t="s">
        <v>280</v>
      </c>
      <c r="C30" s="375">
        <v>1500</v>
      </c>
      <c r="D30" s="1"/>
      <c r="E30" s="1"/>
      <c r="G30" s="1"/>
      <c r="H30" s="374" t="s">
        <v>280</v>
      </c>
      <c r="I30" s="375">
        <v>1500</v>
      </c>
      <c r="J30" s="1"/>
      <c r="K30" s="1"/>
    </row>
    <row r="31" spans="1:11" customFormat="1" ht="19.5" customHeight="1" thickBot="1" x14ac:dyDescent="0.25">
      <c r="A31" s="1"/>
      <c r="B31" s="98" t="s">
        <v>400</v>
      </c>
      <c r="C31" s="376">
        <v>1500</v>
      </c>
      <c r="D31" s="1"/>
      <c r="E31" s="1"/>
      <c r="G31" s="1"/>
      <c r="H31" s="98" t="s">
        <v>400</v>
      </c>
      <c r="I31" s="376">
        <v>1500</v>
      </c>
      <c r="J31" s="1"/>
      <c r="K31" s="1"/>
    </row>
    <row r="32" spans="1:11" customFormat="1" ht="19.5" customHeight="1" thickBot="1" x14ac:dyDescent="0.3">
      <c r="A32" s="1"/>
      <c r="B32" s="112" t="s">
        <v>170</v>
      </c>
      <c r="C32" s="508"/>
      <c r="D32" s="1"/>
      <c r="E32" s="1"/>
      <c r="G32" s="1"/>
      <c r="H32" s="112" t="s">
        <v>170</v>
      </c>
      <c r="I32" s="508"/>
      <c r="J32" s="1"/>
      <c r="K32" s="1"/>
    </row>
    <row r="33" spans="1:11" customFormat="1" ht="19.5" customHeight="1" x14ac:dyDescent="0.2">
      <c r="A33" s="1"/>
      <c r="B33" s="491" t="s">
        <v>220</v>
      </c>
      <c r="C33" s="492">
        <f>SUM(C24:C27,C29:C31)</f>
        <v>20745</v>
      </c>
      <c r="D33" s="1"/>
      <c r="E33" s="1"/>
      <c r="G33" s="1"/>
      <c r="H33" s="491" t="s">
        <v>220</v>
      </c>
      <c r="I33" s="492">
        <f>SUM(I24:I27,I29:I31)</f>
        <v>20745</v>
      </c>
      <c r="J33" s="1"/>
      <c r="K33" s="1"/>
    </row>
    <row r="34" spans="1:11" customFormat="1" ht="19.5" customHeight="1" thickBot="1" x14ac:dyDescent="0.25">
      <c r="A34" s="1"/>
      <c r="B34" s="493" t="s">
        <v>221</v>
      </c>
      <c r="C34" s="494">
        <f>C33+C23</f>
        <v>120745</v>
      </c>
      <c r="D34" s="1"/>
      <c r="E34" s="1"/>
      <c r="G34" s="1"/>
      <c r="H34" s="493" t="s">
        <v>221</v>
      </c>
      <c r="I34" s="494">
        <f>I33+I23</f>
        <v>120745</v>
      </c>
      <c r="J34" s="1"/>
      <c r="K34" s="1"/>
    </row>
    <row r="35" spans="1:11" customFormat="1" ht="19.5" customHeight="1" x14ac:dyDescent="0.2">
      <c r="A35" s="1"/>
      <c r="B35" s="132"/>
      <c r="C35" s="131"/>
      <c r="D35" s="1"/>
      <c r="E35" s="1"/>
      <c r="G35" s="1"/>
      <c r="H35" s="132"/>
      <c r="I35" s="131"/>
      <c r="J35" s="1"/>
      <c r="K35" s="1"/>
    </row>
    <row r="36" spans="1:11" customFormat="1" ht="19.5" customHeight="1" x14ac:dyDescent="0.2">
      <c r="A36" s="1"/>
      <c r="B36" s="245" t="s">
        <v>20</v>
      </c>
      <c r="C36" s="367"/>
      <c r="D36" s="1"/>
      <c r="E36" s="1"/>
      <c r="G36" s="1"/>
      <c r="H36" s="245" t="s">
        <v>20</v>
      </c>
      <c r="I36" s="367"/>
      <c r="J36" s="1"/>
      <c r="K36" s="1"/>
    </row>
    <row r="37" spans="1:11" customFormat="1" ht="19.5" customHeight="1" x14ac:dyDescent="0.2">
      <c r="A37" s="1"/>
      <c r="B37" s="368" t="s">
        <v>21</v>
      </c>
      <c r="C37" s="369"/>
      <c r="D37" s="1"/>
      <c r="E37" s="1"/>
      <c r="G37" s="1"/>
      <c r="H37" s="368" t="s">
        <v>21</v>
      </c>
      <c r="I37" s="369"/>
      <c r="J37" s="1"/>
      <c r="K37" s="1"/>
    </row>
    <row r="38" spans="1:11" customFormat="1" ht="19.5" customHeight="1" x14ac:dyDescent="0.2">
      <c r="A38" s="73"/>
      <c r="B38" s="2109"/>
      <c r="C38" s="2109"/>
      <c r="D38" s="1"/>
      <c r="E38" s="1"/>
      <c r="G38" s="73"/>
      <c r="H38" s="2109"/>
      <c r="I38" s="2109"/>
      <c r="J38" s="1"/>
      <c r="K38" s="1"/>
    </row>
    <row r="39" spans="1:11" ht="19.5" customHeight="1" x14ac:dyDescent="0.2">
      <c r="D39" s="73"/>
      <c r="E39" s="73"/>
      <c r="J39" s="73"/>
      <c r="K39" s="73"/>
    </row>
    <row r="40" spans="1:11" ht="19.5" customHeight="1" x14ac:dyDescent="0.2">
      <c r="E40" s="1"/>
      <c r="K40" s="1"/>
    </row>
    <row r="41" spans="1:11" ht="19.5" customHeight="1" x14ac:dyDescent="0.2">
      <c r="E41" s="1"/>
      <c r="K41" s="1"/>
    </row>
    <row r="42" spans="1:11" ht="19.5" customHeight="1" x14ac:dyDescent="0.2">
      <c r="E42" s="1"/>
      <c r="K42" s="1"/>
    </row>
    <row r="43" spans="1:11" ht="19.5" customHeight="1" x14ac:dyDescent="0.2"/>
    <row r="44" spans="1:11" ht="19.5" customHeight="1" x14ac:dyDescent="0.2"/>
  </sheetData>
  <mergeCells count="4">
    <mergeCell ref="B3:C3"/>
    <mergeCell ref="B38:C38"/>
    <mergeCell ref="H3:I3"/>
    <mergeCell ref="H38:I38"/>
  </mergeCells>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538FF-8E17-47F9-B9F8-059BEE42B4E9}">
  <dimension ref="A2:AS54"/>
  <sheetViews>
    <sheetView showGridLines="0" topLeftCell="O6" zoomScale="70" zoomScaleNormal="70" workbookViewId="0">
      <selection activeCell="X18" sqref="X18"/>
    </sheetView>
  </sheetViews>
  <sheetFormatPr baseColWidth="10" defaultColWidth="8.83203125" defaultRowHeight="16" x14ac:dyDescent="0.2"/>
  <cols>
    <col min="1" max="1" width="2.5" style="613" customWidth="1"/>
    <col min="2" max="2" width="41.5" style="613" customWidth="1"/>
    <col min="3" max="3" width="16.33203125" style="686" customWidth="1"/>
    <col min="4" max="4" width="6" style="686" customWidth="1"/>
    <col min="5" max="5" width="15.1640625" style="686" customWidth="1"/>
    <col min="6" max="6" width="2.5" style="613" customWidth="1"/>
    <col min="7" max="7" width="42.6640625" style="260" customWidth="1"/>
    <col min="8" max="8" width="20.83203125" style="260" customWidth="1"/>
    <col min="9" max="9" width="9" style="260" customWidth="1"/>
    <col min="10" max="10" width="15.5" style="260" customWidth="1"/>
    <col min="11" max="11" width="2.5" style="613" customWidth="1"/>
    <col min="12" max="12" width="42.6640625" style="260" customWidth="1"/>
    <col min="13" max="13" width="20.83203125" style="260" customWidth="1"/>
    <col min="14" max="14" width="9" style="260" customWidth="1"/>
    <col min="15" max="15" width="15.5" style="260" customWidth="1"/>
    <col min="16" max="16" width="2.5" style="613" customWidth="1"/>
    <col min="17" max="17" width="1.1640625" style="1175" customWidth="1"/>
    <col min="18" max="18" width="1.33203125" style="686" customWidth="1"/>
    <col min="19" max="19" width="48.6640625" style="613" customWidth="1"/>
    <col min="20" max="20" width="21.33203125" style="613" customWidth="1"/>
    <col min="21" max="21" width="8.33203125" style="613" customWidth="1"/>
    <col min="22" max="22" width="17.5" style="686" customWidth="1"/>
    <col min="23" max="23" width="1.33203125" style="1116" customWidth="1"/>
    <col min="24" max="24" width="44.6640625" style="613" customWidth="1"/>
    <col min="25" max="25" width="21.33203125" style="613" customWidth="1"/>
    <col min="26" max="26" width="8.33203125" style="613" customWidth="1"/>
    <col min="27" max="27" width="17.5" style="686" customWidth="1"/>
    <col min="28" max="28" width="1.33203125" style="1116" customWidth="1"/>
    <col min="29" max="29" width="1.33203125" style="999" customWidth="1"/>
    <col min="30" max="30" width="2.5" style="613" customWidth="1"/>
    <col min="31" max="31" width="2.33203125" style="686" customWidth="1"/>
    <col min="32" max="32" width="42.6640625" style="690" customWidth="1"/>
    <col min="33" max="33" width="20.5" style="690" customWidth="1"/>
    <col min="34" max="34" width="5.5" style="690" customWidth="1"/>
    <col min="35" max="35" width="16.83203125" style="613" customWidth="1"/>
    <col min="36" max="36" width="1.83203125" style="613" customWidth="1"/>
    <col min="37" max="37" width="18.5" style="693" customWidth="1"/>
    <col min="38" max="39" width="2.33203125" style="686" customWidth="1"/>
    <col min="40" max="40" width="40.83203125" style="690" customWidth="1"/>
    <col min="41" max="41" width="20.5" style="690" customWidth="1"/>
    <col min="42" max="42" width="5.5" style="690" customWidth="1"/>
    <col min="43" max="43" width="16.83203125" style="613" customWidth="1"/>
    <col min="44" max="44" width="1.83203125" style="613" customWidth="1"/>
    <col min="45" max="45" width="18.5" style="693" customWidth="1"/>
  </cols>
  <sheetData>
    <row r="2" spans="1:44" ht="59.25" customHeight="1" x14ac:dyDescent="0.2">
      <c r="B2" s="1660" t="s">
        <v>957</v>
      </c>
      <c r="C2" s="1661"/>
      <c r="D2" s="1661"/>
      <c r="E2" s="1661"/>
      <c r="F2" s="1661"/>
      <c r="G2" s="1661"/>
      <c r="H2" s="1661"/>
      <c r="I2" s="1661"/>
      <c r="J2" s="1661"/>
      <c r="K2" s="1661"/>
      <c r="L2" s="1661"/>
      <c r="M2" s="1661"/>
      <c r="N2" s="1661"/>
      <c r="O2" s="1662"/>
      <c r="S2" s="1687" t="s">
        <v>971</v>
      </c>
      <c r="T2" s="1688"/>
      <c r="U2" s="1688"/>
      <c r="V2" s="1688"/>
      <c r="W2" s="1688"/>
      <c r="X2" s="1688"/>
      <c r="Y2" s="1688"/>
      <c r="Z2" s="1688"/>
      <c r="AA2" s="1689"/>
      <c r="AB2" s="1117"/>
      <c r="AE2" s="613"/>
    </row>
    <row r="3" spans="1:44" ht="19.5" customHeight="1" x14ac:dyDescent="0.2">
      <c r="AE3" s="613"/>
    </row>
    <row r="4" spans="1:44" ht="19.5" customHeight="1" x14ac:dyDescent="0.2">
      <c r="A4" s="535"/>
      <c r="B4" s="1686" t="s">
        <v>922</v>
      </c>
      <c r="C4" s="1686"/>
      <c r="D4" s="1686"/>
      <c r="E4" s="1686"/>
      <c r="F4" s="1686"/>
      <c r="G4" s="1686"/>
      <c r="H4" s="1686"/>
      <c r="I4" s="1686"/>
      <c r="J4" s="1686"/>
      <c r="K4" s="535"/>
      <c r="L4" s="535"/>
      <c r="M4" s="535"/>
      <c r="N4" s="535"/>
      <c r="O4" s="535"/>
      <c r="P4" s="535"/>
      <c r="Q4" s="1176"/>
      <c r="R4" s="613"/>
      <c r="S4" s="1542" t="s">
        <v>970</v>
      </c>
      <c r="T4" s="1543"/>
      <c r="U4" s="1543"/>
      <c r="V4" s="1544"/>
      <c r="W4" s="1118"/>
      <c r="X4" s="1671" t="s">
        <v>969</v>
      </c>
      <c r="Y4" s="1672"/>
      <c r="Z4" s="1672"/>
      <c r="AA4" s="1673"/>
      <c r="AB4" s="1118"/>
      <c r="AD4" s="535"/>
      <c r="AE4" s="613"/>
      <c r="AF4" s="2116" t="s">
        <v>749</v>
      </c>
      <c r="AG4" s="2116"/>
      <c r="AH4" s="2116"/>
      <c r="AI4" s="2116"/>
      <c r="AJ4" s="260"/>
      <c r="AL4" s="613"/>
      <c r="AM4" s="613"/>
      <c r="AN4" s="1827" t="s">
        <v>698</v>
      </c>
      <c r="AO4" s="1827"/>
      <c r="AP4" s="1827"/>
      <c r="AQ4" s="1827"/>
      <c r="AR4" s="260"/>
    </row>
    <row r="5" spans="1:44" ht="19.5" customHeight="1" thickBot="1" x14ac:dyDescent="0.25">
      <c r="A5" s="535"/>
      <c r="B5" s="1323"/>
      <c r="C5" s="1323"/>
      <c r="D5" s="1323"/>
      <c r="E5" s="1323"/>
      <c r="F5" s="1174"/>
      <c r="G5" s="535"/>
      <c r="H5" s="535"/>
      <c r="I5" s="535"/>
      <c r="J5" s="535"/>
      <c r="K5" s="535"/>
      <c r="L5" s="535"/>
      <c r="M5" s="535"/>
      <c r="N5" s="535"/>
      <c r="O5" s="535"/>
      <c r="P5" s="535"/>
      <c r="Q5" s="1176"/>
      <c r="R5" s="613" t="s">
        <v>769</v>
      </c>
      <c r="S5" s="1026" t="s">
        <v>15</v>
      </c>
      <c r="T5" s="1027">
        <f ca="1">TODAY()</f>
        <v>43713</v>
      </c>
      <c r="U5" s="1027"/>
      <c r="V5" s="1027"/>
      <c r="W5" s="1119"/>
      <c r="X5" s="1026" t="s">
        <v>15</v>
      </c>
      <c r="Y5" s="1027">
        <f ca="1">TODAY()</f>
        <v>43713</v>
      </c>
      <c r="Z5" s="1027"/>
      <c r="AA5" s="1027"/>
      <c r="AB5" s="1119"/>
      <c r="AD5" s="535"/>
      <c r="AE5" s="260"/>
      <c r="AF5" s="657" t="s">
        <v>15</v>
      </c>
      <c r="AG5" s="674">
        <f ca="1">TODAY()</f>
        <v>43713</v>
      </c>
      <c r="AH5" s="674"/>
      <c r="AI5" s="675"/>
      <c r="AJ5" s="675"/>
      <c r="AL5" s="613"/>
      <c r="AM5" s="613"/>
      <c r="AN5" s="657" t="s">
        <v>15</v>
      </c>
      <c r="AO5" s="674">
        <f ca="1">TODAY()</f>
        <v>43713</v>
      </c>
      <c r="AP5" s="674"/>
      <c r="AQ5" s="675"/>
      <c r="AR5" s="675"/>
    </row>
    <row r="6" spans="1:44" ht="19.5" customHeight="1" x14ac:dyDescent="0.2">
      <c r="B6" s="1619" t="s">
        <v>958</v>
      </c>
      <c r="C6" s="1620"/>
      <c r="D6" s="1620"/>
      <c r="E6" s="1621"/>
      <c r="G6" s="1634" t="s">
        <v>959</v>
      </c>
      <c r="H6" s="1635"/>
      <c r="I6" s="1635"/>
      <c r="J6" s="1636"/>
      <c r="L6" s="1651" t="s">
        <v>960</v>
      </c>
      <c r="M6" s="1652"/>
      <c r="N6" s="1652"/>
      <c r="O6" s="1653"/>
      <c r="R6" s="613"/>
      <c r="S6" s="154" t="s">
        <v>24</v>
      </c>
      <c r="T6" s="1553" t="s">
        <v>782</v>
      </c>
      <c r="U6" s="1553"/>
      <c r="V6" s="1554"/>
      <c r="W6" s="1114"/>
      <c r="X6" s="154" t="s">
        <v>24</v>
      </c>
      <c r="Y6" s="1553" t="s">
        <v>633</v>
      </c>
      <c r="Z6" s="1553"/>
      <c r="AA6" s="1554"/>
      <c r="AB6" s="1114"/>
      <c r="AE6" s="613"/>
      <c r="AF6" s="99" t="s">
        <v>24</v>
      </c>
      <c r="AG6" s="839" t="s">
        <v>750</v>
      </c>
      <c r="AH6" s="839"/>
      <c r="AI6" s="840"/>
      <c r="AJ6" s="841"/>
      <c r="AL6" s="613"/>
      <c r="AM6" s="613"/>
      <c r="AN6" s="99" t="s">
        <v>24</v>
      </c>
      <c r="AO6" s="676" t="s">
        <v>633</v>
      </c>
      <c r="AP6" s="676"/>
      <c r="AQ6" s="262"/>
      <c r="AR6" s="677"/>
    </row>
    <row r="7" spans="1:44" ht="19.5" customHeight="1" thickBot="1" x14ac:dyDescent="0.25">
      <c r="A7" s="1023"/>
      <c r="B7" s="1017" t="s">
        <v>15</v>
      </c>
      <c r="C7" s="1680">
        <f ca="1">TODAY()</f>
        <v>43713</v>
      </c>
      <c r="D7" s="1680"/>
      <c r="E7" s="1680"/>
      <c r="F7" s="1023"/>
      <c r="G7" s="396" t="s">
        <v>15</v>
      </c>
      <c r="H7" s="1024">
        <f ca="1">TODAY()</f>
        <v>43713</v>
      </c>
      <c r="I7" s="1024"/>
      <c r="J7" s="1024"/>
      <c r="K7" s="1023"/>
      <c r="L7" s="396" t="s">
        <v>15</v>
      </c>
      <c r="M7" s="1024">
        <f ca="1">TODAY()</f>
        <v>43713</v>
      </c>
      <c r="N7" s="1024"/>
      <c r="O7" s="1024"/>
      <c r="P7" s="1023"/>
      <c r="Q7" s="1177"/>
      <c r="R7" s="260"/>
      <c r="S7" s="303" t="s">
        <v>250</v>
      </c>
      <c r="T7" s="1555" t="s">
        <v>783</v>
      </c>
      <c r="U7" s="1555"/>
      <c r="V7" s="1556"/>
      <c r="W7" s="1377"/>
      <c r="X7" s="303" t="s">
        <v>250</v>
      </c>
      <c r="Y7" s="1555" t="s">
        <v>635</v>
      </c>
      <c r="Z7" s="1555"/>
      <c r="AA7" s="1556"/>
      <c r="AB7" s="1377"/>
      <c r="AC7" s="1025"/>
      <c r="AD7" s="1023"/>
      <c r="AE7" s="613"/>
      <c r="AF7" s="303" t="s">
        <v>250</v>
      </c>
      <c r="AG7" s="848" t="s">
        <v>751</v>
      </c>
      <c r="AH7" s="848"/>
      <c r="AI7" s="849"/>
      <c r="AJ7" s="848"/>
      <c r="AL7" s="260"/>
      <c r="AM7" s="260"/>
      <c r="AN7" s="303" t="s">
        <v>250</v>
      </c>
      <c r="AO7" s="705" t="s">
        <v>635</v>
      </c>
      <c r="AP7" s="705"/>
      <c r="AQ7" s="706"/>
      <c r="AR7" s="705"/>
    </row>
    <row r="8" spans="1:44" ht="19.5" customHeight="1" thickBot="1" x14ac:dyDescent="0.25">
      <c r="B8" s="154" t="s">
        <v>24</v>
      </c>
      <c r="C8" s="1624" t="s">
        <v>766</v>
      </c>
      <c r="D8" s="1624"/>
      <c r="E8" s="1625"/>
      <c r="F8" s="260"/>
      <c r="G8" s="154" t="s">
        <v>24</v>
      </c>
      <c r="H8" s="1624" t="s">
        <v>766</v>
      </c>
      <c r="I8" s="1624"/>
      <c r="J8" s="1625"/>
      <c r="K8" s="260"/>
      <c r="L8" s="154" t="s">
        <v>24</v>
      </c>
      <c r="M8" s="1553" t="s">
        <v>962</v>
      </c>
      <c r="N8" s="1553"/>
      <c r="O8" s="1554"/>
      <c r="Q8" s="1178"/>
      <c r="R8" s="613"/>
      <c r="S8" s="303" t="s">
        <v>25</v>
      </c>
      <c r="T8" s="1555" t="s">
        <v>900</v>
      </c>
      <c r="U8" s="1555"/>
      <c r="V8" s="1556"/>
      <c r="W8" s="1377"/>
      <c r="X8" s="303" t="s">
        <v>25</v>
      </c>
      <c r="Y8" s="1555" t="s">
        <v>634</v>
      </c>
      <c r="Z8" s="1555"/>
      <c r="AA8" s="1556"/>
      <c r="AB8" s="1377"/>
      <c r="AC8" s="1000"/>
      <c r="AE8" s="260"/>
      <c r="AF8" s="100" t="s">
        <v>25</v>
      </c>
      <c r="AG8" s="842" t="s">
        <v>752</v>
      </c>
      <c r="AH8" s="842"/>
      <c r="AI8" s="843"/>
      <c r="AJ8" s="848"/>
      <c r="AL8" s="613"/>
      <c r="AM8" s="613"/>
      <c r="AN8" s="100" t="s">
        <v>25</v>
      </c>
      <c r="AO8" s="703" t="s">
        <v>634</v>
      </c>
      <c r="AP8" s="703"/>
      <c r="AQ8" s="704"/>
      <c r="AR8" s="705"/>
    </row>
    <row r="9" spans="1:44" ht="19.5" customHeight="1" thickBot="1" x14ac:dyDescent="0.25">
      <c r="A9" s="260"/>
      <c r="B9" s="303" t="s">
        <v>250</v>
      </c>
      <c r="C9" s="2117" t="s">
        <v>780</v>
      </c>
      <c r="D9" s="2117"/>
      <c r="E9" s="2118"/>
      <c r="F9" s="260"/>
      <c r="G9" s="303" t="s">
        <v>250</v>
      </c>
      <c r="H9" s="2117" t="s">
        <v>780</v>
      </c>
      <c r="I9" s="2117"/>
      <c r="J9" s="2118"/>
      <c r="K9" s="260"/>
      <c r="L9" s="303" t="s">
        <v>250</v>
      </c>
      <c r="M9" s="1727" t="s">
        <v>963</v>
      </c>
      <c r="N9" s="1727"/>
      <c r="O9" s="1728"/>
      <c r="P9" s="260"/>
      <c r="Q9" s="1178"/>
      <c r="R9" s="613"/>
      <c r="S9" s="303" t="s">
        <v>824</v>
      </c>
      <c r="T9" s="1557" t="s">
        <v>901</v>
      </c>
      <c r="U9" s="1557"/>
      <c r="V9" s="1558"/>
      <c r="W9" s="1400"/>
      <c r="X9" s="303" t="s">
        <v>824</v>
      </c>
      <c r="Y9" s="1557" t="s">
        <v>979</v>
      </c>
      <c r="Z9" s="1557"/>
      <c r="AA9" s="1558"/>
      <c r="AB9" s="1400"/>
      <c r="AC9" s="1000"/>
      <c r="AD9" s="260"/>
      <c r="AE9" s="613"/>
      <c r="AF9" s="122" t="s">
        <v>167</v>
      </c>
      <c r="AG9" s="571"/>
      <c r="AH9" s="571"/>
      <c r="AI9" s="536"/>
      <c r="AJ9" s="536"/>
      <c r="AL9" s="613"/>
      <c r="AM9" s="613"/>
      <c r="AN9" s="122" t="s">
        <v>167</v>
      </c>
      <c r="AO9" s="571"/>
      <c r="AP9" s="571"/>
      <c r="AQ9" s="536"/>
      <c r="AR9" s="536"/>
    </row>
    <row r="10" spans="1:44" ht="19.5" customHeight="1" x14ac:dyDescent="0.2">
      <c r="B10" s="303" t="s">
        <v>25</v>
      </c>
      <c r="C10" s="1622" t="s">
        <v>781</v>
      </c>
      <c r="D10" s="1622"/>
      <c r="E10" s="1623"/>
      <c r="F10" s="260"/>
      <c r="G10" s="303" t="s">
        <v>25</v>
      </c>
      <c r="H10" s="1622" t="s">
        <v>781</v>
      </c>
      <c r="I10" s="1622"/>
      <c r="J10" s="1623"/>
      <c r="K10" s="260"/>
      <c r="L10" s="303" t="s">
        <v>25</v>
      </c>
      <c r="M10" s="1555" t="s">
        <v>964</v>
      </c>
      <c r="N10" s="1555"/>
      <c r="O10" s="1556"/>
      <c r="Q10" s="1178"/>
      <c r="R10" s="260"/>
      <c r="S10" s="893" t="s">
        <v>764</v>
      </c>
      <c r="T10" s="1559">
        <v>620</v>
      </c>
      <c r="U10" s="1559"/>
      <c r="V10" s="1560"/>
      <c r="W10" s="1393"/>
      <c r="X10" s="893" t="s">
        <v>764</v>
      </c>
      <c r="Y10" s="1559">
        <v>677</v>
      </c>
      <c r="Z10" s="1559"/>
      <c r="AA10" s="1560"/>
      <c r="AB10" s="1393"/>
      <c r="AC10" s="1000"/>
      <c r="AE10" s="613"/>
      <c r="AF10" s="96" t="s">
        <v>16</v>
      </c>
      <c r="AG10" s="845">
        <v>1</v>
      </c>
      <c r="AH10" s="845"/>
      <c r="AI10" s="846"/>
      <c r="AJ10" s="571"/>
      <c r="AL10" s="260"/>
      <c r="AM10" s="260"/>
      <c r="AN10" s="96" t="s">
        <v>16</v>
      </c>
      <c r="AO10" s="678">
        <v>1</v>
      </c>
      <c r="AP10" s="678"/>
      <c r="AQ10" s="519"/>
      <c r="AR10" s="571"/>
    </row>
    <row r="11" spans="1:44" ht="19.5" customHeight="1" thickBot="1" x14ac:dyDescent="0.25">
      <c r="B11" s="303" t="s">
        <v>824</v>
      </c>
      <c r="C11" s="1744" t="s">
        <v>823</v>
      </c>
      <c r="D11" s="1744"/>
      <c r="E11" s="1745"/>
      <c r="F11" s="812"/>
      <c r="G11" s="303" t="s">
        <v>824</v>
      </c>
      <c r="H11" s="1744" t="s">
        <v>823</v>
      </c>
      <c r="I11" s="1744"/>
      <c r="J11" s="1745"/>
      <c r="K11" s="812"/>
      <c r="L11" s="303" t="s">
        <v>824</v>
      </c>
      <c r="M11" s="1744" t="s">
        <v>869</v>
      </c>
      <c r="N11" s="1744"/>
      <c r="O11" s="1745"/>
      <c r="Q11" s="1178"/>
      <c r="R11" s="613"/>
      <c r="S11" s="888" t="s">
        <v>822</v>
      </c>
      <c r="T11" s="1180" t="s">
        <v>315</v>
      </c>
      <c r="U11" s="1180"/>
      <c r="V11" s="1181"/>
      <c r="W11" s="1393"/>
      <c r="X11" s="888" t="s">
        <v>822</v>
      </c>
      <c r="Y11" s="1180" t="s">
        <v>521</v>
      </c>
      <c r="Z11" s="955"/>
      <c r="AA11" s="956"/>
      <c r="AB11" s="1393"/>
      <c r="AC11" s="1000"/>
      <c r="AE11" s="613"/>
      <c r="AF11" s="97" t="s">
        <v>17</v>
      </c>
      <c r="AG11" s="571">
        <v>0</v>
      </c>
      <c r="AH11" s="571"/>
      <c r="AI11" s="520"/>
      <c r="AJ11" s="571"/>
      <c r="AL11" s="613"/>
      <c r="AM11" s="613"/>
      <c r="AN11" s="97" t="s">
        <v>17</v>
      </c>
      <c r="AO11" s="571">
        <v>0</v>
      </c>
      <c r="AP11" s="571"/>
      <c r="AQ11" s="520"/>
      <c r="AR11" s="571"/>
    </row>
    <row r="12" spans="1:44" ht="19.5" customHeight="1" thickBot="1" x14ac:dyDescent="0.25">
      <c r="A12" s="260"/>
      <c r="B12" s="893" t="s">
        <v>764</v>
      </c>
      <c r="C12" s="1793">
        <v>700</v>
      </c>
      <c r="D12" s="1793"/>
      <c r="E12" s="1794"/>
      <c r="F12" s="812"/>
      <c r="G12" s="893" t="s">
        <v>764</v>
      </c>
      <c r="H12" s="1793">
        <v>700</v>
      </c>
      <c r="I12" s="1793"/>
      <c r="J12" s="1794"/>
      <c r="K12" s="812"/>
      <c r="L12" s="893" t="s">
        <v>764</v>
      </c>
      <c r="M12" s="1793">
        <v>650</v>
      </c>
      <c r="N12" s="1793"/>
      <c r="O12" s="1794"/>
      <c r="P12" s="260"/>
      <c r="Q12" s="1178"/>
      <c r="R12" s="613"/>
      <c r="S12" s="1045" t="s">
        <v>172</v>
      </c>
      <c r="T12" s="1046"/>
      <c r="U12" s="1046"/>
      <c r="V12" s="1046"/>
      <c r="W12" s="1120"/>
      <c r="X12" s="1045" t="s">
        <v>172</v>
      </c>
      <c r="Y12" s="1046"/>
      <c r="Z12" s="1046"/>
      <c r="AA12" s="1046"/>
      <c r="AB12" s="1120"/>
      <c r="AC12" s="1000"/>
      <c r="AD12" s="260"/>
      <c r="AE12" s="260"/>
      <c r="AF12" s="98" t="s">
        <v>47</v>
      </c>
      <c r="AG12" s="679">
        <v>680</v>
      </c>
      <c r="AH12" s="679"/>
      <c r="AI12" s="521"/>
      <c r="AJ12" s="759"/>
      <c r="AL12" s="613"/>
      <c r="AM12" s="613"/>
      <c r="AN12" s="98" t="s">
        <v>47</v>
      </c>
      <c r="AO12" s="679">
        <v>677</v>
      </c>
      <c r="AP12" s="679"/>
      <c r="AQ12" s="521"/>
      <c r="AR12" s="680"/>
    </row>
    <row r="13" spans="1:44" ht="19.5" customHeight="1" thickBot="1" x14ac:dyDescent="0.25">
      <c r="B13" s="888" t="s">
        <v>822</v>
      </c>
      <c r="C13" s="1340" t="s">
        <v>315</v>
      </c>
      <c r="D13" s="1340"/>
      <c r="E13" s="1341"/>
      <c r="F13" s="812"/>
      <c r="G13" s="888" t="s">
        <v>822</v>
      </c>
      <c r="H13" s="1340" t="s">
        <v>315</v>
      </c>
      <c r="I13" s="1340"/>
      <c r="J13" s="1341"/>
      <c r="K13" s="812"/>
      <c r="L13" s="888" t="s">
        <v>822</v>
      </c>
      <c r="M13" s="1340" t="s">
        <v>315</v>
      </c>
      <c r="N13" s="1340"/>
      <c r="O13" s="1341"/>
      <c r="Q13" s="1178"/>
      <c r="R13" s="613"/>
      <c r="S13" s="178" t="s">
        <v>48</v>
      </c>
      <c r="T13" s="1396">
        <v>166000</v>
      </c>
      <c r="U13" s="928"/>
      <c r="V13" s="929"/>
      <c r="W13" s="1388"/>
      <c r="X13" s="178" t="s">
        <v>82</v>
      </c>
      <c r="Y13" s="1877">
        <v>47500</v>
      </c>
      <c r="Z13" s="1877"/>
      <c r="AA13" s="1878"/>
      <c r="AB13" s="1388"/>
      <c r="AC13" s="1000"/>
      <c r="AE13" s="613"/>
      <c r="AF13" s="122" t="s">
        <v>168</v>
      </c>
      <c r="AG13" s="759"/>
      <c r="AH13" s="759"/>
      <c r="AI13" s="522"/>
      <c r="AJ13" s="522"/>
      <c r="AL13" s="613"/>
      <c r="AM13" s="613"/>
      <c r="AN13" s="122" t="s">
        <v>168</v>
      </c>
      <c r="AO13" s="680"/>
      <c r="AP13" s="680"/>
      <c r="AQ13" s="522"/>
      <c r="AR13" s="522"/>
    </row>
    <row r="14" spans="1:44" ht="19.5" customHeight="1" thickBot="1" x14ac:dyDescent="0.25">
      <c r="A14" s="1023"/>
      <c r="B14" s="1045" t="s">
        <v>172</v>
      </c>
      <c r="C14" s="1046"/>
      <c r="D14" s="1046"/>
      <c r="E14" s="1046"/>
      <c r="F14" s="1047"/>
      <c r="G14" s="1045" t="s">
        <v>168</v>
      </c>
      <c r="H14" s="1048"/>
      <c r="I14" s="1048"/>
      <c r="J14" s="1048"/>
      <c r="K14" s="1047"/>
      <c r="L14" s="1045" t="s">
        <v>168</v>
      </c>
      <c r="M14" s="1048"/>
      <c r="N14" s="1048"/>
      <c r="O14" s="1048"/>
      <c r="P14" s="1023"/>
      <c r="Q14" s="1179"/>
      <c r="R14" s="260"/>
      <c r="S14" s="76" t="s">
        <v>34</v>
      </c>
      <c r="T14" s="1389">
        <v>30000</v>
      </c>
      <c r="U14" s="653"/>
      <c r="V14" s="524"/>
      <c r="W14" s="1388"/>
      <c r="X14" s="76" t="s">
        <v>832</v>
      </c>
      <c r="Y14" s="1711">
        <v>0</v>
      </c>
      <c r="Z14" s="1711"/>
      <c r="AA14" s="1712"/>
      <c r="AB14" s="1388"/>
      <c r="AC14" s="1049"/>
      <c r="AD14" s="1023"/>
      <c r="AE14" s="613"/>
      <c r="AF14" s="79" t="s">
        <v>62</v>
      </c>
      <c r="AG14" s="666" t="s">
        <v>615</v>
      </c>
      <c r="AH14" s="666"/>
      <c r="AI14" s="667"/>
      <c r="AJ14" s="659"/>
      <c r="AL14" s="260"/>
      <c r="AM14" s="260"/>
      <c r="AN14" s="79" t="s">
        <v>62</v>
      </c>
      <c r="AO14" s="666" t="s">
        <v>615</v>
      </c>
      <c r="AP14" s="666"/>
      <c r="AQ14" s="667"/>
      <c r="AR14" s="659"/>
    </row>
    <row r="15" spans="1:44" ht="19.5" customHeight="1" x14ac:dyDescent="0.2">
      <c r="A15" s="260"/>
      <c r="B15" s="957" t="s">
        <v>291</v>
      </c>
      <c r="C15" s="1348">
        <v>137000</v>
      </c>
      <c r="D15" s="928"/>
      <c r="E15" s="929"/>
      <c r="F15" s="260"/>
      <c r="G15" s="178" t="s">
        <v>46</v>
      </c>
      <c r="H15" s="1003">
        <v>300000</v>
      </c>
      <c r="I15" s="984"/>
      <c r="J15" s="985"/>
      <c r="K15" s="260"/>
      <c r="L15" s="178" t="s">
        <v>46</v>
      </c>
      <c r="M15" s="1003">
        <v>250000</v>
      </c>
      <c r="N15" s="984"/>
      <c r="O15" s="985"/>
      <c r="P15" s="260"/>
      <c r="Q15" s="1178"/>
      <c r="R15" s="613"/>
      <c r="S15" s="91" t="s">
        <v>82</v>
      </c>
      <c r="T15" s="1388">
        <v>200000</v>
      </c>
      <c r="U15" s="966"/>
      <c r="V15" s="967"/>
      <c r="W15" s="1395"/>
      <c r="X15" s="91" t="s">
        <v>34</v>
      </c>
      <c r="Y15" s="1870">
        <v>181700</v>
      </c>
      <c r="Z15" s="1870"/>
      <c r="AA15" s="1871"/>
      <c r="AB15" s="1395"/>
      <c r="AC15" s="1000"/>
      <c r="AD15" s="260"/>
      <c r="AE15" s="613"/>
      <c r="AF15" s="91" t="s">
        <v>143</v>
      </c>
      <c r="AG15" s="652">
        <v>317000</v>
      </c>
      <c r="AH15" s="652"/>
      <c r="AI15" s="661"/>
      <c r="AJ15" s="658"/>
      <c r="AL15" s="613"/>
      <c r="AM15" s="613"/>
      <c r="AN15" s="91" t="s">
        <v>630</v>
      </c>
      <c r="AO15" s="652">
        <v>0</v>
      </c>
      <c r="AP15" s="652"/>
      <c r="AQ15" s="661"/>
      <c r="AR15" s="658"/>
    </row>
    <row r="16" spans="1:44" ht="19.5" customHeight="1" x14ac:dyDescent="0.2">
      <c r="B16" s="971" t="s">
        <v>181</v>
      </c>
      <c r="C16" s="997">
        <f>C15*E16</f>
        <v>102750</v>
      </c>
      <c r="D16" s="924" t="s">
        <v>3</v>
      </c>
      <c r="E16" s="998">
        <v>0.75</v>
      </c>
      <c r="F16" s="260"/>
      <c r="G16" s="76" t="s">
        <v>832</v>
      </c>
      <c r="H16" s="1339">
        <v>150000</v>
      </c>
      <c r="I16" s="1328"/>
      <c r="J16" s="1329"/>
      <c r="K16" s="260"/>
      <c r="L16" s="76" t="s">
        <v>832</v>
      </c>
      <c r="M16" s="1339">
        <v>130000</v>
      </c>
      <c r="N16" s="1328"/>
      <c r="O16" s="1329"/>
      <c r="Q16" s="1178"/>
      <c r="R16" s="613"/>
      <c r="S16" s="713" t="s">
        <v>265</v>
      </c>
      <c r="T16" s="1387">
        <v>265000</v>
      </c>
      <c r="U16" s="714"/>
      <c r="V16" s="715"/>
      <c r="W16" s="1388"/>
      <c r="X16" s="713" t="s">
        <v>265</v>
      </c>
      <c r="Y16" s="1694">
        <v>245000</v>
      </c>
      <c r="Z16" s="1694"/>
      <c r="AA16" s="1695"/>
      <c r="AB16" s="1388"/>
      <c r="AC16" s="1000"/>
      <c r="AE16" s="613"/>
      <c r="AF16" s="76" t="s">
        <v>82</v>
      </c>
      <c r="AG16" s="844">
        <v>350000</v>
      </c>
      <c r="AH16" s="844"/>
      <c r="AI16" s="668"/>
      <c r="AJ16" s="658"/>
      <c r="AL16" s="613"/>
      <c r="AM16" s="613"/>
      <c r="AN16" s="76" t="s">
        <v>82</v>
      </c>
      <c r="AO16" s="700">
        <v>85000</v>
      </c>
      <c r="AP16" s="700"/>
      <c r="AQ16" s="668"/>
      <c r="AR16" s="658"/>
    </row>
    <row r="17" spans="2:45" ht="19.5" customHeight="1" x14ac:dyDescent="0.2">
      <c r="B17" s="970" t="s">
        <v>800</v>
      </c>
      <c r="C17" s="1626">
        <v>5.5E-2</v>
      </c>
      <c r="D17" s="1626"/>
      <c r="E17" s="1627"/>
      <c r="F17" s="260"/>
      <c r="G17" s="970" t="s">
        <v>181</v>
      </c>
      <c r="H17" s="774">
        <f>H15*J17</f>
        <v>195000</v>
      </c>
      <c r="I17" s="968" t="s">
        <v>3</v>
      </c>
      <c r="J17" s="993">
        <v>0.65</v>
      </c>
      <c r="K17" s="260"/>
      <c r="L17" s="970" t="s">
        <v>181</v>
      </c>
      <c r="M17" s="774">
        <f>M15*O17</f>
        <v>175000</v>
      </c>
      <c r="N17" s="968" t="s">
        <v>3</v>
      </c>
      <c r="O17" s="993">
        <v>0.7</v>
      </c>
      <c r="Q17" s="1178"/>
      <c r="R17" s="613"/>
      <c r="S17" s="91" t="s">
        <v>73</v>
      </c>
      <c r="T17" s="1033">
        <f>V17*T13</f>
        <v>124500</v>
      </c>
      <c r="U17" s="908" t="s">
        <v>3</v>
      </c>
      <c r="V17" s="989">
        <v>0.75</v>
      </c>
      <c r="W17" s="1395"/>
      <c r="X17" s="91" t="s">
        <v>371</v>
      </c>
      <c r="Y17" s="1033">
        <f>MIN(Y14,AA17*Y13)</f>
        <v>0</v>
      </c>
      <c r="Z17" s="908" t="s">
        <v>3</v>
      </c>
      <c r="AA17" s="989">
        <v>0.75</v>
      </c>
      <c r="AB17" s="1395"/>
      <c r="AC17" s="1000"/>
      <c r="AE17" s="613"/>
      <c r="AF17" s="91" t="s">
        <v>34</v>
      </c>
      <c r="AG17" s="654">
        <v>50000</v>
      </c>
      <c r="AH17" s="654"/>
      <c r="AI17" s="525"/>
      <c r="AJ17" s="654"/>
      <c r="AL17" s="613"/>
      <c r="AM17" s="613"/>
      <c r="AN17" s="91" t="s">
        <v>34</v>
      </c>
      <c r="AO17" s="654">
        <v>181700</v>
      </c>
      <c r="AP17" s="654"/>
      <c r="AQ17" s="525"/>
      <c r="AR17" s="654"/>
    </row>
    <row r="18" spans="2:45" ht="19.5" customHeight="1" x14ac:dyDescent="0.2">
      <c r="B18" s="971" t="s">
        <v>799</v>
      </c>
      <c r="C18" s="1350">
        <v>30</v>
      </c>
      <c r="D18" s="1936" t="s">
        <v>961</v>
      </c>
      <c r="E18" s="1937"/>
      <c r="F18" s="260"/>
      <c r="G18" s="971" t="s">
        <v>800</v>
      </c>
      <c r="H18" s="1630">
        <v>5.5E-2</v>
      </c>
      <c r="I18" s="1630"/>
      <c r="J18" s="1631"/>
      <c r="K18" s="260"/>
      <c r="L18" s="971" t="s">
        <v>800</v>
      </c>
      <c r="M18" s="1630">
        <v>9.74E-2</v>
      </c>
      <c r="N18" s="1630"/>
      <c r="O18" s="1631"/>
      <c r="Q18" s="1178"/>
      <c r="R18" s="613"/>
      <c r="S18" s="76" t="s">
        <v>75</v>
      </c>
      <c r="T18" s="1034">
        <f>V18*T14</f>
        <v>30000</v>
      </c>
      <c r="U18" s="909" t="s">
        <v>776</v>
      </c>
      <c r="V18" s="990">
        <v>1</v>
      </c>
      <c r="W18" s="1112"/>
      <c r="X18" s="76" t="s">
        <v>75</v>
      </c>
      <c r="Y18" s="1034">
        <f>AA18*Y15</f>
        <v>181700</v>
      </c>
      <c r="Z18" s="909" t="s">
        <v>776</v>
      </c>
      <c r="AA18" s="990">
        <v>1</v>
      </c>
      <c r="AB18" s="1112"/>
      <c r="AC18" s="1000"/>
      <c r="AE18" s="613"/>
      <c r="AF18" s="713" t="s">
        <v>265</v>
      </c>
      <c r="AG18" s="714">
        <v>450000</v>
      </c>
      <c r="AH18" s="714"/>
      <c r="AI18" s="715"/>
      <c r="AJ18" s="654"/>
      <c r="AL18" s="613"/>
      <c r="AM18" s="613"/>
      <c r="AN18" s="713" t="s">
        <v>265</v>
      </c>
      <c r="AO18" s="714">
        <v>245000</v>
      </c>
      <c r="AP18" s="714"/>
      <c r="AQ18" s="715"/>
      <c r="AR18" s="654"/>
    </row>
    <row r="19" spans="2:45" ht="19.5" customHeight="1" x14ac:dyDescent="0.2">
      <c r="B19" s="970" t="s">
        <v>798</v>
      </c>
      <c r="C19" s="1628">
        <v>12</v>
      </c>
      <c r="D19" s="1628"/>
      <c r="E19" s="1629"/>
      <c r="F19" s="260"/>
      <c r="G19" s="970" t="s">
        <v>799</v>
      </c>
      <c r="H19" s="1351">
        <v>30</v>
      </c>
      <c r="I19" s="1938" t="s">
        <v>952</v>
      </c>
      <c r="J19" s="1939"/>
      <c r="K19" s="260"/>
      <c r="L19" s="970" t="s">
        <v>799</v>
      </c>
      <c r="M19" s="1351">
        <v>30</v>
      </c>
      <c r="N19" s="1938" t="s">
        <v>952</v>
      </c>
      <c r="O19" s="1939"/>
      <c r="Q19" s="1178"/>
      <c r="R19" s="613"/>
      <c r="S19" s="91" t="s">
        <v>580</v>
      </c>
      <c r="T19" s="654">
        <f>T16*V19</f>
        <v>198750</v>
      </c>
      <c r="U19" s="908" t="s">
        <v>173</v>
      </c>
      <c r="V19" s="989">
        <v>0.75</v>
      </c>
      <c r="W19" s="1112"/>
      <c r="X19" s="91" t="s">
        <v>580</v>
      </c>
      <c r="Y19" s="654">
        <f>Y16*AA19</f>
        <v>183750</v>
      </c>
      <c r="Z19" s="908" t="s">
        <v>173</v>
      </c>
      <c r="AA19" s="989">
        <v>0.75</v>
      </c>
      <c r="AB19" s="1112"/>
      <c r="AC19" s="1000"/>
      <c r="AE19" s="613"/>
      <c r="AF19" s="91" t="s">
        <v>625</v>
      </c>
      <c r="AG19" s="654">
        <f>AG15*AI19</f>
        <v>237750</v>
      </c>
      <c r="AH19" s="654" t="s">
        <v>200</v>
      </c>
      <c r="AI19" s="664">
        <v>0.75</v>
      </c>
      <c r="AJ19" s="663"/>
      <c r="AL19" s="613"/>
      <c r="AM19" s="613"/>
      <c r="AN19" s="91" t="s">
        <v>631</v>
      </c>
      <c r="AO19" s="654">
        <f>AO15*AQ19</f>
        <v>0</v>
      </c>
      <c r="AP19" s="654" t="s">
        <v>200</v>
      </c>
      <c r="AQ19" s="664">
        <v>0.75</v>
      </c>
      <c r="AR19" s="663"/>
    </row>
    <row r="20" spans="2:45" ht="19.5" customHeight="1" x14ac:dyDescent="0.2">
      <c r="B20" s="971" t="s">
        <v>801</v>
      </c>
      <c r="C20" s="1611">
        <f>C18*C19</f>
        <v>360</v>
      </c>
      <c r="D20" s="1611"/>
      <c r="E20" s="1612"/>
      <c r="F20" s="260"/>
      <c r="G20" s="951" t="s">
        <v>53</v>
      </c>
      <c r="H20" s="1637" t="s">
        <v>295</v>
      </c>
      <c r="I20" s="1637"/>
      <c r="J20" s="1638"/>
      <c r="K20" s="260"/>
      <c r="L20" s="951" t="s">
        <v>53</v>
      </c>
      <c r="M20" s="1637" t="s">
        <v>295</v>
      </c>
      <c r="N20" s="1637"/>
      <c r="O20" s="1638"/>
      <c r="Q20" s="1178"/>
      <c r="R20" s="613"/>
      <c r="S20" s="76" t="s">
        <v>855</v>
      </c>
      <c r="T20" s="1840">
        <f>MIN(T17+T18,T19)</f>
        <v>154500</v>
      </c>
      <c r="U20" s="1840"/>
      <c r="V20" s="1841"/>
      <c r="W20" s="1112"/>
      <c r="X20" s="76" t="s">
        <v>965</v>
      </c>
      <c r="Y20" s="1840">
        <f>MIN(Y17+Y18,Y19)</f>
        <v>181700</v>
      </c>
      <c r="Z20" s="1840"/>
      <c r="AA20" s="1841"/>
      <c r="AB20" s="1112"/>
      <c r="AC20" s="1000"/>
      <c r="AE20" s="613"/>
      <c r="AF20" s="76" t="s">
        <v>626</v>
      </c>
      <c r="AG20" s="653">
        <f>AI20*AG17</f>
        <v>50000</v>
      </c>
      <c r="AH20" s="653" t="s">
        <v>200</v>
      </c>
      <c r="AI20" s="665">
        <v>1</v>
      </c>
      <c r="AJ20" s="663"/>
      <c r="AK20" s="319" t="s">
        <v>624</v>
      </c>
      <c r="AL20" s="613"/>
      <c r="AM20" s="613"/>
      <c r="AN20" s="76" t="s">
        <v>626</v>
      </c>
      <c r="AO20" s="653">
        <f>AQ20*AO17</f>
        <v>181700</v>
      </c>
      <c r="AP20" s="653" t="s">
        <v>200</v>
      </c>
      <c r="AQ20" s="665">
        <v>1</v>
      </c>
      <c r="AR20" s="663"/>
      <c r="AS20" s="319" t="s">
        <v>624</v>
      </c>
    </row>
    <row r="21" spans="2:45" ht="19.5" customHeight="1" x14ac:dyDescent="0.2">
      <c r="B21" s="970" t="s">
        <v>806</v>
      </c>
      <c r="C21" s="1643">
        <f>-PMT(C17/C19,C20,C16,0)</f>
        <v>583.40319888404542</v>
      </c>
      <c r="D21" s="1643"/>
      <c r="E21" s="1644"/>
      <c r="F21" s="260"/>
      <c r="G21" s="970" t="s">
        <v>798</v>
      </c>
      <c r="H21" s="1628">
        <v>12</v>
      </c>
      <c r="I21" s="1628"/>
      <c r="J21" s="1629"/>
      <c r="K21" s="260"/>
      <c r="L21" s="970" t="s">
        <v>798</v>
      </c>
      <c r="M21" s="1628">
        <v>12</v>
      </c>
      <c r="N21" s="1628"/>
      <c r="O21" s="1629"/>
      <c r="Q21" s="1178"/>
      <c r="R21" s="613"/>
      <c r="S21" s="1016" t="s">
        <v>800</v>
      </c>
      <c r="T21" s="1386">
        <v>0.09</v>
      </c>
      <c r="U21" s="1867" t="s">
        <v>827</v>
      </c>
      <c r="V21" s="1868"/>
      <c r="W21" s="965"/>
      <c r="X21" s="1016" t="s">
        <v>800</v>
      </c>
      <c r="Y21" s="1386">
        <v>0.09</v>
      </c>
      <c r="Z21" s="1867" t="s">
        <v>827</v>
      </c>
      <c r="AA21" s="1868"/>
      <c r="AB21" s="965"/>
      <c r="AC21" s="1000"/>
      <c r="AE21" s="621"/>
      <c r="AF21" s="91" t="s">
        <v>627</v>
      </c>
      <c r="AG21" s="654">
        <f>AG18*AI21</f>
        <v>337500</v>
      </c>
      <c r="AH21" s="654" t="s">
        <v>618</v>
      </c>
      <c r="AI21" s="664">
        <v>0.75</v>
      </c>
      <c r="AJ21" s="654"/>
      <c r="AK21" s="692">
        <f>SUM(AG19+AG20)</f>
        <v>287750</v>
      </c>
      <c r="AL21" s="613"/>
      <c r="AM21" s="613"/>
      <c r="AN21" s="91" t="s">
        <v>627</v>
      </c>
      <c r="AO21" s="654">
        <f>AO18*AQ21</f>
        <v>183750</v>
      </c>
      <c r="AP21" s="654" t="s">
        <v>618</v>
      </c>
      <c r="AQ21" s="664">
        <v>0.75</v>
      </c>
      <c r="AR21" s="654"/>
      <c r="AS21" s="692">
        <f>SUM(AO19+AO20)</f>
        <v>181700</v>
      </c>
    </row>
    <row r="22" spans="2:45" ht="19.5" customHeight="1" x14ac:dyDescent="0.2">
      <c r="B22" s="971" t="s">
        <v>839</v>
      </c>
      <c r="C22" s="1563">
        <f>C21*C20</f>
        <v>210025.15159825634</v>
      </c>
      <c r="D22" s="1563"/>
      <c r="E22" s="1564"/>
      <c r="F22" s="260"/>
      <c r="G22" s="971" t="s">
        <v>801</v>
      </c>
      <c r="H22" s="1611">
        <f>H19*H21</f>
        <v>360</v>
      </c>
      <c r="I22" s="1611"/>
      <c r="J22" s="1612"/>
      <c r="K22" s="260"/>
      <c r="L22" s="971" t="s">
        <v>801</v>
      </c>
      <c r="M22" s="1611">
        <f>M19*M21</f>
        <v>360</v>
      </c>
      <c r="N22" s="1611"/>
      <c r="O22" s="1612"/>
      <c r="Q22" s="1178"/>
      <c r="R22" s="613"/>
      <c r="S22" s="971" t="s">
        <v>852</v>
      </c>
      <c r="T22" s="1399">
        <v>12</v>
      </c>
      <c r="U22" s="1611" t="s">
        <v>966</v>
      </c>
      <c r="V22" s="1612"/>
      <c r="W22" s="1384"/>
      <c r="X22" s="971" t="s">
        <v>838</v>
      </c>
      <c r="Y22" s="1399">
        <v>12</v>
      </c>
      <c r="Z22" s="1611" t="s">
        <v>966</v>
      </c>
      <c r="AA22" s="1612"/>
      <c r="AB22" s="1384"/>
      <c r="AC22" s="1000"/>
      <c r="AE22" s="613"/>
      <c r="AF22" s="76" t="s">
        <v>700</v>
      </c>
      <c r="AG22" s="691">
        <f>AK21</f>
        <v>287750</v>
      </c>
      <c r="AH22" s="669"/>
      <c r="AI22" s="670"/>
      <c r="AJ22" s="633"/>
      <c r="AK22" s="695"/>
      <c r="AL22" s="613"/>
      <c r="AM22" s="613"/>
      <c r="AN22" s="76" t="s">
        <v>700</v>
      </c>
      <c r="AO22" s="691">
        <v>208500</v>
      </c>
      <c r="AP22" s="669"/>
      <c r="AQ22" s="670"/>
      <c r="AR22" s="633"/>
      <c r="AS22" s="695">
        <f>AO22-AO20</f>
        <v>26800</v>
      </c>
    </row>
    <row r="23" spans="2:45" ht="19.5" customHeight="1" x14ac:dyDescent="0.2">
      <c r="B23" s="979" t="s">
        <v>803</v>
      </c>
      <c r="C23" s="1641">
        <f>C22-C16</f>
        <v>107275.15159825634</v>
      </c>
      <c r="D23" s="1641"/>
      <c r="E23" s="1642"/>
      <c r="F23" s="260"/>
      <c r="G23" s="970" t="s">
        <v>806</v>
      </c>
      <c r="H23" s="1643">
        <f>-PMT(H18/H21,H22,H17,0)</f>
        <v>1107.1885526266556</v>
      </c>
      <c r="I23" s="1643"/>
      <c r="J23" s="1644"/>
      <c r="K23" s="260"/>
      <c r="L23" s="970" t="s">
        <v>806</v>
      </c>
      <c r="M23" s="1643">
        <f>-PMT(M18/M21,M22,M17,0)</f>
        <v>1502.2352255417206</v>
      </c>
      <c r="N23" s="1643"/>
      <c r="O23" s="1644"/>
      <c r="Q23" s="1178"/>
      <c r="R23" s="613"/>
      <c r="S23" s="1016" t="s">
        <v>6</v>
      </c>
      <c r="T23" s="1378">
        <f>T20*T21/12</f>
        <v>1158.75</v>
      </c>
      <c r="U23" s="1872"/>
      <c r="V23" s="1873"/>
      <c r="W23" s="1127"/>
      <c r="X23" s="1016" t="s">
        <v>6</v>
      </c>
      <c r="Y23" s="1565">
        <f>Y20*Y21/12</f>
        <v>1362.75</v>
      </c>
      <c r="Z23" s="1565"/>
      <c r="AA23" s="1566"/>
      <c r="AB23" s="1127"/>
      <c r="AC23" s="1000"/>
      <c r="AE23" s="613"/>
      <c r="AF23" s="91" t="s">
        <v>1</v>
      </c>
      <c r="AG23" s="655" t="s">
        <v>703</v>
      </c>
      <c r="AH23" s="655"/>
      <c r="AI23" s="527"/>
      <c r="AJ23" s="655"/>
      <c r="AL23" s="621"/>
      <c r="AM23" s="621"/>
      <c r="AN23" s="91" t="s">
        <v>1</v>
      </c>
      <c r="AO23" s="655" t="s">
        <v>703</v>
      </c>
      <c r="AP23" s="655"/>
      <c r="AQ23" s="527"/>
      <c r="AR23" s="655"/>
    </row>
    <row r="24" spans="2:45" ht="19.5" customHeight="1" thickBot="1" x14ac:dyDescent="0.25">
      <c r="B24" s="971" t="s">
        <v>299</v>
      </c>
      <c r="C24" s="1639">
        <v>1400</v>
      </c>
      <c r="D24" s="1639"/>
      <c r="E24" s="1640"/>
      <c r="F24" s="260"/>
      <c r="G24" s="971" t="s">
        <v>839</v>
      </c>
      <c r="H24" s="1563">
        <f>H23*H22</f>
        <v>398587.87894559599</v>
      </c>
      <c r="I24" s="1563"/>
      <c r="J24" s="1564"/>
      <c r="K24" s="260"/>
      <c r="L24" s="971" t="s">
        <v>802</v>
      </c>
      <c r="M24" s="1563">
        <f>M23*M22</f>
        <v>540804.6811950194</v>
      </c>
      <c r="N24" s="1563"/>
      <c r="O24" s="1564"/>
      <c r="Q24" s="1178"/>
      <c r="R24" s="621"/>
      <c r="S24" s="817" t="s">
        <v>839</v>
      </c>
      <c r="T24" s="1418">
        <f>T23*T22</f>
        <v>13905</v>
      </c>
      <c r="U24" s="1856" t="s">
        <v>972</v>
      </c>
      <c r="V24" s="1857"/>
      <c r="W24" s="1385"/>
      <c r="X24" s="817" t="s">
        <v>839</v>
      </c>
      <c r="Y24" s="1418">
        <f>Y23*Y22</f>
        <v>16353</v>
      </c>
      <c r="Z24" s="1856" t="s">
        <v>972</v>
      </c>
      <c r="AA24" s="1857"/>
      <c r="AB24" s="1385"/>
      <c r="AC24" s="1000"/>
      <c r="AE24" s="613"/>
      <c r="AF24" s="76" t="s">
        <v>0</v>
      </c>
      <c r="AG24" s="852">
        <v>0.09</v>
      </c>
      <c r="AH24" s="852"/>
      <c r="AI24" s="853"/>
      <c r="AJ24" s="566"/>
      <c r="AK24" s="319" t="s">
        <v>233</v>
      </c>
      <c r="AL24" s="613"/>
      <c r="AM24" s="613"/>
      <c r="AN24" s="76" t="s">
        <v>0</v>
      </c>
      <c r="AO24" s="709">
        <v>0.09</v>
      </c>
      <c r="AP24" s="709"/>
      <c r="AQ24" s="710"/>
      <c r="AR24" s="566"/>
      <c r="AS24" s="319" t="s">
        <v>233</v>
      </c>
    </row>
    <row r="25" spans="2:45" ht="19.5" customHeight="1" thickBot="1" x14ac:dyDescent="0.25">
      <c r="B25" s="970" t="s">
        <v>524</v>
      </c>
      <c r="C25" s="1615">
        <v>100</v>
      </c>
      <c r="D25" s="1615"/>
      <c r="E25" s="1616"/>
      <c r="F25" s="260"/>
      <c r="G25" s="979" t="s">
        <v>803</v>
      </c>
      <c r="H25" s="1641">
        <f>H24-H17</f>
        <v>203587.87894559599</v>
      </c>
      <c r="I25" s="1641"/>
      <c r="J25" s="1642"/>
      <c r="K25" s="260"/>
      <c r="L25" s="979" t="s">
        <v>803</v>
      </c>
      <c r="M25" s="1641">
        <f>M24-M17</f>
        <v>365804.6811950194</v>
      </c>
      <c r="N25" s="1641"/>
      <c r="O25" s="1642"/>
      <c r="Q25" s="1178"/>
      <c r="R25" s="621"/>
      <c r="S25" s="1050" t="s">
        <v>166</v>
      </c>
      <c r="T25" s="1052"/>
      <c r="U25" s="1052"/>
      <c r="V25" s="1053"/>
      <c r="W25" s="1379"/>
      <c r="X25" s="1050" t="s">
        <v>166</v>
      </c>
      <c r="Y25" s="1052"/>
      <c r="Z25" s="1052"/>
      <c r="AA25" s="1053"/>
      <c r="AB25" s="1385"/>
      <c r="AC25" s="1000"/>
      <c r="AE25" s="613"/>
      <c r="AF25" s="125" t="s">
        <v>6</v>
      </c>
      <c r="AG25" s="850">
        <f>AK25/12</f>
        <v>2158.125</v>
      </c>
      <c r="AH25" s="850"/>
      <c r="AI25" s="851"/>
      <c r="AJ25" s="633"/>
      <c r="AK25" s="694">
        <f>AG22*AG24</f>
        <v>25897.5</v>
      </c>
      <c r="AL25" s="613"/>
      <c r="AM25" s="613"/>
      <c r="AN25" s="125" t="s">
        <v>6</v>
      </c>
      <c r="AO25" s="707">
        <f>AS25/12</f>
        <v>1563.75</v>
      </c>
      <c r="AP25" s="707"/>
      <c r="AQ25" s="708"/>
      <c r="AR25" s="633"/>
      <c r="AS25" s="694">
        <f>AO22*AO24</f>
        <v>18765</v>
      </c>
    </row>
    <row r="26" spans="2:45" ht="19.5" customHeight="1" thickBot="1" x14ac:dyDescent="0.25">
      <c r="B26" s="971" t="s">
        <v>525</v>
      </c>
      <c r="C26" s="1617">
        <v>235</v>
      </c>
      <c r="D26" s="1617"/>
      <c r="E26" s="1618"/>
      <c r="F26" s="260"/>
      <c r="G26" s="971" t="s">
        <v>299</v>
      </c>
      <c r="H26" s="1613">
        <v>1600</v>
      </c>
      <c r="I26" s="1613"/>
      <c r="J26" s="1614"/>
      <c r="K26" s="260"/>
      <c r="L26" s="971" t="s">
        <v>299</v>
      </c>
      <c r="M26" s="1613">
        <v>0</v>
      </c>
      <c r="N26" s="1613"/>
      <c r="O26" s="1614"/>
      <c r="Q26" s="1178"/>
      <c r="R26" s="613"/>
      <c r="S26" s="178" t="s">
        <v>4</v>
      </c>
      <c r="T26" s="1844">
        <f>T13-T17</f>
        <v>41500</v>
      </c>
      <c r="U26" s="1844"/>
      <c r="V26" s="1845"/>
      <c r="W26" s="1048"/>
      <c r="X26" s="486" t="s">
        <v>809</v>
      </c>
      <c r="Y26" s="1844">
        <f>Y14-Y27</f>
        <v>0</v>
      </c>
      <c r="Z26" s="1844"/>
      <c r="AA26" s="1845"/>
      <c r="AB26" s="774"/>
      <c r="AC26" s="1000"/>
      <c r="AE26" s="613"/>
      <c r="AF26" s="286" t="s">
        <v>166</v>
      </c>
      <c r="AG26" s="681"/>
      <c r="AH26" s="681"/>
      <c r="AI26" s="682"/>
      <c r="AJ26" s="682"/>
      <c r="AL26" s="613"/>
      <c r="AM26" s="613"/>
      <c r="AN26" s="286" t="s">
        <v>166</v>
      </c>
      <c r="AO26" s="681"/>
      <c r="AP26" s="681"/>
      <c r="AQ26" s="682"/>
      <c r="AR26" s="682"/>
    </row>
    <row r="27" spans="2:45" ht="19.5" customHeight="1" x14ac:dyDescent="0.2">
      <c r="B27" s="970" t="s">
        <v>807</v>
      </c>
      <c r="C27" s="1645">
        <f>C21+C26+C25</f>
        <v>918.40319888404542</v>
      </c>
      <c r="D27" s="1645"/>
      <c r="E27" s="1646"/>
      <c r="F27" s="260"/>
      <c r="G27" s="970" t="s">
        <v>524</v>
      </c>
      <c r="H27" s="1615">
        <v>100</v>
      </c>
      <c r="I27" s="1615"/>
      <c r="J27" s="1616"/>
      <c r="K27" s="260"/>
      <c r="L27" s="970" t="s">
        <v>524</v>
      </c>
      <c r="M27" s="1615">
        <v>800</v>
      </c>
      <c r="N27" s="1615"/>
      <c r="O27" s="1616"/>
      <c r="Q27" s="1178"/>
      <c r="R27" s="613"/>
      <c r="S27" s="76" t="s">
        <v>815</v>
      </c>
      <c r="T27" s="1113">
        <v>0</v>
      </c>
      <c r="U27" s="1551" t="s">
        <v>904</v>
      </c>
      <c r="V27" s="1552"/>
      <c r="W27" s="1376"/>
      <c r="X27" s="466" t="s">
        <v>831</v>
      </c>
      <c r="Y27" s="1547">
        <f>MAX(0,Y14-Y17)</f>
        <v>0</v>
      </c>
      <c r="Z27" s="1547"/>
      <c r="AA27" s="1548"/>
      <c r="AB27" s="774"/>
      <c r="AC27" s="1000"/>
      <c r="AE27" s="613"/>
      <c r="AF27" s="79" t="s">
        <v>4</v>
      </c>
      <c r="AG27" s="836">
        <f>AG15-AG19</f>
        <v>79250</v>
      </c>
      <c r="AH27" s="2112" t="s">
        <v>628</v>
      </c>
      <c r="AI27" s="2113"/>
      <c r="AJ27" s="568"/>
      <c r="AL27" s="613"/>
      <c r="AM27" s="613"/>
      <c r="AN27" s="79" t="s">
        <v>632</v>
      </c>
      <c r="AO27" s="698">
        <v>0</v>
      </c>
      <c r="AP27" s="2112" t="s">
        <v>628</v>
      </c>
      <c r="AQ27" s="2113"/>
      <c r="AR27" s="568"/>
    </row>
    <row r="28" spans="2:45" ht="19.5" customHeight="1" x14ac:dyDescent="0.2">
      <c r="B28" s="971" t="s">
        <v>808</v>
      </c>
      <c r="C28" s="1647">
        <f>C24/C27</f>
        <v>1.5243849343089662</v>
      </c>
      <c r="D28" s="1647"/>
      <c r="E28" s="1648"/>
      <c r="F28" s="260"/>
      <c r="G28" s="971" t="s">
        <v>525</v>
      </c>
      <c r="H28" s="1617">
        <v>235</v>
      </c>
      <c r="I28" s="1617"/>
      <c r="J28" s="1618"/>
      <c r="K28" s="260"/>
      <c r="L28" s="971" t="s">
        <v>525</v>
      </c>
      <c r="M28" s="1617">
        <v>1868</v>
      </c>
      <c r="N28" s="1617"/>
      <c r="O28" s="1618"/>
      <c r="Q28" s="1178"/>
      <c r="R28" s="613"/>
      <c r="S28" s="91" t="s">
        <v>45</v>
      </c>
      <c r="T28" s="1376">
        <f>MAX(3500,T20*V28)</f>
        <v>3500</v>
      </c>
      <c r="U28" s="910" t="s">
        <v>617</v>
      </c>
      <c r="V28" s="989">
        <v>0.02</v>
      </c>
      <c r="W28" s="1376"/>
      <c r="X28" s="91" t="s">
        <v>45</v>
      </c>
      <c r="Y28" s="1376">
        <f>Y20*AA28</f>
        <v>3634</v>
      </c>
      <c r="Z28" s="910" t="s">
        <v>617</v>
      </c>
      <c r="AA28" s="989">
        <v>0.02</v>
      </c>
      <c r="AB28" s="1379"/>
      <c r="AC28" s="1000"/>
      <c r="AE28" s="613"/>
      <c r="AF28" s="91" t="s">
        <v>45</v>
      </c>
      <c r="AG28" s="568">
        <f>AG22*AI28</f>
        <v>5755</v>
      </c>
      <c r="AH28" s="568" t="s">
        <v>617</v>
      </c>
      <c r="AI28" s="711">
        <v>0.02</v>
      </c>
      <c r="AJ28" s="683"/>
      <c r="AL28" s="613"/>
      <c r="AM28" s="613"/>
      <c r="AN28" s="91" t="s">
        <v>45</v>
      </c>
      <c r="AO28" s="568">
        <f>AO22*AQ28</f>
        <v>4170</v>
      </c>
      <c r="AP28" s="568" t="s">
        <v>617</v>
      </c>
      <c r="AQ28" s="711">
        <v>0.02</v>
      </c>
      <c r="AR28" s="683"/>
    </row>
    <row r="29" spans="2:45" ht="19.5" customHeight="1" thickBot="1" x14ac:dyDescent="0.25">
      <c r="B29" s="752" t="s">
        <v>938</v>
      </c>
      <c r="C29" s="1649">
        <f>C24-C27</f>
        <v>481.59680111595458</v>
      </c>
      <c r="D29" s="1649"/>
      <c r="E29" s="1650"/>
      <c r="F29" s="260"/>
      <c r="G29" s="970" t="s">
        <v>807</v>
      </c>
      <c r="H29" s="1645">
        <f>H23+H28+H27</f>
        <v>1442.1885526266556</v>
      </c>
      <c r="I29" s="1645"/>
      <c r="J29" s="1646"/>
      <c r="K29" s="260"/>
      <c r="L29" s="970" t="s">
        <v>807</v>
      </c>
      <c r="M29" s="1645">
        <f>M23+M28+M27</f>
        <v>4170.2352255417209</v>
      </c>
      <c r="N29" s="1645"/>
      <c r="O29" s="1646"/>
      <c r="Q29" s="1178"/>
      <c r="R29" s="613"/>
      <c r="S29" s="76" t="s">
        <v>10</v>
      </c>
      <c r="T29" s="1375">
        <f>MAX(3500,V29*T20)</f>
        <v>3500</v>
      </c>
      <c r="U29" s="911" t="s">
        <v>617</v>
      </c>
      <c r="V29" s="990">
        <v>0.02</v>
      </c>
      <c r="W29" s="1115"/>
      <c r="X29" s="76" t="s">
        <v>10</v>
      </c>
      <c r="Y29" s="1375">
        <f>MAX(4378,AA29*Y20)</f>
        <v>4378</v>
      </c>
      <c r="Z29" s="911" t="s">
        <v>617</v>
      </c>
      <c r="AA29" s="990">
        <v>2.2499999999999999E-2</v>
      </c>
      <c r="AB29" s="1048"/>
      <c r="AC29" s="1000"/>
      <c r="AE29" s="260"/>
      <c r="AF29" s="76" t="s">
        <v>620</v>
      </c>
      <c r="AG29" s="628">
        <f>AI29*AG22</f>
        <v>5755</v>
      </c>
      <c r="AH29" s="628" t="s">
        <v>617</v>
      </c>
      <c r="AI29" s="712">
        <v>0.02</v>
      </c>
      <c r="AJ29" s="568"/>
      <c r="AL29" s="613"/>
      <c r="AM29" s="613"/>
      <c r="AN29" s="76" t="s">
        <v>620</v>
      </c>
      <c r="AO29" s="628">
        <f>AQ29*AO22</f>
        <v>4691.25</v>
      </c>
      <c r="AP29" s="628" t="s">
        <v>617</v>
      </c>
      <c r="AQ29" s="712">
        <v>2.2499999999999999E-2</v>
      </c>
      <c r="AR29" s="568"/>
    </row>
    <row r="30" spans="2:45" ht="19.5" customHeight="1" thickBot="1" x14ac:dyDescent="0.25">
      <c r="B30" s="1050" t="s">
        <v>166</v>
      </c>
      <c r="C30" s="505"/>
      <c r="D30" s="505"/>
      <c r="E30" s="505"/>
      <c r="F30" s="260"/>
      <c r="G30" s="971" t="s">
        <v>808</v>
      </c>
      <c r="H30" s="1647">
        <f>H26/H29</f>
        <v>1.1094249757328352</v>
      </c>
      <c r="I30" s="1647"/>
      <c r="J30" s="1648"/>
      <c r="K30" s="260"/>
      <c r="L30" s="971" t="s">
        <v>808</v>
      </c>
      <c r="M30" s="1647">
        <f>M26/M29</f>
        <v>0</v>
      </c>
      <c r="N30" s="1647"/>
      <c r="O30" s="1648"/>
      <c r="Q30" s="1178"/>
      <c r="R30" s="613"/>
      <c r="S30" s="91" t="s">
        <v>791</v>
      </c>
      <c r="T30" s="1381">
        <v>1245</v>
      </c>
      <c r="U30" s="1549" t="s">
        <v>771</v>
      </c>
      <c r="V30" s="1550"/>
      <c r="W30" s="1115"/>
      <c r="X30" s="91" t="s">
        <v>791</v>
      </c>
      <c r="Y30" s="1381">
        <v>1245</v>
      </c>
      <c r="Z30" s="1549" t="s">
        <v>771</v>
      </c>
      <c r="AA30" s="1550"/>
      <c r="AB30" s="1376"/>
      <c r="AC30" s="1000"/>
      <c r="AE30" s="613"/>
      <c r="AF30" s="125" t="s">
        <v>619</v>
      </c>
      <c r="AG30" s="727">
        <v>999</v>
      </c>
      <c r="AH30" s="727"/>
      <c r="AI30" s="529"/>
      <c r="AJ30" s="568"/>
      <c r="AL30" s="613"/>
      <c r="AM30" s="613"/>
      <c r="AN30" s="125" t="s">
        <v>619</v>
      </c>
      <c r="AO30" s="727">
        <v>999</v>
      </c>
      <c r="AP30" s="727"/>
      <c r="AQ30" s="529"/>
      <c r="AR30" s="568"/>
    </row>
    <row r="31" spans="2:45" ht="19.5" customHeight="1" thickBot="1" x14ac:dyDescent="0.25">
      <c r="B31" s="464" t="s">
        <v>4</v>
      </c>
      <c r="C31" s="1573">
        <f>C15-C16</f>
        <v>34250</v>
      </c>
      <c r="D31" s="1573"/>
      <c r="E31" s="1574"/>
      <c r="F31" s="260"/>
      <c r="G31" s="752" t="s">
        <v>938</v>
      </c>
      <c r="H31" s="1649">
        <f>H26-H29</f>
        <v>157.81144737334444</v>
      </c>
      <c r="I31" s="1649"/>
      <c r="J31" s="1650"/>
      <c r="K31" s="260"/>
      <c r="L31" s="752" t="s">
        <v>938</v>
      </c>
      <c r="M31" s="1649">
        <f>M26-M29</f>
        <v>-4170.2352255417209</v>
      </c>
      <c r="N31" s="1649"/>
      <c r="O31" s="1650"/>
      <c r="Q31" s="1178"/>
      <c r="R31" s="613"/>
      <c r="S31" s="76" t="s">
        <v>232</v>
      </c>
      <c r="T31" s="1380">
        <v>440</v>
      </c>
      <c r="U31" s="1547" t="s">
        <v>771</v>
      </c>
      <c r="V31" s="1548"/>
      <c r="W31" s="1376"/>
      <c r="X31" s="76" t="s">
        <v>232</v>
      </c>
      <c r="Y31" s="1380">
        <v>440</v>
      </c>
      <c r="Z31" s="1547" t="s">
        <v>771</v>
      </c>
      <c r="AA31" s="1548"/>
      <c r="AB31" s="1376"/>
      <c r="AC31" s="1000"/>
      <c r="AF31" s="129" t="s">
        <v>169</v>
      </c>
      <c r="AG31" s="847"/>
      <c r="AH31" s="847"/>
      <c r="AI31" s="530"/>
      <c r="AJ31" s="530"/>
      <c r="AL31" s="613"/>
      <c r="AM31" s="260"/>
      <c r="AN31" s="129" t="s">
        <v>169</v>
      </c>
      <c r="AO31" s="534"/>
      <c r="AP31" s="534"/>
      <c r="AQ31" s="530"/>
      <c r="AR31" s="530"/>
    </row>
    <row r="32" spans="2:45" ht="19.5" customHeight="1" thickBot="1" x14ac:dyDescent="0.25">
      <c r="B32" s="465" t="s">
        <v>815</v>
      </c>
      <c r="C32" s="1335">
        <v>2000</v>
      </c>
      <c r="D32" s="1335"/>
      <c r="E32" s="1352"/>
      <c r="F32" s="260"/>
      <c r="G32" s="1050" t="s">
        <v>166</v>
      </c>
      <c r="H32" s="965"/>
      <c r="I32" s="965"/>
      <c r="J32" s="965"/>
      <c r="K32" s="260"/>
      <c r="L32" s="1050" t="s">
        <v>166</v>
      </c>
      <c r="M32" s="965"/>
      <c r="N32" s="965"/>
      <c r="O32" s="965"/>
      <c r="Q32" s="1178"/>
      <c r="R32" s="613"/>
      <c r="S32" s="125" t="s">
        <v>124</v>
      </c>
      <c r="T32" s="1394">
        <v>200</v>
      </c>
      <c r="U32" s="1545" t="s">
        <v>771</v>
      </c>
      <c r="V32" s="1546"/>
      <c r="W32" s="1376"/>
      <c r="X32" s="125" t="s">
        <v>124</v>
      </c>
      <c r="Y32" s="1394">
        <v>200</v>
      </c>
      <c r="Z32" s="1545" t="s">
        <v>771</v>
      </c>
      <c r="AA32" s="1546"/>
      <c r="AB32" s="1115"/>
      <c r="AC32" s="1000"/>
      <c r="AF32" s="96" t="s">
        <v>316</v>
      </c>
      <c r="AG32" s="684">
        <v>860</v>
      </c>
      <c r="AH32" s="684"/>
      <c r="AI32" s="531"/>
      <c r="AJ32" s="685"/>
      <c r="AL32" s="613"/>
      <c r="AM32" s="613"/>
      <c r="AN32" s="96" t="s">
        <v>316</v>
      </c>
      <c r="AO32" s="684">
        <v>860</v>
      </c>
      <c r="AP32" s="684"/>
      <c r="AQ32" s="531"/>
      <c r="AR32" s="685"/>
    </row>
    <row r="33" spans="1:45" ht="19.5" customHeight="1" thickBot="1" x14ac:dyDescent="0.25">
      <c r="B33" s="466" t="s">
        <v>45</v>
      </c>
      <c r="C33" s="1334">
        <f>C16*E33</f>
        <v>2825.625</v>
      </c>
      <c r="D33" s="920" t="s">
        <v>617</v>
      </c>
      <c r="E33" s="922">
        <v>2.75E-2</v>
      </c>
      <c r="F33" s="260"/>
      <c r="G33" s="981" t="s">
        <v>809</v>
      </c>
      <c r="H33" s="1345">
        <f>H16-H34</f>
        <v>150000</v>
      </c>
      <c r="I33" s="634"/>
      <c r="J33" s="429"/>
      <c r="K33" s="260"/>
      <c r="L33" s="207" t="s">
        <v>43</v>
      </c>
      <c r="M33" s="1324">
        <f>M16</f>
        <v>130000</v>
      </c>
      <c r="N33" s="1343"/>
      <c r="O33" s="1344"/>
      <c r="Q33" s="1178"/>
      <c r="R33" s="613"/>
      <c r="S33" s="396" t="s">
        <v>169</v>
      </c>
      <c r="T33" s="1054"/>
      <c r="U33" s="1054"/>
      <c r="V33" s="1054"/>
      <c r="W33" s="1376"/>
      <c r="X33" s="396" t="s">
        <v>169</v>
      </c>
      <c r="Y33" s="1054"/>
      <c r="Z33" s="1054"/>
      <c r="AA33" s="1054"/>
      <c r="AB33" s="1115"/>
      <c r="AC33" s="1000"/>
      <c r="AF33" s="97" t="s">
        <v>12</v>
      </c>
      <c r="AG33" s="847">
        <v>1500</v>
      </c>
      <c r="AH33" s="685"/>
      <c r="AI33" s="578"/>
      <c r="AJ33" s="685"/>
      <c r="AL33" s="260"/>
      <c r="AN33" s="97" t="s">
        <v>12</v>
      </c>
      <c r="AO33" s="534">
        <v>1500</v>
      </c>
      <c r="AP33" s="685"/>
      <c r="AQ33" s="578"/>
      <c r="AR33" s="685"/>
    </row>
    <row r="34" spans="1:45" ht="19.5" customHeight="1" thickBot="1" x14ac:dyDescent="0.25">
      <c r="B34" s="465" t="s">
        <v>10</v>
      </c>
      <c r="C34" s="1332">
        <f>MAX(4000,C16*E34)</f>
        <v>4000</v>
      </c>
      <c r="D34" s="921" t="s">
        <v>617</v>
      </c>
      <c r="E34" s="923">
        <v>0</v>
      </c>
      <c r="F34" s="260"/>
      <c r="G34" s="980" t="s">
        <v>831</v>
      </c>
      <c r="H34" s="1331">
        <f>MAX(0,H16-H17)</f>
        <v>0</v>
      </c>
      <c r="I34" s="1336"/>
      <c r="J34" s="1337"/>
      <c r="K34" s="260"/>
      <c r="L34" s="91" t="s">
        <v>45</v>
      </c>
      <c r="M34" s="1325">
        <f>M17*O34</f>
        <v>0</v>
      </c>
      <c r="N34" s="903" t="s">
        <v>617</v>
      </c>
      <c r="O34" s="989">
        <v>0</v>
      </c>
      <c r="Q34" s="1178"/>
      <c r="R34" s="613"/>
      <c r="S34" s="96" t="s">
        <v>14</v>
      </c>
      <c r="T34" s="1391">
        <v>600</v>
      </c>
      <c r="U34" s="1596" t="s">
        <v>770</v>
      </c>
      <c r="V34" s="1597"/>
      <c r="W34" s="1121"/>
      <c r="X34" s="96" t="s">
        <v>14</v>
      </c>
      <c r="Y34" s="1391">
        <v>860</v>
      </c>
      <c r="Z34" s="1596" t="s">
        <v>770</v>
      </c>
      <c r="AA34" s="1597"/>
      <c r="AB34" s="1376"/>
      <c r="AC34" s="1000"/>
      <c r="AF34" s="98" t="s">
        <v>13</v>
      </c>
      <c r="AG34" s="837">
        <v>1500</v>
      </c>
      <c r="AH34" s="837"/>
      <c r="AI34" s="838"/>
      <c r="AJ34" s="847"/>
      <c r="AL34" s="613"/>
      <c r="AN34" s="98" t="s">
        <v>13</v>
      </c>
      <c r="AO34" s="687">
        <v>1500</v>
      </c>
      <c r="AP34" s="687"/>
      <c r="AQ34" s="533"/>
      <c r="AR34" s="534"/>
    </row>
    <row r="35" spans="1:45" ht="19.5" customHeight="1" thickBot="1" x14ac:dyDescent="0.25">
      <c r="B35" s="489" t="s">
        <v>5</v>
      </c>
      <c r="C35" s="1981">
        <v>1450</v>
      </c>
      <c r="D35" s="1981"/>
      <c r="E35" s="1982"/>
      <c r="F35" s="260"/>
      <c r="G35" s="91" t="s">
        <v>45</v>
      </c>
      <c r="H35" s="1325">
        <f>H17*J35</f>
        <v>4875</v>
      </c>
      <c r="I35" s="903" t="s">
        <v>617</v>
      </c>
      <c r="J35" s="989">
        <v>2.5000000000000001E-2</v>
      </c>
      <c r="K35" s="260"/>
      <c r="L35" s="76" t="s">
        <v>10</v>
      </c>
      <c r="M35" s="1331">
        <f>MAX(3500,M17*O35)</f>
        <v>3500</v>
      </c>
      <c r="N35" s="904" t="s">
        <v>617</v>
      </c>
      <c r="O35" s="990">
        <v>0.02</v>
      </c>
      <c r="Q35" s="1178"/>
      <c r="R35" s="613"/>
      <c r="S35" s="97" t="s">
        <v>814</v>
      </c>
      <c r="T35" s="1392">
        <v>1500</v>
      </c>
      <c r="U35" s="1592" t="s">
        <v>771</v>
      </c>
      <c r="V35" s="1593"/>
      <c r="W35" s="1382"/>
      <c r="X35" s="97" t="s">
        <v>814</v>
      </c>
      <c r="Y35" s="1392">
        <v>1500</v>
      </c>
      <c r="Z35" s="1592" t="s">
        <v>771</v>
      </c>
      <c r="AA35" s="1593"/>
      <c r="AB35" s="1376"/>
      <c r="AC35" s="1000"/>
      <c r="AF35" s="497" t="s">
        <v>170</v>
      </c>
      <c r="AG35" s="847"/>
      <c r="AH35" s="847"/>
      <c r="AI35" s="847"/>
      <c r="AJ35" s="847"/>
      <c r="AN35" s="497" t="s">
        <v>170</v>
      </c>
      <c r="AO35" s="534"/>
      <c r="AP35" s="534"/>
      <c r="AQ35" s="534"/>
      <c r="AR35" s="534"/>
    </row>
    <row r="36" spans="1:45" ht="19.5" customHeight="1" thickBot="1" x14ac:dyDescent="0.25">
      <c r="B36" s="1017" t="s">
        <v>169</v>
      </c>
      <c r="C36" s="1342"/>
      <c r="D36" s="1342"/>
      <c r="E36" s="1342"/>
      <c r="F36" s="260"/>
      <c r="G36" s="76" t="s">
        <v>10</v>
      </c>
      <c r="H36" s="1331">
        <f>MAX(4000,H17*J36)</f>
        <v>4000</v>
      </c>
      <c r="I36" s="904" t="s">
        <v>617</v>
      </c>
      <c r="J36" s="990">
        <v>0.02</v>
      </c>
      <c r="K36" s="260"/>
      <c r="L36" s="125" t="s">
        <v>5</v>
      </c>
      <c r="M36" s="1330">
        <v>2995</v>
      </c>
      <c r="N36" s="1346"/>
      <c r="O36" s="1347"/>
      <c r="Q36" s="1178"/>
      <c r="R36" s="613"/>
      <c r="S36" s="98" t="s">
        <v>821</v>
      </c>
      <c r="T36" s="1394">
        <v>0</v>
      </c>
      <c r="U36" s="1545" t="s">
        <v>771</v>
      </c>
      <c r="V36" s="1546"/>
      <c r="W36" s="1376"/>
      <c r="X36" s="98" t="s">
        <v>821</v>
      </c>
      <c r="Y36" s="1394">
        <v>1500</v>
      </c>
      <c r="Z36" s="1545" t="s">
        <v>771</v>
      </c>
      <c r="AA36" s="1546"/>
      <c r="AB36" s="1376"/>
      <c r="AC36" s="1000"/>
      <c r="AF36" s="491" t="s">
        <v>67</v>
      </c>
      <c r="AG36" s="1787">
        <f>SUM(AG28:AG29,AG32:AG34,AG30:AG30)</f>
        <v>16369</v>
      </c>
      <c r="AH36" s="1787"/>
      <c r="AI36" s="1788"/>
      <c r="AJ36" s="854"/>
      <c r="AK36" s="693" t="s">
        <v>701</v>
      </c>
      <c r="AN36" s="491" t="s">
        <v>67</v>
      </c>
      <c r="AO36" s="1787">
        <f>SUM(AO28:AO29,AO32:AO34,AO30:AO30)</f>
        <v>13720.25</v>
      </c>
      <c r="AP36" s="1787"/>
      <c r="AQ36" s="1788"/>
      <c r="AR36" s="688"/>
      <c r="AS36" s="693" t="s">
        <v>701</v>
      </c>
    </row>
    <row r="37" spans="1:45" ht="19.5" customHeight="1" thickBot="1" x14ac:dyDescent="0.25">
      <c r="B37" s="372" t="s">
        <v>14</v>
      </c>
      <c r="C37" s="1042">
        <v>580</v>
      </c>
      <c r="D37" s="1596" t="s">
        <v>770</v>
      </c>
      <c r="E37" s="1597"/>
      <c r="F37" s="260"/>
      <c r="G37" s="125" t="s">
        <v>5</v>
      </c>
      <c r="H37" s="1330">
        <v>1450</v>
      </c>
      <c r="I37" s="1346"/>
      <c r="J37" s="1347"/>
      <c r="K37" s="260"/>
      <c r="L37" s="1057" t="s">
        <v>169</v>
      </c>
      <c r="M37" s="1338"/>
      <c r="N37" s="1338"/>
      <c r="O37" s="1338"/>
      <c r="Q37" s="1178"/>
      <c r="R37" s="613"/>
      <c r="S37" s="1056" t="s">
        <v>170</v>
      </c>
      <c r="T37" s="1054"/>
      <c r="U37" s="1054"/>
      <c r="V37" s="1054"/>
      <c r="W37" s="1376"/>
      <c r="X37" s="1056" t="s">
        <v>170</v>
      </c>
      <c r="Y37" s="1054"/>
      <c r="Z37" s="1054"/>
      <c r="AA37" s="1054"/>
      <c r="AB37" s="1121"/>
      <c r="AC37" s="1000"/>
      <c r="AF37" s="493" t="s">
        <v>221</v>
      </c>
      <c r="AG37" s="834">
        <f>AG36+AG27</f>
        <v>95619</v>
      </c>
      <c r="AH37" s="834"/>
      <c r="AI37" s="835"/>
      <c r="AJ37" s="854"/>
      <c r="AK37" s="762">
        <f>AG17+AG36+AK34</f>
        <v>66369</v>
      </c>
      <c r="AN37" s="586" t="s">
        <v>699</v>
      </c>
      <c r="AO37" s="2114">
        <f>MAX(0,AO15-AO19)</f>
        <v>0</v>
      </c>
      <c r="AP37" s="2114"/>
      <c r="AQ37" s="2115"/>
      <c r="AR37" s="688"/>
      <c r="AS37" s="762">
        <f>AO17+AO36+AO37</f>
        <v>195420.25</v>
      </c>
    </row>
    <row r="38" spans="1:45" ht="19.5" customHeight="1" thickBot="1" x14ac:dyDescent="0.25">
      <c r="B38" s="374" t="s">
        <v>88</v>
      </c>
      <c r="C38" s="1335">
        <v>199</v>
      </c>
      <c r="D38" s="1594" t="s">
        <v>770</v>
      </c>
      <c r="E38" s="1595"/>
      <c r="F38" s="260"/>
      <c r="G38" s="1057" t="s">
        <v>169</v>
      </c>
      <c r="H38" s="1338"/>
      <c r="I38" s="1338"/>
      <c r="J38" s="1338"/>
      <c r="K38" s="260"/>
      <c r="L38" s="372" t="s">
        <v>14</v>
      </c>
      <c r="M38" s="1042">
        <v>2000</v>
      </c>
      <c r="N38" s="1596" t="s">
        <v>770</v>
      </c>
      <c r="O38" s="1597"/>
      <c r="Q38" s="1178"/>
      <c r="R38" s="613"/>
      <c r="S38" s="108" t="s">
        <v>23</v>
      </c>
      <c r="T38" s="1398">
        <f>SUM(T28:T29,T34:T36,T30:T31,)</f>
        <v>10785</v>
      </c>
      <c r="U38" s="1401"/>
      <c r="V38" s="1401"/>
      <c r="W38" s="1121"/>
      <c r="X38" s="108" t="s">
        <v>23</v>
      </c>
      <c r="Y38" s="1398">
        <f>SUM(Y28:Y29,Y34:Y36,Y30:Y32)</f>
        <v>13757</v>
      </c>
      <c r="Z38" s="1401"/>
      <c r="AA38" s="1401"/>
      <c r="AB38" s="1382"/>
      <c r="AC38" s="1000"/>
      <c r="AF38" s="570"/>
      <c r="AG38" s="571"/>
      <c r="AH38" s="571"/>
      <c r="AI38" s="536"/>
      <c r="AJ38" s="854"/>
      <c r="AN38" s="493" t="s">
        <v>702</v>
      </c>
      <c r="AO38" s="760">
        <f>MAX(0,AS37-AO22)</f>
        <v>0</v>
      </c>
      <c r="AP38" s="760"/>
      <c r="AQ38" s="761"/>
      <c r="AR38" s="688"/>
    </row>
    <row r="39" spans="1:45" ht="19.5" customHeight="1" thickBot="1" x14ac:dyDescent="0.25">
      <c r="B39" s="374" t="s">
        <v>811</v>
      </c>
      <c r="C39" s="1335">
        <v>1500</v>
      </c>
      <c r="D39" s="1609" t="s">
        <v>771</v>
      </c>
      <c r="E39" s="1610"/>
      <c r="F39" s="260"/>
      <c r="G39" s="372" t="s">
        <v>14</v>
      </c>
      <c r="H39" s="1042">
        <v>650</v>
      </c>
      <c r="I39" s="1596" t="s">
        <v>770</v>
      </c>
      <c r="J39" s="1597"/>
      <c r="K39" s="260"/>
      <c r="L39" s="374" t="s">
        <v>88</v>
      </c>
      <c r="M39" s="1335">
        <v>1750</v>
      </c>
      <c r="N39" s="1594" t="s">
        <v>770</v>
      </c>
      <c r="O39" s="1595"/>
      <c r="Q39" s="1178"/>
      <c r="R39" s="260"/>
      <c r="S39" s="110" t="s">
        <v>841</v>
      </c>
      <c r="T39" s="1397">
        <f>T38+T26-T27</f>
        <v>52285</v>
      </c>
      <c r="U39" s="1401"/>
      <c r="V39" s="1401"/>
      <c r="W39" s="902"/>
      <c r="X39" s="437" t="s">
        <v>967</v>
      </c>
      <c r="Y39" s="1041">
        <f>Y38+Y18</f>
        <v>195457</v>
      </c>
      <c r="Z39" s="1401"/>
      <c r="AA39" s="1401"/>
      <c r="AB39" s="1376"/>
      <c r="AC39" s="1000"/>
      <c r="AF39" s="1601" t="s">
        <v>376</v>
      </c>
      <c r="AG39" s="1602"/>
      <c r="AH39" s="1602"/>
      <c r="AI39" s="1603"/>
      <c r="AJ39" s="536"/>
      <c r="AN39" s="570"/>
      <c r="AO39" s="571"/>
      <c r="AP39" s="571"/>
      <c r="AQ39" s="536"/>
      <c r="AR39" s="536"/>
    </row>
    <row r="40" spans="1:45" ht="19.5" customHeight="1" thickBot="1" x14ac:dyDescent="0.25">
      <c r="A40" s="260"/>
      <c r="B40" s="98" t="s">
        <v>812</v>
      </c>
      <c r="C40" s="891">
        <v>1500</v>
      </c>
      <c r="D40" s="1599" t="s">
        <v>771</v>
      </c>
      <c r="E40" s="1600"/>
      <c r="F40" s="260"/>
      <c r="G40" s="374" t="s">
        <v>88</v>
      </c>
      <c r="H40" s="1335">
        <v>199</v>
      </c>
      <c r="I40" s="1594" t="s">
        <v>770</v>
      </c>
      <c r="J40" s="1595"/>
      <c r="K40" s="260"/>
      <c r="L40" s="374" t="s">
        <v>814</v>
      </c>
      <c r="M40" s="1335">
        <v>1500</v>
      </c>
      <c r="N40" s="1609" t="s">
        <v>771</v>
      </c>
      <c r="O40" s="1610"/>
      <c r="P40" s="260"/>
      <c r="Q40" s="1178"/>
      <c r="R40" s="613"/>
      <c r="S40" s="535"/>
      <c r="T40" s="536"/>
      <c r="U40" s="536"/>
      <c r="V40" s="536"/>
      <c r="W40" s="902"/>
      <c r="X40" s="437" t="s">
        <v>973</v>
      </c>
      <c r="Y40" s="1041">
        <f>Y19</f>
        <v>183750</v>
      </c>
      <c r="Z40" s="1401"/>
      <c r="AA40" s="1401"/>
      <c r="AB40" s="1376"/>
      <c r="AC40" s="1000"/>
      <c r="AD40" s="260"/>
      <c r="AF40" s="1604"/>
      <c r="AG40" s="1605"/>
      <c r="AH40" s="1605"/>
      <c r="AI40" s="1606"/>
      <c r="AJ40" s="689"/>
      <c r="AN40" s="1601" t="s">
        <v>376</v>
      </c>
      <c r="AO40" s="1602"/>
      <c r="AP40" s="1602"/>
      <c r="AQ40" s="1603"/>
      <c r="AR40" s="689"/>
    </row>
    <row r="41" spans="1:45" ht="19.5" customHeight="1" thickBot="1" x14ac:dyDescent="0.25">
      <c r="B41" s="1056" t="s">
        <v>170</v>
      </c>
      <c r="C41" s="508"/>
      <c r="D41" s="227"/>
      <c r="E41" s="227"/>
      <c r="F41" s="260"/>
      <c r="G41" s="374" t="s">
        <v>12</v>
      </c>
      <c r="H41" s="1335">
        <v>1500</v>
      </c>
      <c r="I41" s="1609" t="s">
        <v>771</v>
      </c>
      <c r="J41" s="1610"/>
      <c r="K41" s="260"/>
      <c r="L41" s="98" t="s">
        <v>812</v>
      </c>
      <c r="M41" s="891">
        <v>1500</v>
      </c>
      <c r="N41" s="1599" t="s">
        <v>771</v>
      </c>
      <c r="O41" s="1600"/>
      <c r="R41" s="613"/>
      <c r="S41" s="1601" t="s">
        <v>376</v>
      </c>
      <c r="T41" s="1602"/>
      <c r="U41" s="1602"/>
      <c r="V41" s="1603"/>
      <c r="W41" s="902"/>
      <c r="X41" s="437" t="s">
        <v>968</v>
      </c>
      <c r="Y41" s="1041">
        <f>Y39-Y40</f>
        <v>11707</v>
      </c>
      <c r="Z41" s="1401"/>
      <c r="AA41" s="1401"/>
      <c r="AB41" s="1121"/>
      <c r="AJ41" s="689"/>
      <c r="AN41" s="1604"/>
      <c r="AO41" s="1605"/>
      <c r="AP41" s="1605"/>
      <c r="AQ41" s="1606"/>
      <c r="AR41" s="689"/>
    </row>
    <row r="42" spans="1:45" ht="19.5" customHeight="1" thickBot="1" x14ac:dyDescent="0.25">
      <c r="B42" s="491" t="s">
        <v>220</v>
      </c>
      <c r="C42" s="991">
        <f>SUM(C33:C35,C37:C40)</f>
        <v>12054.625</v>
      </c>
      <c r="D42" s="1608"/>
      <c r="E42" s="1608"/>
      <c r="F42" s="260"/>
      <c r="G42" s="98" t="s">
        <v>294</v>
      </c>
      <c r="H42" s="891">
        <v>1500</v>
      </c>
      <c r="I42" s="1599" t="s">
        <v>771</v>
      </c>
      <c r="J42" s="1600"/>
      <c r="K42" s="260"/>
      <c r="L42" s="1056" t="s">
        <v>170</v>
      </c>
      <c r="M42" s="774"/>
      <c r="N42" s="774"/>
      <c r="O42" s="774"/>
      <c r="R42" s="613"/>
      <c r="S42" s="1814"/>
      <c r="T42" s="1815"/>
      <c r="U42" s="1815"/>
      <c r="V42" s="1816"/>
      <c r="W42" s="902"/>
      <c r="X42" s="98" t="s">
        <v>845</v>
      </c>
      <c r="Y42" s="1039">
        <f>MAX(0,Y17-Y14-Y38)</f>
        <v>0</v>
      </c>
      <c r="Z42" s="1401"/>
      <c r="AA42" s="1401"/>
      <c r="AB42" s="902"/>
    </row>
    <row r="43" spans="1:45" ht="19.5" customHeight="1" thickBot="1" x14ac:dyDescent="0.25">
      <c r="B43" s="493" t="s">
        <v>816</v>
      </c>
      <c r="C43" s="992">
        <f>C42+C31-C32</f>
        <v>44304.625</v>
      </c>
      <c r="D43" s="1607"/>
      <c r="E43" s="1607"/>
      <c r="G43" s="1056" t="s">
        <v>170</v>
      </c>
      <c r="H43" s="774"/>
      <c r="I43" s="774"/>
      <c r="J43" s="774"/>
      <c r="K43" s="260"/>
      <c r="L43" s="108" t="s">
        <v>772</v>
      </c>
      <c r="M43" s="627">
        <f>SUM(M34:M41)</f>
        <v>13245</v>
      </c>
      <c r="N43" s="902"/>
      <c r="O43" s="902"/>
      <c r="S43" s="1580" t="s">
        <v>913</v>
      </c>
      <c r="T43" s="1581"/>
      <c r="U43" s="1581"/>
      <c r="V43" s="1582"/>
      <c r="W43" s="1122"/>
      <c r="X43" s="535"/>
      <c r="Y43" s="536"/>
      <c r="Z43" s="536"/>
      <c r="AA43" s="536"/>
      <c r="AB43" s="902"/>
    </row>
    <row r="44" spans="1:45" ht="19.5" customHeight="1" x14ac:dyDescent="0.2">
      <c r="B44" s="690"/>
      <c r="C44" s="227"/>
      <c r="D44" s="227"/>
      <c r="E44" s="227"/>
      <c r="G44" s="108" t="s">
        <v>772</v>
      </c>
      <c r="H44" s="627">
        <f>SUM(H35:H42)</f>
        <v>14174</v>
      </c>
      <c r="I44" s="902"/>
      <c r="J44" s="902"/>
      <c r="L44" s="437" t="s">
        <v>773</v>
      </c>
      <c r="M44" s="1327">
        <f>SUM(M43,M33)</f>
        <v>143245</v>
      </c>
      <c r="N44" s="1326"/>
      <c r="O44" s="1326"/>
      <c r="S44" s="1869"/>
      <c r="T44" s="1869"/>
      <c r="U44" s="1869"/>
      <c r="V44" s="1869"/>
      <c r="W44" s="1390"/>
      <c r="X44" s="1601" t="s">
        <v>376</v>
      </c>
      <c r="Y44" s="1602"/>
      <c r="Z44" s="1602"/>
      <c r="AA44" s="1603"/>
      <c r="AB44" s="902"/>
    </row>
    <row r="45" spans="1:45" ht="19.5" customHeight="1" thickBot="1" x14ac:dyDescent="0.25">
      <c r="B45" s="1601" t="s">
        <v>376</v>
      </c>
      <c r="C45" s="1602"/>
      <c r="D45" s="1602"/>
      <c r="E45" s="1603"/>
      <c r="G45" s="437" t="s">
        <v>773</v>
      </c>
      <c r="H45" s="1327">
        <f>SUM(H44,H33)</f>
        <v>164174</v>
      </c>
      <c r="I45" s="1326"/>
      <c r="J45" s="1326"/>
      <c r="L45" s="98" t="s">
        <v>836</v>
      </c>
      <c r="M45" s="803">
        <f>M17-M44</f>
        <v>31755</v>
      </c>
      <c r="N45" s="906"/>
      <c r="O45" s="906"/>
      <c r="S45" s="1869"/>
      <c r="T45" s="1869"/>
      <c r="U45" s="1869"/>
      <c r="V45" s="1869"/>
      <c r="W45" s="1390"/>
      <c r="X45" s="1814"/>
      <c r="Y45" s="1815"/>
      <c r="Z45" s="1815"/>
      <c r="AA45" s="1816"/>
      <c r="AB45" s="902"/>
    </row>
    <row r="46" spans="1:45" ht="19.5" customHeight="1" thickBot="1" x14ac:dyDescent="0.25">
      <c r="B46" s="1604"/>
      <c r="C46" s="1605"/>
      <c r="D46" s="1605"/>
      <c r="E46" s="1606"/>
      <c r="G46" s="110" t="s">
        <v>535</v>
      </c>
      <c r="H46" s="1043">
        <f>MAX(0,H45-H17)</f>
        <v>0</v>
      </c>
      <c r="I46" s="906"/>
      <c r="J46" s="906"/>
      <c r="L46" s="570"/>
      <c r="M46" s="1349"/>
      <c r="N46" s="907"/>
      <c r="O46" s="907"/>
      <c r="V46" s="613"/>
      <c r="W46" s="1393"/>
      <c r="X46" s="1577" t="s">
        <v>980</v>
      </c>
      <c r="Y46" s="1578"/>
      <c r="Z46" s="1578"/>
      <c r="AA46" s="1579"/>
      <c r="AB46" s="1122"/>
    </row>
    <row r="47" spans="1:45" ht="19.5" customHeight="1" x14ac:dyDescent="0.2">
      <c r="B47" s="1598"/>
      <c r="C47" s="1598"/>
      <c r="D47" s="1333"/>
      <c r="E47" s="1333"/>
      <c r="G47" s="570"/>
      <c r="H47" s="1349"/>
      <c r="I47" s="907"/>
      <c r="J47" s="907"/>
      <c r="L47" s="1601" t="s">
        <v>376</v>
      </c>
      <c r="M47" s="1602"/>
      <c r="N47" s="1602"/>
      <c r="O47" s="1603"/>
      <c r="W47" s="1393"/>
      <c r="X47" s="1580"/>
      <c r="Y47" s="1581"/>
      <c r="Z47" s="1581"/>
      <c r="AA47" s="1582"/>
      <c r="AB47" s="1390"/>
    </row>
    <row r="48" spans="1:45" ht="19.5" customHeight="1" x14ac:dyDescent="0.2">
      <c r="G48" s="1601" t="s">
        <v>376</v>
      </c>
      <c r="H48" s="1602"/>
      <c r="I48" s="1602"/>
      <c r="J48" s="1603"/>
      <c r="L48" s="1604"/>
      <c r="M48" s="1605"/>
      <c r="N48" s="1605"/>
      <c r="O48" s="1606"/>
      <c r="W48" s="1393"/>
      <c r="X48" s="621"/>
      <c r="Y48" s="621"/>
      <c r="Z48" s="621"/>
      <c r="AA48" s="621"/>
      <c r="AB48" s="1390"/>
    </row>
    <row r="49" spans="7:28" ht="19.5" customHeight="1" x14ac:dyDescent="0.2">
      <c r="G49" s="1604"/>
      <c r="H49" s="1605"/>
      <c r="I49" s="1605"/>
      <c r="J49" s="1606"/>
      <c r="L49" s="776"/>
      <c r="M49" s="535"/>
      <c r="N49" s="1349"/>
      <c r="O49" s="1349"/>
      <c r="W49" s="1383"/>
      <c r="AA49" s="613"/>
      <c r="AB49" s="1393"/>
    </row>
    <row r="50" spans="7:28" ht="19.5" customHeight="1" x14ac:dyDescent="0.2">
      <c r="G50" s="776"/>
      <c r="H50" s="535"/>
      <c r="I50" s="1349"/>
      <c r="J50" s="1349"/>
      <c r="N50" s="535"/>
      <c r="O50" s="535"/>
      <c r="W50" s="1383"/>
      <c r="AB50" s="1393"/>
    </row>
    <row r="51" spans="7:28" ht="19.5" customHeight="1" x14ac:dyDescent="0.2">
      <c r="I51" s="535"/>
      <c r="J51" s="535"/>
      <c r="AB51" s="1393"/>
    </row>
    <row r="52" spans="7:28" ht="19.5" customHeight="1" x14ac:dyDescent="0.2">
      <c r="AB52" s="1383"/>
    </row>
    <row r="53" spans="7:28" ht="19.5" customHeight="1" x14ac:dyDescent="0.2">
      <c r="AB53" s="1383"/>
    </row>
    <row r="54" spans="7:28" ht="19.5" customHeight="1" x14ac:dyDescent="0.2"/>
  </sheetData>
  <mergeCells count="139">
    <mergeCell ref="G48:J49"/>
    <mergeCell ref="L47:O48"/>
    <mergeCell ref="D42:E42"/>
    <mergeCell ref="I42:J42"/>
    <mergeCell ref="D43:E43"/>
    <mergeCell ref="B45:E46"/>
    <mergeCell ref="D37:E37"/>
    <mergeCell ref="D38:E38"/>
    <mergeCell ref="N38:O38"/>
    <mergeCell ref="D39:E39"/>
    <mergeCell ref="I39:J39"/>
    <mergeCell ref="D40:E40"/>
    <mergeCell ref="I40:J40"/>
    <mergeCell ref="B47:C47"/>
    <mergeCell ref="N39:O39"/>
    <mergeCell ref="I41:J41"/>
    <mergeCell ref="N40:O40"/>
    <mergeCell ref="N41:O41"/>
    <mergeCell ref="C31:E31"/>
    <mergeCell ref="H31:J31"/>
    <mergeCell ref="M31:O31"/>
    <mergeCell ref="C35:E35"/>
    <mergeCell ref="C29:E29"/>
    <mergeCell ref="H29:J29"/>
    <mergeCell ref="M29:O29"/>
    <mergeCell ref="H30:J30"/>
    <mergeCell ref="M30:O30"/>
    <mergeCell ref="C26:E26"/>
    <mergeCell ref="H26:J26"/>
    <mergeCell ref="M26:O26"/>
    <mergeCell ref="C27:E27"/>
    <mergeCell ref="H27:J27"/>
    <mergeCell ref="M27:O27"/>
    <mergeCell ref="C28:E28"/>
    <mergeCell ref="H28:J28"/>
    <mergeCell ref="M28:O28"/>
    <mergeCell ref="C23:E23"/>
    <mergeCell ref="H23:J23"/>
    <mergeCell ref="M23:O23"/>
    <mergeCell ref="C24:E24"/>
    <mergeCell ref="H24:J24"/>
    <mergeCell ref="M24:O24"/>
    <mergeCell ref="C25:E25"/>
    <mergeCell ref="H25:J25"/>
    <mergeCell ref="M25:O25"/>
    <mergeCell ref="C20:E20"/>
    <mergeCell ref="H20:J20"/>
    <mergeCell ref="M20:O20"/>
    <mergeCell ref="C21:E21"/>
    <mergeCell ref="H21:J21"/>
    <mergeCell ref="M21:O21"/>
    <mergeCell ref="C22:E22"/>
    <mergeCell ref="H22:J22"/>
    <mergeCell ref="M22:O22"/>
    <mergeCell ref="C12:E12"/>
    <mergeCell ref="H12:J12"/>
    <mergeCell ref="M12:O12"/>
    <mergeCell ref="C17:E17"/>
    <mergeCell ref="D18:E18"/>
    <mergeCell ref="H18:J18"/>
    <mergeCell ref="M18:O18"/>
    <mergeCell ref="C19:E19"/>
    <mergeCell ref="I19:J19"/>
    <mergeCell ref="N19:O19"/>
    <mergeCell ref="C9:E9"/>
    <mergeCell ref="H9:J9"/>
    <mergeCell ref="M9:O9"/>
    <mergeCell ref="C10:E10"/>
    <mergeCell ref="H10:J10"/>
    <mergeCell ref="M10:O10"/>
    <mergeCell ref="C11:E11"/>
    <mergeCell ref="H11:J11"/>
    <mergeCell ref="M11:O11"/>
    <mergeCell ref="B2:O2"/>
    <mergeCell ref="B4:J4"/>
    <mergeCell ref="B6:E6"/>
    <mergeCell ref="G6:J6"/>
    <mergeCell ref="L6:O6"/>
    <mergeCell ref="C7:E7"/>
    <mergeCell ref="C8:E8"/>
    <mergeCell ref="H8:J8"/>
    <mergeCell ref="M8:O8"/>
    <mergeCell ref="U31:V31"/>
    <mergeCell ref="Z31:AA31"/>
    <mergeCell ref="U32:V32"/>
    <mergeCell ref="U35:V35"/>
    <mergeCell ref="AN40:AQ41"/>
    <mergeCell ref="AN4:AQ4"/>
    <mergeCell ref="AP27:AQ27"/>
    <mergeCell ref="AO36:AQ36"/>
    <mergeCell ref="AO37:AQ37"/>
    <mergeCell ref="Z35:AA35"/>
    <mergeCell ref="U36:V36"/>
    <mergeCell ref="Z36:AA36"/>
    <mergeCell ref="U30:V30"/>
    <mergeCell ref="AF4:AI4"/>
    <mergeCell ref="AH27:AI27"/>
    <mergeCell ref="AG36:AI36"/>
    <mergeCell ref="AF39:AI40"/>
    <mergeCell ref="T10:V10"/>
    <mergeCell ref="Y10:AA10"/>
    <mergeCell ref="Y13:AA13"/>
    <mergeCell ref="Y14:AA14"/>
    <mergeCell ref="Y15:AA15"/>
    <mergeCell ref="T7:V7"/>
    <mergeCell ref="Y7:AA7"/>
    <mergeCell ref="T8:V8"/>
    <mergeCell ref="Y8:AA8"/>
    <mergeCell ref="T9:V9"/>
    <mergeCell ref="Y9:AA9"/>
    <mergeCell ref="U22:V22"/>
    <mergeCell ref="Z22:AA22"/>
    <mergeCell ref="U23:V23"/>
    <mergeCell ref="Y23:AA23"/>
    <mergeCell ref="Z30:AA30"/>
    <mergeCell ref="S2:AA2"/>
    <mergeCell ref="S4:V4"/>
    <mergeCell ref="X4:AA4"/>
    <mergeCell ref="T6:V6"/>
    <mergeCell ref="Y6:AA6"/>
    <mergeCell ref="X46:AA47"/>
    <mergeCell ref="Z32:AA32"/>
    <mergeCell ref="T26:V26"/>
    <mergeCell ref="Y26:AA26"/>
    <mergeCell ref="U27:V27"/>
    <mergeCell ref="Y27:AA27"/>
    <mergeCell ref="Y16:AA16"/>
    <mergeCell ref="T20:V20"/>
    <mergeCell ref="Y20:AA20"/>
    <mergeCell ref="U21:V21"/>
    <mergeCell ref="Z21:AA21"/>
    <mergeCell ref="Z24:AA24"/>
    <mergeCell ref="U24:V24"/>
    <mergeCell ref="S41:V42"/>
    <mergeCell ref="S43:V43"/>
    <mergeCell ref="X44:AA45"/>
    <mergeCell ref="S44:V45"/>
    <mergeCell ref="U34:V34"/>
    <mergeCell ref="Z34:AA34"/>
  </mergeCells>
  <conditionalFormatting sqref="H34">
    <cfRule type="cellIs" dxfId="0" priority="1" operator="greaterThan">
      <formula>0</formula>
    </cfRule>
  </conditionalFormatting>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0D5ED-9732-447F-81BA-67EC20DAC119}">
  <dimension ref="B1:K48"/>
  <sheetViews>
    <sheetView showGridLines="0" zoomScale="70" zoomScaleNormal="70" workbookViewId="0">
      <selection activeCell="F8" sqref="F8"/>
    </sheetView>
  </sheetViews>
  <sheetFormatPr baseColWidth="10" defaultColWidth="8.83203125" defaultRowHeight="15" x14ac:dyDescent="0.2"/>
  <cols>
    <col min="1" max="1" width="2" customWidth="1"/>
    <col min="2" max="2" width="40.5" style="1" customWidth="1"/>
    <col min="3" max="4" width="24.1640625" style="2" customWidth="1"/>
    <col min="5" max="5" width="2" customWidth="1"/>
    <col min="6" max="6" width="19.33203125" style="444" customWidth="1"/>
    <col min="7" max="7" width="2" customWidth="1"/>
    <col min="8" max="8" width="46.6640625" customWidth="1"/>
    <col min="9" max="9" width="49.33203125" customWidth="1"/>
    <col min="10" max="10" width="2" customWidth="1"/>
    <col min="11" max="11" width="17.83203125" customWidth="1"/>
  </cols>
  <sheetData>
    <row r="1" spans="2:11" ht="7.5" customHeight="1" x14ac:dyDescent="0.2"/>
    <row r="2" spans="2:11" ht="18.75" customHeight="1" x14ac:dyDescent="0.25">
      <c r="B2" s="2130" t="s">
        <v>386</v>
      </c>
      <c r="C2" s="2131"/>
      <c r="D2" s="2132"/>
      <c r="F2" s="445"/>
      <c r="H2" s="2073" t="s">
        <v>387</v>
      </c>
      <c r="I2" s="2074"/>
      <c r="K2" s="13"/>
    </row>
    <row r="3" spans="2:11" ht="18.75" customHeight="1" thickBot="1" x14ac:dyDescent="0.3">
      <c r="B3" s="120" t="s">
        <v>382</v>
      </c>
      <c r="C3" s="342">
        <f ca="1">TODAY()</f>
        <v>43713</v>
      </c>
      <c r="D3" s="342"/>
      <c r="F3" s="446"/>
      <c r="H3" s="7" t="s">
        <v>15</v>
      </c>
      <c r="I3" s="14">
        <f ca="1">TODAY()</f>
        <v>43713</v>
      </c>
      <c r="K3" s="14"/>
    </row>
    <row r="4" spans="2:11" ht="18.75" customHeight="1" x14ac:dyDescent="0.25">
      <c r="B4" s="461" t="s">
        <v>24</v>
      </c>
      <c r="C4" s="2028" t="s">
        <v>578</v>
      </c>
      <c r="D4" s="2029"/>
      <c r="F4" s="447"/>
      <c r="H4" s="24" t="s">
        <v>24</v>
      </c>
      <c r="I4" s="25" t="s">
        <v>55</v>
      </c>
      <c r="K4" s="50"/>
    </row>
    <row r="5" spans="2:11" ht="18.75" customHeight="1" x14ac:dyDescent="0.2">
      <c r="B5" s="462" t="s">
        <v>250</v>
      </c>
      <c r="C5" s="2133" t="s">
        <v>578</v>
      </c>
      <c r="D5" s="2134"/>
      <c r="F5" s="447"/>
      <c r="H5" s="24"/>
      <c r="I5" s="25"/>
      <c r="K5" s="50"/>
    </row>
    <row r="6" spans="2:11" ht="18.75" customHeight="1" thickBot="1" x14ac:dyDescent="0.25">
      <c r="B6" s="463" t="s">
        <v>25</v>
      </c>
      <c r="C6" s="2026" t="s">
        <v>579</v>
      </c>
      <c r="D6" s="2027"/>
      <c r="F6" s="447"/>
      <c r="H6" s="24" t="s">
        <v>25</v>
      </c>
      <c r="I6" s="25" t="s">
        <v>56</v>
      </c>
      <c r="K6" s="50"/>
    </row>
    <row r="7" spans="2:11" ht="18.75" customHeight="1" thickBot="1" x14ac:dyDescent="0.25">
      <c r="B7" s="129" t="s">
        <v>354</v>
      </c>
      <c r="C7" s="377"/>
      <c r="D7" s="377"/>
      <c r="F7" s="447"/>
      <c r="H7" s="26"/>
      <c r="I7" s="27"/>
      <c r="K7" s="50"/>
    </row>
    <row r="8" spans="2:11" ht="18.75" customHeight="1" x14ac:dyDescent="0.2">
      <c r="B8" s="96" t="s">
        <v>392</v>
      </c>
      <c r="C8" s="456">
        <v>0</v>
      </c>
      <c r="D8" s="415"/>
      <c r="F8" s="448"/>
      <c r="H8" s="28" t="s">
        <v>18</v>
      </c>
      <c r="I8" s="29"/>
      <c r="K8" s="2"/>
    </row>
    <row r="9" spans="2:11" ht="18.75" customHeight="1" x14ac:dyDescent="0.2">
      <c r="B9" s="97" t="s">
        <v>391</v>
      </c>
      <c r="C9" s="377">
        <v>0</v>
      </c>
      <c r="D9" s="458"/>
      <c r="F9" s="448"/>
      <c r="H9" s="30" t="s">
        <v>16</v>
      </c>
      <c r="I9" s="31">
        <v>0</v>
      </c>
      <c r="K9" s="2"/>
    </row>
    <row r="10" spans="2:11" ht="18.75" customHeight="1" thickBot="1" x14ac:dyDescent="0.25">
      <c r="B10" s="98" t="s">
        <v>317</v>
      </c>
      <c r="C10" s="457">
        <v>700</v>
      </c>
      <c r="D10" s="347"/>
      <c r="F10" s="448"/>
      <c r="H10" s="30" t="s">
        <v>17</v>
      </c>
      <c r="I10" s="31">
        <v>0</v>
      </c>
      <c r="K10" s="2"/>
    </row>
    <row r="11" spans="2:11" ht="18.75" customHeight="1" thickBot="1" x14ac:dyDescent="0.3">
      <c r="B11" s="440" t="s">
        <v>381</v>
      </c>
      <c r="C11" s="377"/>
      <c r="D11" s="377"/>
      <c r="F11" s="449"/>
      <c r="H11" s="30" t="s">
        <v>47</v>
      </c>
      <c r="I11" s="32">
        <v>718</v>
      </c>
      <c r="K11" s="3"/>
    </row>
    <row r="12" spans="2:11" ht="18.75" customHeight="1" x14ac:dyDescent="0.2">
      <c r="B12" s="464" t="s">
        <v>48</v>
      </c>
      <c r="C12" s="597">
        <v>75000</v>
      </c>
      <c r="D12" s="127"/>
      <c r="F12" s="449"/>
      <c r="H12" s="33"/>
      <c r="I12" s="29"/>
      <c r="K12" s="2"/>
    </row>
    <row r="13" spans="2:11" ht="18.75" customHeight="1" x14ac:dyDescent="0.2">
      <c r="B13" s="465" t="s">
        <v>82</v>
      </c>
      <c r="C13" s="598">
        <v>100000</v>
      </c>
      <c r="D13" s="92"/>
      <c r="F13" s="449"/>
      <c r="H13" s="34" t="s">
        <v>48</v>
      </c>
      <c r="I13" s="35">
        <v>120900</v>
      </c>
      <c r="K13" s="51"/>
    </row>
    <row r="14" spans="2:11" ht="18.75" customHeight="1" x14ac:dyDescent="0.2">
      <c r="B14" s="466" t="s">
        <v>3</v>
      </c>
      <c r="C14" s="2128" t="s">
        <v>582</v>
      </c>
      <c r="D14" s="2129"/>
      <c r="F14" s="459" t="s">
        <v>233</v>
      </c>
      <c r="H14" s="34" t="s">
        <v>3</v>
      </c>
      <c r="I14" s="36">
        <v>0.65</v>
      </c>
      <c r="K14" s="52"/>
    </row>
    <row r="15" spans="2:11" ht="18.75" customHeight="1" x14ac:dyDescent="0.2">
      <c r="B15" s="465" t="s">
        <v>73</v>
      </c>
      <c r="C15" s="599">
        <f>C12*D15</f>
        <v>60000</v>
      </c>
      <c r="D15" s="600">
        <v>0.8</v>
      </c>
      <c r="F15" s="460">
        <f>C15*C23</f>
        <v>7194</v>
      </c>
      <c r="H15" s="34" t="s">
        <v>0</v>
      </c>
      <c r="I15" s="62">
        <v>6.6500000000000004E-2</v>
      </c>
      <c r="K15" s="52"/>
    </row>
    <row r="16" spans="2:11" ht="18.75" customHeight="1" x14ac:dyDescent="0.2">
      <c r="B16" s="466" t="s">
        <v>385</v>
      </c>
      <c r="C16" s="601">
        <f>C13*D16</f>
        <v>75000</v>
      </c>
      <c r="D16" s="602">
        <v>0.75</v>
      </c>
      <c r="F16" s="450"/>
      <c r="H16" s="34" t="s">
        <v>2</v>
      </c>
      <c r="I16" s="37">
        <v>78585</v>
      </c>
      <c r="K16" s="54"/>
    </row>
    <row r="17" spans="2:11" ht="18.75" customHeight="1" x14ac:dyDescent="0.2">
      <c r="B17" s="465" t="s">
        <v>580</v>
      </c>
      <c r="C17" s="599">
        <f>D17*C20</f>
        <v>84000</v>
      </c>
      <c r="D17" s="600">
        <v>0.7</v>
      </c>
      <c r="F17" s="450"/>
      <c r="H17" s="34" t="s">
        <v>1</v>
      </c>
      <c r="I17" s="38" t="s">
        <v>50</v>
      </c>
      <c r="K17" s="55"/>
    </row>
    <row r="18" spans="2:11" ht="18.75" customHeight="1" x14ac:dyDescent="0.2">
      <c r="B18" s="466" t="s">
        <v>303</v>
      </c>
      <c r="C18" s="601">
        <v>20000</v>
      </c>
      <c r="D18" s="537"/>
      <c r="F18" s="451"/>
      <c r="H18" s="34" t="s">
        <v>53</v>
      </c>
      <c r="I18" s="38" t="s">
        <v>54</v>
      </c>
      <c r="K18" s="55"/>
    </row>
    <row r="19" spans="2:11" ht="18.75" customHeight="1" x14ac:dyDescent="0.2">
      <c r="B19" s="465" t="s">
        <v>78</v>
      </c>
      <c r="C19" s="204">
        <f>C18*D19</f>
        <v>20000</v>
      </c>
      <c r="D19" s="600">
        <v>1</v>
      </c>
      <c r="F19" s="451"/>
      <c r="H19" s="34" t="s">
        <v>6</v>
      </c>
      <c r="I19" s="37">
        <v>776.57</v>
      </c>
      <c r="K19" s="54"/>
    </row>
    <row r="20" spans="2:11" ht="18.75" customHeight="1" x14ac:dyDescent="0.2">
      <c r="B20" s="466" t="s">
        <v>581</v>
      </c>
      <c r="C20" s="184">
        <v>120000</v>
      </c>
      <c r="D20" s="371"/>
      <c r="F20" s="451"/>
      <c r="H20" s="34" t="s">
        <v>4</v>
      </c>
      <c r="I20" s="39">
        <v>42315</v>
      </c>
      <c r="K20" s="20" t="s">
        <v>40</v>
      </c>
    </row>
    <row r="21" spans="2:11" ht="18.75" customHeight="1" x14ac:dyDescent="0.2">
      <c r="B21" s="465" t="s">
        <v>79</v>
      </c>
      <c r="C21" s="204">
        <f>C19+C15</f>
        <v>80000</v>
      </c>
      <c r="D21" s="123"/>
      <c r="F21" s="450"/>
      <c r="H21" s="34"/>
      <c r="I21" s="39"/>
      <c r="K21" s="20"/>
    </row>
    <row r="22" spans="2:11" ht="18.75" customHeight="1" x14ac:dyDescent="0.2">
      <c r="B22" s="466" t="s">
        <v>1</v>
      </c>
      <c r="C22" s="603" t="s">
        <v>61</v>
      </c>
      <c r="D22" s="84"/>
      <c r="F22" s="450"/>
      <c r="H22" s="34" t="s">
        <v>45</v>
      </c>
      <c r="I22" s="39">
        <f>I16*K22</f>
        <v>1571.7</v>
      </c>
      <c r="K22" s="57">
        <v>0.02</v>
      </c>
    </row>
    <row r="23" spans="2:11" ht="18.75" customHeight="1" x14ac:dyDescent="0.2">
      <c r="B23" s="465" t="s">
        <v>0</v>
      </c>
      <c r="C23" s="177">
        <v>0.11990000000000001</v>
      </c>
      <c r="D23" s="588"/>
      <c r="F23" s="452" t="s">
        <v>40</v>
      </c>
      <c r="H23" s="40" t="s">
        <v>10</v>
      </c>
      <c r="I23" s="39">
        <v>3500</v>
      </c>
      <c r="K23" s="19"/>
    </row>
    <row r="24" spans="2:11" ht="18.75" customHeight="1" thickBot="1" x14ac:dyDescent="0.25">
      <c r="B24" s="489" t="s">
        <v>6</v>
      </c>
      <c r="C24" s="604">
        <f>F15/12</f>
        <v>599.5</v>
      </c>
      <c r="D24" s="401"/>
      <c r="F24" s="443">
        <v>0.02</v>
      </c>
      <c r="H24" s="34" t="s">
        <v>51</v>
      </c>
      <c r="I24" s="39">
        <v>995</v>
      </c>
      <c r="K24" s="58"/>
    </row>
    <row r="25" spans="2:11" ht="18.75" customHeight="1" thickBot="1" x14ac:dyDescent="0.25">
      <c r="B25" s="120" t="s">
        <v>383</v>
      </c>
      <c r="C25" s="439"/>
      <c r="D25" s="439"/>
      <c r="F25" s="453"/>
      <c r="H25" s="34" t="s">
        <v>52</v>
      </c>
      <c r="I25" s="39">
        <v>90</v>
      </c>
      <c r="K25" s="3"/>
    </row>
    <row r="26" spans="2:11" ht="18.75" customHeight="1" x14ac:dyDescent="0.2">
      <c r="B26" s="464" t="s">
        <v>86</v>
      </c>
      <c r="C26" s="605">
        <f>C12-C15</f>
        <v>15000</v>
      </c>
      <c r="D26" s="579"/>
      <c r="F26" s="454"/>
      <c r="H26" s="63" t="s">
        <v>60</v>
      </c>
      <c r="I26" s="64"/>
      <c r="K26" s="3"/>
    </row>
    <row r="27" spans="2:11" ht="18.75" customHeight="1" x14ac:dyDescent="0.2">
      <c r="B27" s="465" t="s">
        <v>66</v>
      </c>
      <c r="C27" s="606">
        <f>C21*F24</f>
        <v>1600</v>
      </c>
      <c r="D27" s="379"/>
      <c r="F27" s="449"/>
      <c r="H27" s="34" t="s">
        <v>14</v>
      </c>
      <c r="I27" s="39">
        <v>495</v>
      </c>
      <c r="K27" s="3"/>
    </row>
    <row r="28" spans="2:11" ht="18.75" customHeight="1" x14ac:dyDescent="0.2">
      <c r="B28" s="466" t="s">
        <v>10</v>
      </c>
      <c r="C28" s="607">
        <v>3250</v>
      </c>
      <c r="D28" s="471"/>
      <c r="F28" s="449"/>
      <c r="H28" s="34" t="s">
        <v>12</v>
      </c>
      <c r="I28" s="39">
        <v>2000</v>
      </c>
      <c r="K28" s="3"/>
    </row>
    <row r="29" spans="2:11" ht="18.75" customHeight="1" thickBot="1" x14ac:dyDescent="0.25">
      <c r="B29" s="467" t="s">
        <v>389</v>
      </c>
      <c r="C29" s="608">
        <v>995</v>
      </c>
      <c r="D29" s="380"/>
      <c r="F29" s="449"/>
      <c r="H29" s="34" t="s">
        <v>13</v>
      </c>
      <c r="I29" s="39">
        <v>2000</v>
      </c>
      <c r="K29" s="19"/>
    </row>
    <row r="30" spans="2:11" ht="18.75" customHeight="1" thickBot="1" x14ac:dyDescent="0.25">
      <c r="B30" s="120" t="s">
        <v>384</v>
      </c>
      <c r="C30" s="441"/>
      <c r="D30" s="441"/>
      <c r="F30" s="449"/>
      <c r="H30" s="43"/>
      <c r="I30" s="44"/>
      <c r="K30" s="19"/>
    </row>
    <row r="31" spans="2:11" ht="18.75" customHeight="1" x14ac:dyDescent="0.2">
      <c r="B31" s="372" t="s">
        <v>390</v>
      </c>
      <c r="C31" s="609">
        <v>495</v>
      </c>
      <c r="D31" s="378"/>
      <c r="F31" s="453"/>
      <c r="H31" s="45" t="s">
        <v>9</v>
      </c>
      <c r="I31" s="46">
        <f>SUM(I20:I29)</f>
        <v>52966.7</v>
      </c>
      <c r="K31" s="2"/>
    </row>
    <row r="32" spans="2:11" ht="18.75" customHeight="1" x14ac:dyDescent="0.2">
      <c r="B32" s="374" t="s">
        <v>393</v>
      </c>
      <c r="C32" s="606">
        <v>2000</v>
      </c>
      <c r="D32" s="379"/>
      <c r="F32" s="453"/>
      <c r="H32" s="33"/>
      <c r="I32" s="29"/>
      <c r="K32" s="59"/>
    </row>
    <row r="33" spans="2:11" ht="18.75" customHeight="1" thickBot="1" x14ac:dyDescent="0.25">
      <c r="B33" s="468" t="s">
        <v>394</v>
      </c>
      <c r="C33" s="608">
        <v>2000</v>
      </c>
      <c r="D33" s="380"/>
      <c r="F33" s="448"/>
      <c r="H33" s="48" t="s">
        <v>20</v>
      </c>
      <c r="I33" s="29"/>
      <c r="K33" s="2"/>
    </row>
    <row r="34" spans="2:11" ht="18.75" customHeight="1" thickBot="1" x14ac:dyDescent="0.25">
      <c r="B34" s="120" t="s">
        <v>293</v>
      </c>
      <c r="C34" s="442"/>
      <c r="D34" s="442"/>
      <c r="F34" s="455"/>
      <c r="H34" s="48" t="s">
        <v>21</v>
      </c>
      <c r="I34" s="29"/>
      <c r="K34" s="2"/>
    </row>
    <row r="35" spans="2:11" ht="18.75" customHeight="1" x14ac:dyDescent="0.2">
      <c r="B35" s="610" t="s">
        <v>23</v>
      </c>
      <c r="C35" s="2135">
        <f>SUM(C27:C33)</f>
        <v>10340</v>
      </c>
      <c r="D35" s="2136"/>
      <c r="F35" s="448"/>
    </row>
    <row r="36" spans="2:11" ht="18.75" customHeight="1" thickBot="1" x14ac:dyDescent="0.25">
      <c r="B36" s="611" t="s">
        <v>584</v>
      </c>
      <c r="C36" s="2126">
        <f>SUM(C26,C35)</f>
        <v>25340</v>
      </c>
      <c r="D36" s="2127"/>
      <c r="H36" s="10" t="s">
        <v>57</v>
      </c>
      <c r="I36" s="2"/>
    </row>
    <row r="37" spans="2:11" ht="18.75" customHeight="1" x14ac:dyDescent="0.2">
      <c r="B37" s="209"/>
      <c r="C37" s="377"/>
      <c r="D37" s="377"/>
      <c r="H37" s="4" t="s">
        <v>59</v>
      </c>
      <c r="I37" s="2"/>
    </row>
    <row r="38" spans="2:11" ht="18.75" customHeight="1" x14ac:dyDescent="0.2">
      <c r="B38" s="2119" t="s">
        <v>583</v>
      </c>
      <c r="C38" s="2120"/>
      <c r="D38" s="2121"/>
      <c r="H38" s="4" t="s">
        <v>58</v>
      </c>
      <c r="I38" s="2"/>
    </row>
    <row r="39" spans="2:11" ht="18.75" customHeight="1" x14ac:dyDescent="0.2">
      <c r="B39" s="2122"/>
      <c r="C39" s="2123"/>
      <c r="D39" s="2124"/>
    </row>
    <row r="40" spans="2:11" ht="18.75" customHeight="1" x14ac:dyDescent="0.2">
      <c r="B40" s="2077"/>
      <c r="C40" s="2125"/>
      <c r="D40" s="2078"/>
    </row>
    <row r="41" spans="2:11" ht="18.75" customHeight="1" x14ac:dyDescent="0.2"/>
    <row r="44" spans="2:11" x14ac:dyDescent="0.2">
      <c r="B44" s="8"/>
    </row>
    <row r="45" spans="2:11" x14ac:dyDescent="0.2">
      <c r="B45" s="8"/>
    </row>
    <row r="46" spans="2:11" x14ac:dyDescent="0.2">
      <c r="B46" s="8"/>
    </row>
    <row r="47" spans="2:11" x14ac:dyDescent="0.2">
      <c r="B47" s="8"/>
    </row>
    <row r="48" spans="2:11" x14ac:dyDescent="0.2">
      <c r="B48" s="9"/>
    </row>
  </sheetData>
  <mergeCells count="9">
    <mergeCell ref="B38:D40"/>
    <mergeCell ref="C36:D36"/>
    <mergeCell ref="C14:D14"/>
    <mergeCell ref="B2:D2"/>
    <mergeCell ref="H2:I2"/>
    <mergeCell ref="C6:D6"/>
    <mergeCell ref="C5:D5"/>
    <mergeCell ref="C4:D4"/>
    <mergeCell ref="C35:D35"/>
  </mergeCells>
  <pageMargins left="0.7" right="0.7" top="0.75" bottom="0.75" header="0.3" footer="0.3"/>
  <pageSetup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68C01-CC5F-4725-BADC-8D13307E13D7}">
  <dimension ref="A1:K39"/>
  <sheetViews>
    <sheetView zoomScale="70" zoomScaleNormal="70" workbookViewId="0">
      <selection activeCell="C14" sqref="C14"/>
    </sheetView>
  </sheetViews>
  <sheetFormatPr baseColWidth="10" defaultColWidth="9.1640625" defaultRowHeight="15" x14ac:dyDescent="0.2"/>
  <cols>
    <col min="1" max="1" width="43.5" style="1" customWidth="1"/>
    <col min="2" max="2" width="43.1640625" style="13" customWidth="1"/>
    <col min="3" max="3" width="17.5" style="13" customWidth="1"/>
    <col min="4" max="4" width="5.1640625" style="1" customWidth="1"/>
    <col min="5" max="5" width="43" style="1" customWidth="1"/>
    <col min="6" max="6" width="44.5" style="1" customWidth="1"/>
    <col min="7" max="7" width="17.83203125" style="1" customWidth="1"/>
    <col min="8" max="8" width="5.5" style="1" customWidth="1"/>
    <col min="9" max="9" width="42.6640625" customWidth="1"/>
    <col min="10" max="10" width="46.6640625" customWidth="1"/>
    <col min="11" max="11" width="17.5" style="1" customWidth="1"/>
    <col min="12" max="16384" width="9.1640625" style="1"/>
  </cols>
  <sheetData>
    <row r="1" spans="1:10" ht="32" x14ac:dyDescent="0.35">
      <c r="A1" s="72" t="s">
        <v>123</v>
      </c>
    </row>
    <row r="3" spans="1:10" ht="21" x14ac:dyDescent="0.25">
      <c r="A3" s="17" t="s">
        <v>22</v>
      </c>
      <c r="B3" s="18"/>
      <c r="E3" s="15" t="s">
        <v>99</v>
      </c>
      <c r="F3" s="16"/>
      <c r="I3" s="22" t="s">
        <v>42</v>
      </c>
      <c r="J3" s="23"/>
    </row>
    <row r="4" spans="1:10" ht="20" x14ac:dyDescent="0.25">
      <c r="A4" s="7" t="s">
        <v>15</v>
      </c>
      <c r="B4" s="14">
        <f ca="1">TODAY()</f>
        <v>43713</v>
      </c>
      <c r="C4" s="14"/>
      <c r="E4" s="7" t="s">
        <v>15</v>
      </c>
      <c r="F4" s="14">
        <f ca="1">TODAY()</f>
        <v>43713</v>
      </c>
      <c r="I4" s="21" t="s">
        <v>15</v>
      </c>
      <c r="J4" s="6">
        <f ca="1">TODAY()</f>
        <v>43713</v>
      </c>
    </row>
    <row r="5" spans="1:10" customFormat="1" ht="16" x14ac:dyDescent="0.2">
      <c r="A5" s="24" t="s">
        <v>24</v>
      </c>
      <c r="B5" s="25" t="s">
        <v>121</v>
      </c>
      <c r="C5" s="50"/>
      <c r="E5" s="24" t="s">
        <v>24</v>
      </c>
      <c r="F5" s="25" t="s">
        <v>114</v>
      </c>
      <c r="I5" s="24" t="s">
        <v>24</v>
      </c>
      <c r="J5" s="25" t="s">
        <v>108</v>
      </c>
    </row>
    <row r="6" spans="1:10" customFormat="1" ht="16" x14ac:dyDescent="0.2">
      <c r="A6" s="24" t="s">
        <v>25</v>
      </c>
      <c r="B6" s="11" t="s">
        <v>122</v>
      </c>
      <c r="C6" s="50"/>
      <c r="E6" s="24" t="s">
        <v>25</v>
      </c>
      <c r="F6" s="11" t="s">
        <v>115</v>
      </c>
      <c r="I6" s="24" t="s">
        <v>25</v>
      </c>
      <c r="J6" s="11" t="s">
        <v>109</v>
      </c>
    </row>
    <row r="7" spans="1:10" customFormat="1" ht="16" x14ac:dyDescent="0.2">
      <c r="A7" s="26"/>
      <c r="B7" s="27"/>
      <c r="C7" s="50"/>
      <c r="E7" s="26"/>
      <c r="F7" s="27"/>
      <c r="I7" s="26"/>
      <c r="J7" s="27"/>
    </row>
    <row r="8" spans="1:10" customFormat="1" ht="16" x14ac:dyDescent="0.2">
      <c r="A8" s="28" t="s">
        <v>18</v>
      </c>
      <c r="B8" s="29"/>
      <c r="C8" s="2"/>
      <c r="E8" s="28" t="s">
        <v>18</v>
      </c>
      <c r="F8" s="29"/>
      <c r="I8" s="28" t="s">
        <v>18</v>
      </c>
      <c r="J8" s="29"/>
    </row>
    <row r="9" spans="1:10" customFormat="1" ht="16" x14ac:dyDescent="0.2">
      <c r="A9" s="30" t="s">
        <v>16</v>
      </c>
      <c r="B9" s="31">
        <v>7</v>
      </c>
      <c r="C9" s="2"/>
      <c r="E9" s="30" t="s">
        <v>16</v>
      </c>
      <c r="F9" s="31">
        <v>3</v>
      </c>
      <c r="I9" s="34" t="s">
        <v>16</v>
      </c>
      <c r="J9" s="31">
        <v>0</v>
      </c>
    </row>
    <row r="10" spans="1:10" customFormat="1" ht="16" x14ac:dyDescent="0.2">
      <c r="A10" s="30" t="s">
        <v>47</v>
      </c>
      <c r="B10" s="32">
        <v>750</v>
      </c>
      <c r="C10" s="2"/>
      <c r="E10" s="30" t="s">
        <v>17</v>
      </c>
      <c r="F10" s="31">
        <v>3</v>
      </c>
      <c r="I10" s="34" t="s">
        <v>17</v>
      </c>
      <c r="J10" s="31">
        <v>0</v>
      </c>
    </row>
    <row r="11" spans="1:10" customFormat="1" ht="16" x14ac:dyDescent="0.2">
      <c r="A11" s="33"/>
      <c r="B11" s="29"/>
      <c r="C11" s="3"/>
      <c r="E11" s="30" t="s">
        <v>47</v>
      </c>
      <c r="F11" s="32">
        <v>770</v>
      </c>
      <c r="I11" s="34" t="s">
        <v>47</v>
      </c>
      <c r="J11" s="32">
        <v>710</v>
      </c>
    </row>
    <row r="12" spans="1:10" customFormat="1" ht="16" x14ac:dyDescent="0.2">
      <c r="A12" s="34" t="s">
        <v>68</v>
      </c>
      <c r="B12" s="35">
        <v>625000</v>
      </c>
      <c r="C12" s="2"/>
      <c r="E12" s="28"/>
      <c r="F12" s="65"/>
      <c r="I12" s="33"/>
      <c r="J12" s="29"/>
    </row>
    <row r="13" spans="1:10" customFormat="1" ht="16" x14ac:dyDescent="0.2">
      <c r="A13" s="34" t="s">
        <v>3</v>
      </c>
      <c r="B13" s="36">
        <v>0.8</v>
      </c>
      <c r="C13" s="51"/>
      <c r="E13" s="34" t="s">
        <v>62</v>
      </c>
      <c r="F13" s="71" t="s">
        <v>70</v>
      </c>
      <c r="I13" s="34" t="s">
        <v>46</v>
      </c>
      <c r="J13" s="35">
        <v>275000</v>
      </c>
    </row>
    <row r="14" spans="1:10" customFormat="1" ht="16" x14ac:dyDescent="0.2">
      <c r="A14" s="34" t="s">
        <v>0</v>
      </c>
      <c r="B14" s="62">
        <v>7.2999999999999995E-2</v>
      </c>
      <c r="C14" s="52"/>
      <c r="E14" s="34" t="s">
        <v>89</v>
      </c>
      <c r="F14" s="35">
        <v>220000</v>
      </c>
      <c r="I14" s="34" t="s">
        <v>3</v>
      </c>
      <c r="J14" s="36">
        <v>0.65</v>
      </c>
    </row>
    <row r="15" spans="1:10" customFormat="1" ht="16" x14ac:dyDescent="0.2">
      <c r="A15" s="34" t="s">
        <v>2</v>
      </c>
      <c r="B15" s="37">
        <v>500000</v>
      </c>
      <c r="C15" s="52"/>
      <c r="E15" s="34" t="s">
        <v>82</v>
      </c>
      <c r="F15" s="35">
        <v>249000</v>
      </c>
      <c r="I15" s="34" t="s">
        <v>0</v>
      </c>
      <c r="J15" s="70">
        <v>7.6249999999999998E-2</v>
      </c>
    </row>
    <row r="16" spans="1:10" customFormat="1" ht="16" x14ac:dyDescent="0.2">
      <c r="A16" s="34" t="s">
        <v>1</v>
      </c>
      <c r="B16" s="38" t="s">
        <v>28</v>
      </c>
      <c r="C16" s="54"/>
      <c r="E16" s="34" t="s">
        <v>98</v>
      </c>
      <c r="F16" s="36">
        <v>0.85</v>
      </c>
      <c r="I16" s="34" t="s">
        <v>49</v>
      </c>
      <c r="J16" s="37">
        <v>178750</v>
      </c>
    </row>
    <row r="17" spans="1:11" customFormat="1" ht="16" x14ac:dyDescent="0.2">
      <c r="A17" s="34" t="s">
        <v>116</v>
      </c>
      <c r="B17" s="38" t="s">
        <v>117</v>
      </c>
      <c r="C17" s="55"/>
      <c r="E17" s="34" t="s">
        <v>34</v>
      </c>
      <c r="F17" s="53">
        <v>45000</v>
      </c>
      <c r="I17" s="34" t="s">
        <v>1</v>
      </c>
      <c r="J17" s="38" t="s">
        <v>28</v>
      </c>
    </row>
    <row r="18" spans="1:11" customFormat="1" ht="16" x14ac:dyDescent="0.2">
      <c r="A18" s="34" t="s">
        <v>4</v>
      </c>
      <c r="B18" s="39">
        <v>125000</v>
      </c>
      <c r="C18" s="55"/>
      <c r="E18" s="34" t="s">
        <v>31</v>
      </c>
      <c r="F18" s="53">
        <v>45000</v>
      </c>
      <c r="I18" s="34" t="s">
        <v>6</v>
      </c>
      <c r="J18" s="37">
        <v>1600.18</v>
      </c>
    </row>
    <row r="19" spans="1:11" customFormat="1" ht="16" x14ac:dyDescent="0.2">
      <c r="A19" s="34" t="s">
        <v>118</v>
      </c>
      <c r="B19" s="39">
        <f>B15*C21</f>
        <v>5000</v>
      </c>
      <c r="C19" s="54"/>
      <c r="E19" s="34" t="s">
        <v>111</v>
      </c>
      <c r="F19" s="37">
        <v>232000</v>
      </c>
      <c r="I19" s="34" t="s">
        <v>110</v>
      </c>
      <c r="J19" s="37">
        <v>1840.21</v>
      </c>
    </row>
    <row r="20" spans="1:11" customFormat="1" ht="16" x14ac:dyDescent="0.2">
      <c r="A20" s="40" t="s">
        <v>10</v>
      </c>
      <c r="B20" s="39">
        <v>7500</v>
      </c>
      <c r="C20" s="20" t="s">
        <v>40</v>
      </c>
      <c r="E20" s="34" t="s">
        <v>35</v>
      </c>
      <c r="F20" s="56">
        <v>15750</v>
      </c>
      <c r="I20" s="69" t="s">
        <v>43</v>
      </c>
      <c r="J20" s="39">
        <v>61000</v>
      </c>
      <c r="K20" s="20" t="s">
        <v>40</v>
      </c>
    </row>
    <row r="21" spans="1:11" customFormat="1" ht="16" x14ac:dyDescent="0.2">
      <c r="A21" s="34" t="s">
        <v>5</v>
      </c>
      <c r="B21" s="39">
        <v>1450</v>
      </c>
      <c r="C21" s="57">
        <v>0.01</v>
      </c>
      <c r="E21" s="34" t="s">
        <v>1</v>
      </c>
      <c r="F21" s="38" t="s">
        <v>33</v>
      </c>
      <c r="I21" s="69" t="s">
        <v>41</v>
      </c>
      <c r="J21" s="39">
        <v>0</v>
      </c>
      <c r="K21" s="57">
        <v>2.5000000000000001E-2</v>
      </c>
    </row>
    <row r="22" spans="1:11" customFormat="1" ht="16" x14ac:dyDescent="0.2">
      <c r="A22" s="34" t="s">
        <v>119</v>
      </c>
      <c r="B22" s="39">
        <v>1495</v>
      </c>
      <c r="C22" s="19"/>
      <c r="E22" s="34" t="s">
        <v>0</v>
      </c>
      <c r="F22" s="49">
        <v>0.105</v>
      </c>
      <c r="G22" s="20" t="s">
        <v>40</v>
      </c>
      <c r="I22" s="34" t="s">
        <v>45</v>
      </c>
      <c r="J22" s="39">
        <f>J16*K21</f>
        <v>4468.75</v>
      </c>
    </row>
    <row r="23" spans="1:11" customFormat="1" ht="16" x14ac:dyDescent="0.2">
      <c r="A23" s="41"/>
      <c r="B23" s="42"/>
      <c r="C23" s="58"/>
      <c r="E23" s="34" t="s">
        <v>6</v>
      </c>
      <c r="F23" s="37">
        <v>2030</v>
      </c>
      <c r="G23" s="57">
        <v>0.02</v>
      </c>
      <c r="I23" s="40" t="s">
        <v>10</v>
      </c>
      <c r="J23" s="39">
        <v>4000</v>
      </c>
    </row>
    <row r="24" spans="1:11" customFormat="1" ht="16" x14ac:dyDescent="0.2">
      <c r="A24" s="34" t="s">
        <v>120</v>
      </c>
      <c r="B24" s="39">
        <v>600</v>
      </c>
      <c r="C24" s="3"/>
      <c r="E24" s="40" t="s">
        <v>36</v>
      </c>
      <c r="F24" s="39">
        <v>33000</v>
      </c>
      <c r="I24" s="34" t="s">
        <v>5</v>
      </c>
      <c r="J24" s="39">
        <v>1495</v>
      </c>
    </row>
    <row r="25" spans="1:11" customFormat="1" ht="16" x14ac:dyDescent="0.2">
      <c r="A25" s="34" t="s">
        <v>12</v>
      </c>
      <c r="B25" s="39">
        <v>1500</v>
      </c>
      <c r="C25" s="3"/>
      <c r="E25" s="34" t="s">
        <v>66</v>
      </c>
      <c r="F25" s="39">
        <f>F19*G23</f>
        <v>4640</v>
      </c>
      <c r="I25" s="34" t="s">
        <v>7</v>
      </c>
      <c r="J25" s="39">
        <v>125</v>
      </c>
    </row>
    <row r="26" spans="1:11" customFormat="1" ht="16" x14ac:dyDescent="0.2">
      <c r="A26" s="34" t="s">
        <v>13</v>
      </c>
      <c r="B26" s="39">
        <v>1500</v>
      </c>
      <c r="C26" s="3"/>
      <c r="E26" s="34" t="s">
        <v>10</v>
      </c>
      <c r="F26" s="39">
        <v>4640</v>
      </c>
      <c r="I26" s="34" t="s">
        <v>8</v>
      </c>
      <c r="J26" s="39">
        <v>89</v>
      </c>
    </row>
    <row r="27" spans="1:11" customFormat="1" ht="16" x14ac:dyDescent="0.2">
      <c r="A27" s="43"/>
      <c r="B27" s="44"/>
      <c r="C27" s="3"/>
      <c r="E27" s="34" t="s">
        <v>37</v>
      </c>
      <c r="F27" s="68">
        <f>F23*3</f>
        <v>6090</v>
      </c>
      <c r="I27" s="41"/>
      <c r="J27" s="42"/>
    </row>
    <row r="28" spans="1:11" customFormat="1" ht="16" x14ac:dyDescent="0.2">
      <c r="A28" s="45" t="s">
        <v>9</v>
      </c>
      <c r="B28" s="46">
        <f>SUM(B18:B26)</f>
        <v>144045</v>
      </c>
      <c r="C28" s="19"/>
      <c r="E28" s="34" t="s">
        <v>5</v>
      </c>
      <c r="F28" s="39">
        <v>999</v>
      </c>
      <c r="I28" s="34" t="s">
        <v>69</v>
      </c>
      <c r="J28" s="39">
        <v>3000</v>
      </c>
    </row>
    <row r="29" spans="1:11" customFormat="1" ht="16" x14ac:dyDescent="0.2">
      <c r="A29" s="33"/>
      <c r="B29" s="29"/>
      <c r="C29" s="19"/>
      <c r="E29" s="34" t="s">
        <v>7</v>
      </c>
      <c r="F29" s="39">
        <v>125</v>
      </c>
      <c r="I29" s="43"/>
      <c r="J29" s="44"/>
    </row>
    <row r="30" spans="1:11" customFormat="1" ht="16" x14ac:dyDescent="0.2">
      <c r="A30" s="33"/>
      <c r="B30" s="29"/>
      <c r="C30" s="2"/>
      <c r="E30" s="34" t="s">
        <v>8</v>
      </c>
      <c r="F30" s="39">
        <v>89</v>
      </c>
      <c r="I30" s="45" t="s">
        <v>44</v>
      </c>
      <c r="J30" s="46">
        <f>SUM(J21:J28)</f>
        <v>13177.75</v>
      </c>
    </row>
    <row r="31" spans="1:11" customFormat="1" ht="16" x14ac:dyDescent="0.2">
      <c r="A31" s="48" t="s">
        <v>20</v>
      </c>
      <c r="B31" s="29"/>
      <c r="C31" s="59"/>
      <c r="E31" s="41"/>
      <c r="F31" s="42"/>
      <c r="I31" s="30" t="s">
        <v>90</v>
      </c>
      <c r="J31" s="47">
        <f>SUM(J16-K32)</f>
        <v>104572.25</v>
      </c>
    </row>
    <row r="32" spans="1:11" customFormat="1" ht="16" x14ac:dyDescent="0.2">
      <c r="A32" s="48" t="s">
        <v>21</v>
      </c>
      <c r="B32" s="29"/>
      <c r="C32" s="2"/>
      <c r="E32" s="34" t="s">
        <v>12</v>
      </c>
      <c r="F32" s="39">
        <v>1500</v>
      </c>
      <c r="I32" s="33"/>
      <c r="J32" s="29"/>
      <c r="K32" s="60">
        <f>SUM(J20:J28)</f>
        <v>74177.75</v>
      </c>
    </row>
    <row r="33" spans="1:11" customFormat="1" ht="16" x14ac:dyDescent="0.2">
      <c r="B33" s="2"/>
      <c r="C33" s="2"/>
      <c r="E33" s="34" t="s">
        <v>13</v>
      </c>
      <c r="F33" s="39">
        <v>1500</v>
      </c>
      <c r="I33" s="48" t="s">
        <v>20</v>
      </c>
      <c r="J33" s="29"/>
      <c r="K33" s="60"/>
    </row>
    <row r="34" spans="1:11" customFormat="1" ht="16" x14ac:dyDescent="0.2">
      <c r="B34" s="2"/>
      <c r="C34" s="2"/>
      <c r="E34" s="42"/>
      <c r="F34" s="42"/>
      <c r="I34" s="48" t="s">
        <v>21</v>
      </c>
      <c r="J34" s="29"/>
    </row>
    <row r="35" spans="1:11" customFormat="1" ht="16" x14ac:dyDescent="0.2">
      <c r="B35" s="2"/>
      <c r="C35" s="2"/>
      <c r="E35" s="45" t="s">
        <v>23</v>
      </c>
      <c r="F35" s="46">
        <f>SUM(F24:F33)</f>
        <v>52583</v>
      </c>
      <c r="G35" s="61" t="e">
        <f>SUM(F24:F30,#REF!,F32,F33)</f>
        <v>#REF!</v>
      </c>
      <c r="H35" s="59"/>
      <c r="I35" s="48"/>
      <c r="J35" s="33"/>
    </row>
    <row r="36" spans="1:11" customFormat="1" ht="16" x14ac:dyDescent="0.2">
      <c r="A36" s="1"/>
      <c r="B36" s="13"/>
      <c r="C36" s="2"/>
      <c r="E36" s="45" t="s">
        <v>91</v>
      </c>
      <c r="F36" s="46">
        <f>F35-F20</f>
        <v>36833</v>
      </c>
    </row>
    <row r="37" spans="1:11" customFormat="1" ht="16" x14ac:dyDescent="0.2">
      <c r="A37" s="1"/>
      <c r="B37" s="13"/>
      <c r="C37" s="2"/>
      <c r="E37" s="33"/>
      <c r="F37" s="29"/>
    </row>
    <row r="38" spans="1:11" customFormat="1" ht="16" x14ac:dyDescent="0.2">
      <c r="A38" s="1"/>
      <c r="B38" s="13"/>
      <c r="C38" s="2"/>
      <c r="E38" s="48" t="s">
        <v>20</v>
      </c>
      <c r="F38" s="29"/>
    </row>
    <row r="39" spans="1:11" ht="16" x14ac:dyDescent="0.2">
      <c r="E39" s="48" t="s">
        <v>21</v>
      </c>
      <c r="F39" s="29"/>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B8A1D-A06D-4468-B127-AD51F955532F}">
  <dimension ref="B1:I40"/>
  <sheetViews>
    <sheetView showGridLines="0" zoomScale="70" zoomScaleNormal="70" workbookViewId="0">
      <selection activeCell="K12" sqref="K12"/>
    </sheetView>
  </sheetViews>
  <sheetFormatPr baseColWidth="10" defaultColWidth="9.1640625" defaultRowHeight="15" x14ac:dyDescent="0.2"/>
  <cols>
    <col min="1" max="1" width="2.1640625" style="260" customWidth="1"/>
    <col min="2" max="3" width="45.33203125" style="260" customWidth="1"/>
    <col min="4" max="4" width="2.1640625" style="260" customWidth="1"/>
    <col min="5" max="5" width="16.33203125" style="260" customWidth="1"/>
    <col min="6" max="6" width="2.1640625" style="260" customWidth="1"/>
    <col min="7" max="7" width="45.33203125" style="631" customWidth="1"/>
    <col min="8" max="8" width="22.5" style="631" customWidth="1"/>
    <col min="9" max="9" width="22.5" style="260" customWidth="1"/>
    <col min="10" max="10" width="2.1640625" style="260" customWidth="1"/>
    <col min="11" max="11" width="16.33203125" style="260" customWidth="1"/>
    <col min="12" max="16384" width="9.1640625" style="260"/>
  </cols>
  <sheetData>
    <row r="1" spans="2:9" ht="8.25" customHeight="1" x14ac:dyDescent="0.2"/>
    <row r="2" spans="2:9" ht="18.75" customHeight="1" x14ac:dyDescent="0.2">
      <c r="B2" s="1763" t="s">
        <v>423</v>
      </c>
      <c r="C2" s="1765"/>
      <c r="G2" s="2145" t="s">
        <v>650</v>
      </c>
      <c r="H2" s="2146"/>
      <c r="I2" s="2147"/>
    </row>
    <row r="3" spans="2:9" ht="18.75" customHeight="1" thickBot="1" x14ac:dyDescent="0.25">
      <c r="B3" s="129" t="s">
        <v>15</v>
      </c>
      <c r="C3" s="717">
        <f ca="1">TODAY()</f>
        <v>43713</v>
      </c>
      <c r="G3" s="129" t="s">
        <v>15</v>
      </c>
      <c r="H3" s="717">
        <f ca="1">TODAY()</f>
        <v>43713</v>
      </c>
      <c r="I3" s="717"/>
    </row>
    <row r="4" spans="2:9" ht="18.75" customHeight="1" x14ac:dyDescent="0.2">
      <c r="B4" s="99" t="s">
        <v>24</v>
      </c>
      <c r="C4" s="262" t="s">
        <v>536</v>
      </c>
      <c r="G4" s="99" t="s">
        <v>24</v>
      </c>
      <c r="H4" s="676" t="s">
        <v>647</v>
      </c>
      <c r="I4" s="262"/>
    </row>
    <row r="5" spans="2:9" ht="18.75" customHeight="1" x14ac:dyDescent="0.2">
      <c r="B5" s="303" t="s">
        <v>250</v>
      </c>
      <c r="C5" s="392"/>
      <c r="G5" s="303" t="s">
        <v>250</v>
      </c>
      <c r="H5" s="677" t="s">
        <v>648</v>
      </c>
      <c r="I5" s="392"/>
    </row>
    <row r="6" spans="2:9" ht="18.75" customHeight="1" thickBot="1" x14ac:dyDescent="0.25">
      <c r="B6" s="100" t="s">
        <v>25</v>
      </c>
      <c r="C6" s="263" t="s">
        <v>537</v>
      </c>
      <c r="G6" s="100" t="s">
        <v>25</v>
      </c>
      <c r="H6" s="703" t="s">
        <v>649</v>
      </c>
      <c r="I6" s="263"/>
    </row>
    <row r="7" spans="2:9" ht="18.75" customHeight="1" thickBot="1" x14ac:dyDescent="0.25">
      <c r="B7" s="122" t="s">
        <v>167</v>
      </c>
      <c r="C7" s="571"/>
      <c r="G7" s="122" t="s">
        <v>167</v>
      </c>
      <c r="H7" s="571"/>
      <c r="I7" s="571"/>
    </row>
    <row r="8" spans="2:9" ht="18.75" customHeight="1" x14ac:dyDescent="0.2">
      <c r="B8" s="96" t="s">
        <v>16</v>
      </c>
      <c r="C8" s="519">
        <v>0</v>
      </c>
      <c r="G8" s="96" t="s">
        <v>16</v>
      </c>
      <c r="H8" s="678">
        <v>1</v>
      </c>
      <c r="I8" s="519"/>
    </row>
    <row r="9" spans="2:9" ht="18.75" customHeight="1" x14ac:dyDescent="0.2">
      <c r="B9" s="97" t="s">
        <v>47</v>
      </c>
      <c r="C9" s="718">
        <v>686</v>
      </c>
      <c r="G9" s="97" t="s">
        <v>47</v>
      </c>
      <c r="H9" s="680">
        <v>800</v>
      </c>
      <c r="I9" s="718"/>
    </row>
    <row r="10" spans="2:9" ht="18.75" customHeight="1" thickBot="1" x14ac:dyDescent="0.25">
      <c r="B10" s="98" t="s">
        <v>92</v>
      </c>
      <c r="C10" s="521" t="s">
        <v>538</v>
      </c>
      <c r="G10" s="98" t="s">
        <v>92</v>
      </c>
      <c r="H10" s="679" t="s">
        <v>637</v>
      </c>
      <c r="I10" s="521"/>
    </row>
    <row r="11" spans="2:9" ht="18.75" customHeight="1" thickBot="1" x14ac:dyDescent="0.25">
      <c r="B11" s="122" t="s">
        <v>184</v>
      </c>
      <c r="C11" s="680"/>
      <c r="G11" s="122" t="s">
        <v>184</v>
      </c>
      <c r="H11" s="680"/>
      <c r="I11" s="680"/>
    </row>
    <row r="12" spans="2:9" ht="18.75" customHeight="1" x14ac:dyDescent="0.2">
      <c r="B12" s="79" t="s">
        <v>48</v>
      </c>
      <c r="C12" s="702">
        <v>110000</v>
      </c>
      <c r="G12" s="79" t="s">
        <v>636</v>
      </c>
      <c r="H12" s="701">
        <v>278000</v>
      </c>
      <c r="I12" s="702"/>
    </row>
    <row r="13" spans="2:9" ht="18.75" customHeight="1" x14ac:dyDescent="0.2">
      <c r="B13" s="91" t="s">
        <v>77</v>
      </c>
      <c r="C13" s="523">
        <v>160000</v>
      </c>
      <c r="G13" s="91" t="s">
        <v>77</v>
      </c>
      <c r="H13" s="652">
        <v>520000</v>
      </c>
      <c r="I13" s="523"/>
    </row>
    <row r="14" spans="2:9" ht="18.75" customHeight="1" x14ac:dyDescent="0.2">
      <c r="B14" s="76" t="s">
        <v>3</v>
      </c>
      <c r="C14" s="710">
        <v>0.7</v>
      </c>
      <c r="G14" s="76" t="s">
        <v>3</v>
      </c>
      <c r="H14" s="709">
        <v>0.7</v>
      </c>
      <c r="I14" s="710"/>
    </row>
    <row r="15" spans="2:9" ht="18.75" customHeight="1" x14ac:dyDescent="0.2">
      <c r="B15" s="91" t="s">
        <v>2</v>
      </c>
      <c r="C15" s="719">
        <f>C12*C14</f>
        <v>77000</v>
      </c>
      <c r="G15" s="91" t="s">
        <v>2</v>
      </c>
      <c r="H15" s="720">
        <f>H13*H14</f>
        <v>364000</v>
      </c>
      <c r="I15" s="719"/>
    </row>
    <row r="16" spans="2:9" ht="18.75" customHeight="1" x14ac:dyDescent="0.2">
      <c r="B16" s="76" t="s">
        <v>1</v>
      </c>
      <c r="C16" s="576" t="s">
        <v>134</v>
      </c>
      <c r="G16" s="76" t="s">
        <v>639</v>
      </c>
      <c r="H16" s="721" t="s">
        <v>638</v>
      </c>
      <c r="I16" s="731">
        <v>6.1249999999999999E-2</v>
      </c>
    </row>
    <row r="17" spans="2:9" ht="18.75" customHeight="1" x14ac:dyDescent="0.2">
      <c r="B17" s="91" t="s">
        <v>0</v>
      </c>
      <c r="C17" s="575">
        <v>7.4999999999999997E-2</v>
      </c>
      <c r="G17" s="91" t="s">
        <v>646</v>
      </c>
      <c r="H17" s="566" t="s">
        <v>28</v>
      </c>
      <c r="I17" s="732">
        <v>6.6250000000000003E-2</v>
      </c>
    </row>
    <row r="18" spans="2:9" ht="18.75" customHeight="1" x14ac:dyDescent="0.2">
      <c r="B18" s="76" t="s">
        <v>185</v>
      </c>
      <c r="C18" s="722" t="s">
        <v>539</v>
      </c>
      <c r="G18" s="76" t="s">
        <v>643</v>
      </c>
      <c r="H18" s="723" t="s">
        <v>640</v>
      </c>
      <c r="I18" s="724">
        <v>5.5E-2</v>
      </c>
    </row>
    <row r="19" spans="2:9" ht="18.75" customHeight="1" thickBot="1" x14ac:dyDescent="0.25">
      <c r="B19" s="125" t="s">
        <v>53</v>
      </c>
      <c r="C19" s="529" t="s">
        <v>540</v>
      </c>
      <c r="G19" s="91" t="s">
        <v>641</v>
      </c>
      <c r="H19" s="725" t="s">
        <v>324</v>
      </c>
      <c r="I19" s="726"/>
    </row>
    <row r="20" spans="2:9" ht="18.75" customHeight="1" thickBot="1" x14ac:dyDescent="0.25">
      <c r="B20" s="122" t="s">
        <v>542</v>
      </c>
      <c r="C20" s="568"/>
      <c r="G20" s="76" t="s">
        <v>642</v>
      </c>
      <c r="H20" s="723">
        <v>1</v>
      </c>
      <c r="I20" s="724"/>
    </row>
    <row r="21" spans="2:9" ht="18.75" customHeight="1" thickBot="1" x14ac:dyDescent="0.25">
      <c r="B21" s="79" t="s">
        <v>45</v>
      </c>
      <c r="C21" s="699">
        <f>C15*E24</f>
        <v>0</v>
      </c>
      <c r="G21" s="125" t="s">
        <v>53</v>
      </c>
      <c r="H21" s="727" t="s">
        <v>540</v>
      </c>
      <c r="I21" s="529"/>
    </row>
    <row r="22" spans="2:9" ht="18.75" customHeight="1" thickBot="1" x14ac:dyDescent="0.25">
      <c r="B22" s="91" t="s">
        <v>10</v>
      </c>
      <c r="C22" s="430">
        <v>3500</v>
      </c>
      <c r="G22" s="122" t="s">
        <v>542</v>
      </c>
      <c r="H22" s="568"/>
      <c r="I22" s="568"/>
    </row>
    <row r="23" spans="2:9" ht="18.75" customHeight="1" x14ac:dyDescent="0.2">
      <c r="B23" s="76" t="s">
        <v>93</v>
      </c>
      <c r="C23" s="243">
        <v>555</v>
      </c>
      <c r="G23" s="716" t="s">
        <v>43</v>
      </c>
      <c r="H23" s="634">
        <f>H12</f>
        <v>278000</v>
      </c>
      <c r="I23" s="429"/>
    </row>
    <row r="24" spans="2:9" ht="18.75" customHeight="1" thickBot="1" x14ac:dyDescent="0.25">
      <c r="B24" s="125" t="s">
        <v>5</v>
      </c>
      <c r="C24" s="529">
        <v>1295</v>
      </c>
      <c r="G24" s="76" t="s">
        <v>45</v>
      </c>
      <c r="H24" s="628">
        <f>H15*K26</f>
        <v>0</v>
      </c>
      <c r="I24" s="243"/>
    </row>
    <row r="25" spans="2:9" ht="18.75" customHeight="1" thickBot="1" x14ac:dyDescent="0.25">
      <c r="B25" s="129" t="s">
        <v>169</v>
      </c>
      <c r="C25" s="568"/>
      <c r="G25" s="91" t="s">
        <v>10</v>
      </c>
      <c r="H25" s="568">
        <f>I25*H15</f>
        <v>7280</v>
      </c>
      <c r="I25" s="728">
        <v>0.02</v>
      </c>
    </row>
    <row r="26" spans="2:9" ht="18.75" customHeight="1" x14ac:dyDescent="0.2">
      <c r="B26" s="96" t="s">
        <v>12</v>
      </c>
      <c r="C26" s="699">
        <v>1500</v>
      </c>
      <c r="G26" s="76" t="s">
        <v>93</v>
      </c>
      <c r="H26" s="628">
        <v>555</v>
      </c>
      <c r="I26" s="243"/>
    </row>
    <row r="27" spans="2:9" ht="18.75" customHeight="1" thickBot="1" x14ac:dyDescent="0.25">
      <c r="B27" s="97" t="s">
        <v>13</v>
      </c>
      <c r="C27" s="430">
        <v>1500</v>
      </c>
      <c r="G27" s="125" t="s">
        <v>5</v>
      </c>
      <c r="H27" s="727">
        <v>1295</v>
      </c>
      <c r="I27" s="529"/>
    </row>
    <row r="28" spans="2:9" ht="18.75" customHeight="1" thickBot="1" x14ac:dyDescent="0.25">
      <c r="B28" s="98" t="s">
        <v>186</v>
      </c>
      <c r="C28" s="577">
        <v>650</v>
      </c>
      <c r="G28" s="129" t="s">
        <v>169</v>
      </c>
      <c r="H28" s="568"/>
      <c r="I28" s="568"/>
    </row>
    <row r="29" spans="2:9" ht="18.75" customHeight="1" thickBot="1" x14ac:dyDescent="0.25">
      <c r="B29" s="116"/>
      <c r="C29" s="569"/>
      <c r="G29" s="96" t="s">
        <v>12</v>
      </c>
      <c r="H29" s="698">
        <v>1500</v>
      </c>
      <c r="I29" s="699"/>
    </row>
    <row r="30" spans="2:9" ht="18.75" customHeight="1" x14ac:dyDescent="0.2">
      <c r="B30" s="108" t="s">
        <v>76</v>
      </c>
      <c r="C30" s="697">
        <f>SUM(C21:C28)</f>
        <v>9000</v>
      </c>
      <c r="G30" s="97" t="s">
        <v>13</v>
      </c>
      <c r="H30" s="568">
        <v>1500</v>
      </c>
      <c r="I30" s="430"/>
    </row>
    <row r="31" spans="2:9" ht="18.75" customHeight="1" thickBot="1" x14ac:dyDescent="0.25">
      <c r="B31" s="110" t="s">
        <v>94</v>
      </c>
      <c r="C31" s="518">
        <f>C15-C30</f>
        <v>68000</v>
      </c>
      <c r="G31" s="98" t="s">
        <v>186</v>
      </c>
      <c r="H31" s="671">
        <v>650</v>
      </c>
      <c r="I31" s="577" t="s">
        <v>644</v>
      </c>
    </row>
    <row r="32" spans="2:9" ht="18.75" customHeight="1" thickBot="1" x14ac:dyDescent="0.25">
      <c r="B32" s="729"/>
      <c r="C32" s="571"/>
      <c r="G32" s="116"/>
      <c r="H32" s="569"/>
      <c r="I32" s="569"/>
    </row>
    <row r="33" spans="2:9" ht="18.75" customHeight="1" x14ac:dyDescent="0.2">
      <c r="B33" s="2138" t="s">
        <v>543</v>
      </c>
      <c r="C33" s="2138"/>
      <c r="G33" s="108" t="s">
        <v>76</v>
      </c>
      <c r="H33" s="696">
        <f>SUM(H24:H31)</f>
        <v>12780</v>
      </c>
      <c r="I33" s="697"/>
    </row>
    <row r="34" spans="2:9" ht="18.75" customHeight="1" x14ac:dyDescent="0.2">
      <c r="B34" s="2138"/>
      <c r="C34" s="2138"/>
      <c r="G34" s="437" t="s">
        <v>645</v>
      </c>
      <c r="H34" s="688">
        <f>SUM(H23,H33)</f>
        <v>290780</v>
      </c>
      <c r="I34" s="517"/>
    </row>
    <row r="35" spans="2:9" ht="18.75" customHeight="1" thickBot="1" x14ac:dyDescent="0.25">
      <c r="B35" s="2137" t="s">
        <v>541</v>
      </c>
      <c r="C35" s="2137"/>
      <c r="G35" s="110" t="s">
        <v>94</v>
      </c>
      <c r="H35" s="730">
        <f>H15-H34</f>
        <v>73220</v>
      </c>
      <c r="I35" s="518"/>
    </row>
    <row r="36" spans="2:9" ht="18.75" customHeight="1" x14ac:dyDescent="0.2">
      <c r="B36" s="2137"/>
      <c r="C36" s="2137"/>
      <c r="G36" s="729"/>
      <c r="H36" s="571"/>
      <c r="I36" s="571"/>
    </row>
    <row r="37" spans="2:9" ht="18.75" customHeight="1" x14ac:dyDescent="0.2">
      <c r="G37" s="1601" t="s">
        <v>543</v>
      </c>
      <c r="H37" s="1602"/>
      <c r="I37" s="1603"/>
    </row>
    <row r="38" spans="2:9" ht="18.75" customHeight="1" x14ac:dyDescent="0.2">
      <c r="G38" s="1814"/>
      <c r="H38" s="1815"/>
      <c r="I38" s="1816"/>
    </row>
    <row r="39" spans="2:9" ht="18.75" customHeight="1" x14ac:dyDescent="0.2">
      <c r="G39" s="2139" t="s">
        <v>541</v>
      </c>
      <c r="H39" s="2140"/>
      <c r="I39" s="2141"/>
    </row>
    <row r="40" spans="2:9" ht="18.75" customHeight="1" x14ac:dyDescent="0.2">
      <c r="G40" s="2142"/>
      <c r="H40" s="2143"/>
      <c r="I40" s="2144"/>
    </row>
  </sheetData>
  <mergeCells count="6">
    <mergeCell ref="B2:C2"/>
    <mergeCell ref="B35:C36"/>
    <mergeCell ref="B33:C34"/>
    <mergeCell ref="G37:I38"/>
    <mergeCell ref="G39:I40"/>
    <mergeCell ref="G2:I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59BB-8F8B-4732-BEAA-EEC09E102793}">
  <dimension ref="B1:J45"/>
  <sheetViews>
    <sheetView showGridLines="0" zoomScale="80" zoomScaleNormal="80" workbookViewId="0">
      <selection activeCell="E32" sqref="E32"/>
    </sheetView>
  </sheetViews>
  <sheetFormatPr baseColWidth="10" defaultColWidth="9.1640625" defaultRowHeight="15" x14ac:dyDescent="0.2"/>
  <cols>
    <col min="1" max="1" width="2" style="433" customWidth="1"/>
    <col min="2" max="3" width="45" style="433" customWidth="1"/>
    <col min="4" max="4" width="2.83203125" style="433" customWidth="1"/>
    <col min="5" max="5" width="17.1640625" style="433" customWidth="1"/>
    <col min="6" max="6" width="2.83203125" style="433" customWidth="1"/>
    <col min="7" max="8" width="45" style="433" customWidth="1"/>
    <col min="9" max="9" width="2.83203125" style="433" customWidth="1"/>
    <col min="10" max="10" width="17.1640625" style="433" customWidth="1"/>
    <col min="11" max="16384" width="9.1640625" style="433"/>
  </cols>
  <sheetData>
    <row r="1" spans="2:8" ht="18" customHeight="1" x14ac:dyDescent="0.2"/>
    <row r="2" spans="2:8" ht="18" customHeight="1" x14ac:dyDescent="0.2">
      <c r="B2" s="1542" t="s">
        <v>361</v>
      </c>
      <c r="C2" s="1544"/>
      <c r="G2" s="2148" t="s">
        <v>362</v>
      </c>
      <c r="H2" s="2149"/>
    </row>
    <row r="3" spans="2:8" ht="18" customHeight="1" thickBot="1" x14ac:dyDescent="0.3">
      <c r="B3" s="129" t="s">
        <v>15</v>
      </c>
      <c r="C3" s="342">
        <f ca="1">TODAY()</f>
        <v>43713</v>
      </c>
      <c r="G3" s="129" t="s">
        <v>15</v>
      </c>
      <c r="H3" s="342">
        <f ca="1">TODAY()</f>
        <v>43713</v>
      </c>
    </row>
    <row r="4" spans="2:8" ht="18" customHeight="1" x14ac:dyDescent="0.25">
      <c r="B4" s="99" t="s">
        <v>24</v>
      </c>
      <c r="C4" s="432" t="s">
        <v>358</v>
      </c>
      <c r="G4" s="99" t="s">
        <v>24</v>
      </c>
      <c r="H4" s="432" t="s">
        <v>358</v>
      </c>
    </row>
    <row r="5" spans="2:8" ht="18" customHeight="1" x14ac:dyDescent="0.2">
      <c r="B5" s="303" t="s">
        <v>351</v>
      </c>
      <c r="C5" s="304" t="s">
        <v>363</v>
      </c>
      <c r="G5" s="303" t="s">
        <v>351</v>
      </c>
      <c r="H5" s="304"/>
    </row>
    <row r="6" spans="2:8" ht="18" customHeight="1" thickBot="1" x14ac:dyDescent="0.25">
      <c r="B6" s="100" t="s">
        <v>25</v>
      </c>
      <c r="C6" s="431" t="s">
        <v>364</v>
      </c>
      <c r="G6" s="100" t="s">
        <v>25</v>
      </c>
      <c r="H6" s="114" t="s">
        <v>97</v>
      </c>
    </row>
    <row r="7" spans="2:8" ht="18" customHeight="1" thickBot="1" x14ac:dyDescent="0.25">
      <c r="B7" s="129" t="s">
        <v>354</v>
      </c>
      <c r="C7" s="176"/>
      <c r="G7" s="129" t="s">
        <v>354</v>
      </c>
      <c r="H7" s="176"/>
    </row>
    <row r="8" spans="2:8" ht="18" customHeight="1" x14ac:dyDescent="0.2">
      <c r="B8" s="96" t="s">
        <v>357</v>
      </c>
      <c r="C8" s="179">
        <v>2</v>
      </c>
      <c r="G8" s="96" t="s">
        <v>357</v>
      </c>
      <c r="H8" s="179">
        <v>2</v>
      </c>
    </row>
    <row r="9" spans="2:8" ht="18" customHeight="1" x14ac:dyDescent="0.2">
      <c r="B9" s="97" t="s">
        <v>47</v>
      </c>
      <c r="C9" s="180">
        <v>800</v>
      </c>
      <c r="G9" s="97" t="s">
        <v>47</v>
      </c>
      <c r="H9" s="180">
        <v>800</v>
      </c>
    </row>
    <row r="10" spans="2:8" ht="18" customHeight="1" thickBot="1" x14ac:dyDescent="0.25">
      <c r="B10" s="98" t="s">
        <v>92</v>
      </c>
      <c r="C10" s="314" t="s">
        <v>133</v>
      </c>
      <c r="G10" s="98" t="s">
        <v>92</v>
      </c>
      <c r="H10" s="314" t="s">
        <v>133</v>
      </c>
    </row>
    <row r="11" spans="2:8" ht="18" customHeight="1" thickBot="1" x14ac:dyDescent="0.25">
      <c r="B11" s="129" t="s">
        <v>350</v>
      </c>
      <c r="C11" s="175"/>
      <c r="G11" s="129" t="s">
        <v>350</v>
      </c>
      <c r="H11" s="175"/>
    </row>
    <row r="12" spans="2:8" ht="18" customHeight="1" x14ac:dyDescent="0.2">
      <c r="B12" s="79" t="s">
        <v>365</v>
      </c>
      <c r="C12" s="127">
        <v>0</v>
      </c>
      <c r="G12" s="79" t="s">
        <v>48</v>
      </c>
      <c r="H12" s="127">
        <v>0</v>
      </c>
    </row>
    <row r="13" spans="2:8" ht="18" customHeight="1" x14ac:dyDescent="0.2">
      <c r="B13" s="91" t="s">
        <v>77</v>
      </c>
      <c r="C13" s="92">
        <v>200000</v>
      </c>
      <c r="G13" s="91" t="s">
        <v>77</v>
      </c>
      <c r="H13" s="92">
        <v>200000</v>
      </c>
    </row>
    <row r="14" spans="2:8" ht="18" customHeight="1" x14ac:dyDescent="0.2">
      <c r="B14" s="76" t="s">
        <v>3</v>
      </c>
      <c r="C14" s="173">
        <v>0.74</v>
      </c>
      <c r="G14" s="76" t="s">
        <v>3</v>
      </c>
      <c r="H14" s="173">
        <v>0.74</v>
      </c>
    </row>
    <row r="15" spans="2:8" ht="18" customHeight="1" x14ac:dyDescent="0.2">
      <c r="B15" s="91" t="s">
        <v>2</v>
      </c>
      <c r="C15" s="123">
        <v>148000</v>
      </c>
      <c r="G15" s="91" t="s">
        <v>2</v>
      </c>
      <c r="H15" s="123">
        <v>148000</v>
      </c>
    </row>
    <row r="16" spans="2:8" ht="18" customHeight="1" x14ac:dyDescent="0.2">
      <c r="B16" s="76" t="s">
        <v>359</v>
      </c>
      <c r="C16" s="83" t="s">
        <v>360</v>
      </c>
      <c r="G16" s="76" t="s">
        <v>366</v>
      </c>
      <c r="H16" s="83" t="s">
        <v>360</v>
      </c>
    </row>
    <row r="17" spans="2:10" ht="18" customHeight="1" x14ac:dyDescent="0.2">
      <c r="B17" s="91" t="s">
        <v>299</v>
      </c>
      <c r="C17" s="123">
        <v>1500</v>
      </c>
      <c r="G17" s="91" t="s">
        <v>299</v>
      </c>
      <c r="H17" s="123">
        <v>1500</v>
      </c>
    </row>
    <row r="18" spans="2:10" ht="18" customHeight="1" x14ac:dyDescent="0.2">
      <c r="B18" s="76" t="s">
        <v>1</v>
      </c>
      <c r="C18" s="84" t="s">
        <v>353</v>
      </c>
      <c r="G18" s="76" t="s">
        <v>1</v>
      </c>
      <c r="H18" s="84" t="s">
        <v>353</v>
      </c>
    </row>
    <row r="19" spans="2:10" ht="18" customHeight="1" x14ac:dyDescent="0.2">
      <c r="B19" s="91" t="s">
        <v>0</v>
      </c>
      <c r="C19" s="95">
        <v>5.5E-2</v>
      </c>
      <c r="G19" s="91" t="s">
        <v>0</v>
      </c>
      <c r="H19" s="95">
        <v>5.7500000000000002E-2</v>
      </c>
    </row>
    <row r="20" spans="2:10" ht="18" customHeight="1" thickBot="1" x14ac:dyDescent="0.25">
      <c r="B20" s="85" t="s">
        <v>53</v>
      </c>
      <c r="C20" s="401" t="s">
        <v>368</v>
      </c>
      <c r="G20" s="85" t="s">
        <v>53</v>
      </c>
      <c r="H20" s="401" t="s">
        <v>368</v>
      </c>
    </row>
    <row r="21" spans="2:10" ht="18" customHeight="1" thickBot="1" x14ac:dyDescent="0.25">
      <c r="B21" s="129" t="s">
        <v>355</v>
      </c>
      <c r="C21" s="177"/>
      <c r="G21" s="129" t="s">
        <v>355</v>
      </c>
      <c r="H21" s="177"/>
    </row>
    <row r="22" spans="2:10" ht="18" customHeight="1" x14ac:dyDescent="0.2">
      <c r="B22" s="103" t="s">
        <v>36</v>
      </c>
      <c r="C22" s="104">
        <v>0</v>
      </c>
      <c r="G22" s="103" t="s">
        <v>36</v>
      </c>
      <c r="H22" s="104">
        <v>0</v>
      </c>
    </row>
    <row r="23" spans="2:10" ht="18" customHeight="1" x14ac:dyDescent="0.2">
      <c r="B23" s="91" t="s">
        <v>45</v>
      </c>
      <c r="C23" s="106">
        <f>C15*E26</f>
        <v>1480</v>
      </c>
      <c r="G23" s="91" t="s">
        <v>45</v>
      </c>
      <c r="H23" s="106">
        <f>H15*J26</f>
        <v>1480</v>
      </c>
    </row>
    <row r="24" spans="2:10" ht="18" customHeight="1" x14ac:dyDescent="0.2">
      <c r="B24" s="76" t="s">
        <v>367</v>
      </c>
      <c r="C24" s="77">
        <v>750</v>
      </c>
      <c r="G24" s="76" t="s">
        <v>367</v>
      </c>
      <c r="H24" s="77">
        <v>750</v>
      </c>
    </row>
    <row r="25" spans="2:10" ht="18" customHeight="1" thickBot="1" x14ac:dyDescent="0.25">
      <c r="B25" s="125" t="s">
        <v>10</v>
      </c>
      <c r="C25" s="126">
        <v>3500</v>
      </c>
      <c r="E25" s="434" t="s">
        <v>40</v>
      </c>
      <c r="G25" s="125" t="s">
        <v>10</v>
      </c>
      <c r="H25" s="126">
        <v>3500</v>
      </c>
      <c r="J25" s="434" t="s">
        <v>40</v>
      </c>
    </row>
    <row r="26" spans="2:10" ht="18" customHeight="1" thickBot="1" x14ac:dyDescent="0.25">
      <c r="B26" s="129" t="s">
        <v>356</v>
      </c>
      <c r="C26" s="171"/>
      <c r="E26" s="435">
        <v>0.01</v>
      </c>
      <c r="G26" s="129" t="s">
        <v>356</v>
      </c>
      <c r="H26" s="171"/>
      <c r="J26" s="435">
        <v>0.01</v>
      </c>
    </row>
    <row r="27" spans="2:10" ht="18" customHeight="1" x14ac:dyDescent="0.2">
      <c r="B27" s="96" t="s">
        <v>352</v>
      </c>
      <c r="C27" s="181">
        <v>650</v>
      </c>
      <c r="G27" s="96" t="s">
        <v>352</v>
      </c>
      <c r="H27" s="181">
        <v>650</v>
      </c>
    </row>
    <row r="28" spans="2:10" ht="18" customHeight="1" x14ac:dyDescent="0.2">
      <c r="B28" s="97" t="s">
        <v>369</v>
      </c>
      <c r="C28" s="106" t="s">
        <v>149</v>
      </c>
      <c r="G28" s="97" t="s">
        <v>369</v>
      </c>
      <c r="H28" s="106" t="s">
        <v>149</v>
      </c>
    </row>
    <row r="29" spans="2:10" ht="18" customHeight="1" x14ac:dyDescent="0.2">
      <c r="B29" s="97" t="s">
        <v>12</v>
      </c>
      <c r="C29" s="106">
        <v>1500</v>
      </c>
      <c r="G29" s="97" t="s">
        <v>12</v>
      </c>
      <c r="H29" s="106">
        <v>2500</v>
      </c>
    </row>
    <row r="30" spans="2:10" ht="18" customHeight="1" thickBot="1" x14ac:dyDescent="0.25">
      <c r="B30" s="98" t="s">
        <v>13</v>
      </c>
      <c r="C30" s="126">
        <v>1250</v>
      </c>
      <c r="G30" s="98" t="s">
        <v>13</v>
      </c>
      <c r="H30" s="126">
        <v>0</v>
      </c>
    </row>
    <row r="31" spans="2:10" ht="18" customHeight="1" thickBot="1" x14ac:dyDescent="0.25">
      <c r="B31" s="170"/>
      <c r="C31" s="395"/>
      <c r="G31" s="170"/>
      <c r="H31" s="395"/>
    </row>
    <row r="32" spans="2:10" ht="18" customHeight="1" x14ac:dyDescent="0.2">
      <c r="B32" s="108" t="s">
        <v>76</v>
      </c>
      <c r="C32" s="206">
        <f>SUM(C22:C30)</f>
        <v>9130</v>
      </c>
      <c r="G32" s="108" t="s">
        <v>76</v>
      </c>
      <c r="H32" s="206">
        <f>SUM(H22:H30)</f>
        <v>8880</v>
      </c>
    </row>
    <row r="33" spans="2:8" ht="18" customHeight="1" thickBot="1" x14ac:dyDescent="0.25">
      <c r="B33" s="110" t="s">
        <v>94</v>
      </c>
      <c r="C33" s="436">
        <f>C15-C32</f>
        <v>138870</v>
      </c>
      <c r="G33" s="110" t="s">
        <v>94</v>
      </c>
      <c r="H33" s="436">
        <f>H15-H32</f>
        <v>139120</v>
      </c>
    </row>
    <row r="34" spans="2:8" ht="18" customHeight="1" x14ac:dyDescent="0.2">
      <c r="B34" s="341"/>
      <c r="C34" s="176"/>
      <c r="G34" s="341"/>
      <c r="H34" s="176"/>
    </row>
    <row r="35" spans="2:8" ht="18" customHeight="1" x14ac:dyDescent="0.2">
      <c r="B35" s="397" t="s">
        <v>95</v>
      </c>
      <c r="C35" s="398"/>
      <c r="G35" s="397" t="s">
        <v>95</v>
      </c>
      <c r="H35" s="398"/>
    </row>
    <row r="36" spans="2:8" ht="18" customHeight="1" x14ac:dyDescent="0.2">
      <c r="B36" s="399" t="s">
        <v>96</v>
      </c>
      <c r="C36" s="400"/>
      <c r="G36" s="399" t="s">
        <v>96</v>
      </c>
      <c r="H36" s="400"/>
    </row>
    <row r="37" spans="2:8" ht="18" customHeight="1" x14ac:dyDescent="0.2"/>
    <row r="38" spans="2:8" ht="18" customHeight="1" x14ac:dyDescent="0.2"/>
    <row r="39" spans="2:8" ht="18" customHeight="1" x14ac:dyDescent="0.2"/>
    <row r="40" spans="2:8" ht="18" customHeight="1" x14ac:dyDescent="0.2"/>
    <row r="41" spans="2:8" ht="18" customHeight="1" x14ac:dyDescent="0.2"/>
    <row r="42" spans="2:8" ht="18" customHeight="1" x14ac:dyDescent="0.2"/>
    <row r="43" spans="2:8" ht="18" customHeight="1" x14ac:dyDescent="0.2"/>
    <row r="44" spans="2:8" ht="18" customHeight="1" x14ac:dyDescent="0.2"/>
    <row r="45" spans="2:8" ht="18" customHeight="1" x14ac:dyDescent="0.2"/>
  </sheetData>
  <mergeCells count="2">
    <mergeCell ref="G2:H2"/>
    <mergeCell ref="B2: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61C49-3529-49A9-BDE3-E74C063EA973}">
  <dimension ref="A2:AS64"/>
  <sheetViews>
    <sheetView showGridLines="0" topLeftCell="A15" zoomScale="70" zoomScaleNormal="70" workbookViewId="0">
      <selection activeCell="S4" sqref="S4:AA4"/>
    </sheetView>
  </sheetViews>
  <sheetFormatPr baseColWidth="10" defaultColWidth="9.1640625" defaultRowHeight="15" x14ac:dyDescent="0.2"/>
  <cols>
    <col min="1" max="1" width="2.5" style="613" customWidth="1"/>
    <col min="2" max="2" width="41.5" style="613" customWidth="1"/>
    <col min="3" max="3" width="16.33203125" style="686" customWidth="1"/>
    <col min="4" max="4" width="6" style="686" customWidth="1"/>
    <col min="5" max="5" width="15.1640625" style="686" customWidth="1"/>
    <col min="6" max="6" width="2.5" style="613" customWidth="1"/>
    <col min="7" max="7" width="42.6640625" style="260" customWidth="1"/>
    <col min="8" max="8" width="20.83203125" style="260" customWidth="1"/>
    <col min="9" max="9" width="9" style="260" customWidth="1"/>
    <col min="10" max="10" width="15.5" style="260" customWidth="1"/>
    <col min="11" max="11" width="2.5" style="613" customWidth="1"/>
    <col min="12" max="12" width="42.6640625" style="260" customWidth="1"/>
    <col min="13" max="13" width="20.83203125" style="260" customWidth="1"/>
    <col min="14" max="14" width="9" style="260" customWidth="1"/>
    <col min="15" max="15" width="15.5" style="260" customWidth="1"/>
    <col min="16" max="16" width="2.5" style="613" customWidth="1"/>
    <col min="17" max="17" width="1.1640625" style="1175" customWidth="1"/>
    <col min="18" max="18" width="2.5" style="613" customWidth="1"/>
    <col min="19" max="19" width="46.6640625" style="613" customWidth="1"/>
    <col min="20" max="20" width="20.83203125" style="613" customWidth="1"/>
    <col min="21" max="21" width="6.1640625" style="613" customWidth="1"/>
    <col min="22" max="22" width="19.83203125" style="686" customWidth="1"/>
    <col min="23" max="23" width="2.5" style="613" customWidth="1"/>
    <col min="24" max="24" width="40.83203125" style="613" customWidth="1"/>
    <col min="25" max="25" width="20.83203125" style="613" customWidth="1"/>
    <col min="26" max="26" width="6.1640625" style="613" customWidth="1"/>
    <col min="27" max="27" width="19.83203125" style="686" customWidth="1"/>
    <col min="28" max="28" width="2.5" style="613" customWidth="1"/>
    <col min="29" max="29" width="1.1640625" style="1175" customWidth="1"/>
    <col min="30" max="30" width="2.5" style="613" customWidth="1"/>
    <col min="31" max="31" width="41.5" style="613" customWidth="1"/>
    <col min="32" max="32" width="16.33203125" style="686" customWidth="1"/>
    <col min="33" max="33" width="6" style="686" customWidth="1"/>
    <col min="34" max="34" width="15.1640625" style="686" customWidth="1"/>
    <col min="35" max="35" width="2.5" style="613" customWidth="1"/>
    <col min="36" max="36" width="41.5" style="613" customWidth="1"/>
    <col min="37" max="37" width="16.33203125" style="686" customWidth="1"/>
    <col min="38" max="38" width="6" style="686" customWidth="1"/>
    <col min="39" max="39" width="15.1640625" style="686" customWidth="1"/>
    <col min="40" max="40" width="2.5" style="613" customWidth="1"/>
    <col min="41" max="41" width="41.5" style="613" customWidth="1"/>
    <col min="42" max="42" width="16.33203125" style="686" customWidth="1"/>
    <col min="43" max="43" width="6" style="686" customWidth="1"/>
    <col min="44" max="44" width="15.1640625" style="686" customWidth="1"/>
    <col min="45" max="45" width="2.5" style="613" customWidth="1"/>
    <col min="46" max="16384" width="9.1640625" style="613"/>
  </cols>
  <sheetData>
    <row r="2" spans="1:45" ht="62.25" customHeight="1" x14ac:dyDescent="0.2">
      <c r="B2" s="1660" t="s">
        <v>818</v>
      </c>
      <c r="C2" s="1661"/>
      <c r="D2" s="1661"/>
      <c r="E2" s="1661"/>
      <c r="F2" s="1661"/>
      <c r="G2" s="1661"/>
      <c r="H2" s="1661"/>
      <c r="I2" s="1661"/>
      <c r="J2" s="1661"/>
      <c r="K2" s="1661"/>
      <c r="L2" s="1661"/>
      <c r="M2" s="1661"/>
      <c r="N2" s="1661"/>
      <c r="O2" s="1662"/>
      <c r="S2" s="1687" t="s">
        <v>847</v>
      </c>
      <c r="T2" s="1688"/>
      <c r="U2" s="1688"/>
      <c r="V2" s="1688"/>
      <c r="W2" s="1688"/>
      <c r="X2" s="1688"/>
      <c r="Y2" s="1688"/>
      <c r="Z2" s="1688"/>
      <c r="AA2" s="1689"/>
      <c r="AE2" s="1674" t="s">
        <v>834</v>
      </c>
      <c r="AF2" s="1675"/>
      <c r="AG2" s="1675"/>
      <c r="AH2" s="1675"/>
      <c r="AI2" s="1675"/>
      <c r="AJ2" s="1675"/>
      <c r="AK2" s="1675"/>
      <c r="AL2" s="1675"/>
      <c r="AM2" s="1675"/>
      <c r="AN2" s="1675"/>
      <c r="AO2" s="1675"/>
      <c r="AP2" s="1675"/>
      <c r="AQ2" s="1675"/>
      <c r="AR2" s="1676"/>
    </row>
    <row r="4" spans="1:45" s="535" customFormat="1" ht="26" x14ac:dyDescent="0.2">
      <c r="B4" s="1686" t="s">
        <v>922</v>
      </c>
      <c r="C4" s="1686"/>
      <c r="D4" s="1686"/>
      <c r="E4" s="1686"/>
      <c r="F4" s="1686"/>
      <c r="G4" s="1686"/>
      <c r="H4" s="1686"/>
      <c r="I4" s="1686"/>
      <c r="J4" s="1686"/>
      <c r="Q4" s="1176"/>
      <c r="S4" s="1686" t="s">
        <v>922</v>
      </c>
      <c r="T4" s="1686"/>
      <c r="U4" s="1686"/>
      <c r="V4" s="1686"/>
      <c r="W4" s="1686"/>
      <c r="X4" s="1686"/>
      <c r="Y4" s="1686"/>
      <c r="Z4" s="1686"/>
      <c r="AA4" s="1686"/>
      <c r="AC4" s="1176"/>
      <c r="AE4" s="1686" t="s">
        <v>922</v>
      </c>
      <c r="AF4" s="1686"/>
      <c r="AG4" s="1686"/>
      <c r="AH4" s="1686"/>
      <c r="AI4" s="1686"/>
      <c r="AJ4" s="1686"/>
      <c r="AK4" s="1686"/>
      <c r="AL4" s="1686"/>
      <c r="AM4" s="1686"/>
    </row>
    <row r="5" spans="1:45" s="535" customFormat="1" ht="21" x14ac:dyDescent="0.2">
      <c r="B5" s="1106"/>
      <c r="C5" s="1106"/>
      <c r="D5" s="1106"/>
      <c r="E5" s="1106"/>
      <c r="F5" s="1174"/>
      <c r="Q5" s="1176"/>
      <c r="AC5" s="1176"/>
    </row>
    <row r="6" spans="1:45" ht="18.75" customHeight="1" x14ac:dyDescent="0.2">
      <c r="B6" s="1619" t="s">
        <v>779</v>
      </c>
      <c r="C6" s="1620"/>
      <c r="D6" s="1620"/>
      <c r="E6" s="1621"/>
      <c r="G6" s="1634" t="s">
        <v>830</v>
      </c>
      <c r="H6" s="1635"/>
      <c r="I6" s="1635"/>
      <c r="J6" s="1636"/>
      <c r="L6" s="1651" t="s">
        <v>813</v>
      </c>
      <c r="M6" s="1652"/>
      <c r="N6" s="1652"/>
      <c r="O6" s="1653"/>
      <c r="S6" s="1542" t="s">
        <v>774</v>
      </c>
      <c r="T6" s="1543"/>
      <c r="U6" s="1543"/>
      <c r="V6" s="1544"/>
      <c r="X6" s="1671" t="s">
        <v>842</v>
      </c>
      <c r="Y6" s="1672"/>
      <c r="Z6" s="1672"/>
      <c r="AA6" s="1673"/>
      <c r="AE6" s="1663" t="s">
        <v>775</v>
      </c>
      <c r="AF6" s="1664"/>
      <c r="AG6" s="1664"/>
      <c r="AH6" s="1665"/>
      <c r="AJ6" s="1677" t="s">
        <v>829</v>
      </c>
      <c r="AK6" s="1678"/>
      <c r="AL6" s="1678"/>
      <c r="AM6" s="1679"/>
      <c r="AO6" s="1681" t="s">
        <v>833</v>
      </c>
      <c r="AP6" s="1682"/>
      <c r="AQ6" s="1682"/>
      <c r="AR6" s="1683"/>
    </row>
    <row r="7" spans="1:45" s="1023" customFormat="1" ht="18.75" customHeight="1" thickBot="1" x14ac:dyDescent="0.25">
      <c r="B7" s="1017" t="s">
        <v>15</v>
      </c>
      <c r="C7" s="1680">
        <f ca="1">TODAY()</f>
        <v>43713</v>
      </c>
      <c r="D7" s="1680"/>
      <c r="E7" s="1680"/>
      <c r="G7" s="396" t="s">
        <v>15</v>
      </c>
      <c r="H7" s="1024">
        <f ca="1">TODAY()</f>
        <v>43713</v>
      </c>
      <c r="I7" s="1024"/>
      <c r="J7" s="1024"/>
      <c r="L7" s="396" t="s">
        <v>15</v>
      </c>
      <c r="M7" s="1024">
        <f ca="1">TODAY()</f>
        <v>43713</v>
      </c>
      <c r="N7" s="1024"/>
      <c r="O7" s="1024"/>
      <c r="Q7" s="1177"/>
      <c r="S7" s="1026" t="s">
        <v>15</v>
      </c>
      <c r="T7" s="1027">
        <f ca="1">TODAY()</f>
        <v>43713</v>
      </c>
      <c r="U7" s="1027"/>
      <c r="V7" s="1027"/>
      <c r="X7" s="1026" t="s">
        <v>15</v>
      </c>
      <c r="Y7" s="1027">
        <f ca="1">TODAY()</f>
        <v>43713</v>
      </c>
      <c r="Z7" s="1027"/>
      <c r="AA7" s="1027"/>
      <c r="AC7" s="1177"/>
      <c r="AE7" s="1017" t="s">
        <v>15</v>
      </c>
      <c r="AF7" s="1680">
        <f ca="1">TODAY()</f>
        <v>43713</v>
      </c>
      <c r="AG7" s="1680"/>
      <c r="AH7" s="1680"/>
      <c r="AJ7" s="1017" t="s">
        <v>15</v>
      </c>
      <c r="AK7" s="1680">
        <f ca="1">TODAY()</f>
        <v>43713</v>
      </c>
      <c r="AL7" s="1680"/>
      <c r="AM7" s="1680"/>
      <c r="AO7" s="1017" t="s">
        <v>15</v>
      </c>
      <c r="AP7" s="1680">
        <f ca="1">TODAY()</f>
        <v>43713</v>
      </c>
      <c r="AQ7" s="1680"/>
      <c r="AR7" s="1680"/>
    </row>
    <row r="8" spans="1:45" s="260" customFormat="1" ht="18.75" customHeight="1" x14ac:dyDescent="0.2">
      <c r="A8" s="613"/>
      <c r="B8" s="154" t="s">
        <v>24</v>
      </c>
      <c r="C8" s="1624" t="s">
        <v>766</v>
      </c>
      <c r="D8" s="1624"/>
      <c r="E8" s="1625"/>
      <c r="G8" s="154" t="s">
        <v>24</v>
      </c>
      <c r="H8" s="1624" t="s">
        <v>983</v>
      </c>
      <c r="I8" s="1624"/>
      <c r="J8" s="1625"/>
      <c r="L8" s="154" t="s">
        <v>24</v>
      </c>
      <c r="M8" s="1553" t="s">
        <v>766</v>
      </c>
      <c r="N8" s="1553"/>
      <c r="O8" s="1554"/>
      <c r="P8" s="613"/>
      <c r="Q8" s="1178"/>
      <c r="R8" s="613"/>
      <c r="S8" s="154" t="s">
        <v>24</v>
      </c>
      <c r="T8" s="1553" t="s">
        <v>1019</v>
      </c>
      <c r="U8" s="1553"/>
      <c r="V8" s="1554"/>
      <c r="W8" s="613"/>
      <c r="X8" s="154" t="s">
        <v>24</v>
      </c>
      <c r="Y8" s="1553" t="s">
        <v>766</v>
      </c>
      <c r="Z8" s="1553"/>
      <c r="AA8" s="1554"/>
      <c r="AC8" s="1178"/>
      <c r="AD8" s="613"/>
      <c r="AE8" s="154" t="s">
        <v>24</v>
      </c>
      <c r="AF8" s="1553" t="s">
        <v>766</v>
      </c>
      <c r="AG8" s="1553"/>
      <c r="AH8" s="1554"/>
      <c r="AI8" s="613"/>
      <c r="AJ8" s="154" t="s">
        <v>24</v>
      </c>
      <c r="AK8" s="1553" t="s">
        <v>766</v>
      </c>
      <c r="AL8" s="1553"/>
      <c r="AM8" s="1554"/>
      <c r="AN8" s="613"/>
      <c r="AO8" s="154" t="s">
        <v>24</v>
      </c>
      <c r="AP8" s="1553" t="s">
        <v>766</v>
      </c>
      <c r="AQ8" s="1553"/>
      <c r="AR8" s="1554"/>
      <c r="AS8" s="613"/>
    </row>
    <row r="9" spans="1:45" s="260" customFormat="1" ht="18.75" customHeight="1" x14ac:dyDescent="0.2">
      <c r="B9" s="303" t="s">
        <v>250</v>
      </c>
      <c r="C9" s="1622" t="s">
        <v>780</v>
      </c>
      <c r="D9" s="1622"/>
      <c r="E9" s="1623"/>
      <c r="G9" s="303" t="s">
        <v>250</v>
      </c>
      <c r="H9" s="1622" t="s">
        <v>984</v>
      </c>
      <c r="I9" s="1622"/>
      <c r="J9" s="1623"/>
      <c r="L9" s="303" t="s">
        <v>250</v>
      </c>
      <c r="M9" s="1555" t="s">
        <v>780</v>
      </c>
      <c r="N9" s="1555"/>
      <c r="O9" s="1556"/>
      <c r="Q9" s="1178"/>
      <c r="S9" s="303" t="s">
        <v>250</v>
      </c>
      <c r="T9" s="1555" t="s">
        <v>1002</v>
      </c>
      <c r="U9" s="1555"/>
      <c r="V9" s="1556"/>
      <c r="X9" s="303" t="s">
        <v>250</v>
      </c>
      <c r="Y9" s="1555" t="s">
        <v>780</v>
      </c>
      <c r="Z9" s="1555"/>
      <c r="AA9" s="1556"/>
      <c r="AC9" s="1178"/>
      <c r="AE9" s="303" t="s">
        <v>250</v>
      </c>
      <c r="AF9" s="1555" t="s">
        <v>780</v>
      </c>
      <c r="AG9" s="1555"/>
      <c r="AH9" s="1556"/>
      <c r="AJ9" s="303" t="s">
        <v>250</v>
      </c>
      <c r="AK9" s="1555" t="s">
        <v>780</v>
      </c>
      <c r="AL9" s="1555"/>
      <c r="AM9" s="1556"/>
      <c r="AO9" s="303" t="s">
        <v>250</v>
      </c>
      <c r="AP9" s="1555" t="s">
        <v>780</v>
      </c>
      <c r="AQ9" s="1555"/>
      <c r="AR9" s="1556"/>
    </row>
    <row r="10" spans="1:45" s="260" customFormat="1" ht="18.75" customHeight="1" x14ac:dyDescent="0.2">
      <c r="A10" s="613"/>
      <c r="B10" s="303" t="s">
        <v>25</v>
      </c>
      <c r="C10" s="1622" t="s">
        <v>781</v>
      </c>
      <c r="D10" s="1622"/>
      <c r="E10" s="1623"/>
      <c r="G10" s="303" t="s">
        <v>25</v>
      </c>
      <c r="H10" s="1622" t="s">
        <v>985</v>
      </c>
      <c r="I10" s="1622"/>
      <c r="J10" s="1623"/>
      <c r="L10" s="303" t="s">
        <v>25</v>
      </c>
      <c r="M10" s="1555" t="s">
        <v>781</v>
      </c>
      <c r="N10" s="1555"/>
      <c r="O10" s="1556"/>
      <c r="P10" s="613"/>
      <c r="Q10" s="1178"/>
      <c r="R10" s="613"/>
      <c r="S10" s="303" t="s">
        <v>25</v>
      </c>
      <c r="T10" s="1555" t="s">
        <v>1003</v>
      </c>
      <c r="U10" s="1555"/>
      <c r="V10" s="1556"/>
      <c r="W10" s="613"/>
      <c r="X10" s="303" t="s">
        <v>25</v>
      </c>
      <c r="Y10" s="1555" t="s">
        <v>781</v>
      </c>
      <c r="Z10" s="1555"/>
      <c r="AA10" s="1556"/>
      <c r="AC10" s="1178"/>
      <c r="AD10" s="613"/>
      <c r="AE10" s="303" t="s">
        <v>25</v>
      </c>
      <c r="AF10" s="1555" t="s">
        <v>781</v>
      </c>
      <c r="AG10" s="1555"/>
      <c r="AH10" s="1556"/>
      <c r="AI10" s="613"/>
      <c r="AJ10" s="303" t="s">
        <v>25</v>
      </c>
      <c r="AK10" s="1555" t="s">
        <v>781</v>
      </c>
      <c r="AL10" s="1555"/>
      <c r="AM10" s="1556"/>
      <c r="AN10" s="613"/>
      <c r="AO10" s="303" t="s">
        <v>25</v>
      </c>
      <c r="AP10" s="1555" t="s">
        <v>781</v>
      </c>
      <c r="AQ10" s="1555"/>
      <c r="AR10" s="1556"/>
      <c r="AS10" s="613"/>
    </row>
    <row r="11" spans="1:45" s="260" customFormat="1" ht="18.75" customHeight="1" x14ac:dyDescent="0.2">
      <c r="A11" s="613"/>
      <c r="B11" s="303" t="s">
        <v>824</v>
      </c>
      <c r="C11" s="1557" t="s">
        <v>823</v>
      </c>
      <c r="D11" s="1557"/>
      <c r="E11" s="1558"/>
      <c r="G11" s="303" t="s">
        <v>824</v>
      </c>
      <c r="H11" s="1557" t="s">
        <v>869</v>
      </c>
      <c r="I11" s="1557"/>
      <c r="J11" s="1558"/>
      <c r="L11" s="303" t="s">
        <v>824</v>
      </c>
      <c r="M11" s="1557" t="s">
        <v>823</v>
      </c>
      <c r="N11" s="1557"/>
      <c r="O11" s="1558"/>
      <c r="P11" s="613"/>
      <c r="Q11" s="1178"/>
      <c r="R11" s="613"/>
      <c r="S11" s="303" t="s">
        <v>824</v>
      </c>
      <c r="T11" s="1557" t="s">
        <v>1024</v>
      </c>
      <c r="U11" s="1557"/>
      <c r="V11" s="1558"/>
      <c r="W11" s="613"/>
      <c r="X11" s="303" t="s">
        <v>824</v>
      </c>
      <c r="Y11" s="1557" t="s">
        <v>823</v>
      </c>
      <c r="Z11" s="1557"/>
      <c r="AA11" s="1558"/>
      <c r="AC11" s="1178"/>
      <c r="AD11" s="613"/>
      <c r="AE11" s="303" t="s">
        <v>824</v>
      </c>
      <c r="AF11" s="1557" t="s">
        <v>823</v>
      </c>
      <c r="AG11" s="1557"/>
      <c r="AH11" s="1558"/>
      <c r="AI11" s="613"/>
      <c r="AJ11" s="303" t="s">
        <v>824</v>
      </c>
      <c r="AK11" s="1557" t="s">
        <v>823</v>
      </c>
      <c r="AL11" s="1557"/>
      <c r="AM11" s="1558"/>
      <c r="AN11" s="613"/>
      <c r="AO11" s="303" t="s">
        <v>824</v>
      </c>
      <c r="AP11" s="1557" t="s">
        <v>823</v>
      </c>
      <c r="AQ11" s="1557"/>
      <c r="AR11" s="1558"/>
      <c r="AS11" s="613"/>
    </row>
    <row r="12" spans="1:45" s="260" customFormat="1" ht="18.75" customHeight="1" x14ac:dyDescent="0.2">
      <c r="B12" s="893" t="s">
        <v>764</v>
      </c>
      <c r="C12" s="1559">
        <v>700</v>
      </c>
      <c r="D12" s="1559"/>
      <c r="E12" s="1560"/>
      <c r="G12" s="893" t="s">
        <v>764</v>
      </c>
      <c r="H12" s="1559">
        <v>632</v>
      </c>
      <c r="I12" s="1559"/>
      <c r="J12" s="1560"/>
      <c r="L12" s="893" t="s">
        <v>764</v>
      </c>
      <c r="M12" s="1559">
        <v>700</v>
      </c>
      <c r="N12" s="1559"/>
      <c r="O12" s="1560"/>
      <c r="Q12" s="1178"/>
      <c r="S12" s="893" t="s">
        <v>764</v>
      </c>
      <c r="T12" s="1559">
        <v>680</v>
      </c>
      <c r="U12" s="1559"/>
      <c r="V12" s="1560"/>
      <c r="X12" s="893" t="s">
        <v>764</v>
      </c>
      <c r="Y12" s="1559">
        <v>700</v>
      </c>
      <c r="Z12" s="1559"/>
      <c r="AA12" s="1560"/>
      <c r="AC12" s="1178"/>
      <c r="AE12" s="893" t="s">
        <v>764</v>
      </c>
      <c r="AF12" s="1559">
        <v>700</v>
      </c>
      <c r="AG12" s="1559"/>
      <c r="AH12" s="1560"/>
      <c r="AJ12" s="893" t="s">
        <v>764</v>
      </c>
      <c r="AK12" s="1559">
        <v>700</v>
      </c>
      <c r="AL12" s="1559"/>
      <c r="AM12" s="1560"/>
      <c r="AO12" s="893" t="s">
        <v>764</v>
      </c>
      <c r="AP12" s="1559">
        <v>700</v>
      </c>
      <c r="AQ12" s="1559"/>
      <c r="AR12" s="1560"/>
    </row>
    <row r="13" spans="1:45" s="260" customFormat="1" ht="18.75" customHeight="1" thickBot="1" x14ac:dyDescent="0.25">
      <c r="A13" s="613"/>
      <c r="B13" s="888" t="s">
        <v>822</v>
      </c>
      <c r="C13" s="1180" t="s">
        <v>315</v>
      </c>
      <c r="D13" s="1180"/>
      <c r="E13" s="1181"/>
      <c r="G13" s="888" t="s">
        <v>822</v>
      </c>
      <c r="H13" s="1180" t="s">
        <v>315</v>
      </c>
      <c r="I13" s="1180"/>
      <c r="J13" s="1181"/>
      <c r="L13" s="888" t="s">
        <v>822</v>
      </c>
      <c r="M13" s="1180" t="s">
        <v>315</v>
      </c>
      <c r="N13" s="1180"/>
      <c r="O13" s="1181"/>
      <c r="P13" s="613"/>
      <c r="Q13" s="1178"/>
      <c r="R13" s="613"/>
      <c r="S13" s="888" t="s">
        <v>822</v>
      </c>
      <c r="T13" s="1180" t="s">
        <v>521</v>
      </c>
      <c r="U13" s="1180"/>
      <c r="V13" s="1181"/>
      <c r="W13" s="613"/>
      <c r="X13" s="888" t="s">
        <v>822</v>
      </c>
      <c r="Y13" s="1180" t="s">
        <v>315</v>
      </c>
      <c r="Z13" s="1180"/>
      <c r="AA13" s="1181"/>
      <c r="AC13" s="1178"/>
      <c r="AD13" s="613"/>
      <c r="AE13" s="888" t="s">
        <v>822</v>
      </c>
      <c r="AF13" s="1180" t="s">
        <v>315</v>
      </c>
      <c r="AG13" s="1180"/>
      <c r="AH13" s="1181"/>
      <c r="AI13" s="613"/>
      <c r="AJ13" s="888" t="s">
        <v>822</v>
      </c>
      <c r="AK13" s="1180" t="s">
        <v>315</v>
      </c>
      <c r="AL13" s="1180"/>
      <c r="AM13" s="1181"/>
      <c r="AN13" s="613"/>
      <c r="AO13" s="888" t="s">
        <v>822</v>
      </c>
      <c r="AP13" s="1180" t="s">
        <v>315</v>
      </c>
      <c r="AQ13" s="1180"/>
      <c r="AR13" s="1181"/>
      <c r="AS13" s="613"/>
    </row>
    <row r="14" spans="1:45" s="1047" customFormat="1" ht="18.75" customHeight="1" thickBot="1" x14ac:dyDescent="0.25">
      <c r="A14" s="1023"/>
      <c r="B14" s="1045" t="s">
        <v>172</v>
      </c>
      <c r="C14" s="1046"/>
      <c r="D14" s="1046"/>
      <c r="E14" s="1046"/>
      <c r="G14" s="1045" t="s">
        <v>168</v>
      </c>
      <c r="H14" s="1048"/>
      <c r="I14" s="1048"/>
      <c r="J14" s="1048"/>
      <c r="L14" s="1045" t="s">
        <v>168</v>
      </c>
      <c r="M14" s="1048"/>
      <c r="N14" s="1048"/>
      <c r="O14" s="1048"/>
      <c r="P14" s="1023"/>
      <c r="Q14" s="1179"/>
      <c r="R14" s="1023"/>
      <c r="S14" s="1045" t="s">
        <v>172</v>
      </c>
      <c r="T14" s="1046"/>
      <c r="U14" s="1046"/>
      <c r="V14" s="1046"/>
      <c r="W14" s="1023"/>
      <c r="X14" s="1045" t="s">
        <v>172</v>
      </c>
      <c r="Y14" s="1046"/>
      <c r="Z14" s="1046"/>
      <c r="AA14" s="1046"/>
      <c r="AC14" s="1179"/>
      <c r="AD14" s="1023"/>
      <c r="AE14" s="1045" t="s">
        <v>172</v>
      </c>
      <c r="AF14" s="1046"/>
      <c r="AG14" s="1046"/>
      <c r="AH14" s="1046"/>
      <c r="AI14" s="1023"/>
      <c r="AJ14" s="1045" t="s">
        <v>172</v>
      </c>
      <c r="AK14" s="1046"/>
      <c r="AL14" s="1046"/>
      <c r="AM14" s="1046"/>
      <c r="AN14" s="1023"/>
      <c r="AO14" s="1045" t="s">
        <v>172</v>
      </c>
      <c r="AP14" s="1046"/>
      <c r="AQ14" s="1046"/>
      <c r="AR14" s="1046"/>
      <c r="AS14" s="1023"/>
    </row>
    <row r="15" spans="1:45" s="260" customFormat="1" ht="18.75" customHeight="1" x14ac:dyDescent="0.2">
      <c r="B15" s="957" t="s">
        <v>291</v>
      </c>
      <c r="C15" s="1194">
        <v>137000</v>
      </c>
      <c r="D15" s="928"/>
      <c r="E15" s="929"/>
      <c r="G15" s="178" t="s">
        <v>46</v>
      </c>
      <c r="H15" s="1003">
        <v>140000</v>
      </c>
      <c r="I15" s="984"/>
      <c r="J15" s="985"/>
      <c r="L15" s="178" t="s">
        <v>46</v>
      </c>
      <c r="M15" s="1003">
        <v>300000</v>
      </c>
      <c r="N15" s="984"/>
      <c r="O15" s="985"/>
      <c r="Q15" s="1178"/>
      <c r="S15" s="178" t="s">
        <v>48</v>
      </c>
      <c r="T15" s="1002">
        <v>317000</v>
      </c>
      <c r="U15" s="928"/>
      <c r="V15" s="929"/>
      <c r="X15" s="79" t="s">
        <v>82</v>
      </c>
      <c r="Y15" s="1700">
        <v>105000</v>
      </c>
      <c r="Z15" s="1700"/>
      <c r="AA15" s="1701"/>
      <c r="AC15" s="1178"/>
      <c r="AE15" s="958" t="s">
        <v>291</v>
      </c>
      <c r="AF15" s="1021">
        <v>137000</v>
      </c>
      <c r="AG15" s="953"/>
      <c r="AH15" s="954"/>
      <c r="AJ15" s="957" t="s">
        <v>82</v>
      </c>
      <c r="AK15" s="1002">
        <v>137000</v>
      </c>
      <c r="AL15" s="928"/>
      <c r="AM15" s="929"/>
      <c r="AO15" s="957" t="s">
        <v>82</v>
      </c>
      <c r="AP15" s="1002">
        <v>137000</v>
      </c>
      <c r="AQ15" s="928"/>
      <c r="AR15" s="929"/>
    </row>
    <row r="16" spans="1:45" s="260" customFormat="1" ht="18.75" customHeight="1" x14ac:dyDescent="0.2">
      <c r="A16" s="613"/>
      <c r="B16" s="971" t="s">
        <v>181</v>
      </c>
      <c r="C16" s="997">
        <f>C15*E16</f>
        <v>102750</v>
      </c>
      <c r="D16" s="924" t="s">
        <v>3</v>
      </c>
      <c r="E16" s="998">
        <v>0.75</v>
      </c>
      <c r="G16" s="76" t="s">
        <v>832</v>
      </c>
      <c r="H16" s="1191">
        <v>79000</v>
      </c>
      <c r="I16" s="1185"/>
      <c r="J16" s="1186"/>
      <c r="L16" s="76" t="s">
        <v>832</v>
      </c>
      <c r="M16" s="1191">
        <v>50000</v>
      </c>
      <c r="N16" s="1185"/>
      <c r="O16" s="1186"/>
      <c r="P16" s="613"/>
      <c r="Q16" s="1178"/>
      <c r="R16" s="613"/>
      <c r="S16" s="76" t="s">
        <v>34</v>
      </c>
      <c r="T16" s="1035">
        <v>50000</v>
      </c>
      <c r="U16" s="653"/>
      <c r="V16" s="524"/>
      <c r="W16" s="613"/>
      <c r="X16" s="91" t="s">
        <v>832</v>
      </c>
      <c r="Y16" s="1696">
        <v>65000</v>
      </c>
      <c r="Z16" s="1696"/>
      <c r="AA16" s="1697"/>
      <c r="AC16" s="1178"/>
      <c r="AD16" s="613"/>
      <c r="AE16" s="970" t="s">
        <v>181</v>
      </c>
      <c r="AF16" s="725">
        <f>AH16*AF15</f>
        <v>102750</v>
      </c>
      <c r="AG16" s="968" t="s">
        <v>3</v>
      </c>
      <c r="AH16" s="993">
        <v>0.75</v>
      </c>
      <c r="AI16" s="613"/>
      <c r="AJ16" s="948" t="s">
        <v>832</v>
      </c>
      <c r="AK16" s="1031">
        <v>50000</v>
      </c>
      <c r="AL16" s="949"/>
      <c r="AM16" s="950"/>
      <c r="AN16" s="613"/>
      <c r="AO16" s="948" t="s">
        <v>832</v>
      </c>
      <c r="AP16" s="1031">
        <v>50000</v>
      </c>
      <c r="AQ16" s="949"/>
      <c r="AR16" s="950"/>
      <c r="AS16" s="613"/>
    </row>
    <row r="17" spans="1:45" s="260" customFormat="1" ht="18.75" customHeight="1" x14ac:dyDescent="0.2">
      <c r="A17" s="613"/>
      <c r="B17" s="970" t="s">
        <v>800</v>
      </c>
      <c r="C17" s="1626">
        <v>5.5E-2</v>
      </c>
      <c r="D17" s="1626"/>
      <c r="E17" s="1627"/>
      <c r="G17" s="970" t="s">
        <v>181</v>
      </c>
      <c r="H17" s="774">
        <f>H15*J17</f>
        <v>84000</v>
      </c>
      <c r="I17" s="968" t="s">
        <v>3</v>
      </c>
      <c r="J17" s="993">
        <v>0.6</v>
      </c>
      <c r="L17" s="970" t="s">
        <v>181</v>
      </c>
      <c r="M17" s="774">
        <f>M15*O17</f>
        <v>225000</v>
      </c>
      <c r="N17" s="968" t="s">
        <v>3</v>
      </c>
      <c r="O17" s="993">
        <v>0.75</v>
      </c>
      <c r="P17" s="613"/>
      <c r="Q17" s="1178"/>
      <c r="R17" s="613"/>
      <c r="S17" s="91" t="s">
        <v>82</v>
      </c>
      <c r="T17" s="1009">
        <v>350000</v>
      </c>
      <c r="U17" s="966"/>
      <c r="V17" s="967"/>
      <c r="W17" s="613"/>
      <c r="X17" s="76" t="s">
        <v>34</v>
      </c>
      <c r="Y17" s="1698">
        <v>145760</v>
      </c>
      <c r="Z17" s="1698"/>
      <c r="AA17" s="1699"/>
      <c r="AC17" s="1178"/>
      <c r="AD17" s="613"/>
      <c r="AE17" s="971" t="s">
        <v>800</v>
      </c>
      <c r="AF17" s="1029">
        <v>6.5000000000000002E-2</v>
      </c>
      <c r="AG17" s="1029"/>
      <c r="AH17" s="1030"/>
      <c r="AI17" s="613"/>
      <c r="AJ17" s="970" t="s">
        <v>181</v>
      </c>
      <c r="AK17" s="725">
        <f>AM17*AK15</f>
        <v>102750</v>
      </c>
      <c r="AL17" s="968" t="s">
        <v>3</v>
      </c>
      <c r="AM17" s="993">
        <v>0.75</v>
      </c>
      <c r="AN17" s="613"/>
      <c r="AO17" s="970" t="s">
        <v>181</v>
      </c>
      <c r="AP17" s="725">
        <f>AR17*AP15</f>
        <v>102750</v>
      </c>
      <c r="AQ17" s="968" t="s">
        <v>3</v>
      </c>
      <c r="AR17" s="993">
        <v>0.75</v>
      </c>
      <c r="AS17" s="613"/>
    </row>
    <row r="18" spans="1:45" s="260" customFormat="1" ht="18.75" customHeight="1" x14ac:dyDescent="0.2">
      <c r="A18" s="613"/>
      <c r="B18" s="971" t="s">
        <v>799</v>
      </c>
      <c r="C18" s="1195">
        <v>30</v>
      </c>
      <c r="D18" s="1575" t="s">
        <v>746</v>
      </c>
      <c r="E18" s="1576"/>
      <c r="G18" s="971" t="s">
        <v>800</v>
      </c>
      <c r="H18" s="1630">
        <v>6.1249999999999999E-2</v>
      </c>
      <c r="I18" s="1630"/>
      <c r="J18" s="1631"/>
      <c r="L18" s="971" t="s">
        <v>800</v>
      </c>
      <c r="M18" s="1630">
        <v>5.5E-2</v>
      </c>
      <c r="N18" s="1630"/>
      <c r="O18" s="1631"/>
      <c r="P18" s="613"/>
      <c r="Q18" s="1178"/>
      <c r="R18" s="613"/>
      <c r="S18" s="713" t="s">
        <v>265</v>
      </c>
      <c r="T18" s="1036">
        <v>450000</v>
      </c>
      <c r="U18" s="714"/>
      <c r="V18" s="715"/>
      <c r="W18" s="613"/>
      <c r="X18" s="91" t="s">
        <v>82</v>
      </c>
      <c r="Y18" s="1696">
        <v>105000</v>
      </c>
      <c r="Z18" s="1696"/>
      <c r="AA18" s="1697"/>
      <c r="AC18" s="1178"/>
      <c r="AD18" s="613"/>
      <c r="AE18" s="970" t="s">
        <v>828</v>
      </c>
      <c r="AF18" s="565">
        <v>12</v>
      </c>
      <c r="AG18" s="1632" t="s">
        <v>827</v>
      </c>
      <c r="AH18" s="1633"/>
      <c r="AI18" s="613"/>
      <c r="AJ18" s="971" t="s">
        <v>800</v>
      </c>
      <c r="AK18" s="1029">
        <v>6.5000000000000002E-2</v>
      </c>
      <c r="AL18" s="1029"/>
      <c r="AM18" s="1030"/>
      <c r="AN18" s="613"/>
      <c r="AO18" s="971" t="s">
        <v>800</v>
      </c>
      <c r="AP18" s="1029">
        <v>6.5000000000000002E-2</v>
      </c>
      <c r="AQ18" s="1029"/>
      <c r="AR18" s="1030"/>
      <c r="AS18" s="613"/>
    </row>
    <row r="19" spans="1:45" s="260" customFormat="1" ht="18.75" customHeight="1" x14ac:dyDescent="0.2">
      <c r="A19" s="613"/>
      <c r="B19" s="970" t="s">
        <v>798</v>
      </c>
      <c r="C19" s="1628">
        <v>12</v>
      </c>
      <c r="D19" s="1628"/>
      <c r="E19" s="1629"/>
      <c r="G19" s="970" t="s">
        <v>799</v>
      </c>
      <c r="H19" s="1193">
        <v>30</v>
      </c>
      <c r="I19" s="1632" t="s">
        <v>746</v>
      </c>
      <c r="J19" s="1633"/>
      <c r="L19" s="970" t="s">
        <v>799</v>
      </c>
      <c r="M19" s="1193">
        <v>30</v>
      </c>
      <c r="N19" s="1632" t="s">
        <v>746</v>
      </c>
      <c r="O19" s="1633"/>
      <c r="P19" s="613"/>
      <c r="Q19" s="1178"/>
      <c r="R19" s="613"/>
      <c r="S19" s="91" t="s">
        <v>73</v>
      </c>
      <c r="T19" s="1033">
        <f>V19*T15</f>
        <v>221900</v>
      </c>
      <c r="U19" s="908" t="s">
        <v>3</v>
      </c>
      <c r="V19" s="989">
        <v>0.7</v>
      </c>
      <c r="W19" s="613"/>
      <c r="X19" s="713" t="s">
        <v>265</v>
      </c>
      <c r="Y19" s="1694">
        <v>335000</v>
      </c>
      <c r="Z19" s="1694"/>
      <c r="AA19" s="1695"/>
      <c r="AC19" s="1178"/>
      <c r="AD19" s="613"/>
      <c r="AE19" s="971" t="s">
        <v>6</v>
      </c>
      <c r="AF19" s="982">
        <f>AF16*AF17/12</f>
        <v>556.5625</v>
      </c>
      <c r="AG19" s="883"/>
      <c r="AH19" s="741"/>
      <c r="AI19" s="613"/>
      <c r="AJ19" s="970" t="s">
        <v>828</v>
      </c>
      <c r="AK19" s="565">
        <v>12</v>
      </c>
      <c r="AL19" s="1632" t="s">
        <v>827</v>
      </c>
      <c r="AM19" s="1633"/>
      <c r="AN19" s="613"/>
      <c r="AO19" s="970" t="s">
        <v>828</v>
      </c>
      <c r="AP19" s="565">
        <v>12</v>
      </c>
      <c r="AQ19" s="1632" t="s">
        <v>827</v>
      </c>
      <c r="AR19" s="1633"/>
      <c r="AS19" s="613"/>
    </row>
    <row r="20" spans="1:45" s="260" customFormat="1" ht="18.75" customHeight="1" x14ac:dyDescent="0.2">
      <c r="A20" s="613"/>
      <c r="B20" s="971" t="s">
        <v>801</v>
      </c>
      <c r="C20" s="1611">
        <f>C18*C19</f>
        <v>360</v>
      </c>
      <c r="D20" s="1611"/>
      <c r="E20" s="1612"/>
      <c r="G20" s="951" t="s">
        <v>53</v>
      </c>
      <c r="H20" s="1637" t="s">
        <v>295</v>
      </c>
      <c r="I20" s="1637"/>
      <c r="J20" s="1638"/>
      <c r="L20" s="951" t="s">
        <v>53</v>
      </c>
      <c r="M20" s="1637" t="s">
        <v>295</v>
      </c>
      <c r="N20" s="1637"/>
      <c r="O20" s="1638"/>
      <c r="P20" s="613"/>
      <c r="Q20" s="1178"/>
      <c r="R20" s="613"/>
      <c r="S20" s="76" t="s">
        <v>75</v>
      </c>
      <c r="T20" s="1034">
        <f>V20*T16</f>
        <v>50000</v>
      </c>
      <c r="U20" s="909" t="s">
        <v>776</v>
      </c>
      <c r="V20" s="990">
        <v>1</v>
      </c>
      <c r="W20" s="613"/>
      <c r="X20" s="91" t="s">
        <v>371</v>
      </c>
      <c r="Y20" s="1033">
        <f>AA20*Y15</f>
        <v>89250</v>
      </c>
      <c r="Z20" s="908" t="s">
        <v>3</v>
      </c>
      <c r="AA20" s="989">
        <v>0.85</v>
      </c>
      <c r="AC20" s="1178"/>
      <c r="AD20" s="613"/>
      <c r="AE20" s="970" t="s">
        <v>839</v>
      </c>
      <c r="AF20" s="959">
        <f>AF19*AF18</f>
        <v>6678.75</v>
      </c>
      <c r="AG20" s="560"/>
      <c r="AH20" s="562"/>
      <c r="AI20" s="613"/>
      <c r="AJ20" s="971" t="s">
        <v>6</v>
      </c>
      <c r="AK20" s="982">
        <f>AK17*AK18/12</f>
        <v>556.5625</v>
      </c>
      <c r="AL20" s="883"/>
      <c r="AM20" s="741"/>
      <c r="AN20" s="613"/>
      <c r="AO20" s="971" t="s">
        <v>6</v>
      </c>
      <c r="AP20" s="982">
        <f>AP17*AP18/12</f>
        <v>556.5625</v>
      </c>
      <c r="AQ20" s="883"/>
      <c r="AR20" s="741"/>
      <c r="AS20" s="613"/>
    </row>
    <row r="21" spans="1:45" s="260" customFormat="1" ht="18.75" customHeight="1" x14ac:dyDescent="0.2">
      <c r="A21" s="613"/>
      <c r="B21" s="970" t="s">
        <v>806</v>
      </c>
      <c r="C21" s="1643">
        <f>-PMT(C17/C19,C20,C16,0)</f>
        <v>583.40319888404542</v>
      </c>
      <c r="D21" s="1643"/>
      <c r="E21" s="1644"/>
      <c r="G21" s="970" t="s">
        <v>798</v>
      </c>
      <c r="H21" s="1628">
        <v>12</v>
      </c>
      <c r="I21" s="1628"/>
      <c r="J21" s="1629"/>
      <c r="L21" s="970" t="s">
        <v>798</v>
      </c>
      <c r="M21" s="1628">
        <v>12</v>
      </c>
      <c r="N21" s="1628"/>
      <c r="O21" s="1629"/>
      <c r="P21" s="613"/>
      <c r="Q21" s="1178"/>
      <c r="R21" s="613"/>
      <c r="S21" s="91" t="s">
        <v>580</v>
      </c>
      <c r="T21" s="654">
        <f>T18*V21</f>
        <v>315000</v>
      </c>
      <c r="U21" s="908" t="s">
        <v>173</v>
      </c>
      <c r="V21" s="989">
        <v>0.7</v>
      </c>
      <c r="W21" s="613"/>
      <c r="X21" s="76" t="s">
        <v>75</v>
      </c>
      <c r="Y21" s="1034">
        <f>AA21*Y17</f>
        <v>145760</v>
      </c>
      <c r="Z21" s="909" t="s">
        <v>776</v>
      </c>
      <c r="AA21" s="990">
        <v>1</v>
      </c>
      <c r="AC21" s="1178"/>
      <c r="AD21" s="613"/>
      <c r="AE21" s="971" t="s">
        <v>524</v>
      </c>
      <c r="AF21" s="938">
        <v>0</v>
      </c>
      <c r="AG21" s="982"/>
      <c r="AH21" s="986"/>
      <c r="AI21" s="613"/>
      <c r="AJ21" s="970" t="s">
        <v>839</v>
      </c>
      <c r="AK21" s="959">
        <f>AK20*AK19</f>
        <v>6678.75</v>
      </c>
      <c r="AL21" s="560"/>
      <c r="AM21" s="562"/>
      <c r="AN21" s="613"/>
      <c r="AO21" s="970" t="s">
        <v>839</v>
      </c>
      <c r="AP21" s="959">
        <f>AP20*AP19</f>
        <v>6678.75</v>
      </c>
      <c r="AQ21" s="560"/>
      <c r="AR21" s="562"/>
      <c r="AS21" s="613"/>
    </row>
    <row r="22" spans="1:45" s="260" customFormat="1" ht="18.75" customHeight="1" x14ac:dyDescent="0.2">
      <c r="A22" s="613"/>
      <c r="B22" s="971" t="s">
        <v>839</v>
      </c>
      <c r="C22" s="1563">
        <f>C21*C20</f>
        <v>210025.15159825634</v>
      </c>
      <c r="D22" s="1563"/>
      <c r="E22" s="1564"/>
      <c r="G22" s="971" t="s">
        <v>801</v>
      </c>
      <c r="H22" s="1611">
        <f>H19*H21</f>
        <v>360</v>
      </c>
      <c r="I22" s="1611"/>
      <c r="J22" s="1612"/>
      <c r="L22" s="971" t="s">
        <v>801</v>
      </c>
      <c r="M22" s="1611">
        <f>M19*M21</f>
        <v>360</v>
      </c>
      <c r="N22" s="1611"/>
      <c r="O22" s="1612"/>
      <c r="P22" s="613"/>
      <c r="Q22" s="1178"/>
      <c r="R22" s="613"/>
      <c r="S22" s="76" t="s">
        <v>844</v>
      </c>
      <c r="T22" s="1692">
        <f ca="1">MIN(T19+T20,T21)+T33</f>
        <v>286210.5263157895</v>
      </c>
      <c r="U22" s="1692"/>
      <c r="V22" s="1693"/>
      <c r="W22" s="613"/>
      <c r="X22" s="91" t="s">
        <v>580</v>
      </c>
      <c r="Y22" s="654">
        <f>Y19*AA22</f>
        <v>251250</v>
      </c>
      <c r="Z22" s="908" t="s">
        <v>173</v>
      </c>
      <c r="AA22" s="989">
        <v>0.75</v>
      </c>
      <c r="AC22" s="1178"/>
      <c r="AD22" s="613"/>
      <c r="AE22" s="1016" t="s">
        <v>525</v>
      </c>
      <c r="AF22" s="934">
        <v>0</v>
      </c>
      <c r="AG22" s="959"/>
      <c r="AH22" s="960"/>
      <c r="AI22" s="613"/>
      <c r="AJ22" s="971" t="s">
        <v>524</v>
      </c>
      <c r="AK22" s="938">
        <v>0</v>
      </c>
      <c r="AL22" s="982"/>
      <c r="AM22" s="986"/>
      <c r="AN22" s="613"/>
      <c r="AO22" s="971" t="s">
        <v>524</v>
      </c>
      <c r="AP22" s="938">
        <v>0</v>
      </c>
      <c r="AQ22" s="982"/>
      <c r="AR22" s="986"/>
      <c r="AS22" s="613"/>
    </row>
    <row r="23" spans="1:45" s="260" customFormat="1" ht="18.75" customHeight="1" thickBot="1" x14ac:dyDescent="0.25">
      <c r="A23" s="613"/>
      <c r="B23" s="979" t="s">
        <v>803</v>
      </c>
      <c r="C23" s="1641">
        <f>C22-C16</f>
        <v>107275.15159825634</v>
      </c>
      <c r="D23" s="1641"/>
      <c r="E23" s="1642"/>
      <c r="G23" s="970" t="s">
        <v>806</v>
      </c>
      <c r="H23" s="1643">
        <f>-PMT(H18/H21,H22,H17,0)</f>
        <v>510.39285324778109</v>
      </c>
      <c r="I23" s="1643"/>
      <c r="J23" s="1644"/>
      <c r="L23" s="970" t="s">
        <v>806</v>
      </c>
      <c r="M23" s="1643">
        <f>-PMT(M18/M21,M22,M17,0)</f>
        <v>1277.5252530307564</v>
      </c>
      <c r="N23" s="1643"/>
      <c r="O23" s="1644"/>
      <c r="P23" s="613"/>
      <c r="Q23" s="1178"/>
      <c r="R23" s="613"/>
      <c r="S23" s="1016" t="s">
        <v>800</v>
      </c>
      <c r="T23" s="1690">
        <v>0.1</v>
      </c>
      <c r="U23" s="1690"/>
      <c r="V23" s="1691"/>
      <c r="W23" s="613"/>
      <c r="X23" s="76" t="s">
        <v>843</v>
      </c>
      <c r="Y23" s="1692">
        <f ca="1">MIN(Y20+Y21,Y22)+Y34</f>
        <v>248031.6622691293</v>
      </c>
      <c r="Z23" s="1692"/>
      <c r="AA23" s="1693"/>
      <c r="AC23" s="1178"/>
      <c r="AD23" s="613"/>
      <c r="AE23" s="817" t="s">
        <v>825</v>
      </c>
      <c r="AF23" s="1018">
        <f>AF19+AF21+AF22</f>
        <v>556.5625</v>
      </c>
      <c r="AG23" s="1019"/>
      <c r="AH23" s="1020"/>
      <c r="AI23" s="613"/>
      <c r="AJ23" s="1016" t="s">
        <v>525</v>
      </c>
      <c r="AK23" s="934">
        <v>0</v>
      </c>
      <c r="AL23" s="959"/>
      <c r="AM23" s="960"/>
      <c r="AN23" s="613"/>
      <c r="AO23" s="1016" t="s">
        <v>525</v>
      </c>
      <c r="AP23" s="934">
        <v>0</v>
      </c>
      <c r="AQ23" s="959"/>
      <c r="AR23" s="960"/>
      <c r="AS23" s="613"/>
    </row>
    <row r="24" spans="1:45" s="260" customFormat="1" ht="18.75" customHeight="1" thickBot="1" x14ac:dyDescent="0.25">
      <c r="A24" s="613"/>
      <c r="B24" s="971" t="s">
        <v>299</v>
      </c>
      <c r="C24" s="1639">
        <v>1400</v>
      </c>
      <c r="D24" s="1639"/>
      <c r="E24" s="1640"/>
      <c r="G24" s="971" t="s">
        <v>839</v>
      </c>
      <c r="H24" s="1563">
        <f>H23*H22</f>
        <v>183741.4271692012</v>
      </c>
      <c r="I24" s="1563"/>
      <c r="J24" s="1564"/>
      <c r="L24" s="971" t="s">
        <v>802</v>
      </c>
      <c r="M24" s="1563">
        <f>M23*M22</f>
        <v>459909.0910910723</v>
      </c>
      <c r="N24" s="1563"/>
      <c r="O24" s="1564"/>
      <c r="P24" s="613"/>
      <c r="Q24" s="1178"/>
      <c r="R24" s="613"/>
      <c r="S24" s="971" t="s">
        <v>838</v>
      </c>
      <c r="T24" s="946">
        <v>9</v>
      </c>
      <c r="U24" s="1575" t="s">
        <v>827</v>
      </c>
      <c r="V24" s="1576"/>
      <c r="W24" s="613"/>
      <c r="X24" s="1016" t="s">
        <v>800</v>
      </c>
      <c r="Y24" s="1690">
        <v>0.105</v>
      </c>
      <c r="Z24" s="1690"/>
      <c r="AA24" s="1691"/>
      <c r="AC24" s="1178"/>
      <c r="AD24" s="613"/>
      <c r="AE24" s="1017" t="s">
        <v>208</v>
      </c>
      <c r="AF24" s="1051"/>
      <c r="AG24" s="1051"/>
      <c r="AH24" s="1051"/>
      <c r="AI24" s="613"/>
      <c r="AJ24" s="817" t="s">
        <v>825</v>
      </c>
      <c r="AK24" s="1018">
        <f>AK20+AK22+AK23</f>
        <v>556.5625</v>
      </c>
      <c r="AL24" s="1019"/>
      <c r="AM24" s="1020"/>
      <c r="AN24" s="613"/>
      <c r="AO24" s="817" t="s">
        <v>825</v>
      </c>
      <c r="AP24" s="1018">
        <f>AP20+AP22+AP23</f>
        <v>556.5625</v>
      </c>
      <c r="AQ24" s="1019"/>
      <c r="AR24" s="1020"/>
      <c r="AS24" s="613"/>
    </row>
    <row r="25" spans="1:45" s="260" customFormat="1" ht="18.75" customHeight="1" thickBot="1" x14ac:dyDescent="0.25">
      <c r="A25" s="613"/>
      <c r="B25" s="970" t="s">
        <v>524</v>
      </c>
      <c r="C25" s="1615">
        <v>100</v>
      </c>
      <c r="D25" s="1615"/>
      <c r="E25" s="1616"/>
      <c r="G25" s="979" t="s">
        <v>803</v>
      </c>
      <c r="H25" s="1641">
        <f>H24-H17</f>
        <v>99741.427169201197</v>
      </c>
      <c r="I25" s="1641"/>
      <c r="J25" s="1642"/>
      <c r="L25" s="979" t="s">
        <v>803</v>
      </c>
      <c r="M25" s="1641">
        <f>M24-M17</f>
        <v>234909.0910910723</v>
      </c>
      <c r="N25" s="1641"/>
      <c r="O25" s="1642"/>
      <c r="P25" s="613"/>
      <c r="Q25" s="1178"/>
      <c r="R25" s="613"/>
      <c r="S25" s="1016" t="s">
        <v>6</v>
      </c>
      <c r="T25" s="1565">
        <f ca="1">T22*T23/12</f>
        <v>2385.0877192982457</v>
      </c>
      <c r="U25" s="1565"/>
      <c r="V25" s="1566"/>
      <c r="W25" s="613"/>
      <c r="X25" s="971" t="s">
        <v>838</v>
      </c>
      <c r="Y25" s="946">
        <v>9</v>
      </c>
      <c r="Z25" s="1575" t="s">
        <v>827</v>
      </c>
      <c r="AA25" s="1576"/>
      <c r="AC25" s="1178"/>
      <c r="AD25" s="613"/>
      <c r="AE25" s="464" t="s">
        <v>4</v>
      </c>
      <c r="AF25" s="1573">
        <f>AF15-AF16</f>
        <v>34250</v>
      </c>
      <c r="AG25" s="1573"/>
      <c r="AH25" s="1574"/>
      <c r="AI25" s="613"/>
      <c r="AJ25" s="1017" t="s">
        <v>208</v>
      </c>
      <c r="AK25" s="1051"/>
      <c r="AL25" s="1051"/>
      <c r="AM25" s="1051"/>
      <c r="AN25" s="613"/>
      <c r="AO25" s="1017" t="s">
        <v>208</v>
      </c>
      <c r="AP25" s="1051"/>
      <c r="AQ25" s="1051"/>
      <c r="AR25" s="1051"/>
      <c r="AS25" s="613"/>
    </row>
    <row r="26" spans="1:45" s="260" customFormat="1" ht="18.75" customHeight="1" x14ac:dyDescent="0.2">
      <c r="A26" s="613"/>
      <c r="B26" s="971" t="s">
        <v>525</v>
      </c>
      <c r="C26" s="1617">
        <v>235</v>
      </c>
      <c r="D26" s="1617"/>
      <c r="E26" s="1618"/>
      <c r="G26" s="971" t="s">
        <v>299</v>
      </c>
      <c r="H26" s="1613">
        <v>1175</v>
      </c>
      <c r="I26" s="1613"/>
      <c r="J26" s="1614"/>
      <c r="L26" s="971" t="s">
        <v>299</v>
      </c>
      <c r="M26" s="1613">
        <v>4000</v>
      </c>
      <c r="N26" s="1613"/>
      <c r="O26" s="1614"/>
      <c r="P26" s="613"/>
      <c r="Q26" s="1178"/>
      <c r="R26" s="613"/>
      <c r="S26" s="971" t="s">
        <v>839</v>
      </c>
      <c r="T26" s="1563">
        <f ca="1">T25*T24</f>
        <v>21465.78947368421</v>
      </c>
      <c r="U26" s="1563"/>
      <c r="V26" s="1564"/>
      <c r="W26" s="613"/>
      <c r="X26" s="1016" t="s">
        <v>6</v>
      </c>
      <c r="Y26" s="1565">
        <f ca="1">Y23*Y24/12</f>
        <v>2170.2770448548813</v>
      </c>
      <c r="Z26" s="1565"/>
      <c r="AA26" s="1566"/>
      <c r="AC26" s="1178"/>
      <c r="AD26" s="613"/>
      <c r="AE26" s="465" t="s">
        <v>815</v>
      </c>
      <c r="AF26" s="1136">
        <v>1000</v>
      </c>
      <c r="AG26" s="932"/>
      <c r="AH26" s="933"/>
      <c r="AI26" s="613"/>
      <c r="AJ26" s="464" t="s">
        <v>809</v>
      </c>
      <c r="AK26" s="1573">
        <f>AK16-AK27</f>
        <v>50000</v>
      </c>
      <c r="AL26" s="1573"/>
      <c r="AM26" s="1574"/>
      <c r="AN26" s="613"/>
      <c r="AO26" s="486" t="s">
        <v>835</v>
      </c>
      <c r="AP26" s="1684">
        <f>AP16</f>
        <v>50000</v>
      </c>
      <c r="AQ26" s="1684"/>
      <c r="AR26" s="1685"/>
      <c r="AS26" s="613"/>
    </row>
    <row r="27" spans="1:45" s="260" customFormat="1" ht="18.75" customHeight="1" thickBot="1" x14ac:dyDescent="0.25">
      <c r="A27" s="613"/>
      <c r="B27" s="970" t="s">
        <v>807</v>
      </c>
      <c r="C27" s="1645">
        <f>C21+C26+C25</f>
        <v>918.40319888404542</v>
      </c>
      <c r="D27" s="1645"/>
      <c r="E27" s="1646"/>
      <c r="G27" s="970" t="s">
        <v>524</v>
      </c>
      <c r="H27" s="1615">
        <v>83</v>
      </c>
      <c r="I27" s="1615"/>
      <c r="J27" s="1616"/>
      <c r="L27" s="970" t="s">
        <v>524</v>
      </c>
      <c r="M27" s="1615">
        <v>100</v>
      </c>
      <c r="N27" s="1615"/>
      <c r="O27" s="1616"/>
      <c r="P27" s="613"/>
      <c r="Q27" s="1178"/>
      <c r="R27" s="613"/>
      <c r="S27" s="125" t="s">
        <v>35</v>
      </c>
      <c r="T27" s="1463">
        <v>17500</v>
      </c>
      <c r="U27" s="1702" t="s">
        <v>777</v>
      </c>
      <c r="V27" s="1703"/>
      <c r="W27" s="613"/>
      <c r="X27" s="971" t="s">
        <v>839</v>
      </c>
      <c r="Y27" s="1563">
        <f ca="1">Y26*Y25</f>
        <v>19532.49340369393</v>
      </c>
      <c r="Z27" s="1563"/>
      <c r="AA27" s="1564"/>
      <c r="AC27" s="1178"/>
      <c r="AD27" s="613"/>
      <c r="AE27" s="466" t="s">
        <v>45</v>
      </c>
      <c r="AF27" s="995">
        <f>AF16*AH27</f>
        <v>2825.625</v>
      </c>
      <c r="AG27" s="920" t="s">
        <v>617</v>
      </c>
      <c r="AH27" s="922">
        <v>2.75E-2</v>
      </c>
      <c r="AI27" s="613"/>
      <c r="AJ27" s="465" t="s">
        <v>831</v>
      </c>
      <c r="AK27" s="996">
        <f>MAX(0,AK16-AK17)</f>
        <v>0</v>
      </c>
      <c r="AL27" s="932"/>
      <c r="AM27" s="933"/>
      <c r="AN27" s="613"/>
      <c r="AO27" s="466" t="s">
        <v>45</v>
      </c>
      <c r="AP27" s="995">
        <f>AP17*AR27</f>
        <v>2825.625</v>
      </c>
      <c r="AQ27" s="920" t="s">
        <v>617</v>
      </c>
      <c r="AR27" s="922">
        <v>2.75E-2</v>
      </c>
      <c r="AS27" s="613"/>
    </row>
    <row r="28" spans="1:45" s="260" customFormat="1" ht="18.75" customHeight="1" thickBot="1" x14ac:dyDescent="0.25">
      <c r="A28" s="613"/>
      <c r="B28" s="971" t="s">
        <v>808</v>
      </c>
      <c r="C28" s="1647">
        <f>C24/C27</f>
        <v>1.5243849343089662</v>
      </c>
      <c r="D28" s="1647"/>
      <c r="E28" s="1648"/>
      <c r="G28" s="971" t="s">
        <v>525</v>
      </c>
      <c r="H28" s="1617">
        <v>182</v>
      </c>
      <c r="I28" s="1617"/>
      <c r="J28" s="1618"/>
      <c r="L28" s="971" t="s">
        <v>525</v>
      </c>
      <c r="M28" s="1617">
        <v>235</v>
      </c>
      <c r="N28" s="1617"/>
      <c r="O28" s="1618"/>
      <c r="P28" s="613"/>
      <c r="Q28" s="1178"/>
      <c r="R28" s="613"/>
      <c r="S28" s="1050" t="s">
        <v>166</v>
      </c>
      <c r="T28" s="1052"/>
      <c r="U28" s="1052"/>
      <c r="V28" s="1053"/>
      <c r="W28" s="613"/>
      <c r="X28" s="125" t="s">
        <v>35</v>
      </c>
      <c r="Y28" s="1463">
        <v>15750</v>
      </c>
      <c r="Z28" s="1702"/>
      <c r="AA28" s="1703"/>
      <c r="AC28" s="1178"/>
      <c r="AD28" s="613"/>
      <c r="AE28" s="465" t="s">
        <v>10</v>
      </c>
      <c r="AF28" s="996">
        <f>MAX(4000,AF16*AH28)</f>
        <v>4000</v>
      </c>
      <c r="AG28" s="921" t="s">
        <v>617</v>
      </c>
      <c r="AH28" s="923">
        <v>0</v>
      </c>
      <c r="AI28" s="613"/>
      <c r="AJ28" s="466" t="s">
        <v>45</v>
      </c>
      <c r="AK28" s="995">
        <f>AK17*AM28</f>
        <v>2825.625</v>
      </c>
      <c r="AL28" s="920" t="s">
        <v>617</v>
      </c>
      <c r="AM28" s="922">
        <v>2.75E-2</v>
      </c>
      <c r="AN28" s="613"/>
      <c r="AO28" s="465" t="s">
        <v>10</v>
      </c>
      <c r="AP28" s="996">
        <f>MAX(4000,AP17*AR28)</f>
        <v>4000</v>
      </c>
      <c r="AQ28" s="921" t="s">
        <v>617</v>
      </c>
      <c r="AR28" s="923">
        <v>0</v>
      </c>
      <c r="AS28" s="613"/>
    </row>
    <row r="29" spans="1:45" s="260" customFormat="1" ht="18.75" customHeight="1" thickBot="1" x14ac:dyDescent="0.25">
      <c r="A29" s="613"/>
      <c r="B29" s="752" t="s">
        <v>938</v>
      </c>
      <c r="C29" s="1649">
        <f>C24-C27</f>
        <v>481.59680111595458</v>
      </c>
      <c r="D29" s="1649"/>
      <c r="E29" s="1650"/>
      <c r="G29" s="970" t="s">
        <v>807</v>
      </c>
      <c r="H29" s="1645">
        <f>H23+H28+H27</f>
        <v>775.39285324778109</v>
      </c>
      <c r="I29" s="1645"/>
      <c r="J29" s="1646"/>
      <c r="L29" s="970" t="s">
        <v>807</v>
      </c>
      <c r="M29" s="1645">
        <f>M23+M28+M27</f>
        <v>1612.5252530307564</v>
      </c>
      <c r="N29" s="1645"/>
      <c r="O29" s="1646"/>
      <c r="P29" s="613"/>
      <c r="Q29" s="1178"/>
      <c r="R29" s="613"/>
      <c r="S29" s="79" t="s">
        <v>4</v>
      </c>
      <c r="T29" s="1455">
        <f>T15-T19</f>
        <v>95100</v>
      </c>
      <c r="U29" s="1567" t="s">
        <v>771</v>
      </c>
      <c r="V29" s="1568"/>
      <c r="W29" s="613"/>
      <c r="X29" s="1050" t="s">
        <v>166</v>
      </c>
      <c r="Y29" s="1052"/>
      <c r="Z29" s="1052"/>
      <c r="AA29" s="1053"/>
      <c r="AC29" s="1178"/>
      <c r="AD29" s="613"/>
      <c r="AE29" s="466" t="s">
        <v>5</v>
      </c>
      <c r="AF29" s="1571">
        <v>1450</v>
      </c>
      <c r="AG29" s="1571"/>
      <c r="AH29" s="1572"/>
      <c r="AI29" s="613"/>
      <c r="AJ29" s="465" t="s">
        <v>10</v>
      </c>
      <c r="AK29" s="996">
        <f>MAX(4000,AK17*AM29)</f>
        <v>4000</v>
      </c>
      <c r="AL29" s="921" t="s">
        <v>617</v>
      </c>
      <c r="AM29" s="923">
        <v>0</v>
      </c>
      <c r="AN29" s="613"/>
      <c r="AO29" s="466" t="s">
        <v>5</v>
      </c>
      <c r="AP29" s="1571">
        <v>1450</v>
      </c>
      <c r="AQ29" s="1571"/>
      <c r="AR29" s="1572"/>
      <c r="AS29" s="613"/>
    </row>
    <row r="30" spans="1:45" s="260" customFormat="1" ht="18.75" customHeight="1" thickBot="1" x14ac:dyDescent="0.25">
      <c r="A30" s="613"/>
      <c r="B30" s="1050" t="s">
        <v>166</v>
      </c>
      <c r="C30" s="505"/>
      <c r="D30" s="505"/>
      <c r="E30" s="505"/>
      <c r="G30" s="971" t="s">
        <v>808</v>
      </c>
      <c r="H30" s="1647">
        <f>H26/H29</f>
        <v>1.5153608845870059</v>
      </c>
      <c r="I30" s="1647"/>
      <c r="J30" s="1648"/>
      <c r="L30" s="971" t="s">
        <v>808</v>
      </c>
      <c r="M30" s="1647">
        <f>M26/M29</f>
        <v>2.4805813071652443</v>
      </c>
      <c r="N30" s="1647"/>
      <c r="O30" s="1648"/>
      <c r="P30" s="613"/>
      <c r="Q30" s="1178"/>
      <c r="R30" s="613"/>
      <c r="S30" s="91" t="s">
        <v>815</v>
      </c>
      <c r="T30" s="1131">
        <v>3000</v>
      </c>
      <c r="U30" s="1561" t="s">
        <v>840</v>
      </c>
      <c r="V30" s="1562"/>
      <c r="W30" s="613"/>
      <c r="X30" s="464" t="s">
        <v>809</v>
      </c>
      <c r="Y30" s="1567">
        <f>Y16-Y31</f>
        <v>65000</v>
      </c>
      <c r="Z30" s="1567"/>
      <c r="AA30" s="1568"/>
      <c r="AC30" s="1178"/>
      <c r="AD30" s="613"/>
      <c r="AE30" s="91" t="s">
        <v>7</v>
      </c>
      <c r="AF30" s="1549">
        <v>125</v>
      </c>
      <c r="AG30" s="1549"/>
      <c r="AH30" s="1550"/>
      <c r="AI30" s="613"/>
      <c r="AJ30" s="466" t="s">
        <v>5</v>
      </c>
      <c r="AK30" s="1571">
        <v>1450</v>
      </c>
      <c r="AL30" s="1571"/>
      <c r="AM30" s="1572"/>
      <c r="AN30" s="613"/>
      <c r="AO30" s="91" t="s">
        <v>7</v>
      </c>
      <c r="AP30" s="1549">
        <v>125</v>
      </c>
      <c r="AQ30" s="1549"/>
      <c r="AR30" s="1550"/>
      <c r="AS30" s="613"/>
    </row>
    <row r="31" spans="1:45" s="260" customFormat="1" ht="18.75" customHeight="1" thickBot="1" x14ac:dyDescent="0.25">
      <c r="A31" s="613"/>
      <c r="B31" s="464" t="s">
        <v>4</v>
      </c>
      <c r="C31" s="1573">
        <f>C15-C16</f>
        <v>34250</v>
      </c>
      <c r="D31" s="1573"/>
      <c r="E31" s="1574"/>
      <c r="G31" s="752" t="s">
        <v>938</v>
      </c>
      <c r="H31" s="1649">
        <f>H26-H29</f>
        <v>399.60714675221891</v>
      </c>
      <c r="I31" s="1649"/>
      <c r="J31" s="1650"/>
      <c r="L31" s="752" t="s">
        <v>938</v>
      </c>
      <c r="M31" s="1649">
        <f>M26-M29</f>
        <v>2387.4747469692438</v>
      </c>
      <c r="N31" s="1649"/>
      <c r="O31" s="1650"/>
      <c r="P31" s="613"/>
      <c r="Q31" s="1178"/>
      <c r="R31" s="613"/>
      <c r="S31" s="76" t="s">
        <v>45</v>
      </c>
      <c r="T31" s="723">
        <f ca="1">T22*V31</f>
        <v>7155.2631578947376</v>
      </c>
      <c r="U31" s="911" t="s">
        <v>617</v>
      </c>
      <c r="V31" s="990">
        <v>2.5000000000000001E-2</v>
      </c>
      <c r="W31" s="613"/>
      <c r="X31" s="465" t="s">
        <v>831</v>
      </c>
      <c r="Y31" s="1549">
        <f>MAX(0,Y16-Y20)</f>
        <v>0</v>
      </c>
      <c r="Z31" s="1549"/>
      <c r="AA31" s="1550"/>
      <c r="AC31" s="1178"/>
      <c r="AD31" s="613"/>
      <c r="AE31" s="85" t="s">
        <v>8</v>
      </c>
      <c r="AF31" s="1569">
        <v>89</v>
      </c>
      <c r="AG31" s="1569"/>
      <c r="AH31" s="1570"/>
      <c r="AI31" s="613"/>
      <c r="AJ31" s="91" t="s">
        <v>7</v>
      </c>
      <c r="AK31" s="1549">
        <v>125</v>
      </c>
      <c r="AL31" s="1549"/>
      <c r="AM31" s="1550"/>
      <c r="AN31" s="613"/>
      <c r="AO31" s="85" t="s">
        <v>8</v>
      </c>
      <c r="AP31" s="1569">
        <v>89</v>
      </c>
      <c r="AQ31" s="1569"/>
      <c r="AR31" s="1570"/>
      <c r="AS31" s="613"/>
    </row>
    <row r="32" spans="1:45" s="260" customFormat="1" ht="18.75" customHeight="1" thickBot="1" x14ac:dyDescent="0.25">
      <c r="A32" s="613"/>
      <c r="B32" s="465" t="s">
        <v>815</v>
      </c>
      <c r="C32" s="1136">
        <v>2000</v>
      </c>
      <c r="D32" s="932"/>
      <c r="E32" s="933"/>
      <c r="G32" s="1050" t="s">
        <v>166</v>
      </c>
      <c r="H32" s="633"/>
      <c r="I32" s="633"/>
      <c r="J32" s="633"/>
      <c r="L32" s="1050" t="s">
        <v>166</v>
      </c>
      <c r="M32" s="965"/>
      <c r="N32" s="965"/>
      <c r="O32" s="965"/>
      <c r="P32" s="613"/>
      <c r="Q32" s="1178"/>
      <c r="R32" s="613"/>
      <c r="S32" s="91" t="s">
        <v>10</v>
      </c>
      <c r="T32" s="725">
        <f ca="1">MAX(4000,V32*T22)</f>
        <v>5724.21052631579</v>
      </c>
      <c r="U32" s="910" t="s">
        <v>617</v>
      </c>
      <c r="V32" s="989">
        <v>0.02</v>
      </c>
      <c r="W32" s="613"/>
      <c r="X32" s="76" t="s">
        <v>45</v>
      </c>
      <c r="Y32" s="723">
        <f ca="1">Y23*AA32</f>
        <v>7440.9498680738789</v>
      </c>
      <c r="Z32" s="911" t="s">
        <v>617</v>
      </c>
      <c r="AA32" s="990">
        <v>0.03</v>
      </c>
      <c r="AC32" s="1178"/>
      <c r="AD32" s="613"/>
      <c r="AE32" s="120" t="s">
        <v>169</v>
      </c>
      <c r="AF32" s="943"/>
      <c r="AG32" s="943"/>
      <c r="AH32" s="943"/>
      <c r="AI32" s="613"/>
      <c r="AJ32" s="85" t="s">
        <v>8</v>
      </c>
      <c r="AK32" s="1569">
        <v>89</v>
      </c>
      <c r="AL32" s="1569"/>
      <c r="AM32" s="1570"/>
      <c r="AN32" s="613"/>
      <c r="AO32" s="1017" t="s">
        <v>169</v>
      </c>
      <c r="AP32" s="1055"/>
      <c r="AQ32" s="1055"/>
      <c r="AR32" s="1055"/>
      <c r="AS32" s="613"/>
    </row>
    <row r="33" spans="1:45" s="260" customFormat="1" ht="18.75" customHeight="1" thickBot="1" x14ac:dyDescent="0.25">
      <c r="A33" s="613"/>
      <c r="B33" s="466" t="s">
        <v>45</v>
      </c>
      <c r="C33" s="995">
        <f>C16*E33</f>
        <v>2825.625</v>
      </c>
      <c r="D33" s="920" t="s">
        <v>617</v>
      </c>
      <c r="E33" s="922">
        <v>2.75E-2</v>
      </c>
      <c r="G33" s="981" t="s">
        <v>809</v>
      </c>
      <c r="H33" s="944">
        <f>H16-H34</f>
        <v>79000</v>
      </c>
      <c r="I33" s="634"/>
      <c r="J33" s="429"/>
      <c r="L33" s="207" t="s">
        <v>43</v>
      </c>
      <c r="M33" s="987">
        <f>M16</f>
        <v>50000</v>
      </c>
      <c r="N33" s="940"/>
      <c r="O33" s="941"/>
      <c r="P33" s="613"/>
      <c r="Q33" s="1178"/>
      <c r="R33" s="613"/>
      <c r="S33" s="76" t="s">
        <v>999</v>
      </c>
      <c r="T33" s="1032">
        <f ca="1">T25*U33</f>
        <v>14310.526315789473</v>
      </c>
      <c r="U33" s="1466">
        <f>T24-3</f>
        <v>6</v>
      </c>
      <c r="V33" s="1465" t="s">
        <v>1004</v>
      </c>
      <c r="W33" s="613"/>
      <c r="X33" s="91" t="s">
        <v>10</v>
      </c>
      <c r="Y33" s="725">
        <f ca="1">MAX(4000,AA33*Y23)</f>
        <v>4960.6332453825862</v>
      </c>
      <c r="Z33" s="910" t="s">
        <v>617</v>
      </c>
      <c r="AA33" s="989">
        <v>0.02</v>
      </c>
      <c r="AC33" s="1178"/>
      <c r="AD33" s="613"/>
      <c r="AE33" s="372" t="s">
        <v>14</v>
      </c>
      <c r="AF33" s="1042">
        <v>580</v>
      </c>
      <c r="AG33" s="1596" t="s">
        <v>770</v>
      </c>
      <c r="AH33" s="1597"/>
      <c r="AI33" s="613"/>
      <c r="AJ33" s="120" t="s">
        <v>169</v>
      </c>
      <c r="AK33" s="943"/>
      <c r="AL33" s="943"/>
      <c r="AM33" s="943"/>
      <c r="AN33" s="613"/>
      <c r="AO33" s="372" t="s">
        <v>14</v>
      </c>
      <c r="AP33" s="1042">
        <v>580</v>
      </c>
      <c r="AQ33" s="1596" t="s">
        <v>770</v>
      </c>
      <c r="AR33" s="1597"/>
      <c r="AS33" s="613"/>
    </row>
    <row r="34" spans="1:45" s="260" customFormat="1" ht="18.75" customHeight="1" x14ac:dyDescent="0.2">
      <c r="A34" s="613"/>
      <c r="B34" s="465" t="s">
        <v>10</v>
      </c>
      <c r="C34" s="996">
        <f>MAX(4000,C16*E34)</f>
        <v>4000</v>
      </c>
      <c r="D34" s="921" t="s">
        <v>617</v>
      </c>
      <c r="E34" s="923">
        <v>0</v>
      </c>
      <c r="G34" s="980" t="s">
        <v>831</v>
      </c>
      <c r="H34" s="723">
        <f>MAX(0,H16-H17)</f>
        <v>0</v>
      </c>
      <c r="I34" s="938"/>
      <c r="J34" s="939"/>
      <c r="L34" s="91" t="s">
        <v>45</v>
      </c>
      <c r="M34" s="725">
        <f>M17*O34</f>
        <v>5625</v>
      </c>
      <c r="N34" s="903" t="s">
        <v>617</v>
      </c>
      <c r="O34" s="989">
        <v>2.5000000000000001E-2</v>
      </c>
      <c r="P34" s="613"/>
      <c r="Q34" s="1178"/>
      <c r="R34" s="613"/>
      <c r="S34" s="91" t="s">
        <v>837</v>
      </c>
      <c r="T34" s="774">
        <f ca="1">T25*3</f>
        <v>7155.2631578947367</v>
      </c>
      <c r="U34" s="1549" t="s">
        <v>771</v>
      </c>
      <c r="V34" s="1550"/>
      <c r="W34" s="613"/>
      <c r="X34" s="76" t="s">
        <v>999</v>
      </c>
      <c r="Y34" s="1032">
        <f ca="1">Y26*Z34</f>
        <v>13021.662269129287</v>
      </c>
      <c r="Z34" s="1464">
        <f>Y25-3</f>
        <v>6</v>
      </c>
      <c r="AA34" s="1465" t="s">
        <v>1000</v>
      </c>
      <c r="AC34" s="1178"/>
      <c r="AD34" s="613"/>
      <c r="AE34" s="374" t="s">
        <v>810</v>
      </c>
      <c r="AF34" s="921">
        <v>199</v>
      </c>
      <c r="AG34" s="1594" t="s">
        <v>770</v>
      </c>
      <c r="AH34" s="1595"/>
      <c r="AI34" s="613"/>
      <c r="AJ34" s="372" t="s">
        <v>14</v>
      </c>
      <c r="AK34" s="1042">
        <v>580</v>
      </c>
      <c r="AL34" s="1596" t="s">
        <v>770</v>
      </c>
      <c r="AM34" s="1597"/>
      <c r="AN34" s="613"/>
      <c r="AO34" s="374" t="s">
        <v>325</v>
      </c>
      <c r="AP34" s="994">
        <v>0</v>
      </c>
      <c r="AQ34" s="1594" t="s">
        <v>770</v>
      </c>
      <c r="AR34" s="1595"/>
      <c r="AS34" s="613"/>
    </row>
    <row r="35" spans="1:45" s="260" customFormat="1" ht="18.75" customHeight="1" x14ac:dyDescent="0.2">
      <c r="A35" s="613"/>
      <c r="B35" s="466" t="s">
        <v>5</v>
      </c>
      <c r="C35" s="1571">
        <v>1450</v>
      </c>
      <c r="D35" s="1571"/>
      <c r="E35" s="1572"/>
      <c r="G35" s="91" t="s">
        <v>45</v>
      </c>
      <c r="H35" s="725">
        <f>H17*J35</f>
        <v>3150</v>
      </c>
      <c r="I35" s="903" t="s">
        <v>617</v>
      </c>
      <c r="J35" s="989">
        <v>3.7499999999999999E-2</v>
      </c>
      <c r="L35" s="76" t="s">
        <v>10</v>
      </c>
      <c r="M35" s="723">
        <f>MAX(4000,M17*O35)</f>
        <v>4500</v>
      </c>
      <c r="N35" s="904" t="s">
        <v>617</v>
      </c>
      <c r="O35" s="990">
        <v>0.02</v>
      </c>
      <c r="P35" s="613"/>
      <c r="Q35" s="1178"/>
      <c r="R35" s="613"/>
      <c r="S35" s="76" t="s">
        <v>323</v>
      </c>
      <c r="T35" s="1374">
        <v>0</v>
      </c>
      <c r="U35" s="1551" t="s">
        <v>840</v>
      </c>
      <c r="V35" s="1552"/>
      <c r="W35" s="613"/>
      <c r="X35" s="91" t="s">
        <v>837</v>
      </c>
      <c r="Y35" s="774">
        <f ca="1">Y26*3</f>
        <v>6510.8311345646434</v>
      </c>
      <c r="Z35" s="1549" t="s">
        <v>771</v>
      </c>
      <c r="AA35" s="1550"/>
      <c r="AC35" s="1178"/>
      <c r="AD35" s="613"/>
      <c r="AE35" s="374" t="s">
        <v>811</v>
      </c>
      <c r="AF35" s="1136">
        <v>1500</v>
      </c>
      <c r="AG35" s="1609" t="s">
        <v>771</v>
      </c>
      <c r="AH35" s="1610"/>
      <c r="AI35" s="613"/>
      <c r="AJ35" s="374" t="s">
        <v>810</v>
      </c>
      <c r="AK35" s="921">
        <v>199</v>
      </c>
      <c r="AL35" s="1594" t="s">
        <v>770</v>
      </c>
      <c r="AM35" s="1595"/>
      <c r="AN35" s="613"/>
      <c r="AO35" s="374" t="s">
        <v>810</v>
      </c>
      <c r="AP35" s="921">
        <v>199</v>
      </c>
      <c r="AQ35" s="1594" t="s">
        <v>770</v>
      </c>
      <c r="AR35" s="1595"/>
      <c r="AS35" s="613"/>
    </row>
    <row r="36" spans="1:45" s="260" customFormat="1" ht="18.75" customHeight="1" thickBot="1" x14ac:dyDescent="0.25">
      <c r="A36" s="613"/>
      <c r="B36" s="91" t="s">
        <v>7</v>
      </c>
      <c r="C36" s="1549">
        <v>125</v>
      </c>
      <c r="D36" s="1549"/>
      <c r="E36" s="1550"/>
      <c r="G36" s="76" t="s">
        <v>10</v>
      </c>
      <c r="H36" s="723">
        <f>MAX(4000,H17*J36)</f>
        <v>4000</v>
      </c>
      <c r="I36" s="904" t="s">
        <v>617</v>
      </c>
      <c r="J36" s="990">
        <v>0</v>
      </c>
      <c r="L36" s="91" t="s">
        <v>5</v>
      </c>
      <c r="M36" s="725">
        <v>1450</v>
      </c>
      <c r="N36" s="930"/>
      <c r="O36" s="931"/>
      <c r="P36" s="613"/>
      <c r="Q36" s="1178"/>
      <c r="R36" s="613"/>
      <c r="S36" s="91" t="s">
        <v>5</v>
      </c>
      <c r="T36" s="725">
        <v>999</v>
      </c>
      <c r="U36" s="1549" t="s">
        <v>771</v>
      </c>
      <c r="V36" s="1550"/>
      <c r="W36" s="613"/>
      <c r="X36" s="76" t="s">
        <v>323</v>
      </c>
      <c r="Y36" s="938">
        <v>0</v>
      </c>
      <c r="Z36" s="1551" t="s">
        <v>840</v>
      </c>
      <c r="AA36" s="1552"/>
      <c r="AC36" s="1178"/>
      <c r="AD36" s="613"/>
      <c r="AE36" s="98" t="s">
        <v>812</v>
      </c>
      <c r="AF36" s="891">
        <v>1500</v>
      </c>
      <c r="AG36" s="1599" t="s">
        <v>771</v>
      </c>
      <c r="AH36" s="1600"/>
      <c r="AI36" s="613"/>
      <c r="AJ36" s="374" t="s">
        <v>811</v>
      </c>
      <c r="AK36" s="1108">
        <v>1500</v>
      </c>
      <c r="AL36" s="1609" t="s">
        <v>771</v>
      </c>
      <c r="AM36" s="1610"/>
      <c r="AN36" s="613"/>
      <c r="AO36" s="374" t="s">
        <v>811</v>
      </c>
      <c r="AP36" s="1108">
        <v>1500</v>
      </c>
      <c r="AQ36" s="1609" t="s">
        <v>771</v>
      </c>
      <c r="AR36" s="1610"/>
      <c r="AS36" s="613"/>
    </row>
    <row r="37" spans="1:45" s="260" customFormat="1" ht="18.75" customHeight="1" thickBot="1" x14ac:dyDescent="0.25">
      <c r="A37" s="613"/>
      <c r="B37" s="85" t="s">
        <v>8</v>
      </c>
      <c r="C37" s="1569">
        <v>89</v>
      </c>
      <c r="D37" s="1569"/>
      <c r="E37" s="1570"/>
      <c r="G37" s="91" t="s">
        <v>5</v>
      </c>
      <c r="H37" s="725">
        <v>1450</v>
      </c>
      <c r="I37" s="916"/>
      <c r="J37" s="917"/>
      <c r="L37" s="76" t="s">
        <v>7</v>
      </c>
      <c r="M37" s="723">
        <v>125</v>
      </c>
      <c r="N37" s="938"/>
      <c r="O37" s="939"/>
      <c r="P37" s="613"/>
      <c r="Q37" s="1178"/>
      <c r="R37" s="613"/>
      <c r="S37" s="76" t="s">
        <v>7</v>
      </c>
      <c r="T37" s="723">
        <v>125</v>
      </c>
      <c r="U37" s="1547" t="s">
        <v>771</v>
      </c>
      <c r="V37" s="1548"/>
      <c r="W37" s="613"/>
      <c r="X37" s="91" t="s">
        <v>5</v>
      </c>
      <c r="Y37" s="725">
        <v>999</v>
      </c>
      <c r="Z37" s="1549" t="s">
        <v>771</v>
      </c>
      <c r="AA37" s="1550"/>
      <c r="AC37" s="1178"/>
      <c r="AD37" s="613"/>
      <c r="AE37" s="1056" t="s">
        <v>170</v>
      </c>
      <c r="AF37" s="508"/>
      <c r="AG37" s="227"/>
      <c r="AH37" s="227"/>
      <c r="AI37" s="613"/>
      <c r="AJ37" s="98" t="s">
        <v>812</v>
      </c>
      <c r="AK37" s="891">
        <v>1500</v>
      </c>
      <c r="AL37" s="1599" t="s">
        <v>771</v>
      </c>
      <c r="AM37" s="1600"/>
      <c r="AN37" s="613"/>
      <c r="AO37" s="98" t="s">
        <v>812</v>
      </c>
      <c r="AP37" s="891">
        <v>1500</v>
      </c>
      <c r="AQ37" s="1599" t="s">
        <v>771</v>
      </c>
      <c r="AR37" s="1600"/>
      <c r="AS37" s="613"/>
    </row>
    <row r="38" spans="1:45" s="260" customFormat="1" ht="18.75" customHeight="1" thickBot="1" x14ac:dyDescent="0.25">
      <c r="A38" s="613"/>
      <c r="B38" s="1017" t="s">
        <v>169</v>
      </c>
      <c r="C38" s="919"/>
      <c r="D38" s="919"/>
      <c r="E38" s="919"/>
      <c r="G38" s="76" t="s">
        <v>7</v>
      </c>
      <c r="H38" s="723">
        <v>125</v>
      </c>
      <c r="I38" s="914"/>
      <c r="J38" s="915"/>
      <c r="L38" s="125" t="s">
        <v>8</v>
      </c>
      <c r="M38" s="988">
        <v>89</v>
      </c>
      <c r="N38" s="936"/>
      <c r="O38" s="937"/>
      <c r="P38" s="613"/>
      <c r="Q38" s="1178"/>
      <c r="R38" s="613"/>
      <c r="S38" s="125" t="s">
        <v>8</v>
      </c>
      <c r="T38" s="988">
        <v>89</v>
      </c>
      <c r="U38" s="1545" t="s">
        <v>771</v>
      </c>
      <c r="V38" s="1546"/>
      <c r="W38" s="613"/>
      <c r="X38" s="76" t="s">
        <v>7</v>
      </c>
      <c r="Y38" s="723">
        <v>125</v>
      </c>
      <c r="Z38" s="1547" t="s">
        <v>771</v>
      </c>
      <c r="AA38" s="1548"/>
      <c r="AC38" s="1178"/>
      <c r="AD38" s="613"/>
      <c r="AE38" s="491" t="s">
        <v>220</v>
      </c>
      <c r="AF38" s="991">
        <f>SUM(AF27:AF31,AF33:AF36)</f>
        <v>12268.625</v>
      </c>
      <c r="AG38" s="1608"/>
      <c r="AH38" s="1608"/>
      <c r="AI38" s="613"/>
      <c r="AJ38" s="1056" t="s">
        <v>170</v>
      </c>
      <c r="AK38" s="508"/>
      <c r="AL38" s="227"/>
      <c r="AM38" s="227"/>
      <c r="AN38" s="613"/>
      <c r="AO38" s="1056" t="s">
        <v>170</v>
      </c>
      <c r="AP38" s="1046"/>
      <c r="AQ38" s="1046"/>
      <c r="AR38" s="1046"/>
      <c r="AS38" s="613"/>
    </row>
    <row r="39" spans="1:45" s="260" customFormat="1" ht="18.75" customHeight="1" thickBot="1" x14ac:dyDescent="0.25">
      <c r="A39" s="613"/>
      <c r="B39" s="372" t="s">
        <v>14</v>
      </c>
      <c r="C39" s="1042">
        <v>580</v>
      </c>
      <c r="D39" s="1596" t="s">
        <v>770</v>
      </c>
      <c r="E39" s="1597"/>
      <c r="G39" s="125" t="s">
        <v>8</v>
      </c>
      <c r="H39" s="988">
        <v>89</v>
      </c>
      <c r="I39" s="912"/>
      <c r="J39" s="913"/>
      <c r="L39" s="1057" t="s">
        <v>169</v>
      </c>
      <c r="M39" s="930"/>
      <c r="N39" s="930"/>
      <c r="O39" s="930"/>
      <c r="P39" s="613"/>
      <c r="Q39" s="1178"/>
      <c r="R39" s="613"/>
      <c r="S39" s="396" t="s">
        <v>169</v>
      </c>
      <c r="T39" s="1054"/>
      <c r="U39" s="1054"/>
      <c r="V39" s="1054"/>
      <c r="W39" s="613"/>
      <c r="X39" s="125" t="s">
        <v>8</v>
      </c>
      <c r="Y39" s="988">
        <v>89</v>
      </c>
      <c r="Z39" s="1545" t="s">
        <v>771</v>
      </c>
      <c r="AA39" s="1546"/>
      <c r="AC39" s="1178"/>
      <c r="AD39" s="613"/>
      <c r="AE39" s="493" t="s">
        <v>816</v>
      </c>
      <c r="AF39" s="992">
        <f>AF38+AF25-AF26</f>
        <v>45518.625</v>
      </c>
      <c r="AG39" s="1607"/>
      <c r="AH39" s="1607"/>
      <c r="AI39" s="613"/>
      <c r="AJ39" s="491" t="s">
        <v>220</v>
      </c>
      <c r="AK39" s="991">
        <f>SUM(AK28:AK32,AK34:AK37)</f>
        <v>12268.625</v>
      </c>
      <c r="AL39" s="1608"/>
      <c r="AM39" s="1608"/>
      <c r="AN39" s="613"/>
      <c r="AO39" s="491" t="s">
        <v>220</v>
      </c>
      <c r="AP39" s="991">
        <f>SUM(AP27:AP31,AP33:AP37)</f>
        <v>12268.625</v>
      </c>
      <c r="AQ39" s="1608"/>
      <c r="AR39" s="1608"/>
      <c r="AS39" s="613"/>
    </row>
    <row r="40" spans="1:45" s="260" customFormat="1" ht="18.75" customHeight="1" thickBot="1" x14ac:dyDescent="0.25">
      <c r="B40" s="374" t="s">
        <v>810</v>
      </c>
      <c r="C40" s="1421">
        <v>199</v>
      </c>
      <c r="D40" s="1594" t="s">
        <v>770</v>
      </c>
      <c r="E40" s="1595"/>
      <c r="G40" s="1057" t="s">
        <v>169</v>
      </c>
      <c r="H40" s="916"/>
      <c r="I40" s="916"/>
      <c r="J40" s="916"/>
      <c r="L40" s="372" t="s">
        <v>14</v>
      </c>
      <c r="M40" s="1042">
        <v>650</v>
      </c>
      <c r="N40" s="1596" t="s">
        <v>770</v>
      </c>
      <c r="O40" s="1597"/>
      <c r="Q40" s="1178"/>
      <c r="S40" s="96" t="s">
        <v>14</v>
      </c>
      <c r="T40" s="942">
        <v>650</v>
      </c>
      <c r="U40" s="1596" t="s">
        <v>770</v>
      </c>
      <c r="V40" s="1597"/>
      <c r="X40" s="396" t="s">
        <v>169</v>
      </c>
      <c r="Y40" s="1054"/>
      <c r="Z40" s="1054"/>
      <c r="AA40" s="1054"/>
      <c r="AC40" s="1178"/>
      <c r="AE40" s="690"/>
      <c r="AF40" s="227"/>
      <c r="AG40" s="227"/>
      <c r="AH40" s="227"/>
      <c r="AJ40" s="586" t="s">
        <v>864</v>
      </c>
      <c r="AK40" s="1022">
        <f>AK39+AK26-AK27</f>
        <v>62268.625</v>
      </c>
      <c r="AL40" s="1607"/>
      <c r="AM40" s="1607"/>
      <c r="AO40" s="586" t="s">
        <v>864</v>
      </c>
      <c r="AP40" s="1022">
        <f>AP39+AP26</f>
        <v>62268.625</v>
      </c>
      <c r="AQ40" s="1607"/>
      <c r="AR40" s="1607"/>
    </row>
    <row r="41" spans="1:45" ht="18.75" customHeight="1" thickBot="1" x14ac:dyDescent="0.25">
      <c r="B41" s="374" t="s">
        <v>811</v>
      </c>
      <c r="C41" s="1108">
        <v>1500</v>
      </c>
      <c r="D41" s="1609" t="s">
        <v>771</v>
      </c>
      <c r="E41" s="1610"/>
      <c r="F41" s="260"/>
      <c r="G41" s="372" t="s">
        <v>14</v>
      </c>
      <c r="H41" s="1042">
        <v>580</v>
      </c>
      <c r="I41" s="1596" t="s">
        <v>770</v>
      </c>
      <c r="J41" s="1597"/>
      <c r="K41" s="260"/>
      <c r="L41" s="374" t="s">
        <v>325</v>
      </c>
      <c r="M41" s="994">
        <v>0</v>
      </c>
      <c r="N41" s="1594" t="s">
        <v>770</v>
      </c>
      <c r="O41" s="1595"/>
      <c r="S41" s="374" t="s">
        <v>810</v>
      </c>
      <c r="T41" s="1421">
        <v>199</v>
      </c>
      <c r="U41" s="1594" t="s">
        <v>770</v>
      </c>
      <c r="V41" s="1595"/>
      <c r="X41" s="96" t="s">
        <v>14</v>
      </c>
      <c r="Y41" s="942">
        <v>650</v>
      </c>
      <c r="Z41" s="1596" t="s">
        <v>770</v>
      </c>
      <c r="AA41" s="1597"/>
      <c r="AE41" s="1654" t="s">
        <v>376</v>
      </c>
      <c r="AF41" s="1655"/>
      <c r="AG41" s="1655"/>
      <c r="AH41" s="1656"/>
      <c r="AJ41" s="110" t="s">
        <v>535</v>
      </c>
      <c r="AK41" s="1043">
        <f>MAX(0,AK40-AK17)</f>
        <v>0</v>
      </c>
      <c r="AL41" s="932"/>
      <c r="AM41" s="932"/>
      <c r="AO41" s="98" t="s">
        <v>836</v>
      </c>
      <c r="AP41" s="803">
        <f>AP17-AP40</f>
        <v>40481.375</v>
      </c>
      <c r="AQ41" s="932"/>
      <c r="AR41" s="932"/>
    </row>
    <row r="42" spans="1:45" ht="18.75" customHeight="1" thickBot="1" x14ac:dyDescent="0.25">
      <c r="B42" s="98" t="s">
        <v>812</v>
      </c>
      <c r="C42" s="891">
        <v>1500</v>
      </c>
      <c r="D42" s="1599" t="s">
        <v>771</v>
      </c>
      <c r="E42" s="1600"/>
      <c r="F42" s="260"/>
      <c r="G42" s="374" t="s">
        <v>810</v>
      </c>
      <c r="H42" s="1421">
        <v>199</v>
      </c>
      <c r="I42" s="1594" t="s">
        <v>770</v>
      </c>
      <c r="J42" s="1595"/>
      <c r="K42" s="260"/>
      <c r="L42" s="374" t="s">
        <v>810</v>
      </c>
      <c r="M42" s="1421">
        <v>199</v>
      </c>
      <c r="N42" s="1594" t="s">
        <v>770</v>
      </c>
      <c r="O42" s="1595"/>
      <c r="S42" s="97" t="s">
        <v>814</v>
      </c>
      <c r="T42" s="1111">
        <v>1500</v>
      </c>
      <c r="U42" s="1592" t="s">
        <v>771</v>
      </c>
      <c r="V42" s="1593"/>
      <c r="X42" s="374" t="s">
        <v>810</v>
      </c>
      <c r="Y42" s="1421">
        <v>199</v>
      </c>
      <c r="Z42" s="1594" t="s">
        <v>770</v>
      </c>
      <c r="AA42" s="1595"/>
      <c r="AE42" s="1657"/>
      <c r="AF42" s="1658"/>
      <c r="AG42" s="1658"/>
      <c r="AH42" s="1659"/>
      <c r="AJ42" s="690"/>
      <c r="AK42" s="227"/>
      <c r="AL42" s="227"/>
      <c r="AM42" s="227"/>
      <c r="AO42" s="690"/>
      <c r="AP42" s="227"/>
      <c r="AQ42" s="227"/>
      <c r="AR42" s="227"/>
    </row>
    <row r="43" spans="1:45" ht="18.75" customHeight="1" thickBot="1" x14ac:dyDescent="0.25">
      <c r="B43" s="1056" t="s">
        <v>170</v>
      </c>
      <c r="C43" s="508"/>
      <c r="D43" s="227"/>
      <c r="E43" s="227"/>
      <c r="G43" s="374" t="s">
        <v>12</v>
      </c>
      <c r="H43" s="1108">
        <v>1500</v>
      </c>
      <c r="I43" s="1609" t="s">
        <v>771</v>
      </c>
      <c r="J43" s="1610"/>
      <c r="K43" s="260"/>
      <c r="L43" s="374" t="s">
        <v>814</v>
      </c>
      <c r="M43" s="1108">
        <v>1500</v>
      </c>
      <c r="N43" s="1609" t="s">
        <v>771</v>
      </c>
      <c r="O43" s="1610"/>
      <c r="S43" s="98" t="s">
        <v>821</v>
      </c>
      <c r="T43" s="1109">
        <v>1500</v>
      </c>
      <c r="U43" s="1545" t="s">
        <v>771</v>
      </c>
      <c r="V43" s="1546"/>
      <c r="X43" s="97" t="s">
        <v>814</v>
      </c>
      <c r="Y43" s="1111">
        <v>1500</v>
      </c>
      <c r="Z43" s="1592" t="s">
        <v>771</v>
      </c>
      <c r="AA43" s="1593"/>
      <c r="AE43" s="1666" t="s">
        <v>566</v>
      </c>
      <c r="AF43" s="1598"/>
      <c r="AG43" s="1598"/>
      <c r="AH43" s="1667"/>
      <c r="AJ43" s="1654" t="s">
        <v>376</v>
      </c>
      <c r="AK43" s="1655"/>
      <c r="AL43" s="1655"/>
      <c r="AM43" s="1656"/>
      <c r="AO43" s="1654" t="s">
        <v>376</v>
      </c>
      <c r="AP43" s="1655"/>
      <c r="AQ43" s="1655"/>
      <c r="AR43" s="1656"/>
    </row>
    <row r="44" spans="1:45" ht="18.75" customHeight="1" thickBot="1" x14ac:dyDescent="0.25">
      <c r="B44" s="491" t="s">
        <v>220</v>
      </c>
      <c r="C44" s="991">
        <f>SUM(C33:C37,C39:C42)</f>
        <v>12268.625</v>
      </c>
      <c r="D44" s="1608"/>
      <c r="E44" s="1608"/>
      <c r="G44" s="98" t="s">
        <v>294</v>
      </c>
      <c r="H44" s="891">
        <v>1500</v>
      </c>
      <c r="I44" s="1599" t="s">
        <v>771</v>
      </c>
      <c r="J44" s="1600"/>
      <c r="L44" s="98" t="s">
        <v>812</v>
      </c>
      <c r="M44" s="891">
        <v>1500</v>
      </c>
      <c r="N44" s="1599" t="s">
        <v>771</v>
      </c>
      <c r="O44" s="1600"/>
      <c r="S44" s="1056" t="s">
        <v>170</v>
      </c>
      <c r="T44" s="1054"/>
      <c r="U44" s="1054"/>
      <c r="V44" s="1054"/>
      <c r="X44" s="98" t="s">
        <v>821</v>
      </c>
      <c r="Y44" s="1109">
        <v>1500</v>
      </c>
      <c r="Z44" s="1545" t="s">
        <v>771</v>
      </c>
      <c r="AA44" s="1546"/>
      <c r="AE44" s="1668"/>
      <c r="AF44" s="1669"/>
      <c r="AG44" s="1669"/>
      <c r="AH44" s="1670"/>
      <c r="AJ44" s="1657"/>
      <c r="AK44" s="1658"/>
      <c r="AL44" s="1658"/>
      <c r="AM44" s="1659"/>
      <c r="AO44" s="1657"/>
      <c r="AP44" s="1658"/>
      <c r="AQ44" s="1658"/>
      <c r="AR44" s="1659"/>
    </row>
    <row r="45" spans="1:45" ht="18.75" customHeight="1" thickBot="1" x14ac:dyDescent="0.25">
      <c r="B45" s="493" t="s">
        <v>816</v>
      </c>
      <c r="C45" s="992">
        <f>C44+C31-C32</f>
        <v>44518.625</v>
      </c>
      <c r="D45" s="1607"/>
      <c r="E45" s="1607"/>
      <c r="G45" s="1056" t="s">
        <v>170</v>
      </c>
      <c r="H45" s="774"/>
      <c r="I45" s="774"/>
      <c r="J45" s="774"/>
      <c r="L45" s="1056" t="s">
        <v>170</v>
      </c>
      <c r="M45" s="774"/>
      <c r="N45" s="774"/>
      <c r="O45" s="774"/>
      <c r="S45" s="108" t="s">
        <v>23</v>
      </c>
      <c r="T45" s="1461">
        <f ca="1">SUM(T31:T32,T40:T43,T36:T38,T34)</f>
        <v>25096.736842105263</v>
      </c>
      <c r="U45" s="1458"/>
      <c r="V45" s="1459"/>
      <c r="X45" s="1056" t="s">
        <v>170</v>
      </c>
      <c r="Y45" s="1054"/>
      <c r="Z45" s="1054"/>
      <c r="AA45" s="1054"/>
      <c r="AJ45" s="1666" t="s">
        <v>566</v>
      </c>
      <c r="AK45" s="1598"/>
      <c r="AL45" s="1598"/>
      <c r="AM45" s="1667"/>
      <c r="AO45" s="1666" t="s">
        <v>566</v>
      </c>
      <c r="AP45" s="1598"/>
      <c r="AQ45" s="1598"/>
      <c r="AR45" s="1667"/>
    </row>
    <row r="46" spans="1:45" ht="18.75" customHeight="1" thickBot="1" x14ac:dyDescent="0.25">
      <c r="B46" s="690"/>
      <c r="C46" s="227"/>
      <c r="D46" s="227"/>
      <c r="E46" s="227"/>
      <c r="G46" s="108" t="s">
        <v>772</v>
      </c>
      <c r="H46" s="627">
        <f>SUM(H35:H44)</f>
        <v>12593</v>
      </c>
      <c r="I46" s="902"/>
      <c r="J46" s="902"/>
      <c r="L46" s="108" t="s">
        <v>772</v>
      </c>
      <c r="M46" s="627">
        <f>SUM(M34:M44)</f>
        <v>15638</v>
      </c>
      <c r="N46" s="902"/>
      <c r="O46" s="902"/>
      <c r="S46" s="110" t="s">
        <v>841</v>
      </c>
      <c r="T46" s="1460">
        <f ca="1">T45+T29-T30-T35-T27</f>
        <v>99696.736842105267</v>
      </c>
      <c r="U46" s="1456" t="s">
        <v>977</v>
      </c>
      <c r="V46" s="1457"/>
      <c r="X46" s="108" t="s">
        <v>23</v>
      </c>
      <c r="Y46" s="1040">
        <f ca="1">SUM(Y32:Y33,Y41:Y44,Y37:Y39,Y35)</f>
        <v>23974.414248021109</v>
      </c>
      <c r="Z46" s="961"/>
      <c r="AA46" s="961"/>
      <c r="AJ46" s="1668"/>
      <c r="AK46" s="1669"/>
      <c r="AL46" s="1669"/>
      <c r="AM46" s="1670"/>
      <c r="AO46" s="1668"/>
      <c r="AP46" s="1669"/>
      <c r="AQ46" s="1669"/>
      <c r="AR46" s="1670"/>
    </row>
    <row r="47" spans="1:45" ht="18.75" customHeight="1" x14ac:dyDescent="0.2">
      <c r="B47" s="1601" t="s">
        <v>376</v>
      </c>
      <c r="C47" s="1602"/>
      <c r="D47" s="1602"/>
      <c r="E47" s="1603"/>
      <c r="G47" s="437" t="s">
        <v>773</v>
      </c>
      <c r="H47" s="775">
        <f>SUM(H46,H33)</f>
        <v>91593</v>
      </c>
      <c r="I47" s="905"/>
      <c r="J47" s="905"/>
      <c r="L47" s="437" t="s">
        <v>773</v>
      </c>
      <c r="M47" s="775">
        <f>SUM(M46,M33)</f>
        <v>65638</v>
      </c>
      <c r="N47" s="905"/>
      <c r="O47" s="905"/>
      <c r="S47" s="535"/>
      <c r="T47" s="536"/>
      <c r="U47" s="536"/>
      <c r="V47" s="536"/>
      <c r="X47" s="437" t="s">
        <v>863</v>
      </c>
      <c r="Y47" s="1041">
        <f ca="1">Y46+Y30-Y36-Y28</f>
        <v>73224.414248021116</v>
      </c>
      <c r="Z47" s="961"/>
      <c r="AA47" s="961"/>
    </row>
    <row r="48" spans="1:45" ht="18.75" customHeight="1" thickBot="1" x14ac:dyDescent="0.25">
      <c r="B48" s="1604"/>
      <c r="C48" s="1605"/>
      <c r="D48" s="1605"/>
      <c r="E48" s="1606"/>
      <c r="G48" s="110" t="s">
        <v>535</v>
      </c>
      <c r="H48" s="1043">
        <f>MAX(0,H47-H17)</f>
        <v>7593</v>
      </c>
      <c r="I48" s="906"/>
      <c r="J48" s="906"/>
      <c r="L48" s="98" t="s">
        <v>836</v>
      </c>
      <c r="M48" s="803">
        <f>M17-M47</f>
        <v>159362</v>
      </c>
      <c r="N48" s="906"/>
      <c r="O48" s="906"/>
      <c r="S48" s="1583" t="s">
        <v>376</v>
      </c>
      <c r="T48" s="1584"/>
      <c r="U48" s="1584"/>
      <c r="V48" s="1585"/>
      <c r="X48" s="437" t="s">
        <v>846</v>
      </c>
      <c r="Y48" s="1041">
        <f ca="1">MAX(0,Y47-Y20)</f>
        <v>0</v>
      </c>
      <c r="Z48" s="961"/>
      <c r="AA48" s="961"/>
    </row>
    <row r="49" spans="2:27" ht="18.75" customHeight="1" thickBot="1" x14ac:dyDescent="0.25">
      <c r="B49" s="1598"/>
      <c r="C49" s="1598"/>
      <c r="D49" s="918"/>
      <c r="E49" s="918"/>
      <c r="G49" s="570"/>
      <c r="H49" s="571"/>
      <c r="I49" s="907"/>
      <c r="J49" s="907"/>
      <c r="L49" s="570"/>
      <c r="M49" s="571"/>
      <c r="N49" s="907"/>
      <c r="O49" s="907"/>
      <c r="S49" s="1586"/>
      <c r="T49" s="1587"/>
      <c r="U49" s="1587"/>
      <c r="V49" s="1588"/>
      <c r="X49" s="98" t="s">
        <v>845</v>
      </c>
      <c r="Y49" s="1039">
        <f ca="1">MAX(0,Y20-Y47-Y31)</f>
        <v>16025.585751978884</v>
      </c>
      <c r="Z49" s="961"/>
      <c r="AA49" s="961"/>
    </row>
    <row r="50" spans="2:27" ht="18.75" customHeight="1" x14ac:dyDescent="0.2">
      <c r="G50" s="1601" t="s">
        <v>376</v>
      </c>
      <c r="H50" s="1602"/>
      <c r="I50" s="1602"/>
      <c r="J50" s="1603"/>
      <c r="L50" s="1601" t="s">
        <v>376</v>
      </c>
      <c r="M50" s="1602"/>
      <c r="N50" s="1602"/>
      <c r="O50" s="1603"/>
      <c r="S50" s="1589" t="s">
        <v>493</v>
      </c>
      <c r="T50" s="1590"/>
      <c r="U50" s="1590"/>
      <c r="V50" s="1591"/>
      <c r="X50" s="535"/>
      <c r="Y50" s="536"/>
      <c r="Z50" s="536"/>
      <c r="AA50" s="536"/>
    </row>
    <row r="51" spans="2:27" ht="18.75" customHeight="1" x14ac:dyDescent="0.2">
      <c r="G51" s="1604"/>
      <c r="H51" s="1605"/>
      <c r="I51" s="1605"/>
      <c r="J51" s="1606"/>
      <c r="L51" s="1604"/>
      <c r="M51" s="1605"/>
      <c r="N51" s="1605"/>
      <c r="O51" s="1606"/>
      <c r="S51" s="1589"/>
      <c r="T51" s="1590"/>
      <c r="U51" s="1590"/>
      <c r="V51" s="1591"/>
      <c r="X51" s="1583" t="s">
        <v>376</v>
      </c>
      <c r="Y51" s="1584"/>
      <c r="Z51" s="1584"/>
      <c r="AA51" s="1585"/>
    </row>
    <row r="52" spans="2:27" ht="18.75" customHeight="1" x14ac:dyDescent="0.2">
      <c r="G52" s="776"/>
      <c r="H52" s="535"/>
      <c r="I52" s="571"/>
      <c r="J52" s="571"/>
      <c r="L52" s="776"/>
      <c r="M52" s="535"/>
      <c r="N52" s="571"/>
      <c r="O52" s="571"/>
      <c r="S52" s="1589"/>
      <c r="T52" s="1590"/>
      <c r="U52" s="1590"/>
      <c r="V52" s="1591"/>
      <c r="X52" s="1586"/>
      <c r="Y52" s="1587"/>
      <c r="Z52" s="1587"/>
      <c r="AA52" s="1588"/>
    </row>
    <row r="53" spans="2:27" ht="18.75" customHeight="1" x14ac:dyDescent="0.2">
      <c r="I53" s="535"/>
      <c r="J53" s="535"/>
      <c r="N53" s="535"/>
      <c r="O53" s="535"/>
      <c r="S53" s="1577" t="s">
        <v>494</v>
      </c>
      <c r="T53" s="1578"/>
      <c r="U53" s="1578"/>
      <c r="V53" s="1579"/>
      <c r="X53" s="1589" t="s">
        <v>493</v>
      </c>
      <c r="Y53" s="1590"/>
      <c r="Z53" s="1590"/>
      <c r="AA53" s="1591"/>
    </row>
    <row r="54" spans="2:27" ht="18.75" customHeight="1" x14ac:dyDescent="0.2">
      <c r="S54" s="1580"/>
      <c r="T54" s="1581"/>
      <c r="U54" s="1581"/>
      <c r="V54" s="1582"/>
      <c r="X54" s="1589"/>
      <c r="Y54" s="1590"/>
      <c r="Z54" s="1590"/>
      <c r="AA54" s="1591"/>
    </row>
    <row r="55" spans="2:27" ht="18.75" customHeight="1" x14ac:dyDescent="0.2">
      <c r="X55" s="1589"/>
      <c r="Y55" s="1590"/>
      <c r="Z55" s="1590"/>
      <c r="AA55" s="1591"/>
    </row>
    <row r="56" spans="2:27" ht="18.75" customHeight="1" x14ac:dyDescent="0.2">
      <c r="X56" s="1577" t="s">
        <v>494</v>
      </c>
      <c r="Y56" s="1578"/>
      <c r="Z56" s="1578"/>
      <c r="AA56" s="1579"/>
    </row>
    <row r="57" spans="2:27" ht="18.75" customHeight="1" x14ac:dyDescent="0.2">
      <c r="X57" s="1580"/>
      <c r="Y57" s="1581"/>
      <c r="Z57" s="1581"/>
      <c r="AA57" s="1582"/>
    </row>
    <row r="58" spans="2:27" ht="18.75" customHeight="1" x14ac:dyDescent="0.2"/>
    <row r="59" spans="2:27" ht="18.75" customHeight="1" x14ac:dyDescent="0.2"/>
    <row r="60" spans="2:27" ht="18.75" customHeight="1" x14ac:dyDescent="0.2"/>
    <row r="61" spans="2:27" ht="15" customHeight="1" x14ac:dyDescent="0.2"/>
    <row r="62" spans="2:27" ht="15" customHeight="1" x14ac:dyDescent="0.2"/>
    <row r="63" spans="2:27" ht="15" customHeight="1" x14ac:dyDescent="0.2"/>
    <row r="64" spans="2:27" ht="15.75" customHeight="1" x14ac:dyDescent="0.2"/>
  </sheetData>
  <mergeCells count="207">
    <mergeCell ref="H31:J31"/>
    <mergeCell ref="M31:O31"/>
    <mergeCell ref="B4:J4"/>
    <mergeCell ref="S4:AA4"/>
    <mergeCell ref="AE4:AM4"/>
    <mergeCell ref="X51:AA52"/>
    <mergeCell ref="X53:AA55"/>
    <mergeCell ref="X56:AA57"/>
    <mergeCell ref="S2:AA2"/>
    <mergeCell ref="T23:V23"/>
    <mergeCell ref="T22:V22"/>
    <mergeCell ref="Y30:AA30"/>
    <mergeCell ref="Y31:AA31"/>
    <mergeCell ref="Y19:AA19"/>
    <mergeCell ref="Y18:AA18"/>
    <mergeCell ref="Y17:AA17"/>
    <mergeCell ref="Y16:AA16"/>
    <mergeCell ref="Y15:AA15"/>
    <mergeCell ref="Z25:AA25"/>
    <mergeCell ref="U24:V24"/>
    <mergeCell ref="U27:V27"/>
    <mergeCell ref="Z28:AA28"/>
    <mergeCell ref="Y24:AA24"/>
    <mergeCell ref="Y23:AA23"/>
    <mergeCell ref="Z44:AA44"/>
    <mergeCell ref="Z39:AA39"/>
    <mergeCell ref="Z42:AA42"/>
    <mergeCell ref="Z43:AA43"/>
    <mergeCell ref="Z41:AA41"/>
    <mergeCell ref="Z37:AA37"/>
    <mergeCell ref="Z38:AA38"/>
    <mergeCell ref="Z35:AA35"/>
    <mergeCell ref="Z36:AA36"/>
    <mergeCell ref="AQ35:AR35"/>
    <mergeCell ref="AQ36:AR36"/>
    <mergeCell ref="AQ37:AR37"/>
    <mergeCell ref="AQ39:AR39"/>
    <mergeCell ref="AJ45:AM46"/>
    <mergeCell ref="C7:E7"/>
    <mergeCell ref="AF7:AH7"/>
    <mergeCell ref="AK7:AM7"/>
    <mergeCell ref="AO6:AR6"/>
    <mergeCell ref="AP7:AR7"/>
    <mergeCell ref="AP8:AR8"/>
    <mergeCell ref="AP9:AR9"/>
    <mergeCell ref="AP10:AR10"/>
    <mergeCell ref="AP11:AR11"/>
    <mergeCell ref="AP12:AR12"/>
    <mergeCell ref="AQ19:AR19"/>
    <mergeCell ref="AP26:AR26"/>
    <mergeCell ref="AP29:AR29"/>
    <mergeCell ref="AP30:AR30"/>
    <mergeCell ref="AP31:AR31"/>
    <mergeCell ref="AL39:AM39"/>
    <mergeCell ref="AQ40:AR40"/>
    <mergeCell ref="AO43:AR44"/>
    <mergeCell ref="AO45:AR46"/>
    <mergeCell ref="X6:AA6"/>
    <mergeCell ref="Y8:AA8"/>
    <mergeCell ref="Y9:AA9"/>
    <mergeCell ref="Y10:AA10"/>
    <mergeCell ref="Y11:AA11"/>
    <mergeCell ref="Y12:AA12"/>
    <mergeCell ref="AE2:AR2"/>
    <mergeCell ref="AQ34:AR34"/>
    <mergeCell ref="AQ33:AR33"/>
    <mergeCell ref="AK32:AM32"/>
    <mergeCell ref="AL34:AM34"/>
    <mergeCell ref="AK12:AM12"/>
    <mergeCell ref="AL19:AM19"/>
    <mergeCell ref="AK26:AM26"/>
    <mergeCell ref="AK30:AM30"/>
    <mergeCell ref="AK31:AM31"/>
    <mergeCell ref="AJ6:AM6"/>
    <mergeCell ref="AK8:AM8"/>
    <mergeCell ref="AK9:AM9"/>
    <mergeCell ref="Y26:AA26"/>
    <mergeCell ref="AK10:AM10"/>
    <mergeCell ref="AK11:AM11"/>
    <mergeCell ref="Y27:AA27"/>
    <mergeCell ref="AE41:AH42"/>
    <mergeCell ref="AE6:AH6"/>
    <mergeCell ref="AE43:AH44"/>
    <mergeCell ref="AG34:AH34"/>
    <mergeCell ref="AG35:AH35"/>
    <mergeCell ref="AG36:AH36"/>
    <mergeCell ref="AG38:AH38"/>
    <mergeCell ref="AG39:AH39"/>
    <mergeCell ref="AF25:AH25"/>
    <mergeCell ref="AF29:AH29"/>
    <mergeCell ref="AF30:AH30"/>
    <mergeCell ref="AF31:AH31"/>
    <mergeCell ref="AG33:AH33"/>
    <mergeCell ref="AL40:AM40"/>
    <mergeCell ref="AJ43:AM44"/>
    <mergeCell ref="AL35:AM35"/>
    <mergeCell ref="AL36:AM36"/>
    <mergeCell ref="AL37:AM37"/>
    <mergeCell ref="B2:O2"/>
    <mergeCell ref="G50:J51"/>
    <mergeCell ref="L50:O51"/>
    <mergeCell ref="AF8:AH8"/>
    <mergeCell ref="AF9:AH9"/>
    <mergeCell ref="AF10:AH10"/>
    <mergeCell ref="AF11:AH11"/>
    <mergeCell ref="AF12:AH12"/>
    <mergeCell ref="AG18:AH18"/>
    <mergeCell ref="H10:J10"/>
    <mergeCell ref="H11:J11"/>
    <mergeCell ref="H12:J12"/>
    <mergeCell ref="M8:O8"/>
    <mergeCell ref="H8:J8"/>
    <mergeCell ref="M9:O9"/>
    <mergeCell ref="H9:J9"/>
    <mergeCell ref="C12:E12"/>
    <mergeCell ref="C11:E11"/>
    <mergeCell ref="M12:O12"/>
    <mergeCell ref="M11:O11"/>
    <mergeCell ref="N40:O40"/>
    <mergeCell ref="N41:O41"/>
    <mergeCell ref="N42:O42"/>
    <mergeCell ref="N43:O43"/>
    <mergeCell ref="L6:O6"/>
    <mergeCell ref="M18:O18"/>
    <mergeCell ref="N19:O19"/>
    <mergeCell ref="M20:O20"/>
    <mergeCell ref="M21:O21"/>
    <mergeCell ref="M10:O10"/>
    <mergeCell ref="M28:O28"/>
    <mergeCell ref="M29:O29"/>
    <mergeCell ref="M30:O30"/>
    <mergeCell ref="M22:O22"/>
    <mergeCell ref="M23:O23"/>
    <mergeCell ref="M24:O24"/>
    <mergeCell ref="M25:O25"/>
    <mergeCell ref="H18:J18"/>
    <mergeCell ref="I19:J19"/>
    <mergeCell ref="H21:J21"/>
    <mergeCell ref="G6:J6"/>
    <mergeCell ref="H20:J20"/>
    <mergeCell ref="D42:E42"/>
    <mergeCell ref="D41:E41"/>
    <mergeCell ref="D40:E40"/>
    <mergeCell ref="D39:E39"/>
    <mergeCell ref="C24:E24"/>
    <mergeCell ref="C23:E23"/>
    <mergeCell ref="C21:E21"/>
    <mergeCell ref="C22:E22"/>
    <mergeCell ref="H27:J27"/>
    <mergeCell ref="H28:J28"/>
    <mergeCell ref="H29:J29"/>
    <mergeCell ref="H30:J30"/>
    <mergeCell ref="H23:J23"/>
    <mergeCell ref="H24:J24"/>
    <mergeCell ref="H25:J25"/>
    <mergeCell ref="H26:J26"/>
    <mergeCell ref="C29:E29"/>
    <mergeCell ref="C28:E28"/>
    <mergeCell ref="C27:E27"/>
    <mergeCell ref="C26:E26"/>
    <mergeCell ref="C25:E25"/>
    <mergeCell ref="B6:E6"/>
    <mergeCell ref="C10:E10"/>
    <mergeCell ref="C9:E9"/>
    <mergeCell ref="C8:E8"/>
    <mergeCell ref="C17:E17"/>
    <mergeCell ref="C20:E20"/>
    <mergeCell ref="C19:E19"/>
    <mergeCell ref="C37:E37"/>
    <mergeCell ref="C36:E36"/>
    <mergeCell ref="C35:E35"/>
    <mergeCell ref="C31:E31"/>
    <mergeCell ref="D18:E18"/>
    <mergeCell ref="S53:V54"/>
    <mergeCell ref="S48:V49"/>
    <mergeCell ref="S50:V52"/>
    <mergeCell ref="U42:V42"/>
    <mergeCell ref="U41:V41"/>
    <mergeCell ref="U40:V40"/>
    <mergeCell ref="U43:V43"/>
    <mergeCell ref="B49:C49"/>
    <mergeCell ref="I44:J44"/>
    <mergeCell ref="B47:E48"/>
    <mergeCell ref="D45:E45"/>
    <mergeCell ref="D44:E44"/>
    <mergeCell ref="I43:J43"/>
    <mergeCell ref="I42:J42"/>
    <mergeCell ref="I41:J41"/>
    <mergeCell ref="H22:J22"/>
    <mergeCell ref="N44:O44"/>
    <mergeCell ref="M26:O26"/>
    <mergeCell ref="M27:O27"/>
    <mergeCell ref="S6:V6"/>
    <mergeCell ref="U38:V38"/>
    <mergeCell ref="U37:V37"/>
    <mergeCell ref="U36:V36"/>
    <mergeCell ref="U35:V35"/>
    <mergeCell ref="U34:V34"/>
    <mergeCell ref="T8:V8"/>
    <mergeCell ref="T9:V9"/>
    <mergeCell ref="T10:V10"/>
    <mergeCell ref="T11:V11"/>
    <mergeCell ref="T12:V12"/>
    <mergeCell ref="U30:V30"/>
    <mergeCell ref="T26:V26"/>
    <mergeCell ref="T25:V25"/>
    <mergeCell ref="U29:V29"/>
  </mergeCells>
  <conditionalFormatting sqref="H34">
    <cfRule type="cellIs" dxfId="7" priority="2" operator="greaterThan">
      <formula>0</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43A0C-B227-43D9-8571-3EFD13B219A8}">
  <dimension ref="A1:AA58"/>
  <sheetViews>
    <sheetView showGridLines="0" topLeftCell="A30" zoomScale="150" zoomScaleNormal="150" workbookViewId="0">
      <selection activeCell="C33" sqref="C33:E33"/>
    </sheetView>
  </sheetViews>
  <sheetFormatPr baseColWidth="10" defaultColWidth="9.1640625" defaultRowHeight="15" x14ac:dyDescent="0.2"/>
  <cols>
    <col min="1" max="1" width="2.5" style="613" customWidth="1"/>
    <col min="2" max="2" width="44" style="613" customWidth="1"/>
    <col min="3" max="3" width="14.5" style="686" customWidth="1"/>
    <col min="4" max="4" width="7.33203125" style="686" customWidth="1"/>
    <col min="5" max="5" width="14.6640625" style="686" customWidth="1"/>
    <col min="6" max="6" width="14.5" style="686" customWidth="1"/>
    <col min="7" max="7" width="7.33203125" style="686" customWidth="1"/>
    <col min="8" max="8" width="14.6640625" style="686" customWidth="1"/>
    <col min="9" max="9" width="2.5" style="613" customWidth="1"/>
    <col min="10" max="10" width="44" style="613" customWidth="1"/>
    <col min="11" max="11" width="14.5" style="686" customWidth="1"/>
    <col min="12" max="12" width="7.33203125" style="686" customWidth="1"/>
    <col min="13" max="13" width="14.6640625" style="686" customWidth="1"/>
    <col min="14" max="14" width="14.5" style="686" customWidth="1"/>
    <col min="15" max="15" width="7.33203125" style="686" customWidth="1"/>
    <col min="16" max="16" width="14.6640625" style="686" customWidth="1"/>
    <col min="17" max="17" width="2.5" style="613" customWidth="1"/>
    <col min="18" max="18" width="44" style="613" customWidth="1"/>
    <col min="19" max="19" width="14.5" style="686" customWidth="1"/>
    <col min="20" max="20" width="7.33203125" style="686" customWidth="1"/>
    <col min="21" max="21" width="14.6640625" style="686" customWidth="1"/>
    <col min="22" max="22" width="14.5" style="686" customWidth="1"/>
    <col min="23" max="23" width="7.33203125" style="686" customWidth="1"/>
    <col min="24" max="24" width="14.6640625" style="686" customWidth="1"/>
    <col min="25" max="25" width="2.5" style="613" customWidth="1"/>
    <col min="26" max="26" width="1.1640625" style="999" customWidth="1"/>
    <col min="27" max="27" width="2.5" style="613" customWidth="1"/>
    <col min="28" max="16384" width="9.1640625" style="260"/>
  </cols>
  <sheetData>
    <row r="1" spans="1:27" ht="17.25" customHeight="1" x14ac:dyDescent="0.2"/>
    <row r="2" spans="1:27" ht="49.5" customHeight="1" x14ac:dyDescent="0.2">
      <c r="B2" s="1660" t="s">
        <v>897</v>
      </c>
      <c r="C2" s="1661"/>
      <c r="D2" s="1661"/>
      <c r="E2" s="1661"/>
      <c r="F2" s="1661"/>
      <c r="G2" s="1661"/>
      <c r="H2" s="1661"/>
      <c r="I2" s="1661"/>
      <c r="J2" s="1661"/>
      <c r="K2" s="1661"/>
      <c r="L2" s="1661"/>
      <c r="M2" s="1661"/>
      <c r="N2" s="1661"/>
      <c r="O2" s="1661"/>
      <c r="P2" s="1661"/>
      <c r="Q2" s="1661"/>
      <c r="R2" s="1661"/>
      <c r="S2" s="1661"/>
      <c r="T2" s="1661"/>
      <c r="U2" s="1661"/>
      <c r="V2" s="1661"/>
      <c r="W2" s="1661"/>
      <c r="X2" s="1662"/>
    </row>
    <row r="3" spans="1:27" ht="18" customHeight="1" x14ac:dyDescent="0.2"/>
    <row r="4" spans="1:27" ht="18" customHeight="1" x14ac:dyDescent="0.2">
      <c r="B4" s="1686" t="s">
        <v>922</v>
      </c>
      <c r="C4" s="1686"/>
      <c r="D4" s="1686"/>
      <c r="E4" s="1686"/>
      <c r="F4" s="1686"/>
      <c r="G4" s="1686"/>
      <c r="H4" s="1686"/>
      <c r="I4" s="1686"/>
      <c r="J4" s="1686"/>
    </row>
    <row r="5" spans="1:27" ht="18" customHeight="1" x14ac:dyDescent="0.2"/>
    <row r="6" spans="1:27" ht="18" customHeight="1" x14ac:dyDescent="0.2">
      <c r="B6" s="1619" t="s">
        <v>797</v>
      </c>
      <c r="C6" s="1620"/>
      <c r="D6" s="1620"/>
      <c r="E6" s="1620"/>
      <c r="F6" s="1620"/>
      <c r="G6" s="1620"/>
      <c r="H6" s="1621"/>
      <c r="J6" s="1738" t="s">
        <v>898</v>
      </c>
      <c r="K6" s="1739"/>
      <c r="L6" s="1739"/>
      <c r="M6" s="1739"/>
      <c r="N6" s="1739"/>
      <c r="O6" s="1739"/>
      <c r="P6" s="1740"/>
      <c r="R6" s="1738" t="s">
        <v>898</v>
      </c>
      <c r="S6" s="1739"/>
      <c r="T6" s="1739"/>
      <c r="U6" s="1739"/>
      <c r="V6" s="1739"/>
      <c r="W6" s="1739"/>
      <c r="X6" s="1740"/>
    </row>
    <row r="7" spans="1:27" ht="18" customHeight="1" thickBot="1" x14ac:dyDescent="0.25">
      <c r="B7" s="396" t="s">
        <v>15</v>
      </c>
      <c r="C7" s="1731">
        <f ca="1">TODAY()</f>
        <v>43713</v>
      </c>
      <c r="D7" s="1731"/>
      <c r="E7" s="1731"/>
      <c r="J7" s="396" t="s">
        <v>15</v>
      </c>
      <c r="K7" s="1731">
        <f ca="1">TODAY()</f>
        <v>43713</v>
      </c>
      <c r="L7" s="1731"/>
      <c r="M7" s="1731"/>
      <c r="R7" s="396" t="s">
        <v>15</v>
      </c>
      <c r="S7" s="1731">
        <f ca="1">TODAY()</f>
        <v>43713</v>
      </c>
      <c r="T7" s="1731"/>
      <c r="U7" s="1731"/>
    </row>
    <row r="8" spans="1:27" ht="18" customHeight="1" x14ac:dyDescent="0.2">
      <c r="B8" s="154" t="s">
        <v>24</v>
      </c>
      <c r="C8" s="1729" t="s">
        <v>1010</v>
      </c>
      <c r="D8" s="1729"/>
      <c r="E8" s="1729"/>
      <c r="F8" s="1729"/>
      <c r="G8" s="1729"/>
      <c r="H8" s="1730"/>
      <c r="J8" s="154" t="s">
        <v>24</v>
      </c>
      <c r="K8" s="1729" t="s">
        <v>724</v>
      </c>
      <c r="L8" s="1729"/>
      <c r="M8" s="1729"/>
      <c r="N8" s="1729"/>
      <c r="O8" s="1729"/>
      <c r="P8" s="1730"/>
      <c r="R8" s="154" t="s">
        <v>24</v>
      </c>
      <c r="S8" s="1729" t="s">
        <v>724</v>
      </c>
      <c r="T8" s="1729"/>
      <c r="U8" s="1729"/>
      <c r="V8" s="1729"/>
      <c r="W8" s="1729"/>
      <c r="X8" s="1730"/>
    </row>
    <row r="9" spans="1:27" ht="18" customHeight="1" x14ac:dyDescent="0.2">
      <c r="B9" s="303" t="s">
        <v>250</v>
      </c>
      <c r="C9" s="1727" t="s">
        <v>1011</v>
      </c>
      <c r="D9" s="1727"/>
      <c r="E9" s="1727"/>
      <c r="F9" s="1727"/>
      <c r="G9" s="1727"/>
      <c r="H9" s="1728"/>
      <c r="J9" s="303" t="s">
        <v>250</v>
      </c>
      <c r="K9" s="1727" t="s">
        <v>725</v>
      </c>
      <c r="L9" s="1727"/>
      <c r="M9" s="1727"/>
      <c r="N9" s="1727"/>
      <c r="O9" s="1727"/>
      <c r="P9" s="1728"/>
      <c r="R9" s="303" t="s">
        <v>250</v>
      </c>
      <c r="S9" s="1727" t="s">
        <v>725</v>
      </c>
      <c r="T9" s="1727"/>
      <c r="U9" s="1727"/>
      <c r="V9" s="1727"/>
      <c r="W9" s="1727"/>
      <c r="X9" s="1728"/>
      <c r="Y9" s="1023"/>
      <c r="Z9" s="1025"/>
      <c r="AA9" s="1023"/>
    </row>
    <row r="10" spans="1:27" ht="18" customHeight="1" x14ac:dyDescent="0.2">
      <c r="B10" s="303" t="s">
        <v>25</v>
      </c>
      <c r="C10" s="1555" t="s">
        <v>1013</v>
      </c>
      <c r="D10" s="1555"/>
      <c r="E10" s="1555"/>
      <c r="F10" s="1555"/>
      <c r="G10" s="1555"/>
      <c r="H10" s="1556"/>
      <c r="J10" s="303" t="s">
        <v>25</v>
      </c>
      <c r="K10" s="1555" t="s">
        <v>726</v>
      </c>
      <c r="L10" s="1555"/>
      <c r="M10" s="1555"/>
      <c r="N10" s="1555"/>
      <c r="O10" s="1555"/>
      <c r="P10" s="1556"/>
      <c r="R10" s="303" t="s">
        <v>25</v>
      </c>
      <c r="S10" s="1555" t="s">
        <v>726</v>
      </c>
      <c r="T10" s="1555"/>
      <c r="U10" s="1555"/>
      <c r="V10" s="1555"/>
      <c r="W10" s="1555"/>
      <c r="X10" s="1556"/>
      <c r="Y10" s="260"/>
      <c r="Z10" s="1000"/>
    </row>
    <row r="11" spans="1:27" ht="18" customHeight="1" x14ac:dyDescent="0.2">
      <c r="B11" s="303" t="s">
        <v>817</v>
      </c>
      <c r="C11" s="1744" t="s">
        <v>1012</v>
      </c>
      <c r="D11" s="1744"/>
      <c r="E11" s="1744"/>
      <c r="F11" s="1744"/>
      <c r="G11" s="1744"/>
      <c r="H11" s="1745"/>
      <c r="J11" s="303" t="s">
        <v>817</v>
      </c>
      <c r="K11" s="1744" t="s">
        <v>876</v>
      </c>
      <c r="L11" s="1744"/>
      <c r="M11" s="1744"/>
      <c r="N11" s="1744"/>
      <c r="O11" s="1744"/>
      <c r="P11" s="1745"/>
      <c r="R11" s="303" t="s">
        <v>817</v>
      </c>
      <c r="S11" s="1744" t="s">
        <v>876</v>
      </c>
      <c r="T11" s="1744"/>
      <c r="U11" s="1744"/>
      <c r="V11" s="1744"/>
      <c r="W11" s="1744"/>
      <c r="X11" s="1745"/>
      <c r="Y11" s="260"/>
      <c r="Z11" s="1000"/>
      <c r="AA11" s="260"/>
    </row>
    <row r="12" spans="1:27" ht="18" customHeight="1" thickBot="1" x14ac:dyDescent="0.25">
      <c r="A12" s="260"/>
      <c r="B12" s="888" t="s">
        <v>764</v>
      </c>
      <c r="C12" s="1742">
        <v>630</v>
      </c>
      <c r="D12" s="1742"/>
      <c r="E12" s="1742"/>
      <c r="F12" s="1742"/>
      <c r="G12" s="1742"/>
      <c r="H12" s="1743"/>
      <c r="I12" s="260"/>
      <c r="J12" s="888" t="s">
        <v>764</v>
      </c>
      <c r="K12" s="1742" t="s">
        <v>877</v>
      </c>
      <c r="L12" s="1742"/>
      <c r="M12" s="1742"/>
      <c r="N12" s="1742"/>
      <c r="O12" s="1742"/>
      <c r="P12" s="1743"/>
      <c r="Q12" s="260"/>
      <c r="R12" s="888" t="s">
        <v>764</v>
      </c>
      <c r="S12" s="1742" t="s">
        <v>877</v>
      </c>
      <c r="T12" s="1742"/>
      <c r="U12" s="1742"/>
      <c r="V12" s="1742"/>
      <c r="W12" s="1742"/>
      <c r="X12" s="1743"/>
      <c r="Y12" s="260"/>
      <c r="Z12" s="1000"/>
    </row>
    <row r="13" spans="1:27" ht="18" customHeight="1" thickBot="1" x14ac:dyDescent="0.25">
      <c r="B13" s="1045" t="s">
        <v>172</v>
      </c>
      <c r="C13" s="1737" t="s">
        <v>747</v>
      </c>
      <c r="D13" s="1737"/>
      <c r="E13" s="1737"/>
      <c r="F13" s="1737" t="s">
        <v>899</v>
      </c>
      <c r="G13" s="1737"/>
      <c r="H13" s="1737"/>
      <c r="J13" s="1045" t="s">
        <v>172</v>
      </c>
      <c r="K13" s="1746" t="s">
        <v>747</v>
      </c>
      <c r="L13" s="1746"/>
      <c r="M13" s="1746"/>
      <c r="N13" s="1746" t="s">
        <v>899</v>
      </c>
      <c r="O13" s="1746"/>
      <c r="P13" s="1746"/>
      <c r="R13" s="1045" t="s">
        <v>172</v>
      </c>
      <c r="S13" s="1746" t="s">
        <v>747</v>
      </c>
      <c r="T13" s="1746"/>
      <c r="U13" s="1746"/>
      <c r="V13" s="1746" t="s">
        <v>899</v>
      </c>
      <c r="W13" s="1746"/>
      <c r="X13" s="1746"/>
      <c r="Y13" s="260"/>
      <c r="Z13" s="1000"/>
    </row>
    <row r="14" spans="1:27" ht="18" customHeight="1" x14ac:dyDescent="0.2">
      <c r="B14" s="958" t="s">
        <v>291</v>
      </c>
      <c r="C14" s="1700">
        <v>92000</v>
      </c>
      <c r="D14" s="1700"/>
      <c r="E14" s="1700"/>
      <c r="F14" s="1741">
        <f>C14</f>
        <v>92000</v>
      </c>
      <c r="G14" s="1700"/>
      <c r="H14" s="1701"/>
      <c r="J14" s="958" t="s">
        <v>82</v>
      </c>
      <c r="K14" s="1700">
        <v>355000</v>
      </c>
      <c r="L14" s="1700"/>
      <c r="M14" s="1700"/>
      <c r="N14" s="1741">
        <v>355000</v>
      </c>
      <c r="O14" s="1700"/>
      <c r="P14" s="1701"/>
      <c r="R14" s="958" t="s">
        <v>82</v>
      </c>
      <c r="S14" s="1700">
        <v>355000</v>
      </c>
      <c r="T14" s="1700"/>
      <c r="U14" s="1700"/>
      <c r="V14" s="1741">
        <v>355000</v>
      </c>
      <c r="W14" s="1700"/>
      <c r="X14" s="1701"/>
      <c r="Y14" s="260"/>
      <c r="Z14" s="1000"/>
      <c r="AA14" s="260"/>
    </row>
    <row r="15" spans="1:27" ht="18" customHeight="1" x14ac:dyDescent="0.2">
      <c r="A15" s="260"/>
      <c r="B15" s="1008" t="s">
        <v>82</v>
      </c>
      <c r="C15" s="1696">
        <v>96000</v>
      </c>
      <c r="D15" s="1696"/>
      <c r="E15" s="1696"/>
      <c r="F15" s="1710">
        <f>C15</f>
        <v>96000</v>
      </c>
      <c r="G15" s="1711"/>
      <c r="H15" s="1712"/>
      <c r="I15" s="260"/>
      <c r="J15" s="1008" t="s">
        <v>84</v>
      </c>
      <c r="K15" s="1696">
        <v>100000</v>
      </c>
      <c r="L15" s="1696"/>
      <c r="M15" s="1696"/>
      <c r="N15" s="1747">
        <v>100000</v>
      </c>
      <c r="O15" s="1696"/>
      <c r="P15" s="1697"/>
      <c r="Q15" s="260"/>
      <c r="R15" s="1008" t="s">
        <v>84</v>
      </c>
      <c r="S15" s="1696">
        <v>100000</v>
      </c>
      <c r="T15" s="1696"/>
      <c r="U15" s="1696"/>
      <c r="V15" s="1747">
        <v>100000</v>
      </c>
      <c r="W15" s="1696"/>
      <c r="X15" s="1697"/>
      <c r="Y15" s="260"/>
      <c r="Z15" s="1000"/>
    </row>
    <row r="16" spans="1:27" ht="18" customHeight="1" x14ac:dyDescent="0.2">
      <c r="B16" s="971" t="s">
        <v>181</v>
      </c>
      <c r="C16" s="997">
        <f>C14*E16</f>
        <v>59800</v>
      </c>
      <c r="D16" s="924" t="s">
        <v>3</v>
      </c>
      <c r="E16" s="1010">
        <v>0.65</v>
      </c>
      <c r="F16" s="1015">
        <f>F14*H16</f>
        <v>59800</v>
      </c>
      <c r="G16" s="924" t="s">
        <v>3</v>
      </c>
      <c r="H16" s="998">
        <f>E16</f>
        <v>0.65</v>
      </c>
      <c r="J16" s="971" t="s">
        <v>181</v>
      </c>
      <c r="K16" s="997">
        <f>K14*M16</f>
        <v>266250</v>
      </c>
      <c r="L16" s="924" t="s">
        <v>3</v>
      </c>
      <c r="M16" s="1010">
        <v>0.75</v>
      </c>
      <c r="N16" s="1015">
        <f>N14*P16</f>
        <v>266250</v>
      </c>
      <c r="O16" s="924" t="s">
        <v>3</v>
      </c>
      <c r="P16" s="998">
        <v>0.75</v>
      </c>
      <c r="R16" s="971" t="s">
        <v>181</v>
      </c>
      <c r="S16" s="997">
        <f>S14*U16</f>
        <v>266250</v>
      </c>
      <c r="T16" s="924" t="s">
        <v>3</v>
      </c>
      <c r="U16" s="1010">
        <v>0.75</v>
      </c>
      <c r="V16" s="1015">
        <f>V14*X16</f>
        <v>266250</v>
      </c>
      <c r="W16" s="924" t="s">
        <v>3</v>
      </c>
      <c r="X16" s="998">
        <v>0.75</v>
      </c>
      <c r="Y16" s="1047"/>
      <c r="Z16" s="1049"/>
      <c r="AA16" s="1023"/>
    </row>
    <row r="17" spans="1:27" ht="18" customHeight="1" x14ac:dyDescent="0.2">
      <c r="B17" s="970" t="s">
        <v>800</v>
      </c>
      <c r="C17" s="1626">
        <v>6.6000000000000003E-2</v>
      </c>
      <c r="D17" s="1626"/>
      <c r="E17" s="1626"/>
      <c r="F17" s="1704">
        <v>5.6000000000000001E-2</v>
      </c>
      <c r="G17" s="1626"/>
      <c r="H17" s="1627"/>
      <c r="J17" s="970" t="s">
        <v>800</v>
      </c>
      <c r="K17" s="1626">
        <v>6.1249999999999999E-2</v>
      </c>
      <c r="L17" s="1626"/>
      <c r="M17" s="1626"/>
      <c r="N17" s="1704">
        <v>5.1249999999999997E-2</v>
      </c>
      <c r="O17" s="1626"/>
      <c r="P17" s="1627"/>
      <c r="R17" s="970" t="s">
        <v>800</v>
      </c>
      <c r="S17" s="1626">
        <v>6.1249999999999999E-2</v>
      </c>
      <c r="T17" s="1626"/>
      <c r="U17" s="1626"/>
      <c r="V17" s="1704">
        <v>5.1249999999999997E-2</v>
      </c>
      <c r="W17" s="1626"/>
      <c r="X17" s="1627"/>
      <c r="Y17" s="260"/>
      <c r="Z17" s="1000"/>
      <c r="AA17" s="260"/>
    </row>
    <row r="18" spans="1:27" ht="18" customHeight="1" x14ac:dyDescent="0.2">
      <c r="B18" s="971" t="s">
        <v>799</v>
      </c>
      <c r="C18" s="1322">
        <v>30</v>
      </c>
      <c r="D18" s="1735" t="s">
        <v>28</v>
      </c>
      <c r="E18" s="1735"/>
      <c r="F18" s="1321">
        <v>30</v>
      </c>
      <c r="G18" s="1735" t="s">
        <v>28</v>
      </c>
      <c r="H18" s="1736"/>
      <c r="J18" s="971" t="s">
        <v>799</v>
      </c>
      <c r="K18" s="1145">
        <v>30</v>
      </c>
      <c r="L18" s="1735" t="s">
        <v>28</v>
      </c>
      <c r="M18" s="1735"/>
      <c r="N18" s="1144">
        <v>30</v>
      </c>
      <c r="O18" s="1735" t="s">
        <v>28</v>
      </c>
      <c r="P18" s="1736"/>
      <c r="R18" s="971" t="s">
        <v>799</v>
      </c>
      <c r="S18" s="1145">
        <v>30</v>
      </c>
      <c r="T18" s="1735" t="s">
        <v>28</v>
      </c>
      <c r="U18" s="1735"/>
      <c r="V18" s="1144">
        <v>30</v>
      </c>
      <c r="W18" s="1735" t="s">
        <v>28</v>
      </c>
      <c r="X18" s="1736"/>
      <c r="Y18" s="260"/>
      <c r="Z18" s="1000"/>
    </row>
    <row r="19" spans="1:27" ht="18" customHeight="1" x14ac:dyDescent="0.2">
      <c r="A19" s="260"/>
      <c r="B19" s="970" t="s">
        <v>798</v>
      </c>
      <c r="C19" s="1628">
        <v>12</v>
      </c>
      <c r="D19" s="1628"/>
      <c r="E19" s="1628"/>
      <c r="F19" s="1705">
        <v>12</v>
      </c>
      <c r="G19" s="1628"/>
      <c r="H19" s="1629"/>
      <c r="I19" s="260"/>
      <c r="J19" s="970" t="s">
        <v>798</v>
      </c>
      <c r="K19" s="1628">
        <v>12</v>
      </c>
      <c r="L19" s="1628"/>
      <c r="M19" s="1628"/>
      <c r="N19" s="1705">
        <v>12</v>
      </c>
      <c r="O19" s="1628"/>
      <c r="P19" s="1629"/>
      <c r="Q19" s="260"/>
      <c r="R19" s="970" t="s">
        <v>798</v>
      </c>
      <c r="S19" s="1628">
        <v>12</v>
      </c>
      <c r="T19" s="1628"/>
      <c r="U19" s="1628"/>
      <c r="V19" s="1705">
        <v>12</v>
      </c>
      <c r="W19" s="1628"/>
      <c r="X19" s="1629"/>
      <c r="Y19" s="260"/>
      <c r="Z19" s="1000"/>
    </row>
    <row r="20" spans="1:27" ht="18" customHeight="1" x14ac:dyDescent="0.2">
      <c r="B20" s="971" t="s">
        <v>801</v>
      </c>
      <c r="C20" s="1611">
        <f>C18*C19</f>
        <v>360</v>
      </c>
      <c r="D20" s="1611"/>
      <c r="E20" s="1611"/>
      <c r="F20" s="1706">
        <f>F18*F19</f>
        <v>360</v>
      </c>
      <c r="G20" s="1611"/>
      <c r="H20" s="1612"/>
      <c r="J20" s="971" t="s">
        <v>801</v>
      </c>
      <c r="K20" s="1611">
        <f>K18*K19</f>
        <v>360</v>
      </c>
      <c r="L20" s="1611"/>
      <c r="M20" s="1611"/>
      <c r="N20" s="1706">
        <f>N18*N19</f>
        <v>360</v>
      </c>
      <c r="O20" s="1611"/>
      <c r="P20" s="1612"/>
      <c r="R20" s="971" t="s">
        <v>801</v>
      </c>
      <c r="S20" s="1611">
        <f>S18*S19</f>
        <v>360</v>
      </c>
      <c r="T20" s="1611"/>
      <c r="U20" s="1611"/>
      <c r="V20" s="1706">
        <f>V18*V19</f>
        <v>360</v>
      </c>
      <c r="W20" s="1611"/>
      <c r="X20" s="1612"/>
      <c r="Y20" s="260"/>
      <c r="Z20" s="1000"/>
    </row>
    <row r="21" spans="1:27" ht="18" customHeight="1" x14ac:dyDescent="0.2">
      <c r="B21" s="970" t="s">
        <v>806</v>
      </c>
      <c r="C21" s="1643">
        <f>-PMT(C17/C19,C20,C16,0)</f>
        <v>381.91797317874284</v>
      </c>
      <c r="D21" s="1643"/>
      <c r="E21" s="1643"/>
      <c r="F21" s="1707">
        <f>-PMT(F17/F19,F20,F16,0)</f>
        <v>343.29923042354039</v>
      </c>
      <c r="G21" s="1643"/>
      <c r="H21" s="1644"/>
      <c r="J21" s="970" t="s">
        <v>806</v>
      </c>
      <c r="K21" s="1643">
        <f>-PMT(K17/K19,K20,K16,0)</f>
        <v>1617.7630616335919</v>
      </c>
      <c r="L21" s="1643"/>
      <c r="M21" s="1643"/>
      <c r="N21" s="1707">
        <f>-PMT(N17/N19,N20,N16,0)</f>
        <v>1449.696562885606</v>
      </c>
      <c r="O21" s="1643"/>
      <c r="P21" s="1644"/>
      <c r="R21" s="970" t="s">
        <v>806</v>
      </c>
      <c r="S21" s="1643">
        <f>-PMT(S17/S19,S20,S16,0)</f>
        <v>1617.7630616335919</v>
      </c>
      <c r="T21" s="1643"/>
      <c r="U21" s="1643"/>
      <c r="V21" s="1707">
        <f>-PMT(V17/V19,V20,V16,0)</f>
        <v>1449.696562885606</v>
      </c>
      <c r="W21" s="1643"/>
      <c r="X21" s="1644"/>
      <c r="Y21" s="260"/>
      <c r="Z21" s="1000"/>
    </row>
    <row r="22" spans="1:27" ht="18" customHeight="1" x14ac:dyDescent="0.2">
      <c r="B22" s="971" t="s">
        <v>982</v>
      </c>
      <c r="C22" s="1563">
        <f>C21*C20</f>
        <v>137490.47034434741</v>
      </c>
      <c r="D22" s="1563"/>
      <c r="E22" s="1563"/>
      <c r="F22" s="1708">
        <f>F21*F20</f>
        <v>123587.72295247455</v>
      </c>
      <c r="G22" s="1563"/>
      <c r="H22" s="1564"/>
      <c r="J22" s="971" t="s">
        <v>982</v>
      </c>
      <c r="K22" s="1563">
        <f>K21*K20</f>
        <v>582394.7021880931</v>
      </c>
      <c r="L22" s="1563"/>
      <c r="M22" s="1563"/>
      <c r="N22" s="1708">
        <f>N21*N20</f>
        <v>521890.76263881818</v>
      </c>
      <c r="O22" s="1563"/>
      <c r="P22" s="1564"/>
      <c r="R22" s="971" t="s">
        <v>982</v>
      </c>
      <c r="S22" s="1563">
        <f>S21*S20</f>
        <v>582394.7021880931</v>
      </c>
      <c r="T22" s="1563"/>
      <c r="U22" s="1563"/>
      <c r="V22" s="1708">
        <f>V21*V20</f>
        <v>521890.76263881818</v>
      </c>
      <c r="W22" s="1563"/>
      <c r="X22" s="1564"/>
      <c r="Y22" s="260"/>
      <c r="Z22" s="1000"/>
    </row>
    <row r="23" spans="1:27" ht="18" customHeight="1" x14ac:dyDescent="0.2">
      <c r="B23" s="979" t="s">
        <v>981</v>
      </c>
      <c r="C23" s="1641">
        <f>C22-C16</f>
        <v>77690.470344347414</v>
      </c>
      <c r="D23" s="1641"/>
      <c r="E23" s="1641"/>
      <c r="F23" s="1709">
        <f>F22-F16</f>
        <v>63787.722952474549</v>
      </c>
      <c r="G23" s="1641"/>
      <c r="H23" s="1642"/>
      <c r="J23" s="979" t="s">
        <v>981</v>
      </c>
      <c r="K23" s="1641">
        <f>K22-K16</f>
        <v>316144.7021880931</v>
      </c>
      <c r="L23" s="1641"/>
      <c r="M23" s="1641"/>
      <c r="N23" s="1709">
        <f>N22-N16</f>
        <v>255640.76263881818</v>
      </c>
      <c r="O23" s="1641"/>
      <c r="P23" s="1642"/>
      <c r="R23" s="979" t="s">
        <v>981</v>
      </c>
      <c r="S23" s="1641">
        <f>S22-S16</f>
        <v>316144.7021880931</v>
      </c>
      <c r="T23" s="1641"/>
      <c r="U23" s="1641"/>
      <c r="V23" s="1709">
        <f>V22-V16</f>
        <v>255640.76263881818</v>
      </c>
      <c r="W23" s="1641"/>
      <c r="X23" s="1642"/>
      <c r="Y23" s="260"/>
      <c r="Z23" s="1000"/>
    </row>
    <row r="24" spans="1:27" ht="18" customHeight="1" x14ac:dyDescent="0.2">
      <c r="B24" s="971" t="s">
        <v>299</v>
      </c>
      <c r="C24" s="1639">
        <v>1600</v>
      </c>
      <c r="D24" s="1639"/>
      <c r="E24" s="1639"/>
      <c r="F24" s="1710">
        <f>C24</f>
        <v>1600</v>
      </c>
      <c r="G24" s="1711"/>
      <c r="H24" s="1712"/>
      <c r="J24" s="971" t="s">
        <v>299</v>
      </c>
      <c r="K24" s="1639">
        <v>2000</v>
      </c>
      <c r="L24" s="1639"/>
      <c r="M24" s="1639"/>
      <c r="N24" s="1726">
        <v>2000</v>
      </c>
      <c r="O24" s="1639"/>
      <c r="P24" s="1640"/>
      <c r="R24" s="971" t="s">
        <v>299</v>
      </c>
      <c r="S24" s="1639">
        <v>2000</v>
      </c>
      <c r="T24" s="1639"/>
      <c r="U24" s="1639"/>
      <c r="V24" s="1726">
        <v>2000</v>
      </c>
      <c r="W24" s="1639"/>
      <c r="X24" s="1640"/>
      <c r="Y24" s="260"/>
      <c r="Z24" s="1000"/>
    </row>
    <row r="25" spans="1:27" ht="18" customHeight="1" x14ac:dyDescent="0.2">
      <c r="B25" s="970" t="s">
        <v>524</v>
      </c>
      <c r="C25" s="1615">
        <v>148</v>
      </c>
      <c r="D25" s="1615"/>
      <c r="E25" s="1615"/>
      <c r="F25" s="1721">
        <f>C25</f>
        <v>148</v>
      </c>
      <c r="G25" s="1615"/>
      <c r="H25" s="1616"/>
      <c r="J25" s="970" t="s">
        <v>524</v>
      </c>
      <c r="K25" s="1615">
        <v>67</v>
      </c>
      <c r="L25" s="1615"/>
      <c r="M25" s="1615"/>
      <c r="N25" s="1721">
        <v>67</v>
      </c>
      <c r="O25" s="1615"/>
      <c r="P25" s="1616"/>
      <c r="R25" s="970" t="s">
        <v>524</v>
      </c>
      <c r="S25" s="1615">
        <v>67</v>
      </c>
      <c r="T25" s="1615"/>
      <c r="U25" s="1615"/>
      <c r="V25" s="1721">
        <v>67</v>
      </c>
      <c r="W25" s="1615"/>
      <c r="X25" s="1616"/>
      <c r="Y25" s="260"/>
      <c r="Z25" s="1000"/>
    </row>
    <row r="26" spans="1:27" ht="18" customHeight="1" x14ac:dyDescent="0.2">
      <c r="B26" s="971" t="s">
        <v>525</v>
      </c>
      <c r="C26" s="1617">
        <v>75</v>
      </c>
      <c r="D26" s="1617"/>
      <c r="E26" s="1617"/>
      <c r="F26" s="1721">
        <f>C26</f>
        <v>75</v>
      </c>
      <c r="G26" s="1615"/>
      <c r="H26" s="1616"/>
      <c r="J26" s="971" t="s">
        <v>525</v>
      </c>
      <c r="K26" s="1617">
        <v>148</v>
      </c>
      <c r="L26" s="1617"/>
      <c r="M26" s="1617"/>
      <c r="N26" s="1748">
        <v>148</v>
      </c>
      <c r="O26" s="1617"/>
      <c r="P26" s="1618"/>
      <c r="R26" s="971" t="s">
        <v>525</v>
      </c>
      <c r="S26" s="1617">
        <v>148</v>
      </c>
      <c r="T26" s="1617"/>
      <c r="U26" s="1617"/>
      <c r="V26" s="1748">
        <v>148</v>
      </c>
      <c r="W26" s="1617"/>
      <c r="X26" s="1618"/>
      <c r="Y26" s="260"/>
      <c r="Z26" s="1000"/>
    </row>
    <row r="27" spans="1:27" ht="18" customHeight="1" x14ac:dyDescent="0.2">
      <c r="B27" s="970" t="s">
        <v>807</v>
      </c>
      <c r="C27" s="1645">
        <f>C21+C26+C25</f>
        <v>604.91797317874284</v>
      </c>
      <c r="D27" s="1645"/>
      <c r="E27" s="1645"/>
      <c r="F27" s="1722">
        <f>F21+F26+F25</f>
        <v>566.29923042354039</v>
      </c>
      <c r="G27" s="1645"/>
      <c r="H27" s="1646"/>
      <c r="J27" s="970" t="s">
        <v>807</v>
      </c>
      <c r="K27" s="1645">
        <f>K21+K26+K25</f>
        <v>1832.7630616335919</v>
      </c>
      <c r="L27" s="1645"/>
      <c r="M27" s="1645"/>
      <c r="N27" s="1722">
        <f>N21+N26+N25</f>
        <v>1664.696562885606</v>
      </c>
      <c r="O27" s="1645"/>
      <c r="P27" s="1646"/>
      <c r="R27" s="970" t="s">
        <v>807</v>
      </c>
      <c r="S27" s="1645">
        <f>S21+S26+S25</f>
        <v>1832.7630616335919</v>
      </c>
      <c r="T27" s="1645"/>
      <c r="U27" s="1645"/>
      <c r="V27" s="1722">
        <f>V21+V26+V25</f>
        <v>1664.696562885606</v>
      </c>
      <c r="W27" s="1645"/>
      <c r="X27" s="1646"/>
      <c r="Y27" s="260"/>
      <c r="Z27" s="1000"/>
    </row>
    <row r="28" spans="1:27" ht="18" customHeight="1" x14ac:dyDescent="0.2">
      <c r="B28" s="971" t="s">
        <v>808</v>
      </c>
      <c r="C28" s="1647">
        <f>C24/C27</f>
        <v>2.644986710499388</v>
      </c>
      <c r="D28" s="1647"/>
      <c r="E28" s="1647"/>
      <c r="F28" s="1717">
        <f>F24/F27</f>
        <v>2.8253614238595119</v>
      </c>
      <c r="G28" s="1647"/>
      <c r="H28" s="1648"/>
      <c r="J28" s="971" t="s">
        <v>808</v>
      </c>
      <c r="K28" s="1647">
        <f>K24/K27</f>
        <v>1.0912485317209226</v>
      </c>
      <c r="L28" s="1647"/>
      <c r="M28" s="1647"/>
      <c r="N28" s="1717">
        <f>N24/N27</f>
        <v>1.2014201534321516</v>
      </c>
      <c r="O28" s="1647"/>
      <c r="P28" s="1648"/>
      <c r="R28" s="971" t="s">
        <v>808</v>
      </c>
      <c r="S28" s="1647">
        <f>S24/S27</f>
        <v>1.0912485317209226</v>
      </c>
      <c r="T28" s="1647"/>
      <c r="U28" s="1647"/>
      <c r="V28" s="1717">
        <f>V24/V27</f>
        <v>1.2014201534321516</v>
      </c>
      <c r="W28" s="1647"/>
      <c r="X28" s="1648"/>
      <c r="Y28" s="260"/>
      <c r="Z28" s="1000"/>
    </row>
    <row r="29" spans="1:27" ht="18" customHeight="1" x14ac:dyDescent="0.2">
      <c r="B29" s="1016" t="s">
        <v>938</v>
      </c>
      <c r="C29" s="1565">
        <f>C24-C27</f>
        <v>995.08202682125716</v>
      </c>
      <c r="D29" s="1565"/>
      <c r="E29" s="1753"/>
      <c r="F29" s="1565">
        <f>F24-F27</f>
        <v>1033.7007695764596</v>
      </c>
      <c r="G29" s="1565"/>
      <c r="H29" s="1566"/>
      <c r="J29" s="1016" t="s">
        <v>938</v>
      </c>
      <c r="K29" s="1754">
        <f>K24-K27</f>
        <v>167.23693836640814</v>
      </c>
      <c r="L29" s="1754"/>
      <c r="M29" s="1755"/>
      <c r="N29" s="1565">
        <f>N24-N27</f>
        <v>335.303437114394</v>
      </c>
      <c r="O29" s="1565"/>
      <c r="P29" s="1566"/>
      <c r="R29" s="1016" t="s">
        <v>938</v>
      </c>
      <c r="S29" s="1565">
        <f>S24-S27</f>
        <v>167.23693836640814</v>
      </c>
      <c r="T29" s="1565"/>
      <c r="U29" s="1753"/>
      <c r="V29" s="1565">
        <f>V24-V27</f>
        <v>335.303437114394</v>
      </c>
      <c r="W29" s="1565"/>
      <c r="X29" s="1566"/>
      <c r="Y29" s="260"/>
      <c r="Z29" s="1000"/>
    </row>
    <row r="30" spans="1:27" ht="18" customHeight="1" thickBot="1" x14ac:dyDescent="0.25">
      <c r="B30" s="1307" t="s">
        <v>53</v>
      </c>
      <c r="C30" s="1713" t="s">
        <v>820</v>
      </c>
      <c r="D30" s="1713"/>
      <c r="E30" s="1713"/>
      <c r="F30" s="1718" t="s">
        <v>820</v>
      </c>
      <c r="G30" s="1713"/>
      <c r="H30" s="1719"/>
      <c r="J30" s="1307" t="s">
        <v>53</v>
      </c>
      <c r="K30" s="1713" t="s">
        <v>820</v>
      </c>
      <c r="L30" s="1713"/>
      <c r="M30" s="1713"/>
      <c r="N30" s="1718" t="s">
        <v>820</v>
      </c>
      <c r="O30" s="1713"/>
      <c r="P30" s="1719"/>
      <c r="R30" s="1307" t="s">
        <v>53</v>
      </c>
      <c r="S30" s="1713" t="s">
        <v>820</v>
      </c>
      <c r="T30" s="1713"/>
      <c r="U30" s="1713"/>
      <c r="V30" s="1718" t="s">
        <v>820</v>
      </c>
      <c r="W30" s="1713"/>
      <c r="X30" s="1719"/>
      <c r="Y30" s="260"/>
      <c r="Z30" s="1000"/>
    </row>
    <row r="31" spans="1:27" ht="18" customHeight="1" thickBot="1" x14ac:dyDescent="0.25">
      <c r="B31" s="396" t="s">
        <v>208</v>
      </c>
      <c r="C31" s="505"/>
      <c r="D31" s="505"/>
      <c r="E31" s="505"/>
      <c r="F31" s="505"/>
      <c r="G31" s="505"/>
      <c r="H31" s="505"/>
      <c r="J31" s="396" t="s">
        <v>208</v>
      </c>
      <c r="K31" s="505"/>
      <c r="L31" s="505"/>
      <c r="M31" s="505"/>
      <c r="N31" s="505"/>
      <c r="O31" s="505"/>
      <c r="P31" s="505"/>
      <c r="R31" s="396" t="s">
        <v>208</v>
      </c>
      <c r="S31" s="505"/>
      <c r="T31" s="505"/>
      <c r="U31" s="505"/>
      <c r="V31" s="505"/>
      <c r="W31" s="505"/>
      <c r="X31" s="505"/>
      <c r="Y31" s="260"/>
      <c r="Z31" s="1000"/>
    </row>
    <row r="32" spans="1:27" ht="18" customHeight="1" x14ac:dyDescent="0.2">
      <c r="B32" s="464" t="s">
        <v>4</v>
      </c>
      <c r="C32" s="1573">
        <f>C14-C16</f>
        <v>32200</v>
      </c>
      <c r="D32" s="1573"/>
      <c r="E32" s="1573"/>
      <c r="F32" s="1720">
        <f>F14-F16</f>
        <v>32200</v>
      </c>
      <c r="G32" s="1573"/>
      <c r="H32" s="1574"/>
      <c r="J32" s="464" t="s">
        <v>881</v>
      </c>
      <c r="K32" s="1573">
        <f>K15-K33</f>
        <v>100000</v>
      </c>
      <c r="L32" s="1573"/>
      <c r="M32" s="1573"/>
      <c r="N32" s="1720">
        <f>N15-N33</f>
        <v>100000</v>
      </c>
      <c r="O32" s="1573"/>
      <c r="P32" s="1574"/>
      <c r="R32" s="486" t="s">
        <v>43</v>
      </c>
      <c r="S32" s="1684">
        <f>S15</f>
        <v>100000</v>
      </c>
      <c r="T32" s="1684"/>
      <c r="U32" s="1684"/>
      <c r="V32" s="1749">
        <f>V15</f>
        <v>100000</v>
      </c>
      <c r="W32" s="1684"/>
      <c r="X32" s="1685"/>
      <c r="Y32" s="260"/>
      <c r="Z32" s="1000"/>
    </row>
    <row r="33" spans="1:27" ht="18" customHeight="1" x14ac:dyDescent="0.2">
      <c r="B33" s="465" t="s">
        <v>815</v>
      </c>
      <c r="C33" s="1724">
        <v>1000</v>
      </c>
      <c r="D33" s="1724"/>
      <c r="E33" s="1724"/>
      <c r="F33" s="1723">
        <f>C33</f>
        <v>1000</v>
      </c>
      <c r="G33" s="1724"/>
      <c r="H33" s="1725"/>
      <c r="J33" s="465" t="s">
        <v>882</v>
      </c>
      <c r="K33" s="1750">
        <f>MAX(0,K15-K16)</f>
        <v>0</v>
      </c>
      <c r="L33" s="1750"/>
      <c r="M33" s="1750"/>
      <c r="N33" s="1751">
        <f>MAX(0,N15-N16)</f>
        <v>0</v>
      </c>
      <c r="O33" s="1750"/>
      <c r="P33" s="1752"/>
      <c r="R33" s="466" t="s">
        <v>45</v>
      </c>
      <c r="S33" s="995">
        <f>S16*U33</f>
        <v>0</v>
      </c>
      <c r="T33" s="920" t="s">
        <v>617</v>
      </c>
      <c r="U33" s="1005">
        <v>0</v>
      </c>
      <c r="V33" s="1011">
        <f>V16*X33</f>
        <v>2662.5</v>
      </c>
      <c r="W33" s="920" t="s">
        <v>617</v>
      </c>
      <c r="X33" s="922">
        <v>0.01</v>
      </c>
      <c r="Y33" s="260"/>
      <c r="Z33" s="1000"/>
    </row>
    <row r="34" spans="1:27" ht="18" customHeight="1" x14ac:dyDescent="0.2">
      <c r="B34" s="466" t="s">
        <v>45</v>
      </c>
      <c r="C34" s="1135">
        <f>C16*E34</f>
        <v>1196</v>
      </c>
      <c r="D34" s="920" t="s">
        <v>617</v>
      </c>
      <c r="E34" s="1005">
        <v>0.02</v>
      </c>
      <c r="F34" s="1011">
        <f>F16*H34</f>
        <v>2392</v>
      </c>
      <c r="G34" s="920" t="s">
        <v>617</v>
      </c>
      <c r="H34" s="922">
        <v>0.04</v>
      </c>
      <c r="J34" s="466" t="s">
        <v>45</v>
      </c>
      <c r="K34" s="995">
        <f>K16*M34</f>
        <v>5325</v>
      </c>
      <c r="L34" s="920" t="s">
        <v>617</v>
      </c>
      <c r="M34" s="1005">
        <v>0.02</v>
      </c>
      <c r="N34" s="1011">
        <f>N16*P34</f>
        <v>10650</v>
      </c>
      <c r="O34" s="920" t="s">
        <v>617</v>
      </c>
      <c r="P34" s="922">
        <v>0.04</v>
      </c>
      <c r="R34" s="465" t="s">
        <v>10</v>
      </c>
      <c r="S34" s="996">
        <f>MAX(3500,S16*U34)</f>
        <v>5325</v>
      </c>
      <c r="T34" s="921" t="s">
        <v>617</v>
      </c>
      <c r="U34" s="1006">
        <v>0.02</v>
      </c>
      <c r="V34" s="1012">
        <f>MAX(3500,V16*X34)</f>
        <v>5325</v>
      </c>
      <c r="W34" s="921" t="s">
        <v>617</v>
      </c>
      <c r="X34" s="923">
        <v>0.02</v>
      </c>
      <c r="Y34" s="260"/>
      <c r="Z34" s="1000"/>
    </row>
    <row r="35" spans="1:27" ht="18" customHeight="1" x14ac:dyDescent="0.2">
      <c r="B35" s="465" t="s">
        <v>10</v>
      </c>
      <c r="C35" s="1132">
        <f>MAX(3500,C16*E35)</f>
        <v>3500</v>
      </c>
      <c r="D35" s="921" t="s">
        <v>617</v>
      </c>
      <c r="E35" s="1006">
        <v>0</v>
      </c>
      <c r="F35" s="1012">
        <f>MAX(3500,F16*H35)</f>
        <v>3500</v>
      </c>
      <c r="G35" s="921" t="s">
        <v>617</v>
      </c>
      <c r="H35" s="923">
        <v>0</v>
      </c>
      <c r="J35" s="465" t="s">
        <v>10</v>
      </c>
      <c r="K35" s="996">
        <f>MAX(3500,K16*M35)</f>
        <v>5325</v>
      </c>
      <c r="L35" s="921" t="s">
        <v>617</v>
      </c>
      <c r="M35" s="1006">
        <v>0.02</v>
      </c>
      <c r="N35" s="1012">
        <f>MAX(3500,N16*P35)</f>
        <v>5325</v>
      </c>
      <c r="O35" s="921" t="s">
        <v>617</v>
      </c>
      <c r="P35" s="923">
        <v>0.02</v>
      </c>
      <c r="R35" s="76" t="s">
        <v>26</v>
      </c>
      <c r="S35" s="796">
        <v>1245</v>
      </c>
      <c r="T35" s="1571" t="s">
        <v>771</v>
      </c>
      <c r="U35" s="1571"/>
      <c r="V35" s="1293">
        <v>1245</v>
      </c>
      <c r="W35" s="1571" t="s">
        <v>771</v>
      </c>
      <c r="X35" s="1572"/>
      <c r="Y35" s="260"/>
      <c r="Z35" s="1000"/>
    </row>
    <row r="36" spans="1:27" ht="18" customHeight="1" x14ac:dyDescent="0.2">
      <c r="B36" s="76" t="s">
        <v>26</v>
      </c>
      <c r="C36" s="796">
        <v>1245</v>
      </c>
      <c r="D36" s="1571" t="s">
        <v>771</v>
      </c>
      <c r="E36" s="1571"/>
      <c r="F36" s="1293">
        <f>C36</f>
        <v>1245</v>
      </c>
      <c r="G36" s="1571" t="s">
        <v>771</v>
      </c>
      <c r="H36" s="1572"/>
      <c r="J36" s="76" t="s">
        <v>26</v>
      </c>
      <c r="K36" s="796">
        <v>1245</v>
      </c>
      <c r="L36" s="1571" t="s">
        <v>771</v>
      </c>
      <c r="M36" s="1571"/>
      <c r="N36" s="1293">
        <v>1245</v>
      </c>
      <c r="O36" s="1571" t="s">
        <v>771</v>
      </c>
      <c r="P36" s="1572"/>
      <c r="R36" s="91" t="s">
        <v>796</v>
      </c>
      <c r="S36" s="963">
        <f>U36*S25</f>
        <v>134</v>
      </c>
      <c r="T36" s="963" t="s">
        <v>794</v>
      </c>
      <c r="U36" s="1294">
        <v>2</v>
      </c>
      <c r="V36" s="1013">
        <f>X36*V25</f>
        <v>134</v>
      </c>
      <c r="W36" s="963" t="s">
        <v>794</v>
      </c>
      <c r="X36" s="1296">
        <v>2</v>
      </c>
      <c r="Y36" s="260"/>
      <c r="Z36" s="1000"/>
    </row>
    <row r="37" spans="1:27" ht="18" customHeight="1" thickBot="1" x14ac:dyDescent="0.25">
      <c r="B37" s="91" t="s">
        <v>796</v>
      </c>
      <c r="C37" s="1152">
        <f>E37*C26</f>
        <v>150</v>
      </c>
      <c r="D37" s="1152" t="s">
        <v>794</v>
      </c>
      <c r="E37" s="1294">
        <v>2</v>
      </c>
      <c r="F37" s="1013">
        <f>H37*F26</f>
        <v>150</v>
      </c>
      <c r="G37" s="1152" t="s">
        <v>794</v>
      </c>
      <c r="H37" s="1296">
        <v>2</v>
      </c>
      <c r="J37" s="91" t="s">
        <v>796</v>
      </c>
      <c r="K37" s="963">
        <f>M37*K26</f>
        <v>296</v>
      </c>
      <c r="L37" s="963" t="s">
        <v>794</v>
      </c>
      <c r="M37" s="1294">
        <v>2</v>
      </c>
      <c r="N37" s="1013">
        <f>P37*N26</f>
        <v>296</v>
      </c>
      <c r="O37" s="963" t="s">
        <v>794</v>
      </c>
      <c r="P37" s="1296">
        <v>2</v>
      </c>
      <c r="R37" s="85" t="s">
        <v>795</v>
      </c>
      <c r="S37" s="1004">
        <f>U37*S24</f>
        <v>4000</v>
      </c>
      <c r="T37" s="964" t="s">
        <v>794</v>
      </c>
      <c r="U37" s="1295">
        <v>2</v>
      </c>
      <c r="V37" s="1014">
        <f>X37*V24</f>
        <v>4000</v>
      </c>
      <c r="W37" s="964" t="s">
        <v>794</v>
      </c>
      <c r="X37" s="1297">
        <v>2</v>
      </c>
      <c r="Y37" s="260"/>
      <c r="Z37" s="1000"/>
    </row>
    <row r="38" spans="1:27" ht="18" customHeight="1" thickBot="1" x14ac:dyDescent="0.25">
      <c r="B38" s="85" t="s">
        <v>795</v>
      </c>
      <c r="C38" s="1004">
        <f>E38*C25</f>
        <v>296</v>
      </c>
      <c r="D38" s="964" t="s">
        <v>794</v>
      </c>
      <c r="E38" s="1295">
        <v>2</v>
      </c>
      <c r="F38" s="1014">
        <f>H38*F25</f>
        <v>296</v>
      </c>
      <c r="G38" s="964" t="s">
        <v>794</v>
      </c>
      <c r="H38" s="1297">
        <v>2</v>
      </c>
      <c r="J38" s="85" t="s">
        <v>795</v>
      </c>
      <c r="K38" s="1004">
        <f>M38*K25</f>
        <v>134</v>
      </c>
      <c r="L38" s="964" t="s">
        <v>794</v>
      </c>
      <c r="M38" s="1295">
        <v>2</v>
      </c>
      <c r="N38" s="1014">
        <f>P38*N25</f>
        <v>134</v>
      </c>
      <c r="O38" s="964" t="s">
        <v>794</v>
      </c>
      <c r="P38" s="1297">
        <v>2</v>
      </c>
      <c r="R38" s="396" t="s">
        <v>169</v>
      </c>
      <c r="S38" s="943"/>
      <c r="T38" s="943"/>
      <c r="U38" s="943"/>
      <c r="V38" s="943"/>
      <c r="W38" s="943"/>
      <c r="X38" s="943"/>
      <c r="Y38" s="260"/>
      <c r="Z38" s="1000"/>
    </row>
    <row r="39" spans="1:27" ht="18" customHeight="1" thickBot="1" x14ac:dyDescent="0.25">
      <c r="B39" s="396" t="s">
        <v>169</v>
      </c>
      <c r="C39" s="943"/>
      <c r="D39" s="943"/>
      <c r="E39" s="943"/>
      <c r="F39" s="943"/>
      <c r="G39" s="943"/>
      <c r="H39" s="943"/>
      <c r="J39" s="396" t="s">
        <v>169</v>
      </c>
      <c r="K39" s="943"/>
      <c r="L39" s="943"/>
      <c r="M39" s="943"/>
      <c r="N39" s="943"/>
      <c r="O39" s="943"/>
      <c r="P39" s="943"/>
      <c r="R39" s="372" t="s">
        <v>14</v>
      </c>
      <c r="S39" s="1042">
        <v>1000</v>
      </c>
      <c r="T39" s="1596" t="s">
        <v>770</v>
      </c>
      <c r="U39" s="1596"/>
      <c r="V39" s="1073">
        <v>1000</v>
      </c>
      <c r="W39" s="1596" t="s">
        <v>770</v>
      </c>
      <c r="X39" s="1597"/>
      <c r="Y39" s="260"/>
      <c r="Z39" s="1000"/>
    </row>
    <row r="40" spans="1:27" ht="18" customHeight="1" x14ac:dyDescent="0.2">
      <c r="B40" s="372" t="s">
        <v>14</v>
      </c>
      <c r="C40" s="1042">
        <v>0</v>
      </c>
      <c r="D40" s="1596" t="s">
        <v>770</v>
      </c>
      <c r="E40" s="1596"/>
      <c r="F40" s="1073">
        <f>C40</f>
        <v>0</v>
      </c>
      <c r="G40" s="1596" t="s">
        <v>770</v>
      </c>
      <c r="H40" s="1597"/>
      <c r="J40" s="372" t="s">
        <v>14</v>
      </c>
      <c r="K40" s="1042">
        <v>1000</v>
      </c>
      <c r="L40" s="1596" t="s">
        <v>770</v>
      </c>
      <c r="M40" s="1596"/>
      <c r="N40" s="1073">
        <v>1000</v>
      </c>
      <c r="O40" s="1596" t="s">
        <v>770</v>
      </c>
      <c r="P40" s="1597"/>
      <c r="R40" s="97" t="s">
        <v>793</v>
      </c>
      <c r="S40" s="1187">
        <v>76</v>
      </c>
      <c r="T40" s="1609" t="s">
        <v>771</v>
      </c>
      <c r="U40" s="1609"/>
      <c r="V40" s="1196">
        <v>76</v>
      </c>
      <c r="W40" s="1609" t="s">
        <v>771</v>
      </c>
      <c r="X40" s="1610"/>
      <c r="Y40" s="260"/>
      <c r="Z40" s="1000"/>
    </row>
    <row r="41" spans="1:27" ht="18" customHeight="1" x14ac:dyDescent="0.2">
      <c r="B41" s="97" t="s">
        <v>793</v>
      </c>
      <c r="C41" s="1187">
        <v>76</v>
      </c>
      <c r="D41" s="1609" t="s">
        <v>771</v>
      </c>
      <c r="E41" s="1609"/>
      <c r="F41" s="1196">
        <f>C41</f>
        <v>76</v>
      </c>
      <c r="G41" s="1609" t="s">
        <v>771</v>
      </c>
      <c r="H41" s="1610"/>
      <c r="J41" s="97" t="s">
        <v>793</v>
      </c>
      <c r="K41" s="1187">
        <v>76</v>
      </c>
      <c r="L41" s="1609" t="s">
        <v>771</v>
      </c>
      <c r="M41" s="1609"/>
      <c r="N41" s="1196">
        <v>76</v>
      </c>
      <c r="O41" s="1609" t="s">
        <v>771</v>
      </c>
      <c r="P41" s="1610"/>
      <c r="R41" s="374" t="s">
        <v>811</v>
      </c>
      <c r="S41" s="1108">
        <v>2000</v>
      </c>
      <c r="T41" s="1609" t="s">
        <v>771</v>
      </c>
      <c r="U41" s="1609"/>
      <c r="V41" s="1110">
        <v>2000</v>
      </c>
      <c r="W41" s="1609" t="s">
        <v>771</v>
      </c>
      <c r="X41" s="1610"/>
      <c r="Y41" s="260"/>
      <c r="Z41" s="1000"/>
    </row>
    <row r="42" spans="1:27" ht="18" customHeight="1" thickBot="1" x14ac:dyDescent="0.25">
      <c r="B42" s="374" t="s">
        <v>811</v>
      </c>
      <c r="C42" s="1136">
        <v>1500</v>
      </c>
      <c r="D42" s="1609" t="s">
        <v>771</v>
      </c>
      <c r="E42" s="1609"/>
      <c r="F42" s="1420">
        <f>C42</f>
        <v>1500</v>
      </c>
      <c r="G42" s="1609" t="s">
        <v>771</v>
      </c>
      <c r="H42" s="1610"/>
      <c r="J42" s="374" t="s">
        <v>811</v>
      </c>
      <c r="K42" s="1136">
        <v>2000</v>
      </c>
      <c r="L42" s="1609" t="s">
        <v>771</v>
      </c>
      <c r="M42" s="1609"/>
      <c r="N42" s="1146">
        <v>2000</v>
      </c>
      <c r="O42" s="1609" t="s">
        <v>771</v>
      </c>
      <c r="P42" s="1610"/>
      <c r="R42" s="98" t="s">
        <v>821</v>
      </c>
      <c r="S42" s="891">
        <v>2000</v>
      </c>
      <c r="T42" s="1599" t="s">
        <v>771</v>
      </c>
      <c r="U42" s="1599"/>
      <c r="V42" s="1182">
        <v>2000</v>
      </c>
      <c r="W42" s="1599" t="s">
        <v>771</v>
      </c>
      <c r="X42" s="1600"/>
      <c r="Y42" s="260"/>
      <c r="Z42" s="1000"/>
    </row>
    <row r="43" spans="1:27" ht="18" customHeight="1" thickBot="1" x14ac:dyDescent="0.25">
      <c r="B43" s="98" t="s">
        <v>821</v>
      </c>
      <c r="C43" s="891">
        <v>1500</v>
      </c>
      <c r="D43" s="1599" t="s">
        <v>771</v>
      </c>
      <c r="E43" s="1599"/>
      <c r="F43" s="1182">
        <f>C43</f>
        <v>1500</v>
      </c>
      <c r="G43" s="1599" t="s">
        <v>771</v>
      </c>
      <c r="H43" s="1600"/>
      <c r="J43" s="98" t="s">
        <v>821</v>
      </c>
      <c r="K43" s="891">
        <v>2000</v>
      </c>
      <c r="L43" s="1599" t="s">
        <v>771</v>
      </c>
      <c r="M43" s="1599"/>
      <c r="N43" s="1182">
        <v>2000</v>
      </c>
      <c r="O43" s="1599" t="s">
        <v>771</v>
      </c>
      <c r="P43" s="1600"/>
      <c r="R43" s="1056" t="s">
        <v>170</v>
      </c>
      <c r="S43" s="508"/>
      <c r="T43" s="227"/>
      <c r="U43" s="227"/>
      <c r="V43" s="508"/>
      <c r="W43" s="227"/>
      <c r="X43" s="227"/>
      <c r="Y43" s="260"/>
      <c r="Z43" s="1000"/>
      <c r="AA43" s="260"/>
    </row>
    <row r="44" spans="1:27" ht="18" customHeight="1" thickBot="1" x14ac:dyDescent="0.25">
      <c r="B44" s="1056" t="s">
        <v>170</v>
      </c>
      <c r="C44" s="508"/>
      <c r="D44" s="227"/>
      <c r="E44" s="227"/>
      <c r="F44" s="508"/>
      <c r="G44" s="227"/>
      <c r="H44" s="227"/>
      <c r="J44" s="1056" t="s">
        <v>170</v>
      </c>
      <c r="K44" s="508"/>
      <c r="L44" s="227"/>
      <c r="M44" s="227"/>
      <c r="N44" s="508"/>
      <c r="O44" s="227"/>
      <c r="P44" s="227"/>
      <c r="R44" s="108" t="s">
        <v>293</v>
      </c>
      <c r="S44" s="1714">
        <f>SUM(S33:S37,S39:S42)</f>
        <v>15780</v>
      </c>
      <c r="T44" s="1714"/>
      <c r="U44" s="1714"/>
      <c r="V44" s="1715">
        <f>SUM(V33:V34,V39:V42,S35:S37)</f>
        <v>18442.5</v>
      </c>
      <c r="W44" s="1714"/>
      <c r="X44" s="1716"/>
      <c r="Y44" s="260"/>
    </row>
    <row r="45" spans="1:27" ht="18" customHeight="1" x14ac:dyDescent="0.2">
      <c r="A45" s="260"/>
      <c r="B45" s="491" t="s">
        <v>67</v>
      </c>
      <c r="C45" s="1714">
        <f>SUM(C34:C38,C40:C43)</f>
        <v>9463</v>
      </c>
      <c r="D45" s="1714"/>
      <c r="E45" s="1714"/>
      <c r="F45" s="1715">
        <f>SUM(F34:F38,F40:F43)</f>
        <v>10659</v>
      </c>
      <c r="G45" s="1714"/>
      <c r="H45" s="1716"/>
      <c r="I45" s="260"/>
      <c r="J45" s="108" t="s">
        <v>293</v>
      </c>
      <c r="K45" s="1714">
        <f>SUM(K34:K38,K40:K43)</f>
        <v>17401</v>
      </c>
      <c r="L45" s="1714"/>
      <c r="M45" s="1714"/>
      <c r="N45" s="1715">
        <f>SUM(N34:N35,N40:N43,K36:K38)</f>
        <v>22726</v>
      </c>
      <c r="O45" s="1714"/>
      <c r="P45" s="1716"/>
      <c r="Q45" s="260"/>
      <c r="R45" s="437" t="s">
        <v>884</v>
      </c>
      <c r="S45" s="1756">
        <f>S44+S32</f>
        <v>115780</v>
      </c>
      <c r="T45" s="1756"/>
      <c r="U45" s="1756"/>
      <c r="V45" s="1757">
        <f>V44+V32</f>
        <v>118442.5</v>
      </c>
      <c r="W45" s="1756"/>
      <c r="X45" s="1758"/>
      <c r="Y45" s="260"/>
    </row>
    <row r="46" spans="1:27" ht="18" customHeight="1" thickBot="1" x14ac:dyDescent="0.25">
      <c r="B46" s="493" t="s">
        <v>816</v>
      </c>
      <c r="C46" s="1733">
        <f>C45+C32-C33</f>
        <v>40663</v>
      </c>
      <c r="D46" s="1733"/>
      <c r="E46" s="1733"/>
      <c r="F46" s="1732">
        <f>F45+F32-F33</f>
        <v>41859</v>
      </c>
      <c r="G46" s="1733"/>
      <c r="H46" s="1734"/>
      <c r="J46" s="437" t="s">
        <v>884</v>
      </c>
      <c r="K46" s="1756">
        <f>K45+K32</f>
        <v>117401</v>
      </c>
      <c r="L46" s="1756"/>
      <c r="M46" s="1756"/>
      <c r="N46" s="1757">
        <f>N45+N32</f>
        <v>122726</v>
      </c>
      <c r="O46" s="1756"/>
      <c r="P46" s="1758"/>
      <c r="R46" s="98" t="s">
        <v>836</v>
      </c>
      <c r="S46" s="1759">
        <f>S16-S45</f>
        <v>150470</v>
      </c>
      <c r="T46" s="1759"/>
      <c r="U46" s="1760"/>
      <c r="V46" s="1759">
        <f>V16-V45</f>
        <v>147807.5</v>
      </c>
      <c r="W46" s="1759"/>
      <c r="X46" s="1761"/>
    </row>
    <row r="47" spans="1:27" ht="18" customHeight="1" thickBot="1" x14ac:dyDescent="0.25">
      <c r="B47" s="690"/>
      <c r="C47" s="227"/>
      <c r="D47" s="227"/>
      <c r="E47" s="227"/>
      <c r="F47" s="227"/>
      <c r="G47" s="227"/>
      <c r="H47" s="227"/>
      <c r="J47" s="110" t="s">
        <v>535</v>
      </c>
      <c r="K47" s="1733">
        <f>MAX(0,K46-K16)</f>
        <v>0</v>
      </c>
      <c r="L47" s="1733"/>
      <c r="M47" s="1762"/>
      <c r="N47" s="1733">
        <f>MAX(0,N46-N16)</f>
        <v>0</v>
      </c>
      <c r="O47" s="1733"/>
      <c r="P47" s="1734"/>
      <c r="R47" s="690"/>
      <c r="S47" s="227"/>
      <c r="T47" s="227"/>
      <c r="U47" s="227"/>
      <c r="V47" s="227"/>
      <c r="W47" s="227"/>
      <c r="X47" s="227"/>
    </row>
    <row r="48" spans="1:27" ht="18" customHeight="1" x14ac:dyDescent="0.2">
      <c r="B48" s="1601" t="s">
        <v>376</v>
      </c>
      <c r="C48" s="1602"/>
      <c r="D48" s="1602"/>
      <c r="E48" s="1602"/>
      <c r="F48" s="1602"/>
      <c r="G48" s="1602"/>
      <c r="H48" s="1603"/>
      <c r="J48" s="690"/>
      <c r="K48" s="227"/>
      <c r="L48" s="227"/>
      <c r="M48" s="227"/>
      <c r="N48" s="227"/>
      <c r="O48" s="227"/>
      <c r="P48" s="227"/>
      <c r="R48" s="1601" t="s">
        <v>376</v>
      </c>
      <c r="S48" s="1602"/>
      <c r="T48" s="1602"/>
      <c r="U48" s="1602"/>
      <c r="V48" s="1602"/>
      <c r="W48" s="1602"/>
      <c r="X48" s="1603"/>
    </row>
    <row r="49" spans="2:24" ht="18" customHeight="1" x14ac:dyDescent="0.2">
      <c r="B49" s="1604"/>
      <c r="C49" s="1605"/>
      <c r="D49" s="1605"/>
      <c r="E49" s="1605"/>
      <c r="F49" s="1605"/>
      <c r="G49" s="1605"/>
      <c r="H49" s="1606"/>
      <c r="J49" s="1601" t="s">
        <v>376</v>
      </c>
      <c r="K49" s="1602"/>
      <c r="L49" s="1602"/>
      <c r="M49" s="1602"/>
      <c r="N49" s="1602"/>
      <c r="O49" s="1602"/>
      <c r="P49" s="1603"/>
      <c r="R49" s="1604"/>
      <c r="S49" s="1605"/>
      <c r="T49" s="1605"/>
      <c r="U49" s="1605"/>
      <c r="V49" s="1605"/>
      <c r="W49" s="1605"/>
      <c r="X49" s="1606"/>
    </row>
    <row r="50" spans="2:24" ht="18" customHeight="1" x14ac:dyDescent="0.2">
      <c r="B50" s="1598"/>
      <c r="C50" s="1598"/>
      <c r="D50" s="935"/>
      <c r="E50" s="935"/>
      <c r="G50" s="935"/>
      <c r="H50" s="935"/>
      <c r="J50" s="1604"/>
      <c r="K50" s="1605"/>
      <c r="L50" s="1605"/>
      <c r="M50" s="1605"/>
      <c r="N50" s="1605"/>
      <c r="O50" s="1605"/>
      <c r="P50" s="1606"/>
    </row>
    <row r="51" spans="2:24" ht="18" customHeight="1" x14ac:dyDescent="0.2"/>
    <row r="52" spans="2:24" ht="18" customHeight="1" x14ac:dyDescent="0.2"/>
    <row r="53" spans="2:24" ht="21" customHeight="1" x14ac:dyDescent="0.2"/>
    <row r="54" spans="2:24" ht="15.75" customHeight="1" x14ac:dyDescent="0.2"/>
    <row r="55" spans="2:24" ht="15.75" customHeight="1" x14ac:dyDescent="0.2"/>
    <row r="56" spans="2:24" ht="15.75" customHeight="1" x14ac:dyDescent="0.2"/>
    <row r="58" spans="2:24" ht="15.75" customHeight="1" x14ac:dyDescent="0.2"/>
  </sheetData>
  <mergeCells count="185">
    <mergeCell ref="C29:E29"/>
    <mergeCell ref="F29:H29"/>
    <mergeCell ref="K29:M29"/>
    <mergeCell ref="N29:P29"/>
    <mergeCell ref="S29:U29"/>
    <mergeCell ref="V29:X29"/>
    <mergeCell ref="B4:J4"/>
    <mergeCell ref="R48:X49"/>
    <mergeCell ref="J49:P50"/>
    <mergeCell ref="S45:U45"/>
    <mergeCell ref="V45:X45"/>
    <mergeCell ref="K46:M46"/>
    <mergeCell ref="N46:P46"/>
    <mergeCell ref="S46:U46"/>
    <mergeCell ref="V46:X46"/>
    <mergeCell ref="T42:U42"/>
    <mergeCell ref="W42:X42"/>
    <mergeCell ref="L43:M43"/>
    <mergeCell ref="O43:P43"/>
    <mergeCell ref="S44:U44"/>
    <mergeCell ref="V44:X44"/>
    <mergeCell ref="K47:M47"/>
    <mergeCell ref="N47:P47"/>
    <mergeCell ref="T40:U40"/>
    <mergeCell ref="W40:X40"/>
    <mergeCell ref="L41:M41"/>
    <mergeCell ref="T41:U41"/>
    <mergeCell ref="W41:X41"/>
    <mergeCell ref="T39:U39"/>
    <mergeCell ref="W39:X39"/>
    <mergeCell ref="L36:M36"/>
    <mergeCell ref="T35:U35"/>
    <mergeCell ref="W35:X35"/>
    <mergeCell ref="O36:P36"/>
    <mergeCell ref="K32:M32"/>
    <mergeCell ref="N32:P32"/>
    <mergeCell ref="S32:U32"/>
    <mergeCell ref="V32:X32"/>
    <mergeCell ref="K33:M33"/>
    <mergeCell ref="N33:P33"/>
    <mergeCell ref="N28:P28"/>
    <mergeCell ref="S28:U28"/>
    <mergeCell ref="V28:X28"/>
    <mergeCell ref="K30:M30"/>
    <mergeCell ref="N30:P30"/>
    <mergeCell ref="S30:U30"/>
    <mergeCell ref="V30:X30"/>
    <mergeCell ref="K26:M26"/>
    <mergeCell ref="N26:P26"/>
    <mergeCell ref="S26:U26"/>
    <mergeCell ref="V26:X26"/>
    <mergeCell ref="K27:M27"/>
    <mergeCell ref="N27:P27"/>
    <mergeCell ref="S27:U27"/>
    <mergeCell ref="V27:X27"/>
    <mergeCell ref="S24:U24"/>
    <mergeCell ref="V24:X24"/>
    <mergeCell ref="K25:M25"/>
    <mergeCell ref="N25:P25"/>
    <mergeCell ref="S25:U25"/>
    <mergeCell ref="V25:X25"/>
    <mergeCell ref="K22:M22"/>
    <mergeCell ref="N22:P22"/>
    <mergeCell ref="S22:U22"/>
    <mergeCell ref="V22:X22"/>
    <mergeCell ref="K23:M23"/>
    <mergeCell ref="N23:P23"/>
    <mergeCell ref="S23:U23"/>
    <mergeCell ref="V23:X23"/>
    <mergeCell ref="K20:M20"/>
    <mergeCell ref="N20:P20"/>
    <mergeCell ref="S20:U20"/>
    <mergeCell ref="V20:X20"/>
    <mergeCell ref="K21:M21"/>
    <mergeCell ref="N21:P21"/>
    <mergeCell ref="S21:U21"/>
    <mergeCell ref="V21:X21"/>
    <mergeCell ref="K19:M19"/>
    <mergeCell ref="N19:P19"/>
    <mergeCell ref="S19:U19"/>
    <mergeCell ref="V19:X19"/>
    <mergeCell ref="K17:M17"/>
    <mergeCell ref="N17:P17"/>
    <mergeCell ref="S17:U17"/>
    <mergeCell ref="V17:X17"/>
    <mergeCell ref="L18:M18"/>
    <mergeCell ref="O18:P18"/>
    <mergeCell ref="R6:X6"/>
    <mergeCell ref="S7:U7"/>
    <mergeCell ref="K8:P8"/>
    <mergeCell ref="S8:X8"/>
    <mergeCell ref="K9:P9"/>
    <mergeCell ref="S9:X9"/>
    <mergeCell ref="K7:M7"/>
    <mergeCell ref="T18:U18"/>
    <mergeCell ref="W18:X18"/>
    <mergeCell ref="S15:U15"/>
    <mergeCell ref="V15:X15"/>
    <mergeCell ref="N13:P13"/>
    <mergeCell ref="K15:M15"/>
    <mergeCell ref="N15:P15"/>
    <mergeCell ref="C10:H10"/>
    <mergeCell ref="S10:X10"/>
    <mergeCell ref="K11:P11"/>
    <mergeCell ref="S11:X11"/>
    <mergeCell ref="K12:P12"/>
    <mergeCell ref="S12:X12"/>
    <mergeCell ref="S13:U13"/>
    <mergeCell ref="V13:X13"/>
    <mergeCell ref="K14:M14"/>
    <mergeCell ref="N14:P14"/>
    <mergeCell ref="S14:U14"/>
    <mergeCell ref="V14:X14"/>
    <mergeCell ref="C9:H9"/>
    <mergeCell ref="C8:H8"/>
    <mergeCell ref="B6:H6"/>
    <mergeCell ref="C7:E7"/>
    <mergeCell ref="F46:H46"/>
    <mergeCell ref="F45:H45"/>
    <mergeCell ref="C46:E46"/>
    <mergeCell ref="C45:E45"/>
    <mergeCell ref="L40:M40"/>
    <mergeCell ref="G18:H18"/>
    <mergeCell ref="C13:E13"/>
    <mergeCell ref="C19:E19"/>
    <mergeCell ref="C17:E17"/>
    <mergeCell ref="D18:E18"/>
    <mergeCell ref="J6:P6"/>
    <mergeCell ref="F15:H15"/>
    <mergeCell ref="F14:H14"/>
    <mergeCell ref="C15:E15"/>
    <mergeCell ref="C14:E14"/>
    <mergeCell ref="C12:H12"/>
    <mergeCell ref="C11:H11"/>
    <mergeCell ref="F13:H13"/>
    <mergeCell ref="K10:P10"/>
    <mergeCell ref="K13:M13"/>
    <mergeCell ref="L42:M42"/>
    <mergeCell ref="K45:M45"/>
    <mergeCell ref="N45:P45"/>
    <mergeCell ref="G41:H41"/>
    <mergeCell ref="O41:P41"/>
    <mergeCell ref="O42:P42"/>
    <mergeCell ref="C21:E21"/>
    <mergeCell ref="C22:E22"/>
    <mergeCell ref="F28:H28"/>
    <mergeCell ref="F30:H30"/>
    <mergeCell ref="F32:H32"/>
    <mergeCell ref="G42:H42"/>
    <mergeCell ref="G43:H43"/>
    <mergeCell ref="F25:H25"/>
    <mergeCell ref="F26:H26"/>
    <mergeCell ref="F27:H27"/>
    <mergeCell ref="C23:E23"/>
    <mergeCell ref="C24:E24"/>
    <mergeCell ref="F33:H33"/>
    <mergeCell ref="C33:E33"/>
    <mergeCell ref="D36:E36"/>
    <mergeCell ref="K24:M24"/>
    <mergeCell ref="N24:P24"/>
    <mergeCell ref="K28:M28"/>
    <mergeCell ref="B2:X2"/>
    <mergeCell ref="B50:C50"/>
    <mergeCell ref="F17:H17"/>
    <mergeCell ref="F19:H19"/>
    <mergeCell ref="F20:H20"/>
    <mergeCell ref="F21:H21"/>
    <mergeCell ref="F22:H22"/>
    <mergeCell ref="F23:H23"/>
    <mergeCell ref="F24:H24"/>
    <mergeCell ref="C32:E32"/>
    <mergeCell ref="D43:E43"/>
    <mergeCell ref="B48:H49"/>
    <mergeCell ref="G36:H36"/>
    <mergeCell ref="D41:E41"/>
    <mergeCell ref="D42:E42"/>
    <mergeCell ref="D40:E40"/>
    <mergeCell ref="G40:H40"/>
    <mergeCell ref="C25:E25"/>
    <mergeCell ref="C26:E26"/>
    <mergeCell ref="C27:E27"/>
    <mergeCell ref="C28:E28"/>
    <mergeCell ref="C30:E30"/>
    <mergeCell ref="C20:E20"/>
    <mergeCell ref="O40:P4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B84AD-AA68-404A-81A8-CC04E77A6F70}">
  <dimension ref="A1:N60"/>
  <sheetViews>
    <sheetView showGridLines="0" topLeftCell="A6" zoomScale="125" zoomScaleNormal="125" workbookViewId="0">
      <selection activeCell="D18" sqref="D18:E18"/>
    </sheetView>
  </sheetViews>
  <sheetFormatPr baseColWidth="10" defaultColWidth="9.1640625" defaultRowHeight="16" x14ac:dyDescent="0.2"/>
  <cols>
    <col min="1" max="1" width="1.83203125" style="686" customWidth="1"/>
    <col min="2" max="2" width="48.6640625" style="613" customWidth="1"/>
    <col min="3" max="3" width="17.83203125" style="613" customWidth="1"/>
    <col min="4" max="4" width="7.6640625" style="613" customWidth="1"/>
    <col min="5" max="5" width="19.6640625" style="686" customWidth="1"/>
    <col min="6" max="6" width="1.83203125" style="686" customWidth="1"/>
    <col min="7" max="7" width="1.6640625" style="1063" customWidth="1"/>
    <col min="8" max="8" width="1.83203125" style="686" customWidth="1"/>
    <col min="9" max="9" width="47" style="260" customWidth="1"/>
    <col min="10" max="10" width="16.33203125" style="260" customWidth="1"/>
    <col min="11" max="11" width="15.33203125" style="260" customWidth="1"/>
    <col min="12" max="12" width="16.6640625" style="736" customWidth="1"/>
    <col min="13" max="13" width="2.1640625" style="260" customWidth="1"/>
    <col min="14" max="14" width="18.6640625" style="444" customWidth="1"/>
    <col min="15" max="16384" width="9.1640625" style="260"/>
  </cols>
  <sheetData>
    <row r="1" spans="1:14" ht="7.5" customHeight="1" x14ac:dyDescent="0.2"/>
    <row r="2" spans="1:14" ht="18" customHeight="1" x14ac:dyDescent="0.2">
      <c r="A2" s="613"/>
      <c r="B2" s="1681" t="s">
        <v>792</v>
      </c>
      <c r="C2" s="1682"/>
      <c r="D2" s="1682"/>
      <c r="E2" s="1683"/>
      <c r="F2" s="613"/>
      <c r="H2" s="613"/>
      <c r="I2" s="1763" t="s">
        <v>787</v>
      </c>
      <c r="J2" s="1764"/>
      <c r="K2" s="1764"/>
      <c r="L2" s="1765"/>
      <c r="N2" s="512"/>
    </row>
    <row r="3" spans="1:14" ht="18" customHeight="1" thickBot="1" x14ac:dyDescent="0.25">
      <c r="A3" s="613" t="s">
        <v>769</v>
      </c>
      <c r="B3" s="1026" t="s">
        <v>15</v>
      </c>
      <c r="C3" s="1027">
        <f ca="1">TODAY()</f>
        <v>43713</v>
      </c>
      <c r="D3" s="1027"/>
      <c r="E3" s="1027"/>
      <c r="F3" s="613" t="s">
        <v>769</v>
      </c>
      <c r="H3" s="613" t="s">
        <v>769</v>
      </c>
      <c r="I3" s="102" t="s">
        <v>15</v>
      </c>
      <c r="J3" s="675">
        <f ca="1">TODAY()</f>
        <v>43713</v>
      </c>
      <c r="K3" s="675"/>
      <c r="N3" s="512"/>
    </row>
    <row r="4" spans="1:14" ht="18" customHeight="1" x14ac:dyDescent="0.2">
      <c r="A4" s="613"/>
      <c r="B4" s="154" t="s">
        <v>24</v>
      </c>
      <c r="C4" s="1553" t="s">
        <v>1019</v>
      </c>
      <c r="D4" s="1553"/>
      <c r="E4" s="1554"/>
      <c r="F4" s="613"/>
      <c r="H4" s="613"/>
      <c r="I4" s="99" t="s">
        <v>24</v>
      </c>
      <c r="J4" s="1729" t="s">
        <v>660</v>
      </c>
      <c r="K4" s="1729"/>
      <c r="L4" s="1730"/>
    </row>
    <row r="5" spans="1:14" ht="18" customHeight="1" x14ac:dyDescent="0.2">
      <c r="A5" s="260"/>
      <c r="B5" s="303" t="s">
        <v>250</v>
      </c>
      <c r="C5" s="1555" t="s">
        <v>1025</v>
      </c>
      <c r="D5" s="1555"/>
      <c r="E5" s="1556"/>
      <c r="F5" s="260"/>
      <c r="H5" s="260"/>
      <c r="I5" s="303" t="s">
        <v>250</v>
      </c>
      <c r="J5" s="1727" t="s">
        <v>661</v>
      </c>
      <c r="K5" s="1727"/>
      <c r="L5" s="1728"/>
    </row>
    <row r="6" spans="1:14" ht="18" customHeight="1" thickBot="1" x14ac:dyDescent="0.25">
      <c r="A6" s="613"/>
      <c r="B6" s="303" t="s">
        <v>25</v>
      </c>
      <c r="C6" s="1555" t="s">
        <v>1026</v>
      </c>
      <c r="D6" s="1555"/>
      <c r="E6" s="1556"/>
      <c r="F6" s="613"/>
      <c r="H6" s="613"/>
      <c r="I6" s="100" t="s">
        <v>25</v>
      </c>
      <c r="J6" s="1766" t="s">
        <v>662</v>
      </c>
      <c r="K6" s="1766"/>
      <c r="L6" s="1767"/>
    </row>
    <row r="7" spans="1:14" ht="18" customHeight="1" thickBot="1" x14ac:dyDescent="0.25">
      <c r="A7" s="613"/>
      <c r="B7" s="303" t="s">
        <v>824</v>
      </c>
      <c r="C7" s="1744">
        <v>0</v>
      </c>
      <c r="D7" s="1744"/>
      <c r="E7" s="1745"/>
      <c r="F7" s="613"/>
      <c r="H7" s="613"/>
      <c r="I7" s="90" t="s">
        <v>167</v>
      </c>
      <c r="J7" s="536"/>
      <c r="K7" s="536"/>
    </row>
    <row r="8" spans="1:14" ht="18" customHeight="1" x14ac:dyDescent="0.2">
      <c r="A8" s="260"/>
      <c r="B8" s="893" t="s">
        <v>764</v>
      </c>
      <c r="C8" s="1793">
        <v>680</v>
      </c>
      <c r="D8" s="1793"/>
      <c r="E8" s="1794"/>
      <c r="F8" s="260"/>
      <c r="H8" s="260"/>
      <c r="I8" s="96" t="s">
        <v>663</v>
      </c>
      <c r="J8" s="925" t="s">
        <v>664</v>
      </c>
      <c r="K8" s="925"/>
      <c r="L8" s="737"/>
    </row>
    <row r="9" spans="1:14" ht="18" customHeight="1" thickBot="1" x14ac:dyDescent="0.25">
      <c r="A9" s="613"/>
      <c r="B9" s="888" t="s">
        <v>822</v>
      </c>
      <c r="C9" s="1408" t="s">
        <v>521</v>
      </c>
      <c r="D9" s="1408"/>
      <c r="E9" s="1409"/>
      <c r="F9" s="613"/>
      <c r="H9" s="613"/>
      <c r="I9" s="98" t="s">
        <v>47</v>
      </c>
      <c r="J9" s="679">
        <v>700</v>
      </c>
      <c r="K9" s="679"/>
      <c r="L9" s="738"/>
    </row>
    <row r="10" spans="1:14" ht="18" customHeight="1" thickBot="1" x14ac:dyDescent="0.25">
      <c r="A10" s="613"/>
      <c r="B10" s="1045" t="s">
        <v>172</v>
      </c>
      <c r="C10" s="1046"/>
      <c r="D10" s="1046"/>
      <c r="E10" s="1046"/>
      <c r="F10" s="613"/>
      <c r="H10" s="613"/>
      <c r="I10" s="90" t="s">
        <v>168</v>
      </c>
      <c r="J10" s="522"/>
      <c r="K10" s="522"/>
    </row>
    <row r="11" spans="1:14" ht="18" customHeight="1" x14ac:dyDescent="0.2">
      <c r="A11" s="613"/>
      <c r="B11" s="178" t="s">
        <v>48</v>
      </c>
      <c r="C11" s="1413">
        <v>317000</v>
      </c>
      <c r="D11" s="928"/>
      <c r="E11" s="929"/>
      <c r="F11" s="613"/>
      <c r="H11" s="613"/>
      <c r="I11" s="734" t="s">
        <v>192</v>
      </c>
      <c r="J11" s="1058">
        <v>1400000</v>
      </c>
      <c r="K11" s="739"/>
      <c r="L11" s="740"/>
    </row>
    <row r="12" spans="1:14" ht="18" customHeight="1" x14ac:dyDescent="0.2">
      <c r="A12" s="260"/>
      <c r="B12" s="76" t="s">
        <v>34</v>
      </c>
      <c r="C12" s="1404">
        <v>50000</v>
      </c>
      <c r="D12" s="653"/>
      <c r="E12" s="524"/>
      <c r="F12" s="260"/>
      <c r="H12" s="260"/>
      <c r="I12" s="91" t="s">
        <v>665</v>
      </c>
      <c r="J12" s="1059">
        <v>0</v>
      </c>
      <c r="K12" s="654"/>
      <c r="L12" s="1082"/>
    </row>
    <row r="13" spans="1:14" ht="18" customHeight="1" x14ac:dyDescent="0.2">
      <c r="A13" s="613"/>
      <c r="B13" s="91" t="s">
        <v>82</v>
      </c>
      <c r="C13" s="1403">
        <v>317000</v>
      </c>
      <c r="D13" s="966"/>
      <c r="E13" s="967"/>
      <c r="F13" s="613"/>
      <c r="H13" s="613"/>
      <c r="I13" s="76" t="s">
        <v>670</v>
      </c>
      <c r="J13" s="1078">
        <f>J11-J12</f>
        <v>1400000</v>
      </c>
      <c r="K13" s="653"/>
      <c r="L13" s="1080"/>
    </row>
    <row r="14" spans="1:14" ht="18" customHeight="1" x14ac:dyDescent="0.2">
      <c r="A14" s="613"/>
      <c r="B14" s="713" t="s">
        <v>265</v>
      </c>
      <c r="C14" s="1402">
        <v>450000</v>
      </c>
      <c r="D14" s="714"/>
      <c r="E14" s="715"/>
      <c r="F14" s="613"/>
      <c r="H14" s="613"/>
      <c r="I14" s="91" t="s">
        <v>193</v>
      </c>
      <c r="J14" s="654">
        <v>4200000</v>
      </c>
      <c r="K14" s="654"/>
      <c r="L14" s="1082"/>
      <c r="N14" s="742">
        <v>1</v>
      </c>
    </row>
    <row r="15" spans="1:14" ht="18" customHeight="1" x14ac:dyDescent="0.2">
      <c r="A15" s="613"/>
      <c r="B15" s="91" t="s">
        <v>73</v>
      </c>
      <c r="C15" s="1033">
        <f>E15*C11</f>
        <v>253600</v>
      </c>
      <c r="D15" s="908" t="s">
        <v>3</v>
      </c>
      <c r="E15" s="989">
        <v>0.8</v>
      </c>
      <c r="F15" s="613"/>
      <c r="H15" s="613"/>
      <c r="I15" s="76" t="s">
        <v>197</v>
      </c>
      <c r="J15" s="1078">
        <f>J11+J14</f>
        <v>5600000</v>
      </c>
      <c r="K15" s="743"/>
      <c r="L15" s="1080"/>
    </row>
    <row r="16" spans="1:14" ht="18" customHeight="1" x14ac:dyDescent="0.2">
      <c r="A16" s="613"/>
      <c r="B16" s="76" t="s">
        <v>1018</v>
      </c>
      <c r="C16" s="1034">
        <f>E16*C12</f>
        <v>50000</v>
      </c>
      <c r="D16" s="909" t="s">
        <v>776</v>
      </c>
      <c r="E16" s="990">
        <v>1</v>
      </c>
      <c r="F16" s="613"/>
      <c r="H16" s="613"/>
      <c r="I16" s="735" t="s">
        <v>191</v>
      </c>
      <c r="J16" s="1081">
        <v>2000000</v>
      </c>
      <c r="K16" s="1081"/>
      <c r="L16" s="745"/>
      <c r="N16" s="926" t="s">
        <v>788</v>
      </c>
    </row>
    <row r="17" spans="1:14" ht="18" customHeight="1" x14ac:dyDescent="0.2">
      <c r="A17" s="613"/>
      <c r="B17" s="91" t="s">
        <v>580</v>
      </c>
      <c r="C17" s="654">
        <f>C14*E17</f>
        <v>315000</v>
      </c>
      <c r="D17" s="908" t="s">
        <v>173</v>
      </c>
      <c r="E17" s="989">
        <v>0.7</v>
      </c>
      <c r="F17" s="613"/>
      <c r="H17" s="613"/>
      <c r="I17" s="76" t="s">
        <v>473</v>
      </c>
      <c r="J17" s="1060">
        <v>0.57499999999999996</v>
      </c>
      <c r="K17" s="746"/>
      <c r="L17" s="1061">
        <f>J17*J15</f>
        <v>3219999.9999999995</v>
      </c>
      <c r="N17" s="927">
        <f>J21*J22</f>
        <v>305899.99999999994</v>
      </c>
    </row>
    <row r="18" spans="1:14" ht="18" customHeight="1" x14ac:dyDescent="0.2">
      <c r="A18" s="613"/>
      <c r="B18" s="76" t="s">
        <v>996</v>
      </c>
      <c r="C18" s="653">
        <f ca="1">IF(D18="YES",C22*6,0)</f>
        <v>15962.128309036365</v>
      </c>
      <c r="D18" s="1801" t="s">
        <v>360</v>
      </c>
      <c r="E18" s="1802"/>
      <c r="F18" s="613"/>
      <c r="G18" s="1064"/>
      <c r="H18" s="613"/>
      <c r="I18" s="91" t="s">
        <v>201</v>
      </c>
      <c r="J18" s="683">
        <v>0.6</v>
      </c>
      <c r="K18" s="748"/>
      <c r="L18" s="749">
        <f>J16*J18</f>
        <v>1200000</v>
      </c>
    </row>
    <row r="19" spans="1:14" ht="18" customHeight="1" x14ac:dyDescent="0.2">
      <c r="A19" s="613"/>
      <c r="B19" s="91" t="s">
        <v>855</v>
      </c>
      <c r="C19" s="1795">
        <f ca="1">MIN(C15+C16,C17)+C18</f>
        <v>319562.12830903637</v>
      </c>
      <c r="D19" s="1795"/>
      <c r="E19" s="1796"/>
      <c r="F19" s="613"/>
      <c r="G19" s="1065"/>
      <c r="H19" s="613"/>
      <c r="I19" s="76" t="s">
        <v>202</v>
      </c>
      <c r="J19" s="750">
        <f>N14-J17</f>
        <v>0.42500000000000004</v>
      </c>
      <c r="K19" s="750"/>
      <c r="L19" s="1061">
        <f>J15*J19</f>
        <v>2380000.0000000005</v>
      </c>
    </row>
    <row r="20" spans="1:14" ht="18" customHeight="1" x14ac:dyDescent="0.2">
      <c r="A20" s="613"/>
      <c r="B20" s="971" t="s">
        <v>800</v>
      </c>
      <c r="C20" s="1452">
        <v>9.9900000000000003E-2</v>
      </c>
      <c r="D20" s="1799" t="s">
        <v>975</v>
      </c>
      <c r="E20" s="1800"/>
      <c r="F20" s="613"/>
      <c r="G20" s="1066"/>
      <c r="H20" s="613"/>
      <c r="I20" s="91" t="s">
        <v>1</v>
      </c>
      <c r="J20" s="1783" t="s">
        <v>666</v>
      </c>
      <c r="K20" s="1783"/>
      <c r="L20" s="1784"/>
    </row>
    <row r="21" spans="1:14" ht="18" customHeight="1" x14ac:dyDescent="0.2">
      <c r="A21" s="613"/>
      <c r="B21" s="970" t="s">
        <v>852</v>
      </c>
      <c r="C21" s="1453">
        <v>12</v>
      </c>
      <c r="D21" s="1797" t="s">
        <v>827</v>
      </c>
      <c r="E21" s="1798"/>
      <c r="F21" s="613"/>
      <c r="H21" s="613"/>
      <c r="I21" s="76" t="s">
        <v>687</v>
      </c>
      <c r="J21" s="1005">
        <v>9.5000000000000001E-2</v>
      </c>
      <c r="K21" s="771" t="s">
        <v>721</v>
      </c>
      <c r="L21" s="1087">
        <f>N17/12</f>
        <v>25491.666666666661</v>
      </c>
    </row>
    <row r="22" spans="1:14" ht="18" customHeight="1" thickBot="1" x14ac:dyDescent="0.25">
      <c r="A22" s="621"/>
      <c r="B22" s="971" t="s">
        <v>6</v>
      </c>
      <c r="C22" s="1451">
        <f ca="1">C19*C20/12</f>
        <v>2660.3547181727276</v>
      </c>
      <c r="D22" s="1809" t="s">
        <v>974</v>
      </c>
      <c r="E22" s="1810"/>
      <c r="F22" s="621"/>
      <c r="G22" s="1064"/>
      <c r="H22" s="621"/>
      <c r="I22" s="752" t="s">
        <v>688</v>
      </c>
      <c r="J22" s="1062">
        <f>L17</f>
        <v>3219999.9999999995</v>
      </c>
      <c r="K22" s="730"/>
      <c r="L22" s="753"/>
    </row>
    <row r="23" spans="1:14" ht="18" customHeight="1" thickBot="1" x14ac:dyDescent="0.25">
      <c r="A23" s="621"/>
      <c r="B23" s="983" t="s">
        <v>839</v>
      </c>
      <c r="C23" s="1454">
        <f ca="1">C22*C21</f>
        <v>31924.25661807273</v>
      </c>
      <c r="D23" s="1817" t="s">
        <v>902</v>
      </c>
      <c r="E23" s="1818"/>
      <c r="F23" s="621"/>
      <c r="G23" s="1067"/>
      <c r="H23" s="621"/>
      <c r="I23" s="528" t="s">
        <v>166</v>
      </c>
    </row>
    <row r="24" spans="1:14" ht="18" customHeight="1" thickBot="1" x14ac:dyDescent="0.25">
      <c r="A24" s="613"/>
      <c r="B24" s="1050" t="s">
        <v>166</v>
      </c>
      <c r="C24" s="1052"/>
      <c r="D24" s="1052"/>
      <c r="E24" s="1053"/>
      <c r="F24" s="613"/>
      <c r="H24" s="613"/>
      <c r="I24" s="79" t="s">
        <v>669</v>
      </c>
      <c r="J24" s="1076">
        <f>MAX(L19-J13,0)</f>
        <v>980000.00000000047</v>
      </c>
      <c r="K24" s="1084"/>
      <c r="L24" s="260"/>
    </row>
    <row r="25" spans="1:14" ht="18" customHeight="1" x14ac:dyDescent="0.2">
      <c r="A25" s="613"/>
      <c r="B25" s="79" t="s">
        <v>4</v>
      </c>
      <c r="C25" s="1567">
        <f>C11-C15</f>
        <v>63400</v>
      </c>
      <c r="D25" s="1567"/>
      <c r="E25" s="1568"/>
      <c r="F25" s="613"/>
      <c r="H25" s="613"/>
      <c r="I25" s="91" t="s">
        <v>667</v>
      </c>
      <c r="J25" s="1077">
        <f>J22*K25</f>
        <v>64399.999999999993</v>
      </c>
      <c r="K25" s="756">
        <v>0.02</v>
      </c>
      <c r="L25" s="260"/>
    </row>
    <row r="26" spans="1:14" ht="18" customHeight="1" x14ac:dyDescent="0.2">
      <c r="A26" s="613"/>
      <c r="B26" s="91" t="s">
        <v>815</v>
      </c>
      <c r="C26" s="902">
        <v>3000</v>
      </c>
      <c r="D26" s="1549" t="s">
        <v>840</v>
      </c>
      <c r="E26" s="1550"/>
      <c r="F26" s="613"/>
      <c r="H26" s="613"/>
      <c r="I26" s="76" t="s">
        <v>10</v>
      </c>
      <c r="J26" s="1079">
        <f>K26*J22</f>
        <v>64399.999999999993</v>
      </c>
      <c r="K26" s="755">
        <v>0.02</v>
      </c>
      <c r="L26" s="260"/>
    </row>
    <row r="27" spans="1:14" ht="18" customHeight="1" x14ac:dyDescent="0.2">
      <c r="A27" s="613"/>
      <c r="B27" s="76" t="s">
        <v>45</v>
      </c>
      <c r="C27" s="1079">
        <f ca="1">MAX(3500,C19*E27)</f>
        <v>6391.2425661807274</v>
      </c>
      <c r="D27" s="911" t="s">
        <v>617</v>
      </c>
      <c r="E27" s="990">
        <v>0.02</v>
      </c>
      <c r="F27" s="613"/>
      <c r="H27" s="613"/>
      <c r="I27" s="91" t="s">
        <v>26</v>
      </c>
      <c r="J27" s="1077">
        <v>999</v>
      </c>
      <c r="K27" s="756"/>
      <c r="L27" s="260"/>
    </row>
    <row r="28" spans="1:14" ht="18" customHeight="1" x14ac:dyDescent="0.2">
      <c r="A28" s="613"/>
      <c r="B28" s="91" t="s">
        <v>10</v>
      </c>
      <c r="C28" s="1077">
        <f ca="1">MAX(3500,E28*C19)</f>
        <v>6391.2425661807274</v>
      </c>
      <c r="D28" s="910" t="s">
        <v>617</v>
      </c>
      <c r="E28" s="989">
        <v>0.02</v>
      </c>
      <c r="F28" s="613"/>
      <c r="H28" s="613"/>
      <c r="I28" s="76" t="s">
        <v>681</v>
      </c>
      <c r="J28" s="1079">
        <v>999</v>
      </c>
      <c r="K28" s="755"/>
      <c r="L28" s="260"/>
    </row>
    <row r="29" spans="1:14" ht="18" customHeight="1" thickBot="1" x14ac:dyDescent="0.25">
      <c r="A29" s="613"/>
      <c r="B29" s="76" t="s">
        <v>791</v>
      </c>
      <c r="C29" s="1406">
        <v>950</v>
      </c>
      <c r="D29" s="1547" t="s">
        <v>771</v>
      </c>
      <c r="E29" s="1548"/>
      <c r="F29" s="613"/>
      <c r="H29" s="613"/>
      <c r="I29" s="107" t="s">
        <v>169</v>
      </c>
      <c r="J29" s="530"/>
      <c r="K29" s="530"/>
      <c r="M29" s="736"/>
    </row>
    <row r="30" spans="1:14" ht="18" customHeight="1" thickBot="1" x14ac:dyDescent="0.25">
      <c r="A30" s="613"/>
      <c r="B30" s="125" t="s">
        <v>124</v>
      </c>
      <c r="C30" s="1405">
        <v>995</v>
      </c>
      <c r="D30" s="1545" t="s">
        <v>771</v>
      </c>
      <c r="E30" s="1546"/>
      <c r="F30" s="613"/>
      <c r="H30" s="613"/>
      <c r="I30" s="96" t="s">
        <v>12</v>
      </c>
      <c r="J30" s="1785">
        <v>1500</v>
      </c>
      <c r="K30" s="1786"/>
    </row>
    <row r="31" spans="1:14" ht="18" customHeight="1" thickBot="1" x14ac:dyDescent="0.25">
      <c r="A31" s="613"/>
      <c r="B31" s="396" t="s">
        <v>169</v>
      </c>
      <c r="C31" s="1054"/>
      <c r="D31" s="1054"/>
      <c r="E31" s="1054"/>
      <c r="F31" s="613"/>
      <c r="H31" s="613"/>
      <c r="I31" s="97" t="s">
        <v>13</v>
      </c>
      <c r="J31" s="1791">
        <v>1500</v>
      </c>
      <c r="K31" s="1792"/>
    </row>
    <row r="32" spans="1:14" ht="18" customHeight="1" thickBot="1" x14ac:dyDescent="0.25">
      <c r="A32" s="613"/>
      <c r="B32" s="96" t="s">
        <v>14</v>
      </c>
      <c r="C32" s="1083">
        <v>650</v>
      </c>
      <c r="D32" s="1596" t="s">
        <v>770</v>
      </c>
      <c r="E32" s="1597"/>
      <c r="F32" s="613"/>
      <c r="H32" s="613"/>
      <c r="I32" s="98" t="s">
        <v>856</v>
      </c>
      <c r="J32" s="1085">
        <v>650</v>
      </c>
      <c r="K32" s="1086"/>
      <c r="M32" s="736"/>
    </row>
    <row r="33" spans="1:14" ht="18" customHeight="1" thickBot="1" x14ac:dyDescent="0.25">
      <c r="A33" s="613"/>
      <c r="B33" s="374" t="s">
        <v>854</v>
      </c>
      <c r="C33" s="1407">
        <v>75</v>
      </c>
      <c r="D33" s="1594" t="s">
        <v>770</v>
      </c>
      <c r="E33" s="1595"/>
      <c r="F33" s="613"/>
      <c r="H33" s="613"/>
      <c r="I33" s="497" t="s">
        <v>170</v>
      </c>
      <c r="J33" s="1088"/>
      <c r="K33" s="1088"/>
      <c r="M33" s="736"/>
    </row>
    <row r="34" spans="1:14" ht="18" customHeight="1" x14ac:dyDescent="0.2">
      <c r="A34" s="613"/>
      <c r="B34" s="97" t="s">
        <v>790</v>
      </c>
      <c r="C34" s="1412" t="str">
        <f>IF(D18="YES","0.00",C22*3)</f>
        <v>0.00</v>
      </c>
      <c r="D34" s="1609" t="str">
        <f>IF(D18="YES","N/A WITH 6 MO ROLLED IN","3 MO PAYMETS IN BANK")</f>
        <v>N/A WITH 6 MO ROLLED IN</v>
      </c>
      <c r="E34" s="1610"/>
      <c r="F34" s="613"/>
      <c r="H34" s="613"/>
      <c r="I34" s="108" t="s">
        <v>378</v>
      </c>
      <c r="J34" s="1787">
        <f>SUM(J25:J32)</f>
        <v>134448</v>
      </c>
      <c r="K34" s="1788"/>
      <c r="M34" s="736"/>
    </row>
    <row r="35" spans="1:14" ht="18" customHeight="1" thickBot="1" x14ac:dyDescent="0.25">
      <c r="A35" s="613"/>
      <c r="B35" s="97" t="s">
        <v>814</v>
      </c>
      <c r="C35" s="1111">
        <v>1500</v>
      </c>
      <c r="D35" s="1592" t="s">
        <v>771</v>
      </c>
      <c r="E35" s="1593"/>
      <c r="F35" s="613"/>
      <c r="H35" s="613"/>
      <c r="I35" s="110" t="s">
        <v>668</v>
      </c>
      <c r="J35" s="1789">
        <f>J34+J24</f>
        <v>1114448.0000000005</v>
      </c>
      <c r="K35" s="1790"/>
      <c r="M35" s="736"/>
    </row>
    <row r="36" spans="1:14" ht="18" customHeight="1" thickBot="1" x14ac:dyDescent="0.25">
      <c r="A36" s="613"/>
      <c r="B36" s="98" t="s">
        <v>821</v>
      </c>
      <c r="C36" s="1109">
        <v>1500</v>
      </c>
      <c r="D36" s="1545" t="s">
        <v>771</v>
      </c>
      <c r="E36" s="1546"/>
      <c r="F36" s="613"/>
      <c r="H36" s="613"/>
      <c r="I36" s="535"/>
      <c r="J36" s="536"/>
      <c r="K36" s="536"/>
    </row>
    <row r="37" spans="1:14" ht="18" customHeight="1" thickBot="1" x14ac:dyDescent="0.25">
      <c r="A37" s="260"/>
      <c r="B37" s="1056" t="s">
        <v>170</v>
      </c>
      <c r="C37" s="1054"/>
      <c r="D37" s="1054"/>
      <c r="E37" s="1054"/>
      <c r="F37" s="260"/>
      <c r="H37" s="260"/>
      <c r="I37" s="1777" t="s">
        <v>707</v>
      </c>
      <c r="J37" s="1778"/>
      <c r="K37" s="1778"/>
      <c r="L37" s="1779"/>
    </row>
    <row r="38" spans="1:14" ht="18" customHeight="1" x14ac:dyDescent="0.2">
      <c r="A38" s="613"/>
      <c r="B38" s="108" t="s">
        <v>23</v>
      </c>
      <c r="C38" s="1415">
        <f ca="1">SUM(C27:C28,C32:C33,C29:C30,C35,C36)</f>
        <v>18452.485132361457</v>
      </c>
      <c r="D38" s="1410"/>
      <c r="E38" s="1411"/>
      <c r="F38" s="613"/>
      <c r="H38" s="613"/>
      <c r="I38" s="1780"/>
      <c r="J38" s="1781"/>
      <c r="K38" s="1781"/>
      <c r="L38" s="1782"/>
      <c r="N38" s="512"/>
    </row>
    <row r="39" spans="1:14" ht="18" customHeight="1" x14ac:dyDescent="0.2">
      <c r="A39" s="613"/>
      <c r="B39" s="437" t="s">
        <v>978</v>
      </c>
      <c r="C39" s="1419">
        <f ca="1">C38+C25-C26</f>
        <v>78852.485132361457</v>
      </c>
      <c r="D39" s="1416"/>
      <c r="E39" s="1417"/>
      <c r="F39" s="613"/>
      <c r="H39" s="613"/>
      <c r="I39" s="1768" t="s">
        <v>704</v>
      </c>
      <c r="J39" s="1769"/>
      <c r="K39" s="1769"/>
      <c r="L39" s="1770"/>
      <c r="N39" s="512"/>
    </row>
    <row r="40" spans="1:14" ht="18" customHeight="1" thickBot="1" x14ac:dyDescent="0.25">
      <c r="A40" s="613"/>
      <c r="B40" s="110" t="s">
        <v>976</v>
      </c>
      <c r="C40" s="1414">
        <f ca="1">C39+C34</f>
        <v>78852.485132361457</v>
      </c>
      <c r="D40" s="1819" t="s">
        <v>977</v>
      </c>
      <c r="E40" s="1820"/>
      <c r="F40" s="613"/>
      <c r="H40" s="613"/>
      <c r="I40" s="1771" t="s">
        <v>705</v>
      </c>
      <c r="J40" s="1772"/>
      <c r="K40" s="1772"/>
      <c r="L40" s="1773"/>
      <c r="N40" s="512"/>
    </row>
    <row r="41" spans="1:14" ht="18" customHeight="1" x14ac:dyDescent="0.2">
      <c r="B41" s="535"/>
      <c r="C41" s="536"/>
      <c r="D41" s="536"/>
      <c r="E41" s="536"/>
      <c r="I41" s="1774" t="s">
        <v>789</v>
      </c>
      <c r="J41" s="1775"/>
      <c r="K41" s="1775"/>
      <c r="L41" s="1776"/>
      <c r="N41" s="512"/>
    </row>
    <row r="42" spans="1:14" ht="18" customHeight="1" x14ac:dyDescent="0.2">
      <c r="B42" s="1601" t="s">
        <v>376</v>
      </c>
      <c r="C42" s="1602"/>
      <c r="D42" s="1602"/>
      <c r="E42" s="1603"/>
      <c r="N42" s="512"/>
    </row>
    <row r="43" spans="1:14" ht="18" customHeight="1" x14ac:dyDescent="0.2">
      <c r="B43" s="1814"/>
      <c r="C43" s="1815"/>
      <c r="D43" s="1815"/>
      <c r="E43" s="1816"/>
      <c r="L43" s="260"/>
      <c r="N43" s="512"/>
    </row>
    <row r="44" spans="1:14" ht="18" customHeight="1" x14ac:dyDescent="0.2">
      <c r="B44" s="1577" t="s">
        <v>851</v>
      </c>
      <c r="C44" s="1578"/>
      <c r="D44" s="1578"/>
      <c r="E44" s="1579"/>
      <c r="L44" s="260"/>
      <c r="N44" s="512"/>
    </row>
    <row r="45" spans="1:14" ht="18" customHeight="1" x14ac:dyDescent="0.2">
      <c r="B45" s="1577"/>
      <c r="C45" s="1578"/>
      <c r="D45" s="1578"/>
      <c r="E45" s="1579"/>
      <c r="L45" s="260"/>
      <c r="N45" s="512"/>
    </row>
    <row r="46" spans="1:14" x14ac:dyDescent="0.2">
      <c r="B46" s="1811" t="s">
        <v>853</v>
      </c>
      <c r="C46" s="1812"/>
      <c r="D46" s="1812"/>
      <c r="E46" s="1813"/>
    </row>
    <row r="47" spans="1:14" x14ac:dyDescent="0.2">
      <c r="B47" s="1811"/>
      <c r="C47" s="1812"/>
      <c r="D47" s="1812"/>
      <c r="E47" s="1813"/>
    </row>
    <row r="48" spans="1:14" x14ac:dyDescent="0.2">
      <c r="B48" s="1803" t="s">
        <v>995</v>
      </c>
      <c r="C48" s="1804"/>
      <c r="D48" s="1804"/>
      <c r="E48" s="1805"/>
    </row>
    <row r="49" spans="2:5" ht="17.25" customHeight="1" x14ac:dyDescent="0.2">
      <c r="B49" s="1806"/>
      <c r="C49" s="1807"/>
      <c r="D49" s="1807"/>
      <c r="E49" s="1808"/>
    </row>
    <row r="59" spans="2:5" x14ac:dyDescent="0.2">
      <c r="B59" s="613" t="s">
        <v>360</v>
      </c>
    </row>
    <row r="60" spans="2:5" x14ac:dyDescent="0.2">
      <c r="B60" s="613" t="s">
        <v>997</v>
      </c>
    </row>
  </sheetData>
  <mergeCells count="39">
    <mergeCell ref="B48:E49"/>
    <mergeCell ref="D34:E34"/>
    <mergeCell ref="B44:E45"/>
    <mergeCell ref="D22:E22"/>
    <mergeCell ref="B46:E47"/>
    <mergeCell ref="D35:E35"/>
    <mergeCell ref="D36:E36"/>
    <mergeCell ref="B42:E43"/>
    <mergeCell ref="D29:E29"/>
    <mergeCell ref="D30:E30"/>
    <mergeCell ref="D32:E32"/>
    <mergeCell ref="D33:E33"/>
    <mergeCell ref="C25:E25"/>
    <mergeCell ref="D26:E26"/>
    <mergeCell ref="D23:E23"/>
    <mergeCell ref="D40:E40"/>
    <mergeCell ref="C8:E8"/>
    <mergeCell ref="C19:E19"/>
    <mergeCell ref="D21:E21"/>
    <mergeCell ref="B2:E2"/>
    <mergeCell ref="C4:E4"/>
    <mergeCell ref="C5:E5"/>
    <mergeCell ref="C6:E6"/>
    <mergeCell ref="C7:E7"/>
    <mergeCell ref="D20:E20"/>
    <mergeCell ref="D18:E18"/>
    <mergeCell ref="I40:L40"/>
    <mergeCell ref="I41:L41"/>
    <mergeCell ref="I37:L38"/>
    <mergeCell ref="J20:L20"/>
    <mergeCell ref="J30:K30"/>
    <mergeCell ref="J34:K34"/>
    <mergeCell ref="J35:K35"/>
    <mergeCell ref="J31:K31"/>
    <mergeCell ref="I2:L2"/>
    <mergeCell ref="J4:L4"/>
    <mergeCell ref="J5:L5"/>
    <mergeCell ref="J6:L6"/>
    <mergeCell ref="I39:L39"/>
  </mergeCells>
  <dataValidations count="1">
    <dataValidation type="list" allowBlank="1" showInputMessage="1" showErrorMessage="1" sqref="D18:E18" xr:uid="{66B7417E-018C-46DB-BAAD-B31F02DCD3C8}">
      <formula1>$B$59:$B$60</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55E4C-DFEC-4B2B-8795-D66330640B8E}">
  <dimension ref="A2:G40"/>
  <sheetViews>
    <sheetView showGridLines="0" zoomScale="70" zoomScaleNormal="70" workbookViewId="0">
      <selection activeCell="H11" sqref="H11"/>
    </sheetView>
  </sheetViews>
  <sheetFormatPr baseColWidth="10" defaultColWidth="9.1640625" defaultRowHeight="16" x14ac:dyDescent="0.2"/>
  <cols>
    <col min="1" max="1" width="2.33203125" style="686" customWidth="1"/>
    <col min="2" max="2" width="42" style="690" customWidth="1"/>
    <col min="3" max="3" width="20.5" style="690" customWidth="1"/>
    <col min="4" max="4" width="5.5" style="690" customWidth="1"/>
    <col min="5" max="5" width="14.6640625" style="613" customWidth="1"/>
    <col min="6" max="6" width="1.83203125" style="613" customWidth="1"/>
    <col min="7" max="7" width="18.5" style="693" customWidth="1"/>
    <col min="8" max="16384" width="9.1640625" style="260"/>
  </cols>
  <sheetData>
    <row r="2" spans="1:6" ht="19.5" customHeight="1" x14ac:dyDescent="0.2">
      <c r="A2" s="613"/>
      <c r="B2" s="1827" t="s">
        <v>622</v>
      </c>
      <c r="C2" s="1827"/>
      <c r="D2" s="1827"/>
      <c r="E2" s="1827"/>
      <c r="F2" s="260"/>
    </row>
    <row r="3" spans="1:6" ht="18" customHeight="1" thickBot="1" x14ac:dyDescent="0.25">
      <c r="A3" s="613"/>
      <c r="B3" s="657" t="s">
        <v>15</v>
      </c>
      <c r="C3" s="674">
        <f ca="1">TODAY()</f>
        <v>43713</v>
      </c>
      <c r="D3" s="674"/>
      <c r="E3" s="675"/>
      <c r="F3" s="675"/>
    </row>
    <row r="4" spans="1:6" ht="18" customHeight="1" x14ac:dyDescent="0.2">
      <c r="A4" s="613"/>
      <c r="B4" s="99" t="s">
        <v>24</v>
      </c>
      <c r="C4" s="1474" t="s">
        <v>1019</v>
      </c>
      <c r="D4" s="1490"/>
      <c r="E4" s="1491"/>
      <c r="F4" s="677"/>
    </row>
    <row r="5" spans="1:6" ht="18" customHeight="1" x14ac:dyDescent="0.2">
      <c r="A5" s="260"/>
      <c r="B5" s="303" t="s">
        <v>250</v>
      </c>
      <c r="C5" s="1472" t="s">
        <v>1020</v>
      </c>
      <c r="D5" s="1472"/>
      <c r="E5" s="1473"/>
      <c r="F5" s="648"/>
    </row>
    <row r="6" spans="1:6" ht="18" customHeight="1" x14ac:dyDescent="0.2">
      <c r="A6" s="613"/>
      <c r="B6" s="1487" t="s">
        <v>25</v>
      </c>
      <c r="C6" s="1488" t="s">
        <v>1021</v>
      </c>
      <c r="D6" s="1488"/>
      <c r="E6" s="1489"/>
      <c r="F6" s="648"/>
    </row>
    <row r="7" spans="1:6" ht="18" customHeight="1" x14ac:dyDescent="0.2">
      <c r="A7" s="260"/>
      <c r="B7" s="303" t="s">
        <v>1007</v>
      </c>
      <c r="C7" s="1838">
        <v>1</v>
      </c>
      <c r="D7" s="1838"/>
      <c r="E7" s="1839"/>
      <c r="F7" s="571"/>
    </row>
    <row r="8" spans="1:6" ht="18" customHeight="1" x14ac:dyDescent="0.2">
      <c r="A8" s="613"/>
      <c r="B8" s="303" t="s">
        <v>1008</v>
      </c>
      <c r="C8" s="1836" t="s">
        <v>614</v>
      </c>
      <c r="D8" s="1836"/>
      <c r="E8" s="1837"/>
      <c r="F8" s="571"/>
    </row>
    <row r="9" spans="1:6" ht="18" customHeight="1" thickBot="1" x14ac:dyDescent="0.25">
      <c r="A9" s="613"/>
      <c r="B9" s="100" t="s">
        <v>1009</v>
      </c>
      <c r="C9" s="1834">
        <v>680</v>
      </c>
      <c r="D9" s="1834"/>
      <c r="E9" s="1835"/>
      <c r="F9" s="680"/>
    </row>
    <row r="10" spans="1:6" ht="18" customHeight="1" thickBot="1" x14ac:dyDescent="0.25">
      <c r="A10" s="613"/>
      <c r="B10" s="122" t="s">
        <v>168</v>
      </c>
      <c r="C10" s="680"/>
      <c r="D10" s="680"/>
      <c r="E10" s="522"/>
      <c r="F10" s="522"/>
    </row>
    <row r="11" spans="1:6" ht="18" customHeight="1" x14ac:dyDescent="0.2">
      <c r="A11" s="260"/>
      <c r="B11" s="79" t="s">
        <v>62</v>
      </c>
      <c r="C11" s="666" t="s">
        <v>615</v>
      </c>
      <c r="D11" s="666"/>
      <c r="E11" s="667"/>
      <c r="F11" s="659"/>
    </row>
    <row r="12" spans="1:6" ht="18" customHeight="1" x14ac:dyDescent="0.2">
      <c r="A12" s="613"/>
      <c r="B12" s="91" t="s">
        <v>48</v>
      </c>
      <c r="C12" s="1470">
        <v>317000</v>
      </c>
      <c r="D12" s="652"/>
      <c r="E12" s="661"/>
      <c r="F12" s="658"/>
    </row>
    <row r="13" spans="1:6" ht="18" customHeight="1" x14ac:dyDescent="0.2">
      <c r="A13" s="613"/>
      <c r="B13" s="76" t="s">
        <v>82</v>
      </c>
      <c r="C13" s="1475">
        <v>350000</v>
      </c>
      <c r="D13" s="651"/>
      <c r="E13" s="668"/>
      <c r="F13" s="658"/>
    </row>
    <row r="14" spans="1:6" ht="18" customHeight="1" x14ac:dyDescent="0.2">
      <c r="A14" s="613"/>
      <c r="B14" s="91" t="s">
        <v>34</v>
      </c>
      <c r="C14" s="1477">
        <v>50000</v>
      </c>
      <c r="D14" s="654"/>
      <c r="E14" s="525"/>
      <c r="F14" s="654"/>
    </row>
    <row r="15" spans="1:6" ht="18" customHeight="1" x14ac:dyDescent="0.2">
      <c r="A15" s="613"/>
      <c r="B15" s="713" t="s">
        <v>265</v>
      </c>
      <c r="C15" s="1469">
        <v>450000</v>
      </c>
      <c r="D15" s="714"/>
      <c r="E15" s="715"/>
      <c r="F15" s="654"/>
    </row>
    <row r="16" spans="1:6" ht="18" customHeight="1" x14ac:dyDescent="0.2">
      <c r="A16" s="613"/>
      <c r="B16" s="91" t="s">
        <v>1023</v>
      </c>
      <c r="C16" s="654">
        <f>C12*E16</f>
        <v>206050</v>
      </c>
      <c r="D16" s="654" t="s">
        <v>1022</v>
      </c>
      <c r="E16" s="1483">
        <v>0.65</v>
      </c>
      <c r="F16" s="663"/>
    </row>
    <row r="17" spans="1:7" ht="18" customHeight="1" x14ac:dyDescent="0.2">
      <c r="A17" s="613"/>
      <c r="B17" s="76" t="s">
        <v>626</v>
      </c>
      <c r="C17" s="653">
        <f>E17*C14</f>
        <v>40000</v>
      </c>
      <c r="D17" s="653" t="s">
        <v>200</v>
      </c>
      <c r="E17" s="1484">
        <v>0.8</v>
      </c>
      <c r="F17" s="663"/>
      <c r="G17" s="319" t="s">
        <v>723</v>
      </c>
    </row>
    <row r="18" spans="1:7" ht="18" customHeight="1" x14ac:dyDescent="0.2">
      <c r="A18" s="613"/>
      <c r="B18" s="91" t="s">
        <v>627</v>
      </c>
      <c r="C18" s="654">
        <f>C15*E18</f>
        <v>292500</v>
      </c>
      <c r="D18" s="654" t="s">
        <v>618</v>
      </c>
      <c r="E18" s="1483">
        <v>0.65</v>
      </c>
      <c r="F18" s="654"/>
      <c r="G18" s="783">
        <f>SUM(C16+C17)</f>
        <v>246050</v>
      </c>
    </row>
    <row r="19" spans="1:7" ht="18" customHeight="1" x14ac:dyDescent="0.2">
      <c r="A19" s="613"/>
      <c r="B19" s="76" t="s">
        <v>629</v>
      </c>
      <c r="C19" s="1485">
        <f>MIN(C18,G18)</f>
        <v>246050</v>
      </c>
      <c r="D19" s="669"/>
      <c r="E19" s="670"/>
      <c r="F19" s="633"/>
      <c r="G19" s="694">
        <f>C19-C17</f>
        <v>206050</v>
      </c>
    </row>
    <row r="20" spans="1:7" ht="18" customHeight="1" x14ac:dyDescent="0.2">
      <c r="A20" s="621"/>
      <c r="B20" s="91" t="s">
        <v>1</v>
      </c>
      <c r="C20" s="655" t="s">
        <v>623</v>
      </c>
      <c r="D20" s="655"/>
      <c r="E20" s="527"/>
      <c r="F20" s="655"/>
    </row>
    <row r="21" spans="1:7" ht="18" customHeight="1" x14ac:dyDescent="0.2">
      <c r="A21" s="613"/>
      <c r="B21" s="76" t="s">
        <v>0</v>
      </c>
      <c r="C21" s="1158">
        <v>0.11</v>
      </c>
      <c r="D21" s="649"/>
      <c r="E21" s="650"/>
      <c r="F21" s="566"/>
      <c r="G21" s="319" t="s">
        <v>233</v>
      </c>
    </row>
    <row r="22" spans="1:7" ht="18" customHeight="1" x14ac:dyDescent="0.2">
      <c r="A22" s="613"/>
      <c r="B22" s="91" t="s">
        <v>6</v>
      </c>
      <c r="C22" s="633">
        <f>G22/12</f>
        <v>2255.4583333333335</v>
      </c>
      <c r="D22" s="633"/>
      <c r="E22" s="526"/>
      <c r="F22" s="633"/>
      <c r="G22" s="694">
        <f>C19*C21</f>
        <v>27065.5</v>
      </c>
    </row>
    <row r="23" spans="1:7" ht="18" customHeight="1" thickBot="1" x14ac:dyDescent="0.25">
      <c r="A23" s="613"/>
      <c r="B23" s="85" t="s">
        <v>318</v>
      </c>
      <c r="C23" s="1486">
        <v>4000</v>
      </c>
      <c r="D23" s="672"/>
      <c r="E23" s="673"/>
      <c r="F23" s="656"/>
    </row>
    <row r="24" spans="1:7" ht="18" customHeight="1" thickBot="1" x14ac:dyDescent="0.25">
      <c r="A24" s="613"/>
      <c r="B24" s="286" t="s">
        <v>166</v>
      </c>
      <c r="C24" s="681"/>
      <c r="D24" s="681"/>
      <c r="E24" s="682"/>
      <c r="F24" s="682"/>
    </row>
    <row r="25" spans="1:7" ht="18" customHeight="1" x14ac:dyDescent="0.2">
      <c r="A25" s="613"/>
      <c r="B25" s="79" t="s">
        <v>36</v>
      </c>
      <c r="C25" s="1467">
        <f>C12-G19-C23</f>
        <v>106950</v>
      </c>
      <c r="D25" s="1832" t="s">
        <v>628</v>
      </c>
      <c r="E25" s="1833"/>
      <c r="F25" s="568"/>
    </row>
    <row r="26" spans="1:7" ht="18" customHeight="1" x14ac:dyDescent="0.2">
      <c r="A26" s="613"/>
      <c r="B26" s="91" t="s">
        <v>45</v>
      </c>
      <c r="C26" s="1468">
        <f>C19*E26</f>
        <v>7381.5</v>
      </c>
      <c r="D26" s="1468" t="s">
        <v>617</v>
      </c>
      <c r="E26" s="989">
        <v>0.03</v>
      </c>
      <c r="F26" s="683"/>
    </row>
    <row r="27" spans="1:7" ht="18" customHeight="1" x14ac:dyDescent="0.2">
      <c r="A27" s="613"/>
      <c r="B27" s="76" t="s">
        <v>620</v>
      </c>
      <c r="C27" s="1471">
        <f>E27*C19</f>
        <v>4921</v>
      </c>
      <c r="D27" s="1471" t="s">
        <v>617</v>
      </c>
      <c r="E27" s="990">
        <v>0.02</v>
      </c>
      <c r="F27" s="568"/>
    </row>
    <row r="28" spans="1:7" ht="18" customHeight="1" x14ac:dyDescent="0.2">
      <c r="A28" s="613"/>
      <c r="B28" s="91" t="s">
        <v>621</v>
      </c>
      <c r="C28" s="568">
        <v>3000</v>
      </c>
      <c r="D28" s="660"/>
      <c r="E28" s="662"/>
      <c r="F28" s="660"/>
    </row>
    <row r="29" spans="1:7" ht="18" customHeight="1" thickBot="1" x14ac:dyDescent="0.25">
      <c r="A29" s="613"/>
      <c r="B29" s="85" t="s">
        <v>619</v>
      </c>
      <c r="C29" s="671">
        <v>2850</v>
      </c>
      <c r="D29" s="671"/>
      <c r="E29" s="577"/>
      <c r="F29" s="568"/>
    </row>
    <row r="30" spans="1:7" ht="18" customHeight="1" thickBot="1" x14ac:dyDescent="0.25">
      <c r="A30" s="260"/>
      <c r="B30" s="129" t="s">
        <v>169</v>
      </c>
      <c r="C30" s="534"/>
      <c r="D30" s="534"/>
      <c r="E30" s="530"/>
      <c r="F30" s="530"/>
    </row>
    <row r="31" spans="1:7" ht="18" customHeight="1" x14ac:dyDescent="0.2">
      <c r="A31" s="613"/>
      <c r="B31" s="96" t="s">
        <v>316</v>
      </c>
      <c r="C31" s="1476">
        <v>800</v>
      </c>
      <c r="D31" s="684"/>
      <c r="E31" s="531"/>
      <c r="F31" s="685"/>
    </row>
    <row r="32" spans="1:7" ht="18" customHeight="1" thickBot="1" x14ac:dyDescent="0.25">
      <c r="B32" s="98" t="s">
        <v>13</v>
      </c>
      <c r="C32" s="687">
        <v>1500</v>
      </c>
      <c r="D32" s="687"/>
      <c r="E32" s="533"/>
      <c r="F32" s="534"/>
    </row>
    <row r="33" spans="2:6" ht="18" customHeight="1" thickBot="1" x14ac:dyDescent="0.25">
      <c r="B33" s="497" t="s">
        <v>170</v>
      </c>
      <c r="C33" s="534"/>
      <c r="D33" s="534"/>
      <c r="E33" s="534"/>
      <c r="F33" s="534"/>
    </row>
    <row r="34" spans="2:6" ht="18" customHeight="1" x14ac:dyDescent="0.2">
      <c r="B34" s="491" t="s">
        <v>1005</v>
      </c>
      <c r="C34" s="1828">
        <f>SUM(C26:C28,C31:C32,C29:C29)</f>
        <v>20452.5</v>
      </c>
      <c r="D34" s="1828"/>
      <c r="E34" s="1829"/>
      <c r="F34" s="688"/>
    </row>
    <row r="35" spans="2:6" ht="18" customHeight="1" thickBot="1" x14ac:dyDescent="0.25">
      <c r="B35" s="493" t="s">
        <v>1006</v>
      </c>
      <c r="C35" s="1830">
        <f>C34+C25</f>
        <v>127402.5</v>
      </c>
      <c r="D35" s="1830"/>
      <c r="E35" s="1831"/>
      <c r="F35" s="688"/>
    </row>
    <row r="36" spans="2:6" ht="18" customHeight="1" x14ac:dyDescent="0.2">
      <c r="B36" s="570"/>
      <c r="C36" s="571"/>
      <c r="D36" s="571"/>
      <c r="E36" s="536"/>
      <c r="F36" s="536"/>
    </row>
    <row r="37" spans="2:6" ht="18" customHeight="1" x14ac:dyDescent="0.2">
      <c r="B37" s="1601" t="s">
        <v>376</v>
      </c>
      <c r="C37" s="1602"/>
      <c r="D37" s="1602"/>
      <c r="E37" s="1603"/>
      <c r="F37" s="689"/>
    </row>
    <row r="38" spans="2:6" ht="18" customHeight="1" x14ac:dyDescent="0.2">
      <c r="B38" s="1814"/>
      <c r="C38" s="1815"/>
      <c r="D38" s="1815"/>
      <c r="E38" s="1816"/>
      <c r="F38" s="689"/>
    </row>
    <row r="39" spans="2:6" ht="18" customHeight="1" x14ac:dyDescent="0.2">
      <c r="B39" s="1821" t="s">
        <v>616</v>
      </c>
      <c r="C39" s="1822"/>
      <c r="D39" s="1822"/>
      <c r="E39" s="1823"/>
      <c r="F39" s="689"/>
    </row>
    <row r="40" spans="2:6" ht="18" customHeight="1" x14ac:dyDescent="0.2">
      <c r="B40" s="1824"/>
      <c r="C40" s="1825"/>
      <c r="D40" s="1825"/>
      <c r="E40" s="1826"/>
    </row>
  </sheetData>
  <mergeCells count="9">
    <mergeCell ref="B39:E40"/>
    <mergeCell ref="B2:E2"/>
    <mergeCell ref="C34:E34"/>
    <mergeCell ref="C35:E35"/>
    <mergeCell ref="D25:E25"/>
    <mergeCell ref="B37:E38"/>
    <mergeCell ref="C9:E9"/>
    <mergeCell ref="C8:E8"/>
    <mergeCell ref="C7:E7"/>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53DE0-5689-4F3B-A45B-F077A5EA54E5}">
  <dimension ref="A2:M50"/>
  <sheetViews>
    <sheetView showGridLines="0" topLeftCell="A4" zoomScale="70" zoomScaleNormal="70" workbookViewId="0">
      <selection activeCell="S22" sqref="S22"/>
    </sheetView>
  </sheetViews>
  <sheetFormatPr baseColWidth="10" defaultColWidth="9.1640625" defaultRowHeight="15" x14ac:dyDescent="0.2"/>
  <cols>
    <col min="1" max="1" width="2.5" style="613" customWidth="1"/>
    <col min="2" max="2" width="46.6640625" style="613" customWidth="1"/>
    <col min="3" max="3" width="20.83203125" style="613" customWidth="1"/>
    <col min="4" max="4" width="7.6640625" style="613" customWidth="1"/>
    <col min="5" max="5" width="14.5" style="686" customWidth="1"/>
    <col min="6" max="6" width="2.5" style="613" customWidth="1"/>
    <col min="7" max="7" width="40.83203125" style="613" customWidth="1"/>
    <col min="8" max="8" width="20.83203125" style="613" customWidth="1"/>
    <col min="9" max="9" width="7.6640625" style="613" customWidth="1"/>
    <col min="10" max="10" width="14.5" style="686" customWidth="1"/>
    <col min="11" max="11" width="2.5" style="613" customWidth="1"/>
    <col min="12" max="12" width="2.5" style="999" customWidth="1"/>
    <col min="13" max="13" width="2.5" style="613" customWidth="1"/>
    <col min="14" max="16384" width="9.1640625" style="260"/>
  </cols>
  <sheetData>
    <row r="2" spans="1:13" ht="60" customHeight="1" x14ac:dyDescent="0.2">
      <c r="B2" s="1687" t="s">
        <v>865</v>
      </c>
      <c r="C2" s="1688"/>
      <c r="D2" s="1688"/>
      <c r="E2" s="1688"/>
      <c r="F2" s="1688"/>
      <c r="G2" s="1688"/>
      <c r="H2" s="1688"/>
      <c r="I2" s="1688"/>
      <c r="J2" s="1689"/>
    </row>
    <row r="3" spans="1:13" ht="20.25" customHeight="1" x14ac:dyDescent="0.2"/>
    <row r="4" spans="1:13" ht="20.25" customHeight="1" x14ac:dyDescent="0.2">
      <c r="B4" s="1686" t="s">
        <v>922</v>
      </c>
      <c r="C4" s="1686"/>
      <c r="D4" s="1686"/>
      <c r="E4" s="1686"/>
      <c r="F4" s="1686"/>
      <c r="G4" s="1686"/>
      <c r="H4" s="1686"/>
      <c r="I4" s="1686"/>
      <c r="J4" s="1686"/>
    </row>
    <row r="5" spans="1:13" ht="20.25" customHeight="1" x14ac:dyDescent="0.2"/>
    <row r="6" spans="1:13" ht="20.25" customHeight="1" x14ac:dyDescent="0.2">
      <c r="B6" s="1542" t="s">
        <v>866</v>
      </c>
      <c r="C6" s="1543"/>
      <c r="D6" s="1543"/>
      <c r="E6" s="1544"/>
      <c r="G6" s="1671" t="s">
        <v>867</v>
      </c>
      <c r="H6" s="1672"/>
      <c r="I6" s="1672"/>
      <c r="J6" s="1673"/>
    </row>
    <row r="7" spans="1:13" ht="20.25" customHeight="1" thickBot="1" x14ac:dyDescent="0.25">
      <c r="A7" s="1023"/>
      <c r="B7" s="1026" t="s">
        <v>15</v>
      </c>
      <c r="C7" s="1027">
        <f ca="1">TODAY()</f>
        <v>43713</v>
      </c>
      <c r="D7" s="1027"/>
      <c r="E7" s="1027"/>
      <c r="F7" s="1023"/>
      <c r="G7" s="1026" t="s">
        <v>15</v>
      </c>
      <c r="H7" s="1027">
        <f ca="1">TODAY()</f>
        <v>43713</v>
      </c>
      <c r="I7" s="1027"/>
      <c r="J7" s="1027"/>
      <c r="K7" s="1023"/>
      <c r="L7" s="1025"/>
      <c r="M7" s="1023"/>
    </row>
    <row r="8" spans="1:13" ht="20.25" customHeight="1" x14ac:dyDescent="0.2">
      <c r="B8" s="154" t="s">
        <v>24</v>
      </c>
      <c r="C8" s="1553" t="s">
        <v>782</v>
      </c>
      <c r="D8" s="1553"/>
      <c r="E8" s="1554"/>
      <c r="G8" s="154" t="s">
        <v>24</v>
      </c>
      <c r="H8" s="1553" t="s">
        <v>766</v>
      </c>
      <c r="I8" s="1553"/>
      <c r="J8" s="1554"/>
    </row>
    <row r="9" spans="1:13" ht="20.25" customHeight="1" x14ac:dyDescent="0.2">
      <c r="A9" s="260"/>
      <c r="B9" s="303" t="s">
        <v>250</v>
      </c>
      <c r="C9" s="1555" t="s">
        <v>783</v>
      </c>
      <c r="D9" s="1555"/>
      <c r="E9" s="1556"/>
      <c r="F9" s="260"/>
      <c r="G9" s="303" t="s">
        <v>250</v>
      </c>
      <c r="H9" s="1555" t="s">
        <v>780</v>
      </c>
      <c r="I9" s="1555"/>
      <c r="J9" s="1556"/>
      <c r="K9" s="260"/>
      <c r="L9" s="1000"/>
      <c r="M9" s="260"/>
    </row>
    <row r="10" spans="1:13" ht="20.25" customHeight="1" x14ac:dyDescent="0.2">
      <c r="B10" s="303" t="s">
        <v>25</v>
      </c>
      <c r="C10" s="1555" t="s">
        <v>784</v>
      </c>
      <c r="D10" s="1555"/>
      <c r="E10" s="1556"/>
      <c r="G10" s="303" t="s">
        <v>25</v>
      </c>
      <c r="H10" s="1555" t="s">
        <v>781</v>
      </c>
      <c r="I10" s="1555"/>
      <c r="J10" s="1556"/>
    </row>
    <row r="11" spans="1:13" ht="20.25" customHeight="1" x14ac:dyDescent="0.2">
      <c r="B11" s="303" t="s">
        <v>824</v>
      </c>
      <c r="C11" s="1557" t="s">
        <v>858</v>
      </c>
      <c r="D11" s="1557"/>
      <c r="E11" s="1558"/>
      <c r="G11" s="303" t="s">
        <v>824</v>
      </c>
      <c r="H11" s="1557" t="s">
        <v>823</v>
      </c>
      <c r="I11" s="1557"/>
      <c r="J11" s="1558"/>
    </row>
    <row r="12" spans="1:13" ht="20.25" customHeight="1" x14ac:dyDescent="0.2">
      <c r="A12" s="260"/>
      <c r="B12" s="893" t="s">
        <v>764</v>
      </c>
      <c r="C12" s="1559">
        <v>619</v>
      </c>
      <c r="D12" s="1559"/>
      <c r="E12" s="1560"/>
      <c r="F12" s="260"/>
      <c r="G12" s="893" t="s">
        <v>764</v>
      </c>
      <c r="H12" s="1559">
        <v>700</v>
      </c>
      <c r="I12" s="1559"/>
      <c r="J12" s="1560"/>
      <c r="K12" s="260"/>
      <c r="L12" s="1000"/>
      <c r="M12" s="260"/>
    </row>
    <row r="13" spans="1:13" ht="20.25" customHeight="1" thickBot="1" x14ac:dyDescent="0.25">
      <c r="B13" s="888" t="s">
        <v>822</v>
      </c>
      <c r="C13" s="1180" t="s">
        <v>315</v>
      </c>
      <c r="D13" s="1180"/>
      <c r="E13" s="1181"/>
      <c r="G13" s="888" t="s">
        <v>822</v>
      </c>
      <c r="H13" s="1180" t="s">
        <v>315</v>
      </c>
      <c r="I13" s="1180"/>
      <c r="J13" s="1181"/>
    </row>
    <row r="14" spans="1:13" ht="20.25" customHeight="1" thickBot="1" x14ac:dyDescent="0.25">
      <c r="A14" s="1023"/>
      <c r="B14" s="1045" t="s">
        <v>172</v>
      </c>
      <c r="C14" s="1046"/>
      <c r="D14" s="1046"/>
      <c r="E14" s="1046"/>
      <c r="F14" s="1023"/>
      <c r="G14" s="1045" t="s">
        <v>172</v>
      </c>
      <c r="H14" s="1046"/>
      <c r="I14" s="1046"/>
      <c r="J14" s="1046"/>
      <c r="K14" s="1023"/>
      <c r="L14" s="1025"/>
      <c r="M14" s="1023"/>
    </row>
    <row r="15" spans="1:13" ht="20.25" customHeight="1" x14ac:dyDescent="0.2">
      <c r="A15" s="260"/>
      <c r="B15" s="178" t="s">
        <v>48</v>
      </c>
      <c r="C15" s="1002">
        <v>210000</v>
      </c>
      <c r="D15" s="928"/>
      <c r="E15" s="929"/>
      <c r="F15" s="260"/>
      <c r="G15" s="79" t="s">
        <v>82</v>
      </c>
      <c r="H15" s="1700">
        <v>105000</v>
      </c>
      <c r="I15" s="1700"/>
      <c r="J15" s="1701"/>
      <c r="K15" s="260"/>
      <c r="L15" s="1000"/>
      <c r="M15" s="260"/>
    </row>
    <row r="16" spans="1:13" ht="20.25" customHeight="1" x14ac:dyDescent="0.2">
      <c r="B16" s="76" t="s">
        <v>34</v>
      </c>
      <c r="C16" s="1035">
        <v>20000</v>
      </c>
      <c r="D16" s="653"/>
      <c r="E16" s="524"/>
      <c r="G16" s="91" t="s">
        <v>832</v>
      </c>
      <c r="H16" s="1696">
        <v>65000</v>
      </c>
      <c r="I16" s="1696"/>
      <c r="J16" s="1697"/>
    </row>
    <row r="17" spans="2:10" ht="20.25" customHeight="1" x14ac:dyDescent="0.2">
      <c r="B17" s="91" t="s">
        <v>82</v>
      </c>
      <c r="C17" s="1009">
        <v>210000</v>
      </c>
      <c r="D17" s="966"/>
      <c r="E17" s="967"/>
      <c r="G17" s="76" t="s">
        <v>34</v>
      </c>
      <c r="H17" s="1698">
        <v>145760</v>
      </c>
      <c r="I17" s="1698"/>
      <c r="J17" s="1699"/>
    </row>
    <row r="18" spans="2:10" ht="20.25" customHeight="1" x14ac:dyDescent="0.2">
      <c r="B18" s="713" t="s">
        <v>265</v>
      </c>
      <c r="C18" s="1036">
        <v>350000</v>
      </c>
      <c r="D18" s="714"/>
      <c r="E18" s="715"/>
      <c r="G18" s="91" t="s">
        <v>82</v>
      </c>
      <c r="H18" s="1696">
        <v>105000</v>
      </c>
      <c r="I18" s="1696"/>
      <c r="J18" s="1697"/>
    </row>
    <row r="19" spans="2:10" ht="20.25" customHeight="1" x14ac:dyDescent="0.2">
      <c r="B19" s="91" t="s">
        <v>73</v>
      </c>
      <c r="C19" s="1033">
        <f>E19*C15</f>
        <v>178500</v>
      </c>
      <c r="D19" s="908" t="s">
        <v>3</v>
      </c>
      <c r="E19" s="989">
        <v>0.85</v>
      </c>
      <c r="G19" s="713" t="s">
        <v>265</v>
      </c>
      <c r="H19" s="1694">
        <v>335000</v>
      </c>
      <c r="I19" s="1694"/>
      <c r="J19" s="1695"/>
    </row>
    <row r="20" spans="2:10" ht="20.25" customHeight="1" x14ac:dyDescent="0.2">
      <c r="B20" s="76" t="s">
        <v>75</v>
      </c>
      <c r="C20" s="1034">
        <f>E20*C16</f>
        <v>17000</v>
      </c>
      <c r="D20" s="909" t="s">
        <v>776</v>
      </c>
      <c r="E20" s="990">
        <v>0.85</v>
      </c>
      <c r="G20" s="91" t="s">
        <v>371</v>
      </c>
      <c r="H20" s="1033">
        <f>J20*H15</f>
        <v>89250</v>
      </c>
      <c r="I20" s="908" t="s">
        <v>3</v>
      </c>
      <c r="J20" s="989">
        <v>0.85</v>
      </c>
    </row>
    <row r="21" spans="2:10" ht="20.25" customHeight="1" x14ac:dyDescent="0.2">
      <c r="B21" s="91" t="s">
        <v>580</v>
      </c>
      <c r="C21" s="654">
        <f>C18*E21</f>
        <v>227500</v>
      </c>
      <c r="D21" s="908" t="s">
        <v>173</v>
      </c>
      <c r="E21" s="989">
        <v>0.65</v>
      </c>
      <c r="G21" s="76" t="s">
        <v>75</v>
      </c>
      <c r="H21" s="1034">
        <f>J21*H17</f>
        <v>145760</v>
      </c>
      <c r="I21" s="909" t="s">
        <v>776</v>
      </c>
      <c r="J21" s="990">
        <v>1</v>
      </c>
    </row>
    <row r="22" spans="2:10" ht="20.25" customHeight="1" x14ac:dyDescent="0.2">
      <c r="B22" s="76" t="s">
        <v>844</v>
      </c>
      <c r="C22" s="1840">
        <f>MIN(C19+C20,C21)</f>
        <v>195500</v>
      </c>
      <c r="D22" s="1840"/>
      <c r="E22" s="1841"/>
      <c r="G22" s="91" t="s">
        <v>580</v>
      </c>
      <c r="H22" s="654">
        <f>H19*J22</f>
        <v>251250</v>
      </c>
      <c r="I22" s="908" t="s">
        <v>173</v>
      </c>
      <c r="J22" s="989">
        <v>0.75</v>
      </c>
    </row>
    <row r="23" spans="2:10" ht="20.25" customHeight="1" x14ac:dyDescent="0.2">
      <c r="B23" s="1016" t="s">
        <v>800</v>
      </c>
      <c r="C23" s="1690">
        <v>0.12</v>
      </c>
      <c r="D23" s="1690"/>
      <c r="E23" s="1691"/>
      <c r="G23" s="76" t="s">
        <v>843</v>
      </c>
      <c r="H23" s="1840">
        <f>MIN(H20+H21,H22)+H36</f>
        <v>235460</v>
      </c>
      <c r="I23" s="1840"/>
      <c r="J23" s="1841"/>
    </row>
    <row r="24" spans="2:10" ht="20.25" customHeight="1" x14ac:dyDescent="0.2">
      <c r="B24" s="971" t="s">
        <v>838</v>
      </c>
      <c r="C24" s="946">
        <v>12</v>
      </c>
      <c r="D24" s="1575" t="s">
        <v>827</v>
      </c>
      <c r="E24" s="1576"/>
      <c r="G24" s="1016" t="s">
        <v>800</v>
      </c>
      <c r="H24" s="1690">
        <v>0.105</v>
      </c>
      <c r="I24" s="1690"/>
      <c r="J24" s="1691"/>
    </row>
    <row r="25" spans="2:10" ht="20.25" customHeight="1" x14ac:dyDescent="0.2">
      <c r="B25" s="1016" t="s">
        <v>6</v>
      </c>
      <c r="C25" s="1565">
        <f>C22*C23/12</f>
        <v>1955</v>
      </c>
      <c r="D25" s="1565"/>
      <c r="E25" s="1566"/>
      <c r="G25" s="971" t="s">
        <v>838</v>
      </c>
      <c r="H25" s="946">
        <v>9</v>
      </c>
      <c r="I25" s="1575" t="s">
        <v>827</v>
      </c>
      <c r="J25" s="1576"/>
    </row>
    <row r="26" spans="2:10" ht="20.25" customHeight="1" x14ac:dyDescent="0.2">
      <c r="B26" s="971" t="s">
        <v>839</v>
      </c>
      <c r="C26" s="1563">
        <f>C25*C24</f>
        <v>23460</v>
      </c>
      <c r="D26" s="1563"/>
      <c r="E26" s="1564"/>
      <c r="G26" s="1016" t="s">
        <v>6</v>
      </c>
      <c r="H26" s="1565">
        <f>H23*H24/12</f>
        <v>2060.2750000000001</v>
      </c>
      <c r="I26" s="1565"/>
      <c r="J26" s="1566"/>
    </row>
    <row r="27" spans="2:10" ht="20.25" customHeight="1" x14ac:dyDescent="0.2">
      <c r="B27" s="970" t="s">
        <v>524</v>
      </c>
      <c r="C27" s="1615">
        <v>100</v>
      </c>
      <c r="D27" s="1615"/>
      <c r="E27" s="1616"/>
      <c r="G27" s="971" t="s">
        <v>839</v>
      </c>
      <c r="H27" s="1563">
        <f>H26*H25</f>
        <v>18542.475000000002</v>
      </c>
      <c r="I27" s="1563"/>
      <c r="J27" s="1564"/>
    </row>
    <row r="28" spans="2:10" ht="20.25" customHeight="1" x14ac:dyDescent="0.2">
      <c r="B28" s="971" t="s">
        <v>525</v>
      </c>
      <c r="C28" s="1617">
        <v>150</v>
      </c>
      <c r="D28" s="1617"/>
      <c r="E28" s="1618"/>
      <c r="G28" s="970" t="s">
        <v>524</v>
      </c>
      <c r="H28" s="1615">
        <v>100</v>
      </c>
      <c r="I28" s="1615"/>
      <c r="J28" s="1616"/>
    </row>
    <row r="29" spans="2:10" ht="20.25" customHeight="1" thickBot="1" x14ac:dyDescent="0.25">
      <c r="B29" s="983" t="s">
        <v>825</v>
      </c>
      <c r="C29" s="1842">
        <f>C25+C27+C28</f>
        <v>2205</v>
      </c>
      <c r="D29" s="1842"/>
      <c r="E29" s="1843"/>
      <c r="G29" s="971" t="s">
        <v>525</v>
      </c>
      <c r="H29" s="1617">
        <v>235</v>
      </c>
      <c r="I29" s="1617"/>
      <c r="J29" s="1618"/>
    </row>
    <row r="30" spans="2:10" ht="20.25" customHeight="1" thickBot="1" x14ac:dyDescent="0.25">
      <c r="B30" s="1050" t="s">
        <v>166</v>
      </c>
      <c r="C30" s="1052"/>
      <c r="D30" s="1052"/>
      <c r="E30" s="1053"/>
      <c r="G30" s="983" t="s">
        <v>825</v>
      </c>
      <c r="H30" s="1842">
        <f>H26+H28+H29</f>
        <v>2395.2750000000001</v>
      </c>
      <c r="I30" s="1842"/>
      <c r="J30" s="1843"/>
    </row>
    <row r="31" spans="2:10" ht="20.25" customHeight="1" thickBot="1" x14ac:dyDescent="0.25">
      <c r="B31" s="178" t="s">
        <v>4</v>
      </c>
      <c r="C31" s="1844">
        <f>C15-C19</f>
        <v>31500</v>
      </c>
      <c r="D31" s="1844"/>
      <c r="E31" s="1845"/>
      <c r="G31" s="1050" t="s">
        <v>166</v>
      </c>
      <c r="H31" s="1052"/>
      <c r="I31" s="1052"/>
      <c r="J31" s="1053"/>
    </row>
    <row r="32" spans="2:10" ht="20.25" customHeight="1" x14ac:dyDescent="0.2">
      <c r="B32" s="76" t="s">
        <v>815</v>
      </c>
      <c r="C32" s="1028">
        <v>5000</v>
      </c>
      <c r="D32" s="1551" t="s">
        <v>840</v>
      </c>
      <c r="E32" s="1552"/>
      <c r="G32" s="464" t="s">
        <v>809</v>
      </c>
      <c r="H32" s="1567">
        <f>H16-H33</f>
        <v>65000</v>
      </c>
      <c r="I32" s="1567"/>
      <c r="J32" s="1568"/>
    </row>
    <row r="33" spans="1:13" ht="20.25" customHeight="1" x14ac:dyDescent="0.2">
      <c r="B33" s="91" t="s">
        <v>859</v>
      </c>
      <c r="C33" s="725">
        <f>C16-C20</f>
        <v>3000</v>
      </c>
      <c r="D33" s="1037"/>
      <c r="E33" s="1038"/>
      <c r="G33" s="465" t="s">
        <v>831</v>
      </c>
      <c r="H33" s="1549">
        <f>MAX(0,H16-H20)</f>
        <v>0</v>
      </c>
      <c r="I33" s="1549"/>
      <c r="J33" s="1550"/>
    </row>
    <row r="34" spans="1:13" ht="20.25" customHeight="1" x14ac:dyDescent="0.2">
      <c r="B34" s="76" t="s">
        <v>45</v>
      </c>
      <c r="C34" s="723">
        <f>C22*E34</f>
        <v>7820</v>
      </c>
      <c r="D34" s="911" t="s">
        <v>617</v>
      </c>
      <c r="E34" s="712">
        <v>0.04</v>
      </c>
      <c r="G34" s="76" t="s">
        <v>45</v>
      </c>
      <c r="H34" s="723">
        <f>H23*J34</f>
        <v>7063.8</v>
      </c>
      <c r="I34" s="911" t="s">
        <v>617</v>
      </c>
      <c r="J34" s="712">
        <v>0.03</v>
      </c>
    </row>
    <row r="35" spans="1:13" ht="20.25" customHeight="1" x14ac:dyDescent="0.2">
      <c r="B35" s="91" t="s">
        <v>10</v>
      </c>
      <c r="C35" s="725">
        <f>MAX(4000,E35*C22)</f>
        <v>4000</v>
      </c>
      <c r="D35" s="910" t="s">
        <v>617</v>
      </c>
      <c r="E35" s="711">
        <v>0</v>
      </c>
      <c r="G35" s="91" t="s">
        <v>10</v>
      </c>
      <c r="H35" s="725">
        <f>MAX(4000,J35*H23)</f>
        <v>4709.2</v>
      </c>
      <c r="I35" s="910" t="s">
        <v>617</v>
      </c>
      <c r="J35" s="711">
        <v>0.02</v>
      </c>
    </row>
    <row r="36" spans="1:13" ht="20.25" customHeight="1" thickBot="1" x14ac:dyDescent="0.25">
      <c r="B36" s="85" t="s">
        <v>124</v>
      </c>
      <c r="C36" s="1001">
        <v>450</v>
      </c>
      <c r="D36" s="1846"/>
      <c r="E36" s="1847"/>
      <c r="G36" s="85" t="s">
        <v>124</v>
      </c>
      <c r="H36" s="1001">
        <v>450</v>
      </c>
      <c r="I36" s="1846"/>
      <c r="J36" s="1847"/>
    </row>
    <row r="37" spans="1:13" ht="19.5" customHeight="1" thickBot="1" x14ac:dyDescent="0.25">
      <c r="B37" s="396" t="s">
        <v>169</v>
      </c>
      <c r="C37" s="1054"/>
      <c r="D37" s="1054"/>
      <c r="E37" s="1054"/>
      <c r="G37" s="396" t="s">
        <v>169</v>
      </c>
      <c r="H37" s="1054"/>
      <c r="I37" s="1054"/>
      <c r="J37" s="1054"/>
    </row>
    <row r="38" spans="1:13" ht="18.75" customHeight="1" x14ac:dyDescent="0.2">
      <c r="B38" s="96" t="s">
        <v>14</v>
      </c>
      <c r="C38" s="942">
        <v>950</v>
      </c>
      <c r="D38" s="1596" t="s">
        <v>770</v>
      </c>
      <c r="E38" s="1597"/>
      <c r="G38" s="96" t="s">
        <v>14</v>
      </c>
      <c r="H38" s="942">
        <v>650</v>
      </c>
      <c r="I38" s="1596" t="s">
        <v>770</v>
      </c>
      <c r="J38" s="1597"/>
    </row>
    <row r="39" spans="1:13" ht="18.75" customHeight="1" x14ac:dyDescent="0.2">
      <c r="B39" s="97" t="s">
        <v>814</v>
      </c>
      <c r="C39" s="1111">
        <v>1500</v>
      </c>
      <c r="D39" s="1592" t="s">
        <v>771</v>
      </c>
      <c r="E39" s="1593"/>
      <c r="F39" s="260"/>
      <c r="G39" s="97" t="s">
        <v>814</v>
      </c>
      <c r="H39" s="1111">
        <v>1500</v>
      </c>
      <c r="I39" s="1592" t="s">
        <v>771</v>
      </c>
      <c r="J39" s="1593"/>
    </row>
    <row r="40" spans="1:13" ht="17" thickBot="1" x14ac:dyDescent="0.25">
      <c r="A40" s="260"/>
      <c r="B40" s="98" t="s">
        <v>821</v>
      </c>
      <c r="C40" s="1109">
        <v>1500</v>
      </c>
      <c r="D40" s="1545" t="s">
        <v>771</v>
      </c>
      <c r="E40" s="1546"/>
      <c r="G40" s="98" t="s">
        <v>821</v>
      </c>
      <c r="H40" s="1109">
        <v>1500</v>
      </c>
      <c r="I40" s="1545" t="s">
        <v>771</v>
      </c>
      <c r="J40" s="1546"/>
      <c r="K40" s="260"/>
      <c r="L40" s="1000"/>
      <c r="M40" s="260"/>
    </row>
    <row r="41" spans="1:13" ht="25" thickBot="1" x14ac:dyDescent="0.25">
      <c r="B41" s="1056" t="s">
        <v>170</v>
      </c>
      <c r="C41" s="1054"/>
      <c r="D41" s="1054"/>
      <c r="E41" s="1054"/>
      <c r="G41" s="1056" t="s">
        <v>170</v>
      </c>
      <c r="H41" s="1054"/>
      <c r="I41" s="1054"/>
      <c r="J41" s="1054"/>
    </row>
    <row r="42" spans="1:13" ht="16" x14ac:dyDescent="0.2">
      <c r="B42" s="108" t="s">
        <v>23</v>
      </c>
      <c r="C42" s="1040">
        <f>SUM(C34:C40)</f>
        <v>16220</v>
      </c>
      <c r="D42" s="961"/>
      <c r="E42" s="961"/>
      <c r="G42" s="108" t="s">
        <v>23</v>
      </c>
      <c r="H42" s="1040">
        <f>SUM(H34:H36,H38:H40)</f>
        <v>15873</v>
      </c>
      <c r="I42" s="961"/>
      <c r="J42" s="961"/>
    </row>
    <row r="43" spans="1:13" ht="18" thickBot="1" x14ac:dyDescent="0.25">
      <c r="B43" s="493" t="s">
        <v>786</v>
      </c>
      <c r="C43" s="1044">
        <f>C42+C31-C32+C33</f>
        <v>45720</v>
      </c>
      <c r="D43" s="961"/>
      <c r="E43" s="961"/>
      <c r="G43" s="437" t="s">
        <v>862</v>
      </c>
      <c r="H43" s="1041">
        <f>H42+H32</f>
        <v>80873</v>
      </c>
      <c r="I43" s="961"/>
      <c r="J43" s="961"/>
    </row>
    <row r="44" spans="1:13" ht="16" x14ac:dyDescent="0.2">
      <c r="B44" s="535"/>
      <c r="C44" s="536"/>
      <c r="D44" s="536"/>
      <c r="E44" s="536"/>
      <c r="G44" s="437" t="s">
        <v>846</v>
      </c>
      <c r="H44" s="1041">
        <f>MAX(0,H43-H20)</f>
        <v>0</v>
      </c>
      <c r="I44" s="961"/>
      <c r="J44" s="961"/>
    </row>
    <row r="45" spans="1:13" ht="17" thickBot="1" x14ac:dyDescent="0.25">
      <c r="B45" s="1601" t="s">
        <v>376</v>
      </c>
      <c r="C45" s="1602"/>
      <c r="D45" s="1602"/>
      <c r="E45" s="1603"/>
      <c r="G45" s="98" t="s">
        <v>845</v>
      </c>
      <c r="H45" s="1039">
        <f>MAX(0,H20-H43-H33)</f>
        <v>8377</v>
      </c>
      <c r="I45" s="961"/>
      <c r="J45" s="961"/>
    </row>
    <row r="46" spans="1:13" ht="16" x14ac:dyDescent="0.2">
      <c r="B46" s="1814"/>
      <c r="C46" s="1815"/>
      <c r="D46" s="1815"/>
      <c r="E46" s="1816"/>
      <c r="G46" s="535"/>
      <c r="H46" s="536"/>
      <c r="I46" s="536"/>
      <c r="J46" s="536"/>
    </row>
    <row r="47" spans="1:13" ht="16" x14ac:dyDescent="0.2">
      <c r="B47" s="1848" t="s">
        <v>718</v>
      </c>
      <c r="C47" s="1849"/>
      <c r="D47" s="1849"/>
      <c r="E47" s="1850"/>
      <c r="G47" s="1601" t="s">
        <v>376</v>
      </c>
      <c r="H47" s="1602"/>
      <c r="I47" s="1602"/>
      <c r="J47" s="1603"/>
    </row>
    <row r="48" spans="1:13" ht="16" x14ac:dyDescent="0.2">
      <c r="B48" s="1851" t="s">
        <v>785</v>
      </c>
      <c r="C48" s="1852"/>
      <c r="D48" s="1852"/>
      <c r="E48" s="1853"/>
      <c r="G48" s="1814"/>
      <c r="H48" s="1815"/>
      <c r="I48" s="1815"/>
      <c r="J48" s="1816"/>
    </row>
    <row r="49" spans="7:10" ht="16" x14ac:dyDescent="0.2">
      <c r="G49" s="1848" t="s">
        <v>718</v>
      </c>
      <c r="H49" s="1849"/>
      <c r="I49" s="1849"/>
      <c r="J49" s="1850"/>
    </row>
    <row r="50" spans="7:10" ht="16" x14ac:dyDescent="0.2">
      <c r="G50" s="1851" t="s">
        <v>785</v>
      </c>
      <c r="H50" s="1852"/>
      <c r="I50" s="1852"/>
      <c r="J50" s="1853"/>
    </row>
  </sheetData>
  <mergeCells count="53">
    <mergeCell ref="G49:J49"/>
    <mergeCell ref="G50:J50"/>
    <mergeCell ref="D40:E40"/>
    <mergeCell ref="I40:J40"/>
    <mergeCell ref="B45:E46"/>
    <mergeCell ref="B47:E47"/>
    <mergeCell ref="G47:J48"/>
    <mergeCell ref="B48:E48"/>
    <mergeCell ref="D38:E38"/>
    <mergeCell ref="I38:J38"/>
    <mergeCell ref="D39:E39"/>
    <mergeCell ref="I39:J39"/>
    <mergeCell ref="C31:E31"/>
    <mergeCell ref="D32:E32"/>
    <mergeCell ref="H32:J32"/>
    <mergeCell ref="H33:J33"/>
    <mergeCell ref="D36:E36"/>
    <mergeCell ref="I36:J36"/>
    <mergeCell ref="C28:E28"/>
    <mergeCell ref="H28:J28"/>
    <mergeCell ref="C29:E29"/>
    <mergeCell ref="H29:J29"/>
    <mergeCell ref="H30:J30"/>
    <mergeCell ref="C25:E25"/>
    <mergeCell ref="I25:J25"/>
    <mergeCell ref="C26:E26"/>
    <mergeCell ref="H26:J26"/>
    <mergeCell ref="C27:E27"/>
    <mergeCell ref="H27:J27"/>
    <mergeCell ref="C22:E22"/>
    <mergeCell ref="C23:E23"/>
    <mergeCell ref="H23:J23"/>
    <mergeCell ref="D24:E24"/>
    <mergeCell ref="H24:J24"/>
    <mergeCell ref="H15:J15"/>
    <mergeCell ref="H16:J16"/>
    <mergeCell ref="H17:J17"/>
    <mergeCell ref="H18:J18"/>
    <mergeCell ref="H19:J19"/>
    <mergeCell ref="B2:J2"/>
    <mergeCell ref="B6:E6"/>
    <mergeCell ref="G6:J6"/>
    <mergeCell ref="C8:E8"/>
    <mergeCell ref="H8:J8"/>
    <mergeCell ref="B4:J4"/>
    <mergeCell ref="C12:E12"/>
    <mergeCell ref="H12:J12"/>
    <mergeCell ref="C9:E9"/>
    <mergeCell ref="H9:J9"/>
    <mergeCell ref="C10:E10"/>
    <mergeCell ref="H10:J10"/>
    <mergeCell ref="C11:E11"/>
    <mergeCell ref="H11:J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71C7C-B6EB-4CBB-9188-602A1E193960}">
  <dimension ref="A2:M57"/>
  <sheetViews>
    <sheetView showGridLines="0" topLeftCell="A10" zoomScale="70" zoomScaleNormal="70" workbookViewId="0">
      <selection activeCell="A7" sqref="A7:E46"/>
    </sheetView>
  </sheetViews>
  <sheetFormatPr baseColWidth="10" defaultColWidth="9.1640625" defaultRowHeight="15" x14ac:dyDescent="0.2"/>
  <cols>
    <col min="1" max="1" width="2.5" style="613" customWidth="1"/>
    <col min="2" max="2" width="46.6640625" style="613" customWidth="1"/>
    <col min="3" max="3" width="20.83203125" style="613" customWidth="1"/>
    <col min="4" max="4" width="7.6640625" style="613" customWidth="1"/>
    <col min="5" max="5" width="14.5" style="686" customWidth="1"/>
    <col min="6" max="6" width="2.5" style="613" customWidth="1"/>
    <col min="7" max="7" width="40.83203125" style="613" customWidth="1"/>
    <col min="8" max="8" width="20.83203125" style="613" customWidth="1"/>
    <col min="9" max="9" width="7.6640625" style="613" customWidth="1"/>
    <col min="10" max="10" width="14.5" style="686" customWidth="1"/>
    <col min="11" max="11" width="2.5" style="613" customWidth="1"/>
    <col min="12" max="12" width="2.5" style="999" customWidth="1"/>
    <col min="13" max="13" width="2.5" style="613" customWidth="1"/>
    <col min="14" max="16384" width="9.1640625" style="260"/>
  </cols>
  <sheetData>
    <row r="2" spans="1:13" ht="64.5" customHeight="1" x14ac:dyDescent="0.2">
      <c r="B2" s="1687" t="s">
        <v>857</v>
      </c>
      <c r="C2" s="1688"/>
      <c r="D2" s="1688"/>
      <c r="E2" s="1688"/>
      <c r="F2" s="1688"/>
      <c r="G2" s="1688"/>
      <c r="H2" s="1688"/>
      <c r="I2" s="1688"/>
      <c r="J2" s="1689"/>
    </row>
    <row r="3" spans="1:13" ht="19.5" customHeight="1" x14ac:dyDescent="0.2"/>
    <row r="4" spans="1:13" ht="19.5" customHeight="1" x14ac:dyDescent="0.2">
      <c r="B4" s="1686" t="s">
        <v>922</v>
      </c>
      <c r="C4" s="1686"/>
      <c r="D4" s="1686"/>
      <c r="E4" s="1686"/>
      <c r="F4" s="1686"/>
      <c r="G4" s="1686"/>
      <c r="H4" s="1686"/>
      <c r="I4" s="1686"/>
      <c r="J4" s="1686"/>
    </row>
    <row r="5" spans="1:13" ht="19.5" customHeight="1" x14ac:dyDescent="0.2"/>
    <row r="6" spans="1:13" ht="19.5" customHeight="1" x14ac:dyDescent="0.2">
      <c r="B6" s="1542" t="s">
        <v>860</v>
      </c>
      <c r="C6" s="1543"/>
      <c r="D6" s="1543"/>
      <c r="E6" s="1544"/>
      <c r="G6" s="1671" t="s">
        <v>861</v>
      </c>
      <c r="H6" s="1672"/>
      <c r="I6" s="1672"/>
      <c r="J6" s="1673"/>
    </row>
    <row r="7" spans="1:13" ht="19.5" customHeight="1" thickBot="1" x14ac:dyDescent="0.25">
      <c r="A7" s="1023"/>
      <c r="B7" s="1026" t="s">
        <v>15</v>
      </c>
      <c r="C7" s="1027">
        <f ca="1">TODAY()</f>
        <v>43713</v>
      </c>
      <c r="D7" s="1027"/>
      <c r="E7" s="1027"/>
      <c r="F7" s="1023"/>
      <c r="G7" s="1026" t="s">
        <v>15</v>
      </c>
      <c r="H7" s="1027">
        <f ca="1">TODAY()</f>
        <v>43713</v>
      </c>
      <c r="I7" s="1027"/>
      <c r="J7" s="1027"/>
      <c r="K7" s="1023"/>
      <c r="L7" s="1025"/>
      <c r="M7" s="1023"/>
    </row>
    <row r="8" spans="1:13" ht="19.5" customHeight="1" x14ac:dyDescent="0.2">
      <c r="B8" s="154" t="s">
        <v>24</v>
      </c>
      <c r="C8" s="1624" t="s">
        <v>1014</v>
      </c>
      <c r="D8" s="1624"/>
      <c r="E8" s="1625"/>
      <c r="G8" s="154" t="s">
        <v>24</v>
      </c>
      <c r="H8" s="1553" t="s">
        <v>766</v>
      </c>
      <c r="I8" s="1553"/>
      <c r="J8" s="1554"/>
    </row>
    <row r="9" spans="1:13" ht="19.5" customHeight="1" x14ac:dyDescent="0.2">
      <c r="A9" s="260"/>
      <c r="B9" s="303" t="s">
        <v>250</v>
      </c>
      <c r="C9" s="1622" t="s">
        <v>1015</v>
      </c>
      <c r="D9" s="1622"/>
      <c r="E9" s="1623"/>
      <c r="F9" s="260"/>
      <c r="G9" s="303" t="s">
        <v>250</v>
      </c>
      <c r="H9" s="1622" t="s">
        <v>780</v>
      </c>
      <c r="I9" s="1622"/>
      <c r="J9" s="1623"/>
      <c r="K9" s="260"/>
      <c r="L9" s="1000"/>
      <c r="M9" s="260"/>
    </row>
    <row r="10" spans="1:13" ht="19.5" customHeight="1" x14ac:dyDescent="0.2">
      <c r="B10" s="303" t="s">
        <v>25</v>
      </c>
      <c r="C10" s="1622" t="s">
        <v>1016</v>
      </c>
      <c r="D10" s="1622"/>
      <c r="E10" s="1623"/>
      <c r="G10" s="303" t="s">
        <v>25</v>
      </c>
      <c r="H10" s="1622" t="s">
        <v>781</v>
      </c>
      <c r="I10" s="1622"/>
      <c r="J10" s="1623"/>
    </row>
    <row r="11" spans="1:13" ht="19.5" customHeight="1" x14ac:dyDescent="0.2">
      <c r="B11" s="303" t="s">
        <v>824</v>
      </c>
      <c r="C11" s="1557" t="s">
        <v>1017</v>
      </c>
      <c r="D11" s="1557"/>
      <c r="E11" s="1558"/>
      <c r="G11" s="303" t="s">
        <v>824</v>
      </c>
      <c r="H11" s="1557" t="s">
        <v>823</v>
      </c>
      <c r="I11" s="1557"/>
      <c r="J11" s="1558"/>
    </row>
    <row r="12" spans="1:13" ht="19.5" customHeight="1" x14ac:dyDescent="0.2">
      <c r="A12" s="260"/>
      <c r="B12" s="893" t="s">
        <v>764</v>
      </c>
      <c r="C12" s="1559">
        <v>703</v>
      </c>
      <c r="D12" s="1559"/>
      <c r="E12" s="1560"/>
      <c r="F12" s="260"/>
      <c r="G12" s="893" t="s">
        <v>764</v>
      </c>
      <c r="H12" s="1559">
        <v>700</v>
      </c>
      <c r="I12" s="1559"/>
      <c r="J12" s="1560"/>
      <c r="K12" s="260"/>
      <c r="L12" s="1000"/>
      <c r="M12" s="260"/>
    </row>
    <row r="13" spans="1:13" ht="19.5" customHeight="1" thickBot="1" x14ac:dyDescent="0.25">
      <c r="B13" s="888" t="s">
        <v>822</v>
      </c>
      <c r="C13" s="1180" t="s">
        <v>521</v>
      </c>
      <c r="D13" s="1180"/>
      <c r="E13" s="1181"/>
      <c r="G13" s="888" t="s">
        <v>822</v>
      </c>
      <c r="H13" s="1180" t="s">
        <v>315</v>
      </c>
      <c r="I13" s="1180"/>
      <c r="J13" s="1181"/>
    </row>
    <row r="14" spans="1:13" ht="19.5" customHeight="1" thickBot="1" x14ac:dyDescent="0.25">
      <c r="A14" s="1023"/>
      <c r="B14" s="1045" t="s">
        <v>172</v>
      </c>
      <c r="C14" s="1046"/>
      <c r="D14" s="1046"/>
      <c r="E14" s="1046"/>
      <c r="F14" s="1023"/>
      <c r="G14" s="1045" t="s">
        <v>172</v>
      </c>
      <c r="H14" s="1046"/>
      <c r="I14" s="1046"/>
      <c r="J14" s="1046"/>
      <c r="K14" s="1023"/>
      <c r="L14" s="1025"/>
      <c r="M14" s="1023"/>
    </row>
    <row r="15" spans="1:13" ht="19.5" customHeight="1" x14ac:dyDescent="0.2">
      <c r="A15" s="260"/>
      <c r="B15" s="178" t="s">
        <v>48</v>
      </c>
      <c r="C15" s="1481">
        <v>117000</v>
      </c>
      <c r="D15" s="928"/>
      <c r="E15" s="929"/>
      <c r="F15" s="260"/>
      <c r="G15" s="79" t="s">
        <v>82</v>
      </c>
      <c r="H15" s="1700">
        <v>105000</v>
      </c>
      <c r="I15" s="1700"/>
      <c r="J15" s="1701"/>
      <c r="K15" s="260"/>
      <c r="L15" s="1000"/>
      <c r="M15" s="260"/>
    </row>
    <row r="16" spans="1:13" ht="19.5" customHeight="1" x14ac:dyDescent="0.2">
      <c r="B16" s="76" t="s">
        <v>34</v>
      </c>
      <c r="C16" s="1480">
        <v>27000</v>
      </c>
      <c r="D16" s="653"/>
      <c r="E16" s="524"/>
      <c r="G16" s="91" t="s">
        <v>832</v>
      </c>
      <c r="H16" s="1696">
        <v>65000</v>
      </c>
      <c r="I16" s="1696"/>
      <c r="J16" s="1697"/>
    </row>
    <row r="17" spans="2:10" ht="19.5" customHeight="1" x14ac:dyDescent="0.2">
      <c r="B17" s="91" t="s">
        <v>82</v>
      </c>
      <c r="C17" s="1479">
        <v>117000</v>
      </c>
      <c r="D17" s="966"/>
      <c r="E17" s="967"/>
      <c r="G17" s="76" t="s">
        <v>34</v>
      </c>
      <c r="H17" s="1698">
        <v>145760</v>
      </c>
      <c r="I17" s="1698"/>
      <c r="J17" s="1699"/>
    </row>
    <row r="18" spans="2:10" ht="19.5" customHeight="1" x14ac:dyDescent="0.2">
      <c r="B18" s="713" t="s">
        <v>265</v>
      </c>
      <c r="C18" s="1478">
        <v>200000</v>
      </c>
      <c r="D18" s="714"/>
      <c r="E18" s="715"/>
      <c r="G18" s="91" t="s">
        <v>82</v>
      </c>
      <c r="H18" s="1696">
        <v>105000</v>
      </c>
      <c r="I18" s="1696"/>
      <c r="J18" s="1697"/>
    </row>
    <row r="19" spans="2:10" ht="19.5" customHeight="1" x14ac:dyDescent="0.2">
      <c r="B19" s="91" t="s">
        <v>73</v>
      </c>
      <c r="C19" s="1033">
        <f>E19*C15</f>
        <v>105300</v>
      </c>
      <c r="D19" s="908" t="s">
        <v>3</v>
      </c>
      <c r="E19" s="989">
        <v>0.9</v>
      </c>
      <c r="G19" s="713" t="s">
        <v>265</v>
      </c>
      <c r="H19" s="1694">
        <v>335000</v>
      </c>
      <c r="I19" s="1694"/>
      <c r="J19" s="1695"/>
    </row>
    <row r="20" spans="2:10" ht="19.5" customHeight="1" x14ac:dyDescent="0.2">
      <c r="B20" s="76" t="s">
        <v>75</v>
      </c>
      <c r="C20" s="1034">
        <f>E20*C16</f>
        <v>24300</v>
      </c>
      <c r="D20" s="909" t="s">
        <v>776</v>
      </c>
      <c r="E20" s="990">
        <v>0.9</v>
      </c>
      <c r="G20" s="91" t="s">
        <v>371</v>
      </c>
      <c r="H20" s="1033">
        <f>J20*H15</f>
        <v>89250</v>
      </c>
      <c r="I20" s="908" t="s">
        <v>3</v>
      </c>
      <c r="J20" s="989">
        <v>0.85</v>
      </c>
    </row>
    <row r="21" spans="2:10" ht="19.5" customHeight="1" x14ac:dyDescent="0.2">
      <c r="B21" s="91" t="s">
        <v>580</v>
      </c>
      <c r="C21" s="654">
        <f>C18*E21</f>
        <v>150000</v>
      </c>
      <c r="D21" s="908" t="s">
        <v>173</v>
      </c>
      <c r="E21" s="989">
        <v>0.75</v>
      </c>
      <c r="G21" s="76" t="s">
        <v>75</v>
      </c>
      <c r="H21" s="1034">
        <f>J21*H17</f>
        <v>145760</v>
      </c>
      <c r="I21" s="909" t="s">
        <v>776</v>
      </c>
      <c r="J21" s="990">
        <v>1</v>
      </c>
    </row>
    <row r="22" spans="2:10" ht="19.5" customHeight="1" x14ac:dyDescent="0.2">
      <c r="B22" s="76" t="s">
        <v>844</v>
      </c>
      <c r="C22" s="1840">
        <f>MIN(C19+C20,C21)</f>
        <v>129600</v>
      </c>
      <c r="D22" s="1840"/>
      <c r="E22" s="1841"/>
      <c r="G22" s="91" t="s">
        <v>580</v>
      </c>
      <c r="H22" s="654">
        <f>H19*J22</f>
        <v>251250</v>
      </c>
      <c r="I22" s="908" t="s">
        <v>173</v>
      </c>
      <c r="J22" s="989">
        <v>0.75</v>
      </c>
    </row>
    <row r="23" spans="2:10" ht="19.5" customHeight="1" x14ac:dyDescent="0.2">
      <c r="B23" s="1016" t="s">
        <v>800</v>
      </c>
      <c r="C23" s="1690">
        <v>0.1099</v>
      </c>
      <c r="D23" s="1690"/>
      <c r="E23" s="1691"/>
      <c r="G23" s="76" t="s">
        <v>843</v>
      </c>
      <c r="H23" s="1840">
        <f>MIN(H20+H21,H22)+H33</f>
        <v>235685</v>
      </c>
      <c r="I23" s="1840"/>
      <c r="J23" s="1841"/>
    </row>
    <row r="24" spans="2:10" ht="19.5" customHeight="1" x14ac:dyDescent="0.2">
      <c r="B24" s="971" t="s">
        <v>852</v>
      </c>
      <c r="C24" s="1482">
        <v>12</v>
      </c>
      <c r="D24" s="1575" t="s">
        <v>827</v>
      </c>
      <c r="E24" s="1576"/>
      <c r="G24" s="1016" t="s">
        <v>800</v>
      </c>
      <c r="H24" s="1690">
        <v>0.105</v>
      </c>
      <c r="I24" s="1690"/>
      <c r="J24" s="1691"/>
    </row>
    <row r="25" spans="2:10" ht="19.5" customHeight="1" x14ac:dyDescent="0.2">
      <c r="B25" s="1016" t="s">
        <v>6</v>
      </c>
      <c r="C25" s="1565">
        <f>C22*C23/12</f>
        <v>1186.9199999999998</v>
      </c>
      <c r="D25" s="1565"/>
      <c r="E25" s="1566"/>
      <c r="G25" s="971" t="s">
        <v>852</v>
      </c>
      <c r="H25" s="1482">
        <v>9</v>
      </c>
      <c r="I25" s="1575" t="s">
        <v>827</v>
      </c>
      <c r="J25" s="1576"/>
    </row>
    <row r="26" spans="2:10" ht="19.5" customHeight="1" thickBot="1" x14ac:dyDescent="0.25">
      <c r="B26" s="817" t="s">
        <v>839</v>
      </c>
      <c r="C26" s="1854">
        <f>C25*C24</f>
        <v>14243.039999999997</v>
      </c>
      <c r="D26" s="1854"/>
      <c r="E26" s="1855"/>
      <c r="G26" s="1016" t="s">
        <v>6</v>
      </c>
      <c r="H26" s="1565">
        <f>H23*H24/12</f>
        <v>2062.2437500000001</v>
      </c>
      <c r="I26" s="1565"/>
      <c r="J26" s="1566"/>
    </row>
    <row r="27" spans="2:10" ht="19.5" customHeight="1" thickBot="1" x14ac:dyDescent="0.25">
      <c r="B27" s="1050" t="s">
        <v>166</v>
      </c>
      <c r="C27" s="1052"/>
      <c r="D27" s="1052"/>
      <c r="E27" s="1053"/>
      <c r="G27" s="817" t="s">
        <v>839</v>
      </c>
      <c r="H27" s="1856">
        <f>H26*H25</f>
        <v>18560.193750000002</v>
      </c>
      <c r="I27" s="1856"/>
      <c r="J27" s="1857"/>
    </row>
    <row r="28" spans="2:10" ht="19.5" customHeight="1" thickBot="1" x14ac:dyDescent="0.25">
      <c r="B28" s="178" t="s">
        <v>4</v>
      </c>
      <c r="C28" s="1844">
        <f>C15-C19</f>
        <v>11700</v>
      </c>
      <c r="D28" s="1844"/>
      <c r="E28" s="1845"/>
      <c r="G28" s="1050" t="s">
        <v>166</v>
      </c>
      <c r="H28" s="1052"/>
      <c r="I28" s="1052"/>
      <c r="J28" s="1053"/>
    </row>
    <row r="29" spans="2:10" ht="19.5" customHeight="1" x14ac:dyDescent="0.2">
      <c r="B29" s="76" t="s">
        <v>815</v>
      </c>
      <c r="C29" s="1130">
        <v>4000</v>
      </c>
      <c r="D29" s="1551" t="s">
        <v>840</v>
      </c>
      <c r="E29" s="1552"/>
      <c r="G29" s="464" t="s">
        <v>809</v>
      </c>
      <c r="H29" s="1567">
        <f>H16-H30</f>
        <v>65000</v>
      </c>
      <c r="I29" s="1567"/>
      <c r="J29" s="1568"/>
    </row>
    <row r="30" spans="2:10" ht="19.5" customHeight="1" x14ac:dyDescent="0.2">
      <c r="B30" s="91" t="s">
        <v>859</v>
      </c>
      <c r="C30" s="725">
        <f>C16-C20</f>
        <v>2700</v>
      </c>
      <c r="D30" s="1037"/>
      <c r="E30" s="1038"/>
      <c r="G30" s="465" t="s">
        <v>831</v>
      </c>
      <c r="H30" s="1549">
        <f>MAX(0,H16-H20)</f>
        <v>0</v>
      </c>
      <c r="I30" s="1549"/>
      <c r="J30" s="1550"/>
    </row>
    <row r="31" spans="2:10" ht="19.5" customHeight="1" x14ac:dyDescent="0.2">
      <c r="B31" s="76" t="s">
        <v>45</v>
      </c>
      <c r="C31" s="723">
        <f>C22*E31</f>
        <v>3240</v>
      </c>
      <c r="D31" s="911" t="s">
        <v>617</v>
      </c>
      <c r="E31" s="990">
        <v>2.5000000000000001E-2</v>
      </c>
      <c r="G31" s="76" t="s">
        <v>45</v>
      </c>
      <c r="H31" s="723">
        <f>H23*J31</f>
        <v>7070.55</v>
      </c>
      <c r="I31" s="911" t="s">
        <v>617</v>
      </c>
      <c r="J31" s="990">
        <v>0.03</v>
      </c>
    </row>
    <row r="32" spans="2:10" ht="19.5" customHeight="1" x14ac:dyDescent="0.2">
      <c r="B32" s="91" t="s">
        <v>10</v>
      </c>
      <c r="C32" s="725">
        <f>MAX(3500,E32*C22)</f>
        <v>3500</v>
      </c>
      <c r="D32" s="910" t="s">
        <v>617</v>
      </c>
      <c r="E32" s="989">
        <v>0</v>
      </c>
      <c r="G32" s="91" t="s">
        <v>10</v>
      </c>
      <c r="H32" s="725">
        <f>MAX(4000,J32*H23)</f>
        <v>4713.7</v>
      </c>
      <c r="I32" s="910" t="s">
        <v>617</v>
      </c>
      <c r="J32" s="989">
        <v>0.02</v>
      </c>
    </row>
    <row r="33" spans="1:13" ht="19.5" customHeight="1" x14ac:dyDescent="0.2">
      <c r="B33" s="76" t="s">
        <v>26</v>
      </c>
      <c r="C33" s="723">
        <v>675</v>
      </c>
      <c r="D33" s="1858"/>
      <c r="E33" s="1859"/>
      <c r="G33" s="76" t="s">
        <v>26</v>
      </c>
      <c r="H33" s="723">
        <v>675</v>
      </c>
      <c r="I33" s="1858"/>
      <c r="J33" s="1859"/>
    </row>
    <row r="34" spans="1:13" ht="19.5" customHeight="1" thickBot="1" x14ac:dyDescent="0.25">
      <c r="B34" s="125" t="s">
        <v>719</v>
      </c>
      <c r="C34" s="988">
        <v>1200</v>
      </c>
      <c r="D34" s="1860"/>
      <c r="E34" s="1861"/>
      <c r="G34" s="125" t="s">
        <v>719</v>
      </c>
      <c r="H34" s="988">
        <v>1500</v>
      </c>
      <c r="I34" s="1860"/>
      <c r="J34" s="1861"/>
    </row>
    <row r="35" spans="1:13" ht="19.5" customHeight="1" thickBot="1" x14ac:dyDescent="0.25">
      <c r="B35" s="396" t="s">
        <v>169</v>
      </c>
      <c r="C35" s="1054"/>
      <c r="D35" s="1054"/>
      <c r="E35" s="1054"/>
      <c r="G35" s="396" t="s">
        <v>169</v>
      </c>
      <c r="H35" s="1054"/>
      <c r="I35" s="1054"/>
      <c r="J35" s="1054"/>
    </row>
    <row r="36" spans="1:13" ht="19.5" customHeight="1" x14ac:dyDescent="0.2">
      <c r="B36" s="96" t="s">
        <v>14</v>
      </c>
      <c r="C36" s="942">
        <v>650</v>
      </c>
      <c r="D36" s="1596" t="s">
        <v>770</v>
      </c>
      <c r="E36" s="1597"/>
      <c r="G36" s="96" t="s">
        <v>14</v>
      </c>
      <c r="H36" s="942">
        <v>650</v>
      </c>
      <c r="I36" s="1596" t="s">
        <v>770</v>
      </c>
      <c r="J36" s="1597"/>
    </row>
    <row r="37" spans="1:13" ht="19.5" customHeight="1" x14ac:dyDescent="0.2">
      <c r="B37" s="97" t="s">
        <v>814</v>
      </c>
      <c r="C37" s="1111">
        <v>1500</v>
      </c>
      <c r="D37" s="1592" t="s">
        <v>771</v>
      </c>
      <c r="E37" s="1593"/>
      <c r="G37" s="97" t="s">
        <v>814</v>
      </c>
      <c r="H37" s="1111">
        <v>1500</v>
      </c>
      <c r="I37" s="1592" t="s">
        <v>771</v>
      </c>
      <c r="J37" s="1593"/>
    </row>
    <row r="38" spans="1:13" ht="19.5" customHeight="1" thickBot="1" x14ac:dyDescent="0.25">
      <c r="B38" s="98" t="s">
        <v>821</v>
      </c>
      <c r="C38" s="1109">
        <v>1500</v>
      </c>
      <c r="D38" s="1545" t="s">
        <v>771</v>
      </c>
      <c r="E38" s="1546"/>
      <c r="G38" s="98" t="s">
        <v>821</v>
      </c>
      <c r="H38" s="1109">
        <v>1500</v>
      </c>
      <c r="I38" s="1545" t="s">
        <v>771</v>
      </c>
      <c r="J38" s="1546"/>
    </row>
    <row r="39" spans="1:13" ht="19.5" customHeight="1" thickBot="1" x14ac:dyDescent="0.25">
      <c r="B39" s="1056" t="s">
        <v>170</v>
      </c>
      <c r="C39" s="1054"/>
      <c r="D39" s="1054"/>
      <c r="E39" s="1054"/>
      <c r="G39" s="1056" t="s">
        <v>170</v>
      </c>
      <c r="H39" s="1054"/>
      <c r="I39" s="1054"/>
      <c r="J39" s="1054"/>
    </row>
    <row r="40" spans="1:13" ht="19.5" customHeight="1" x14ac:dyDescent="0.2">
      <c r="A40" s="260"/>
      <c r="B40" s="108" t="s">
        <v>23</v>
      </c>
      <c r="C40" s="1040">
        <f>SUM(C31:C38)</f>
        <v>12265</v>
      </c>
      <c r="D40" s="961"/>
      <c r="E40" s="961"/>
      <c r="F40" s="260"/>
      <c r="G40" s="108" t="s">
        <v>23</v>
      </c>
      <c r="H40" s="1040">
        <f>SUM(H31:H33,H36:H38,H34)</f>
        <v>17609.25</v>
      </c>
      <c r="I40" s="961"/>
      <c r="J40" s="961"/>
      <c r="K40" s="260"/>
      <c r="L40" s="1000"/>
      <c r="M40" s="260"/>
    </row>
    <row r="41" spans="1:13" ht="19.5" customHeight="1" thickBot="1" x14ac:dyDescent="0.25">
      <c r="B41" s="493" t="s">
        <v>786</v>
      </c>
      <c r="C41" s="1044">
        <f>C40+C28-C29+C30</f>
        <v>22665</v>
      </c>
      <c r="D41" s="961"/>
      <c r="E41" s="961"/>
      <c r="G41" s="437" t="s">
        <v>862</v>
      </c>
      <c r="H41" s="1041">
        <f>H40+H29</f>
        <v>82609.25</v>
      </c>
      <c r="I41" s="961"/>
      <c r="J41" s="961"/>
    </row>
    <row r="42" spans="1:13" ht="19.5" customHeight="1" x14ac:dyDescent="0.2">
      <c r="B42" s="535"/>
      <c r="C42" s="536"/>
      <c r="D42" s="536"/>
      <c r="E42" s="536"/>
      <c r="G42" s="437" t="s">
        <v>846</v>
      </c>
      <c r="H42" s="1041">
        <f>MAX(0,H41-H20)</f>
        <v>0</v>
      </c>
      <c r="I42" s="961"/>
      <c r="J42" s="961"/>
    </row>
    <row r="43" spans="1:13" ht="19.5" customHeight="1" thickBot="1" x14ac:dyDescent="0.25">
      <c r="B43" s="1601" t="s">
        <v>376</v>
      </c>
      <c r="C43" s="1602"/>
      <c r="D43" s="1602"/>
      <c r="E43" s="1603"/>
      <c r="G43" s="98" t="s">
        <v>845</v>
      </c>
      <c r="H43" s="1039">
        <f>MAX(0,H20-H41-H30)</f>
        <v>6640.75</v>
      </c>
      <c r="I43" s="961"/>
      <c r="J43" s="961"/>
    </row>
    <row r="44" spans="1:13" ht="19.5" customHeight="1" x14ac:dyDescent="0.2">
      <c r="B44" s="1814"/>
      <c r="C44" s="1815"/>
      <c r="D44" s="1815"/>
      <c r="E44" s="1816"/>
      <c r="G44" s="535"/>
      <c r="H44" s="536"/>
      <c r="I44" s="536"/>
      <c r="J44" s="536"/>
    </row>
    <row r="45" spans="1:13" ht="19.5" customHeight="1" x14ac:dyDescent="0.2">
      <c r="B45" s="1848" t="s">
        <v>718</v>
      </c>
      <c r="C45" s="1849"/>
      <c r="D45" s="1849"/>
      <c r="E45" s="1850"/>
      <c r="G45" s="1601" t="s">
        <v>376</v>
      </c>
      <c r="H45" s="1602"/>
      <c r="I45" s="1602"/>
      <c r="J45" s="1603"/>
    </row>
    <row r="46" spans="1:13" ht="19.5" customHeight="1" x14ac:dyDescent="0.2">
      <c r="B46" s="1851" t="s">
        <v>785</v>
      </c>
      <c r="C46" s="1852"/>
      <c r="D46" s="1852"/>
      <c r="E46" s="1853"/>
      <c r="G46" s="1814"/>
      <c r="H46" s="1815"/>
      <c r="I46" s="1815"/>
      <c r="J46" s="1816"/>
    </row>
    <row r="47" spans="1:13" ht="19.5" customHeight="1" x14ac:dyDescent="0.2">
      <c r="G47" s="1848" t="s">
        <v>718</v>
      </c>
      <c r="H47" s="1849"/>
      <c r="I47" s="1849"/>
      <c r="J47" s="1850"/>
    </row>
    <row r="48" spans="1:13" ht="19.5" customHeight="1" x14ac:dyDescent="0.2">
      <c r="G48" s="1851" t="s">
        <v>785</v>
      </c>
      <c r="H48" s="1852"/>
      <c r="I48" s="1852"/>
      <c r="J48" s="1853"/>
    </row>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20.25" customHeight="1" x14ac:dyDescent="0.2"/>
    <row r="57" ht="20.25" customHeight="1" x14ac:dyDescent="0.2"/>
  </sheetData>
  <mergeCells count="49">
    <mergeCell ref="D37:E37"/>
    <mergeCell ref="B45:E45"/>
    <mergeCell ref="B46:E46"/>
    <mergeCell ref="G47:J47"/>
    <mergeCell ref="G48:J48"/>
    <mergeCell ref="D38:E38"/>
    <mergeCell ref="I37:J37"/>
    <mergeCell ref="I38:J38"/>
    <mergeCell ref="B43:E44"/>
    <mergeCell ref="G45:J46"/>
    <mergeCell ref="D33:E33"/>
    <mergeCell ref="D34:E34"/>
    <mergeCell ref="I33:J33"/>
    <mergeCell ref="I34:J34"/>
    <mergeCell ref="D36:E36"/>
    <mergeCell ref="I36:J36"/>
    <mergeCell ref="C28:E28"/>
    <mergeCell ref="D29:E29"/>
    <mergeCell ref="H29:J29"/>
    <mergeCell ref="H27:J27"/>
    <mergeCell ref="H30:J30"/>
    <mergeCell ref="D24:E24"/>
    <mergeCell ref="H24:J24"/>
    <mergeCell ref="C25:E25"/>
    <mergeCell ref="I25:J25"/>
    <mergeCell ref="C26:E26"/>
    <mergeCell ref="H26:J26"/>
    <mergeCell ref="H18:J18"/>
    <mergeCell ref="H19:J19"/>
    <mergeCell ref="C22:E22"/>
    <mergeCell ref="C23:E23"/>
    <mergeCell ref="H23:J23"/>
    <mergeCell ref="C12:E12"/>
    <mergeCell ref="H12:J12"/>
    <mergeCell ref="H15:J15"/>
    <mergeCell ref="H16:J16"/>
    <mergeCell ref="H17:J17"/>
    <mergeCell ref="C9:E9"/>
    <mergeCell ref="H9:J9"/>
    <mergeCell ref="C10:E10"/>
    <mergeCell ref="H10:J10"/>
    <mergeCell ref="C11:E11"/>
    <mergeCell ref="H11:J11"/>
    <mergeCell ref="B2:J2"/>
    <mergeCell ref="B6:E6"/>
    <mergeCell ref="G6:J6"/>
    <mergeCell ref="C8:E8"/>
    <mergeCell ref="H8:J8"/>
    <mergeCell ref="B4:J4"/>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65DCC-3024-47A0-8F0A-5B1FD442EE18}">
  <dimension ref="B1:AL56"/>
  <sheetViews>
    <sheetView showGridLines="0" topLeftCell="M7" zoomScale="70" zoomScaleNormal="70" workbookViewId="0">
      <selection activeCell="AC39" sqref="AC39"/>
    </sheetView>
  </sheetViews>
  <sheetFormatPr baseColWidth="10" defaultColWidth="9.1640625" defaultRowHeight="15" x14ac:dyDescent="0.2"/>
  <cols>
    <col min="1" max="1" width="1.5" style="260" customWidth="1"/>
    <col min="2" max="2" width="40.5" style="260" customWidth="1"/>
    <col min="3" max="3" width="15.83203125" style="736" customWidth="1"/>
    <col min="4" max="4" width="9" style="260" customWidth="1"/>
    <col min="5" max="5" width="13" style="736" customWidth="1"/>
    <col min="6" max="6" width="9.5" style="260" customWidth="1"/>
    <col min="7" max="7" width="1.5" style="260" customWidth="1"/>
    <col min="8" max="8" width="42.33203125" style="260" customWidth="1"/>
    <col min="9" max="9" width="15.83203125" style="260" customWidth="1"/>
    <col min="10" max="10" width="11" style="260" customWidth="1"/>
    <col min="11" max="11" width="13" style="260" customWidth="1"/>
    <col min="12" max="12" width="11" style="260" customWidth="1"/>
    <col min="13" max="13" width="1.5" style="260" customWidth="1"/>
    <col min="14" max="14" width="42.33203125" style="260" customWidth="1"/>
    <col min="15" max="15" width="15.83203125" style="260" customWidth="1"/>
    <col min="16" max="16" width="11" style="260" customWidth="1"/>
    <col min="17" max="17" width="13" style="260" customWidth="1"/>
    <col min="18" max="18" width="11" style="260" customWidth="1"/>
    <col min="19" max="19" width="1.33203125" style="260" customWidth="1"/>
    <col min="20" max="20" width="1.33203125" style="1000" customWidth="1"/>
    <col min="21" max="21" width="1.33203125" style="686" customWidth="1"/>
    <col min="22" max="22" width="48.6640625" style="613" customWidth="1"/>
    <col min="23" max="23" width="21.33203125" style="613" customWidth="1"/>
    <col min="24" max="24" width="8.33203125" style="613" customWidth="1"/>
    <col min="25" max="25" width="17.5" style="686" customWidth="1"/>
    <col min="26" max="26" width="1.33203125" style="1116" customWidth="1"/>
    <col min="27" max="27" width="40.83203125" style="613" customWidth="1"/>
    <col min="28" max="28" width="21.33203125" style="613" customWidth="1"/>
    <col min="29" max="29" width="8.33203125" style="613" customWidth="1"/>
    <col min="30" max="30" width="17.5" style="686" customWidth="1"/>
    <col min="31" max="31" width="1.33203125" style="1116" customWidth="1"/>
    <col min="32" max="32" width="1.33203125" style="999" customWidth="1"/>
    <col min="33" max="33" width="1.33203125" style="686" customWidth="1"/>
    <col min="34" max="34" width="1.5" style="260" customWidth="1"/>
    <col min="35" max="35" width="47.5" style="260" customWidth="1"/>
    <col min="36" max="36" width="44.1640625" style="260" customWidth="1"/>
    <col min="37" max="37" width="1.5" style="260" customWidth="1"/>
    <col min="38" max="38" width="18.33203125" style="260" customWidth="1"/>
    <col min="39" max="16384" width="9.1640625" style="260"/>
  </cols>
  <sheetData>
    <row r="1" spans="2:36" ht="7.5" customHeight="1" x14ac:dyDescent="0.2"/>
    <row r="2" spans="2:36" ht="57.75" customHeight="1" x14ac:dyDescent="0.2">
      <c r="B2" s="1897" t="s">
        <v>921</v>
      </c>
      <c r="C2" s="1898"/>
      <c r="D2" s="1898"/>
      <c r="E2" s="1898"/>
      <c r="F2" s="1898"/>
      <c r="G2" s="1898"/>
      <c r="H2" s="1898"/>
      <c r="I2" s="1898"/>
      <c r="J2" s="1898"/>
      <c r="K2" s="1898"/>
      <c r="L2" s="1898"/>
      <c r="M2" s="1898"/>
      <c r="N2" s="1898"/>
      <c r="O2" s="1898"/>
      <c r="P2" s="1898"/>
      <c r="Q2" s="1898"/>
      <c r="R2" s="1899"/>
      <c r="V2" s="1687" t="s">
        <v>908</v>
      </c>
      <c r="W2" s="1688"/>
      <c r="X2" s="1688"/>
      <c r="Y2" s="1688"/>
      <c r="Z2" s="1688"/>
      <c r="AA2" s="1688"/>
      <c r="AB2" s="1688"/>
      <c r="AC2" s="1688"/>
      <c r="AD2" s="1689"/>
      <c r="AE2" s="1117"/>
    </row>
    <row r="3" spans="2:36" ht="7.5" customHeight="1" x14ac:dyDescent="0.2"/>
    <row r="4" spans="2:36" s="444" customFormat="1" ht="18" customHeight="1" x14ac:dyDescent="0.2">
      <c r="B4" s="1619" t="s">
        <v>398</v>
      </c>
      <c r="C4" s="1620"/>
      <c r="D4" s="1620"/>
      <c r="E4" s="1620"/>
      <c r="F4" s="1621"/>
      <c r="H4" s="1738" t="s">
        <v>915</v>
      </c>
      <c r="I4" s="1739"/>
      <c r="J4" s="1739"/>
      <c r="K4" s="1739"/>
      <c r="L4" s="1740"/>
      <c r="N4" s="1907" t="s">
        <v>914</v>
      </c>
      <c r="O4" s="1908"/>
      <c r="P4" s="1908"/>
      <c r="Q4" s="1908"/>
      <c r="R4" s="1909"/>
      <c r="T4" s="1123"/>
      <c r="U4" s="613"/>
      <c r="V4" s="1542" t="s">
        <v>903</v>
      </c>
      <c r="W4" s="1543"/>
      <c r="X4" s="1543"/>
      <c r="Y4" s="1544"/>
      <c r="Z4" s="1118"/>
      <c r="AA4" s="1671" t="s">
        <v>905</v>
      </c>
      <c r="AB4" s="1672"/>
      <c r="AC4" s="1672"/>
      <c r="AD4" s="1673"/>
      <c r="AE4" s="1118"/>
      <c r="AF4" s="999"/>
      <c r="AG4" s="613"/>
      <c r="AI4" s="1887" t="s">
        <v>456</v>
      </c>
      <c r="AJ4" s="1888"/>
    </row>
    <row r="5" spans="2:36" ht="18" customHeight="1" thickBot="1" x14ac:dyDescent="0.25">
      <c r="B5" s="120" t="s">
        <v>15</v>
      </c>
      <c r="C5" s="558">
        <f ca="1">TODAY()</f>
        <v>43713</v>
      </c>
      <c r="D5" s="558"/>
      <c r="E5" s="558"/>
      <c r="F5" s="558"/>
      <c r="H5" s="120" t="s">
        <v>15</v>
      </c>
      <c r="I5" s="1894">
        <f ca="1">TODAY()</f>
        <v>43713</v>
      </c>
      <c r="J5" s="1894"/>
      <c r="K5" s="1894"/>
      <c r="L5" s="1894"/>
      <c r="N5" s="120" t="s">
        <v>15</v>
      </c>
      <c r="O5" s="1894">
        <f ca="1">TODAY()</f>
        <v>43713</v>
      </c>
      <c r="P5" s="1894"/>
      <c r="Q5" s="1894"/>
      <c r="R5" s="1894"/>
      <c r="U5" s="613" t="s">
        <v>769</v>
      </c>
      <c r="V5" s="1026" t="s">
        <v>15</v>
      </c>
      <c r="W5" s="1027">
        <f ca="1">TODAY()</f>
        <v>43713</v>
      </c>
      <c r="X5" s="1027"/>
      <c r="Y5" s="1027"/>
      <c r="Z5" s="1119"/>
      <c r="AA5" s="1026" t="s">
        <v>15</v>
      </c>
      <c r="AB5" s="1027">
        <f ca="1">TODAY()</f>
        <v>43713</v>
      </c>
      <c r="AC5" s="1027"/>
      <c r="AD5" s="1027"/>
      <c r="AE5" s="1119"/>
      <c r="AG5" s="613" t="s">
        <v>769</v>
      </c>
      <c r="AI5" s="120" t="s">
        <v>15</v>
      </c>
      <c r="AJ5" s="558">
        <f ca="1">TODAY()</f>
        <v>43713</v>
      </c>
    </row>
    <row r="6" spans="2:36" ht="18" customHeight="1" x14ac:dyDescent="0.2">
      <c r="B6" s="99" t="s">
        <v>24</v>
      </c>
      <c r="C6" s="1729" t="s">
        <v>518</v>
      </c>
      <c r="D6" s="1729"/>
      <c r="E6" s="1729"/>
      <c r="F6" s="1730"/>
      <c r="H6" s="99" t="s">
        <v>24</v>
      </c>
      <c r="I6" s="1729" t="s">
        <v>518</v>
      </c>
      <c r="J6" s="1729"/>
      <c r="K6" s="1729"/>
      <c r="L6" s="1730"/>
      <c r="N6" s="99" t="s">
        <v>24</v>
      </c>
      <c r="O6" s="1729" t="s">
        <v>518</v>
      </c>
      <c r="P6" s="1729"/>
      <c r="Q6" s="1729"/>
      <c r="R6" s="1730"/>
      <c r="U6" s="613"/>
      <c r="V6" s="154" t="s">
        <v>24</v>
      </c>
      <c r="W6" s="1553" t="s">
        <v>782</v>
      </c>
      <c r="X6" s="1553"/>
      <c r="Y6" s="1554"/>
      <c r="Z6" s="1114"/>
      <c r="AA6" s="154" t="s">
        <v>24</v>
      </c>
      <c r="AB6" s="1553" t="s">
        <v>998</v>
      </c>
      <c r="AC6" s="1553"/>
      <c r="AD6" s="1554"/>
      <c r="AE6" s="1114"/>
      <c r="AG6" s="613"/>
      <c r="AI6" s="99" t="s">
        <v>24</v>
      </c>
      <c r="AJ6" s="1101" t="s">
        <v>459</v>
      </c>
    </row>
    <row r="7" spans="2:36" ht="18" customHeight="1" x14ac:dyDescent="0.2">
      <c r="B7" s="303" t="s">
        <v>250</v>
      </c>
      <c r="C7" s="1555" t="s">
        <v>519</v>
      </c>
      <c r="D7" s="1555"/>
      <c r="E7" s="1555"/>
      <c r="F7" s="1556"/>
      <c r="H7" s="303" t="s">
        <v>250</v>
      </c>
      <c r="I7" s="1555" t="s">
        <v>519</v>
      </c>
      <c r="J7" s="1555"/>
      <c r="K7" s="1555"/>
      <c r="L7" s="1556"/>
      <c r="N7" s="303" t="s">
        <v>250</v>
      </c>
      <c r="O7" s="1555" t="s">
        <v>519</v>
      </c>
      <c r="P7" s="1555"/>
      <c r="Q7" s="1555"/>
      <c r="R7" s="1556"/>
      <c r="U7" s="260"/>
      <c r="V7" s="303" t="s">
        <v>250</v>
      </c>
      <c r="W7" s="1555" t="s">
        <v>783</v>
      </c>
      <c r="X7" s="1555"/>
      <c r="Y7" s="1556"/>
      <c r="Z7" s="1091"/>
      <c r="AA7" s="303" t="s">
        <v>250</v>
      </c>
      <c r="AB7" s="1555" t="s">
        <v>910</v>
      </c>
      <c r="AC7" s="1555"/>
      <c r="AD7" s="1556"/>
      <c r="AE7" s="1091"/>
      <c r="AF7" s="1025"/>
      <c r="AG7" s="260"/>
      <c r="AI7" s="303" t="s">
        <v>250</v>
      </c>
      <c r="AJ7" s="784" t="s">
        <v>460</v>
      </c>
    </row>
    <row r="8" spans="2:36" s="682" customFormat="1" ht="18" customHeight="1" thickBot="1" x14ac:dyDescent="0.25">
      <c r="B8" s="303" t="s">
        <v>25</v>
      </c>
      <c r="C8" s="1555" t="s">
        <v>520</v>
      </c>
      <c r="D8" s="1555"/>
      <c r="E8" s="1555"/>
      <c r="F8" s="1556"/>
      <c r="H8" s="303" t="s">
        <v>25</v>
      </c>
      <c r="I8" s="1555" t="s">
        <v>520</v>
      </c>
      <c r="J8" s="1555"/>
      <c r="K8" s="1555"/>
      <c r="L8" s="1556"/>
      <c r="N8" s="303" t="s">
        <v>25</v>
      </c>
      <c r="O8" s="1555" t="s">
        <v>520</v>
      </c>
      <c r="P8" s="1555"/>
      <c r="Q8" s="1555"/>
      <c r="R8" s="1556"/>
      <c r="T8" s="1000"/>
      <c r="U8" s="613"/>
      <c r="V8" s="303" t="s">
        <v>25</v>
      </c>
      <c r="W8" s="1555" t="s">
        <v>900</v>
      </c>
      <c r="X8" s="1555"/>
      <c r="Y8" s="1556"/>
      <c r="Z8" s="1091"/>
      <c r="AA8" s="303" t="s">
        <v>25</v>
      </c>
      <c r="AB8" s="1555" t="s">
        <v>911</v>
      </c>
      <c r="AC8" s="1555"/>
      <c r="AD8" s="1556"/>
      <c r="AE8" s="1091"/>
      <c r="AF8" s="1000"/>
      <c r="AG8" s="613"/>
      <c r="AI8" s="100" t="s">
        <v>25</v>
      </c>
      <c r="AJ8" s="263" t="s">
        <v>461</v>
      </c>
    </row>
    <row r="9" spans="2:36" ht="18" customHeight="1" thickBot="1" x14ac:dyDescent="0.25">
      <c r="B9" s="303" t="s">
        <v>916</v>
      </c>
      <c r="C9" s="1772">
        <v>0</v>
      </c>
      <c r="D9" s="1772"/>
      <c r="E9" s="1772"/>
      <c r="F9" s="1893"/>
      <c r="H9" s="303" t="s">
        <v>916</v>
      </c>
      <c r="I9" s="1772">
        <v>0</v>
      </c>
      <c r="J9" s="1772"/>
      <c r="K9" s="1772"/>
      <c r="L9" s="1893"/>
      <c r="N9" s="303" t="s">
        <v>916</v>
      </c>
      <c r="O9" s="1772">
        <v>0</v>
      </c>
      <c r="P9" s="1772"/>
      <c r="Q9" s="1772"/>
      <c r="R9" s="1893"/>
      <c r="U9" s="613"/>
      <c r="V9" s="303" t="s">
        <v>824</v>
      </c>
      <c r="W9" s="1557" t="s">
        <v>901</v>
      </c>
      <c r="X9" s="1557"/>
      <c r="Y9" s="1558"/>
      <c r="Z9" s="565"/>
      <c r="AA9" s="303" t="s">
        <v>824</v>
      </c>
      <c r="AB9" s="1557">
        <v>0</v>
      </c>
      <c r="AC9" s="1557"/>
      <c r="AD9" s="1558"/>
      <c r="AE9" s="565"/>
      <c r="AF9" s="1000"/>
      <c r="AG9" s="613"/>
      <c r="AI9" s="129" t="s">
        <v>167</v>
      </c>
      <c r="AJ9" s="264"/>
    </row>
    <row r="10" spans="2:36" ht="18" customHeight="1" x14ac:dyDescent="0.2">
      <c r="B10" s="303" t="s">
        <v>764</v>
      </c>
      <c r="C10" s="1772">
        <v>660</v>
      </c>
      <c r="D10" s="1772"/>
      <c r="E10" s="1772"/>
      <c r="F10" s="1893"/>
      <c r="H10" s="303" t="s">
        <v>764</v>
      </c>
      <c r="I10" s="1772">
        <v>660</v>
      </c>
      <c r="J10" s="1772"/>
      <c r="K10" s="1772"/>
      <c r="L10" s="1893"/>
      <c r="N10" s="303" t="s">
        <v>764</v>
      </c>
      <c r="O10" s="1772">
        <v>660</v>
      </c>
      <c r="P10" s="1772"/>
      <c r="Q10" s="1772"/>
      <c r="R10" s="1893"/>
      <c r="U10" s="260"/>
      <c r="V10" s="893" t="s">
        <v>764</v>
      </c>
      <c r="W10" s="1559">
        <v>620</v>
      </c>
      <c r="X10" s="1559"/>
      <c r="Y10" s="1560"/>
      <c r="Z10" s="1104"/>
      <c r="AA10" s="893" t="s">
        <v>764</v>
      </c>
      <c r="AB10" s="1559">
        <v>670</v>
      </c>
      <c r="AC10" s="1559"/>
      <c r="AD10" s="1560"/>
      <c r="AE10" s="1104"/>
      <c r="AF10" s="1000"/>
      <c r="AG10" s="260"/>
      <c r="AI10" s="96" t="s">
        <v>16</v>
      </c>
      <c r="AJ10" s="561" t="s">
        <v>462</v>
      </c>
    </row>
    <row r="11" spans="2:36" ht="18" customHeight="1" thickBot="1" x14ac:dyDescent="0.25">
      <c r="B11" s="100" t="s">
        <v>85</v>
      </c>
      <c r="C11" s="1895" t="s">
        <v>521</v>
      </c>
      <c r="D11" s="1895"/>
      <c r="E11" s="1895"/>
      <c r="F11" s="1896"/>
      <c r="H11" s="100" t="s">
        <v>85</v>
      </c>
      <c r="I11" s="1895" t="s">
        <v>521</v>
      </c>
      <c r="J11" s="1895"/>
      <c r="K11" s="1895"/>
      <c r="L11" s="1896"/>
      <c r="N11" s="100" t="s">
        <v>85</v>
      </c>
      <c r="O11" s="1895" t="s">
        <v>521</v>
      </c>
      <c r="P11" s="1895"/>
      <c r="Q11" s="1895"/>
      <c r="R11" s="1896"/>
      <c r="U11" s="613"/>
      <c r="V11" s="888" t="s">
        <v>822</v>
      </c>
      <c r="W11" s="1180" t="s">
        <v>315</v>
      </c>
      <c r="X11" s="1180"/>
      <c r="Y11" s="1181"/>
      <c r="Z11" s="1104"/>
      <c r="AA11" s="888" t="s">
        <v>822</v>
      </c>
      <c r="AB11" s="1180" t="s">
        <v>521</v>
      </c>
      <c r="AC11" s="955"/>
      <c r="AD11" s="956"/>
      <c r="AE11" s="1104"/>
      <c r="AF11" s="1000"/>
      <c r="AG11" s="613"/>
      <c r="AI11" s="97" t="s">
        <v>47</v>
      </c>
      <c r="AJ11" s="563" t="s">
        <v>458</v>
      </c>
    </row>
    <row r="12" spans="2:36" ht="18" customHeight="1" thickBot="1" x14ac:dyDescent="0.25">
      <c r="B12" s="129" t="s">
        <v>184</v>
      </c>
      <c r="C12" s="264"/>
      <c r="D12" s="264"/>
      <c r="E12" s="264"/>
      <c r="F12" s="264"/>
      <c r="H12" s="129" t="s">
        <v>184</v>
      </c>
      <c r="I12" s="264"/>
      <c r="J12" s="264"/>
      <c r="K12" s="264"/>
      <c r="L12" s="264"/>
      <c r="N12" s="129" t="s">
        <v>184</v>
      </c>
      <c r="O12" s="264"/>
      <c r="P12" s="264"/>
      <c r="Q12" s="264"/>
      <c r="R12" s="264"/>
      <c r="U12" s="613"/>
      <c r="V12" s="1045" t="s">
        <v>172</v>
      </c>
      <c r="W12" s="1046"/>
      <c r="X12" s="1046"/>
      <c r="Y12" s="1046"/>
      <c r="Z12" s="1120"/>
      <c r="AA12" s="1045" t="s">
        <v>172</v>
      </c>
      <c r="AB12" s="1046"/>
      <c r="AC12" s="1046"/>
      <c r="AD12" s="1046"/>
      <c r="AE12" s="1120"/>
      <c r="AF12" s="1000"/>
      <c r="AG12" s="613"/>
      <c r="AI12" s="98" t="s">
        <v>85</v>
      </c>
      <c r="AJ12" s="564" t="s">
        <v>315</v>
      </c>
    </row>
    <row r="13" spans="2:36" ht="18" customHeight="1" thickBot="1" x14ac:dyDescent="0.25">
      <c r="B13" s="178" t="s">
        <v>143</v>
      </c>
      <c r="C13" s="1125">
        <v>150000</v>
      </c>
      <c r="D13" s="928"/>
      <c r="E13" s="928"/>
      <c r="F13" s="929"/>
      <c r="H13" s="178" t="s">
        <v>82</v>
      </c>
      <c r="I13" s="1877">
        <v>111500</v>
      </c>
      <c r="J13" s="1877"/>
      <c r="K13" s="1877"/>
      <c r="L13" s="1878"/>
      <c r="N13" s="178" t="s">
        <v>82</v>
      </c>
      <c r="O13" s="1877">
        <v>111500</v>
      </c>
      <c r="P13" s="1877"/>
      <c r="Q13" s="1877"/>
      <c r="R13" s="1878"/>
      <c r="U13" s="613"/>
      <c r="V13" s="178" t="s">
        <v>48</v>
      </c>
      <c r="W13" s="1442">
        <v>166000</v>
      </c>
      <c r="X13" s="928"/>
      <c r="Y13" s="929"/>
      <c r="Z13" s="1100"/>
      <c r="AA13" s="178" t="s">
        <v>82</v>
      </c>
      <c r="AB13" s="1877">
        <v>553000</v>
      </c>
      <c r="AC13" s="1877"/>
      <c r="AD13" s="1878"/>
      <c r="AE13" s="1100"/>
      <c r="AF13" s="1000"/>
      <c r="AG13" s="613"/>
      <c r="AI13" s="129" t="s">
        <v>184</v>
      </c>
      <c r="AJ13" s="264"/>
    </row>
    <row r="14" spans="2:36" ht="18" customHeight="1" x14ac:dyDescent="0.2">
      <c r="B14" s="76" t="s">
        <v>82</v>
      </c>
      <c r="C14" s="1126">
        <v>155000</v>
      </c>
      <c r="D14" s="949"/>
      <c r="E14" s="949"/>
      <c r="F14" s="950"/>
      <c r="H14" s="76" t="s">
        <v>84</v>
      </c>
      <c r="I14" s="1711">
        <v>50000</v>
      </c>
      <c r="J14" s="1711"/>
      <c r="K14" s="1711"/>
      <c r="L14" s="1712"/>
      <c r="N14" s="76" t="s">
        <v>84</v>
      </c>
      <c r="O14" s="1711">
        <v>50000</v>
      </c>
      <c r="P14" s="1711"/>
      <c r="Q14" s="1711"/>
      <c r="R14" s="1712"/>
      <c r="U14" s="260"/>
      <c r="V14" s="76" t="s">
        <v>34</v>
      </c>
      <c r="W14" s="1426">
        <v>30000</v>
      </c>
      <c r="X14" s="653"/>
      <c r="Y14" s="524"/>
      <c r="Z14" s="1100"/>
      <c r="AA14" s="76" t="s">
        <v>832</v>
      </c>
      <c r="AB14" s="1711">
        <v>365607</v>
      </c>
      <c r="AC14" s="1711"/>
      <c r="AD14" s="1712"/>
      <c r="AE14" s="1100"/>
      <c r="AF14" s="1049"/>
      <c r="AG14" s="260"/>
      <c r="AI14" s="79" t="s">
        <v>82</v>
      </c>
      <c r="AJ14" s="954">
        <v>340000</v>
      </c>
    </row>
    <row r="15" spans="2:36" ht="18" customHeight="1" x14ac:dyDescent="0.2">
      <c r="B15" s="91" t="s">
        <v>3</v>
      </c>
      <c r="C15" s="1165">
        <v>0.7</v>
      </c>
      <c r="D15" s="785"/>
      <c r="E15" s="785"/>
      <c r="F15" s="786"/>
      <c r="H15" s="91" t="s">
        <v>3</v>
      </c>
      <c r="I15" s="1879">
        <v>0.7</v>
      </c>
      <c r="J15" s="1879"/>
      <c r="K15" s="1879"/>
      <c r="L15" s="1880"/>
      <c r="N15" s="91" t="s">
        <v>3</v>
      </c>
      <c r="O15" s="1879">
        <v>0.7</v>
      </c>
      <c r="P15" s="1879"/>
      <c r="Q15" s="1879"/>
      <c r="R15" s="1880"/>
      <c r="U15" s="613"/>
      <c r="V15" s="91" t="s">
        <v>82</v>
      </c>
      <c r="W15" s="1425">
        <v>200000</v>
      </c>
      <c r="X15" s="966"/>
      <c r="Y15" s="967"/>
      <c r="Z15" s="1059"/>
      <c r="AA15" s="91" t="s">
        <v>34</v>
      </c>
      <c r="AB15" s="1870">
        <v>67000</v>
      </c>
      <c r="AC15" s="1870"/>
      <c r="AD15" s="1871"/>
      <c r="AE15" s="1059"/>
      <c r="AF15" s="1000"/>
      <c r="AG15" s="613"/>
      <c r="AI15" s="91" t="s">
        <v>84</v>
      </c>
      <c r="AJ15" s="967">
        <v>200525</v>
      </c>
    </row>
    <row r="16" spans="2:36" ht="18" customHeight="1" x14ac:dyDescent="0.2">
      <c r="B16" s="76" t="s">
        <v>2</v>
      </c>
      <c r="C16" s="1098">
        <f>C13*C15</f>
        <v>105000</v>
      </c>
      <c r="D16" s="1098"/>
      <c r="E16" s="1098"/>
      <c r="F16" s="1099"/>
      <c r="H16" s="76" t="s">
        <v>522</v>
      </c>
      <c r="I16" s="1692">
        <f>I13*I15</f>
        <v>78050</v>
      </c>
      <c r="J16" s="1692"/>
      <c r="K16" s="1692"/>
      <c r="L16" s="1693"/>
      <c r="N16" s="76" t="s">
        <v>919</v>
      </c>
      <c r="O16" s="1692">
        <f>O13*O15</f>
        <v>78050</v>
      </c>
      <c r="P16" s="1692"/>
      <c r="Q16" s="1692"/>
      <c r="R16" s="1693"/>
      <c r="U16" s="613"/>
      <c r="V16" s="713" t="s">
        <v>265</v>
      </c>
      <c r="W16" s="1424">
        <v>265000</v>
      </c>
      <c r="X16" s="714"/>
      <c r="Y16" s="715"/>
      <c r="Z16" s="1100"/>
      <c r="AA16" s="713" t="s">
        <v>265</v>
      </c>
      <c r="AB16" s="1694">
        <v>830000</v>
      </c>
      <c r="AC16" s="1694"/>
      <c r="AD16" s="1695"/>
      <c r="AE16" s="1100"/>
      <c r="AF16" s="1000"/>
      <c r="AG16" s="613"/>
      <c r="AI16" s="76" t="s">
        <v>302</v>
      </c>
      <c r="AJ16" s="1099">
        <f>AJ18-AJ15</f>
        <v>37474.999999999971</v>
      </c>
    </row>
    <row r="17" spans="2:38" ht="18" customHeight="1" thickBot="1" x14ac:dyDescent="0.25">
      <c r="B17" s="91" t="s">
        <v>27</v>
      </c>
      <c r="C17" s="1891" t="s">
        <v>747</v>
      </c>
      <c r="D17" s="1892"/>
      <c r="E17" s="1889" t="s">
        <v>925</v>
      </c>
      <c r="F17" s="1890"/>
      <c r="H17" s="91" t="s">
        <v>27</v>
      </c>
      <c r="I17" s="1891" t="s">
        <v>747</v>
      </c>
      <c r="J17" s="1892"/>
      <c r="K17" s="1889" t="s">
        <v>925</v>
      </c>
      <c r="L17" s="1890"/>
      <c r="N17" s="91" t="s">
        <v>27</v>
      </c>
      <c r="O17" s="1891" t="s">
        <v>747</v>
      </c>
      <c r="P17" s="1892"/>
      <c r="Q17" s="1889" t="s">
        <v>925</v>
      </c>
      <c r="R17" s="1890"/>
      <c r="U17" s="613"/>
      <c r="V17" s="91" t="s">
        <v>73</v>
      </c>
      <c r="W17" s="1033">
        <f>Y17*W13</f>
        <v>124500</v>
      </c>
      <c r="X17" s="908" t="s">
        <v>3</v>
      </c>
      <c r="Y17" s="989">
        <v>0.75</v>
      </c>
      <c r="Z17" s="1059"/>
      <c r="AA17" s="91" t="s">
        <v>371</v>
      </c>
      <c r="AB17" s="1033">
        <f>AD17*AB13</f>
        <v>497700</v>
      </c>
      <c r="AC17" s="908" t="s">
        <v>3</v>
      </c>
      <c r="AD17" s="989">
        <v>0.9</v>
      </c>
      <c r="AE17" s="1059"/>
      <c r="AF17" s="1000"/>
      <c r="AG17" s="613"/>
      <c r="AI17" s="91" t="s">
        <v>3</v>
      </c>
      <c r="AJ17" s="786">
        <v>0.7</v>
      </c>
    </row>
    <row r="18" spans="2:38" ht="18" customHeight="1" x14ac:dyDescent="0.2">
      <c r="B18" s="381" t="s">
        <v>28</v>
      </c>
      <c r="C18" s="1161">
        <v>7.4999999999999997E-2</v>
      </c>
      <c r="D18" s="832" t="s">
        <v>926</v>
      </c>
      <c r="E18" s="1162">
        <v>0</v>
      </c>
      <c r="F18" s="833" t="s">
        <v>742</v>
      </c>
      <c r="H18" s="381" t="s">
        <v>28</v>
      </c>
      <c r="I18" s="1161">
        <v>9.5000000000000001E-2</v>
      </c>
      <c r="J18" s="832" t="s">
        <v>926</v>
      </c>
      <c r="K18" s="1162">
        <v>0</v>
      </c>
      <c r="L18" s="833" t="s">
        <v>742</v>
      </c>
      <c r="N18" s="381" t="s">
        <v>28</v>
      </c>
      <c r="O18" s="1161">
        <v>9.5000000000000001E-2</v>
      </c>
      <c r="P18" s="832" t="s">
        <v>926</v>
      </c>
      <c r="Q18" s="1162">
        <v>0</v>
      </c>
      <c r="R18" s="833" t="s">
        <v>742</v>
      </c>
      <c r="U18" s="613"/>
      <c r="V18" s="76" t="s">
        <v>75</v>
      </c>
      <c r="W18" s="1034">
        <f>Y18*W14</f>
        <v>30000</v>
      </c>
      <c r="X18" s="909" t="s">
        <v>776</v>
      </c>
      <c r="Y18" s="990">
        <v>1</v>
      </c>
      <c r="Z18" s="1112"/>
      <c r="AA18" s="76" t="s">
        <v>75</v>
      </c>
      <c r="AB18" s="1034">
        <f>AD18*AB15</f>
        <v>67000</v>
      </c>
      <c r="AC18" s="909" t="s">
        <v>776</v>
      </c>
      <c r="AD18" s="990">
        <v>1</v>
      </c>
      <c r="AE18" s="1112"/>
      <c r="AF18" s="1000"/>
      <c r="AG18" s="613"/>
      <c r="AI18" s="76" t="s">
        <v>2</v>
      </c>
      <c r="AJ18" s="1099">
        <f>AJ14*AJ17</f>
        <v>237999.99999999997</v>
      </c>
      <c r="AL18" s="249" t="s">
        <v>233</v>
      </c>
    </row>
    <row r="19" spans="2:38" ht="18" customHeight="1" thickBot="1" x14ac:dyDescent="0.25">
      <c r="B19" s="381" t="s">
        <v>743</v>
      </c>
      <c r="C19" s="1161">
        <v>0</v>
      </c>
      <c r="D19" s="832" t="s">
        <v>926</v>
      </c>
      <c r="E19" s="1162">
        <v>0</v>
      </c>
      <c r="F19" s="833" t="s">
        <v>742</v>
      </c>
      <c r="H19" s="381" t="s">
        <v>743</v>
      </c>
      <c r="I19" s="1161">
        <v>8.3750000000000005E-2</v>
      </c>
      <c r="J19" s="832" t="s">
        <v>926</v>
      </c>
      <c r="K19" s="1162">
        <v>0</v>
      </c>
      <c r="L19" s="833" t="s">
        <v>742</v>
      </c>
      <c r="N19" s="381" t="s">
        <v>743</v>
      </c>
      <c r="O19" s="1161">
        <v>8.3750000000000005E-2</v>
      </c>
      <c r="P19" s="832" t="s">
        <v>926</v>
      </c>
      <c r="Q19" s="1162">
        <v>0</v>
      </c>
      <c r="R19" s="833" t="s">
        <v>742</v>
      </c>
      <c r="U19" s="613"/>
      <c r="V19" s="91" t="s">
        <v>580</v>
      </c>
      <c r="W19" s="654">
        <f>W16*Y19</f>
        <v>185500</v>
      </c>
      <c r="X19" s="908" t="s">
        <v>173</v>
      </c>
      <c r="Y19" s="989">
        <v>0.7</v>
      </c>
      <c r="Z19" s="1112"/>
      <c r="AA19" s="91" t="s">
        <v>580</v>
      </c>
      <c r="AB19" s="654">
        <f>AB16*AD19</f>
        <v>581000</v>
      </c>
      <c r="AC19" s="908" t="s">
        <v>173</v>
      </c>
      <c r="AD19" s="989">
        <v>0.7</v>
      </c>
      <c r="AE19" s="1112"/>
      <c r="AF19" s="1000"/>
      <c r="AG19" s="613"/>
      <c r="AI19" s="91" t="s">
        <v>1</v>
      </c>
      <c r="AJ19" s="527" t="s">
        <v>457</v>
      </c>
      <c r="AL19" s="248">
        <f>AJ20*AJ18</f>
        <v>19278</v>
      </c>
    </row>
    <row r="20" spans="2:38" ht="18" customHeight="1" x14ac:dyDescent="0.2">
      <c r="B20" s="381" t="s">
        <v>744</v>
      </c>
      <c r="C20" s="1161">
        <v>0</v>
      </c>
      <c r="D20" s="832" t="s">
        <v>926</v>
      </c>
      <c r="E20" s="1162">
        <v>0</v>
      </c>
      <c r="F20" s="833" t="s">
        <v>742</v>
      </c>
      <c r="H20" s="381" t="s">
        <v>744</v>
      </c>
      <c r="I20" s="1161">
        <v>8.5000000000000006E-2</v>
      </c>
      <c r="J20" s="832" t="s">
        <v>926</v>
      </c>
      <c r="K20" s="1162">
        <v>0</v>
      </c>
      <c r="L20" s="833" t="s">
        <v>742</v>
      </c>
      <c r="N20" s="381" t="s">
        <v>744</v>
      </c>
      <c r="O20" s="1161">
        <v>8.5000000000000006E-2</v>
      </c>
      <c r="P20" s="832" t="s">
        <v>926</v>
      </c>
      <c r="Q20" s="1162">
        <v>0</v>
      </c>
      <c r="R20" s="833" t="s">
        <v>742</v>
      </c>
      <c r="U20" s="613"/>
      <c r="V20" s="76" t="s">
        <v>855</v>
      </c>
      <c r="W20" s="1840">
        <f>MIN(W17+W18,W19)</f>
        <v>154500</v>
      </c>
      <c r="X20" s="1840"/>
      <c r="Y20" s="1841"/>
      <c r="Z20" s="1112"/>
      <c r="AA20" s="76" t="s">
        <v>906</v>
      </c>
      <c r="AB20" s="1840">
        <f>MIN(AB17+AB18,AB19)</f>
        <v>564700</v>
      </c>
      <c r="AC20" s="1840"/>
      <c r="AD20" s="1841"/>
      <c r="AE20" s="1112"/>
      <c r="AF20" s="1000"/>
      <c r="AG20" s="613"/>
      <c r="AI20" s="76" t="s">
        <v>0</v>
      </c>
      <c r="AJ20" s="789">
        <v>8.1000000000000003E-2</v>
      </c>
    </row>
    <row r="21" spans="2:38" ht="18" customHeight="1" x14ac:dyDescent="0.2">
      <c r="B21" s="381" t="s">
        <v>745</v>
      </c>
      <c r="C21" s="1161">
        <v>0</v>
      </c>
      <c r="D21" s="832" t="s">
        <v>926</v>
      </c>
      <c r="E21" s="1162">
        <v>0</v>
      </c>
      <c r="F21" s="833" t="s">
        <v>742</v>
      </c>
      <c r="H21" s="381" t="s">
        <v>745</v>
      </c>
      <c r="I21" s="1161">
        <v>8.3750000000000005E-2</v>
      </c>
      <c r="J21" s="832" t="s">
        <v>926</v>
      </c>
      <c r="K21" s="1162">
        <v>0</v>
      </c>
      <c r="L21" s="833" t="s">
        <v>742</v>
      </c>
      <c r="N21" s="381" t="s">
        <v>745</v>
      </c>
      <c r="O21" s="1161">
        <v>8.3750000000000005E-2</v>
      </c>
      <c r="P21" s="832" t="s">
        <v>926</v>
      </c>
      <c r="Q21" s="1162">
        <v>0</v>
      </c>
      <c r="R21" s="833" t="s">
        <v>742</v>
      </c>
      <c r="U21" s="613"/>
      <c r="V21" s="1016" t="s">
        <v>800</v>
      </c>
      <c r="W21" s="1422">
        <v>9.9900000000000003E-2</v>
      </c>
      <c r="X21" s="1867" t="s">
        <v>827</v>
      </c>
      <c r="Y21" s="1868"/>
      <c r="Z21" s="965"/>
      <c r="AA21" s="1016" t="s">
        <v>800</v>
      </c>
      <c r="AB21" s="1422">
        <v>9.1999999999999998E-2</v>
      </c>
      <c r="AC21" s="1867" t="s">
        <v>827</v>
      </c>
      <c r="AD21" s="1868"/>
      <c r="AE21" s="965"/>
      <c r="AF21" s="1000"/>
      <c r="AG21" s="613"/>
      <c r="AI21" s="91" t="s">
        <v>6</v>
      </c>
      <c r="AJ21" s="526">
        <f>AL19/12</f>
        <v>1606.5</v>
      </c>
    </row>
    <row r="22" spans="2:38" ht="18" customHeight="1" thickBot="1" x14ac:dyDescent="0.25">
      <c r="B22" s="381" t="s">
        <v>746</v>
      </c>
      <c r="C22" s="1161">
        <v>0</v>
      </c>
      <c r="D22" s="832" t="s">
        <v>926</v>
      </c>
      <c r="E22" s="1162">
        <v>0</v>
      </c>
      <c r="F22" s="833" t="s">
        <v>742</v>
      </c>
      <c r="H22" s="381" t="s">
        <v>746</v>
      </c>
      <c r="I22" s="1161">
        <v>8.2500000000000004E-2</v>
      </c>
      <c r="J22" s="832" t="s">
        <v>926</v>
      </c>
      <c r="K22" s="1162">
        <v>0</v>
      </c>
      <c r="L22" s="833" t="s">
        <v>742</v>
      </c>
      <c r="N22" s="381" t="s">
        <v>746</v>
      </c>
      <c r="O22" s="1161">
        <v>8.2500000000000004E-2</v>
      </c>
      <c r="P22" s="832" t="s">
        <v>926</v>
      </c>
      <c r="Q22" s="1162">
        <v>0</v>
      </c>
      <c r="R22" s="833" t="s">
        <v>742</v>
      </c>
      <c r="U22" s="613"/>
      <c r="V22" s="971" t="s">
        <v>852</v>
      </c>
      <c r="W22" s="1446">
        <v>9</v>
      </c>
      <c r="X22" s="1611" t="s">
        <v>912</v>
      </c>
      <c r="Y22" s="1612"/>
      <c r="Z22" s="1097"/>
      <c r="AA22" s="971" t="s">
        <v>838</v>
      </c>
      <c r="AB22" s="1446">
        <v>9</v>
      </c>
      <c r="AC22" s="1611" t="s">
        <v>912</v>
      </c>
      <c r="AD22" s="1612"/>
      <c r="AE22" s="1097"/>
      <c r="AF22" s="1000"/>
      <c r="AG22" s="613"/>
      <c r="AI22" s="85" t="s">
        <v>53</v>
      </c>
      <c r="AJ22" s="790" t="s">
        <v>368</v>
      </c>
    </row>
    <row r="23" spans="2:38" ht="18" customHeight="1" thickBot="1" x14ac:dyDescent="0.25">
      <c r="B23" s="381" t="s">
        <v>29</v>
      </c>
      <c r="C23" s="787">
        <v>2.5000000000000001E-3</v>
      </c>
      <c r="D23" s="787"/>
      <c r="E23" s="829">
        <v>2.5000000000000001E-3</v>
      </c>
      <c r="F23" s="788"/>
      <c r="H23" s="381" t="s">
        <v>29</v>
      </c>
      <c r="I23" s="1163">
        <v>2.5000000000000001E-3</v>
      </c>
      <c r="J23" s="787"/>
      <c r="K23" s="1164">
        <v>2.5000000000000001E-3</v>
      </c>
      <c r="L23" s="788"/>
      <c r="N23" s="381" t="s">
        <v>29</v>
      </c>
      <c r="O23" s="1163">
        <v>2.5000000000000001E-3</v>
      </c>
      <c r="P23" s="787"/>
      <c r="Q23" s="1164">
        <v>2.5000000000000001E-3</v>
      </c>
      <c r="R23" s="788"/>
      <c r="U23" s="613"/>
      <c r="V23" s="1016" t="s">
        <v>6</v>
      </c>
      <c r="W23" s="1432">
        <f>W20*W21/12</f>
        <v>1286.2125000000001</v>
      </c>
      <c r="X23" s="1872"/>
      <c r="Y23" s="1873"/>
      <c r="Z23" s="1127"/>
      <c r="AA23" s="1016" t="s">
        <v>6</v>
      </c>
      <c r="AB23" s="1565">
        <f>AB20*AB21/12</f>
        <v>4329.3666666666668</v>
      </c>
      <c r="AC23" s="1565"/>
      <c r="AD23" s="1566"/>
      <c r="AE23" s="1127"/>
      <c r="AF23" s="1000"/>
      <c r="AG23" s="613"/>
      <c r="AI23" s="129" t="s">
        <v>189</v>
      </c>
      <c r="AJ23" s="566"/>
    </row>
    <row r="24" spans="2:38" ht="18" customHeight="1" thickBot="1" x14ac:dyDescent="0.25">
      <c r="B24" s="85" t="s">
        <v>53</v>
      </c>
      <c r="C24" s="792" t="s">
        <v>107</v>
      </c>
      <c r="D24" s="792"/>
      <c r="E24" s="792"/>
      <c r="F24" s="790"/>
      <c r="H24" s="85" t="s">
        <v>53</v>
      </c>
      <c r="I24" s="792" t="s">
        <v>107</v>
      </c>
      <c r="J24" s="792"/>
      <c r="K24" s="792"/>
      <c r="L24" s="790"/>
      <c r="N24" s="85" t="s">
        <v>53</v>
      </c>
      <c r="O24" s="792" t="s">
        <v>107</v>
      </c>
      <c r="P24" s="792"/>
      <c r="Q24" s="792"/>
      <c r="R24" s="790"/>
      <c r="T24" s="1064"/>
      <c r="U24" s="621"/>
      <c r="V24" s="817" t="s">
        <v>839</v>
      </c>
      <c r="W24" s="1436">
        <f>W23*W22</f>
        <v>11575.9125</v>
      </c>
      <c r="X24" s="1856" t="s">
        <v>1001</v>
      </c>
      <c r="Y24" s="1857"/>
      <c r="Z24" s="1092"/>
      <c r="AA24" s="817" t="s">
        <v>839</v>
      </c>
      <c r="AB24" s="1462">
        <f>AB23*AB22</f>
        <v>38964.300000000003</v>
      </c>
      <c r="AC24" s="1856" t="s">
        <v>1001</v>
      </c>
      <c r="AD24" s="1857"/>
      <c r="AE24" s="1092"/>
      <c r="AF24" s="1000"/>
      <c r="AG24" s="621"/>
      <c r="AI24" s="79" t="s">
        <v>301</v>
      </c>
      <c r="AJ24" s="791">
        <f>AJ15</f>
        <v>200525</v>
      </c>
      <c r="AL24" s="382" t="s">
        <v>40</v>
      </c>
    </row>
    <row r="25" spans="2:38" ht="18" customHeight="1" thickBot="1" x14ac:dyDescent="0.25">
      <c r="B25" s="129" t="s">
        <v>189</v>
      </c>
      <c r="C25" s="566"/>
      <c r="D25" s="566"/>
      <c r="E25" s="566"/>
      <c r="F25" s="566"/>
      <c r="H25" s="129" t="s">
        <v>189</v>
      </c>
      <c r="I25" s="566"/>
      <c r="J25" s="566"/>
      <c r="K25" s="566"/>
      <c r="L25" s="566"/>
      <c r="N25" s="129" t="s">
        <v>189</v>
      </c>
      <c r="O25" s="566"/>
      <c r="P25" s="566"/>
      <c r="Q25" s="566"/>
      <c r="R25" s="566"/>
      <c r="T25" s="1124"/>
      <c r="U25" s="621"/>
      <c r="V25" s="1050" t="s">
        <v>166</v>
      </c>
      <c r="W25" s="1052"/>
      <c r="X25" s="1052"/>
      <c r="Y25" s="1053"/>
      <c r="Z25" s="1095"/>
      <c r="AA25" s="1050" t="s">
        <v>166</v>
      </c>
      <c r="AB25" s="1052"/>
      <c r="AC25" s="1052"/>
      <c r="AD25" s="1053"/>
      <c r="AE25" s="1092"/>
      <c r="AF25" s="1000"/>
      <c r="AG25" s="621"/>
      <c r="AI25" s="91" t="s">
        <v>11</v>
      </c>
      <c r="AJ25" s="311">
        <f>AJ18*AL25</f>
        <v>5950</v>
      </c>
      <c r="AL25" s="383">
        <v>2.5000000000000001E-2</v>
      </c>
    </row>
    <row r="26" spans="2:38" ht="18" customHeight="1" x14ac:dyDescent="0.2">
      <c r="B26" s="178" t="s">
        <v>4</v>
      </c>
      <c r="C26" s="1166">
        <f>C13-C16</f>
        <v>45000</v>
      </c>
      <c r="D26" s="795"/>
      <c r="E26" s="794"/>
      <c r="F26" s="635"/>
      <c r="H26" s="79" t="s">
        <v>301</v>
      </c>
      <c r="I26" s="1160">
        <f>I14</f>
        <v>50000</v>
      </c>
      <c r="J26" s="1150"/>
      <c r="K26" s="1150"/>
      <c r="L26" s="791"/>
      <c r="N26" s="178" t="s">
        <v>881</v>
      </c>
      <c r="O26" s="1166">
        <f>O14-O27</f>
        <v>50000</v>
      </c>
      <c r="P26" s="794"/>
      <c r="Q26" s="794"/>
      <c r="R26" s="799"/>
      <c r="U26" s="613"/>
      <c r="V26" s="79" t="s">
        <v>4</v>
      </c>
      <c r="W26" s="1567">
        <f>W13-W17</f>
        <v>41500</v>
      </c>
      <c r="X26" s="1567"/>
      <c r="Y26" s="1568"/>
      <c r="Z26" s="1048"/>
      <c r="AA26" s="486" t="s">
        <v>809</v>
      </c>
      <c r="AB26" s="1844">
        <f>AB14-AB27</f>
        <v>365607</v>
      </c>
      <c r="AC26" s="1844"/>
      <c r="AD26" s="1845"/>
      <c r="AE26" s="774"/>
      <c r="AF26" s="1000"/>
      <c r="AG26" s="613"/>
      <c r="AI26" s="76" t="s">
        <v>10</v>
      </c>
      <c r="AJ26" s="793">
        <v>4550</v>
      </c>
    </row>
    <row r="27" spans="2:38" ht="18" customHeight="1" x14ac:dyDescent="0.2">
      <c r="B27" s="76" t="s">
        <v>815</v>
      </c>
      <c r="C27" s="1493">
        <v>0</v>
      </c>
      <c r="D27" s="1862" t="s">
        <v>904</v>
      </c>
      <c r="E27" s="1863"/>
      <c r="F27" s="1864"/>
      <c r="H27" s="91" t="s">
        <v>517</v>
      </c>
      <c r="I27" s="963">
        <f>I16*J27</f>
        <v>1170.75</v>
      </c>
      <c r="J27" s="1157">
        <v>1.4999999999999999E-2</v>
      </c>
      <c r="K27" s="1159">
        <f>I16*L27</f>
        <v>1561</v>
      </c>
      <c r="L27" s="1155">
        <v>0.02</v>
      </c>
      <c r="N27" s="76" t="s">
        <v>882</v>
      </c>
      <c r="O27" s="962">
        <f>MAX(0,O14-O16)</f>
        <v>0</v>
      </c>
      <c r="P27" s="796"/>
      <c r="Q27" s="796"/>
      <c r="R27" s="793"/>
      <c r="U27" s="613"/>
      <c r="V27" s="91" t="s">
        <v>815</v>
      </c>
      <c r="W27" s="1492">
        <v>0</v>
      </c>
      <c r="X27" s="1561" t="s">
        <v>904</v>
      </c>
      <c r="Y27" s="1562"/>
      <c r="Z27" s="1090"/>
      <c r="AA27" s="466" t="s">
        <v>831</v>
      </c>
      <c r="AB27" s="1547">
        <f>MAX(0,AB14-AB17)</f>
        <v>0</v>
      </c>
      <c r="AC27" s="1547"/>
      <c r="AD27" s="1548"/>
      <c r="AE27" s="774"/>
      <c r="AF27" s="1000"/>
      <c r="AG27" s="613"/>
      <c r="AI27" s="91" t="s">
        <v>26</v>
      </c>
      <c r="AJ27" s="311">
        <v>1245</v>
      </c>
    </row>
    <row r="28" spans="2:38" ht="18" customHeight="1" thickBot="1" x14ac:dyDescent="0.25">
      <c r="B28" s="91" t="s">
        <v>1027</v>
      </c>
      <c r="C28" s="1492">
        <v>0</v>
      </c>
      <c r="D28" s="1865" t="s">
        <v>1028</v>
      </c>
      <c r="E28" s="1865"/>
      <c r="F28" s="1866"/>
      <c r="H28" s="76" t="s">
        <v>10</v>
      </c>
      <c r="I28" s="962">
        <f>MAX(3500,I16*J28)</f>
        <v>3500</v>
      </c>
      <c r="J28" s="1158">
        <v>0.02</v>
      </c>
      <c r="K28" s="1075">
        <f>MAX(3500,I16*L28)</f>
        <v>3500</v>
      </c>
      <c r="L28" s="1156">
        <v>0.02</v>
      </c>
      <c r="N28" s="91" t="s">
        <v>517</v>
      </c>
      <c r="O28" s="963">
        <f>O16*P28</f>
        <v>1170.75</v>
      </c>
      <c r="P28" s="1157">
        <v>1.4999999999999999E-2</v>
      </c>
      <c r="Q28" s="1159">
        <f>O16*R28</f>
        <v>1561</v>
      </c>
      <c r="R28" s="1155">
        <v>0.02</v>
      </c>
      <c r="U28" s="613"/>
      <c r="V28" s="76" t="s">
        <v>1027</v>
      </c>
      <c r="W28" s="1493">
        <v>0</v>
      </c>
      <c r="X28" s="1551" t="s">
        <v>1028</v>
      </c>
      <c r="Y28" s="1552"/>
      <c r="Z28" s="1090"/>
      <c r="AA28" s="91" t="s">
        <v>45</v>
      </c>
      <c r="AB28" s="1090">
        <f>AB20*AD28</f>
        <v>14117.5</v>
      </c>
      <c r="AC28" s="910" t="s">
        <v>617</v>
      </c>
      <c r="AD28" s="989">
        <v>2.5000000000000001E-2</v>
      </c>
      <c r="AE28" s="1095"/>
      <c r="AF28" s="1000"/>
      <c r="AG28" s="613"/>
      <c r="AI28" s="85" t="s">
        <v>124</v>
      </c>
      <c r="AJ28" s="797">
        <v>200</v>
      </c>
    </row>
    <row r="29" spans="2:38" ht="18" customHeight="1" thickBot="1" x14ac:dyDescent="0.25">
      <c r="B29" s="76" t="s">
        <v>45</v>
      </c>
      <c r="C29" s="962">
        <f>C16*D29</f>
        <v>1575</v>
      </c>
      <c r="D29" s="1167">
        <v>1.4999999999999999E-2</v>
      </c>
      <c r="E29" s="1075">
        <f>C16*F29</f>
        <v>2100</v>
      </c>
      <c r="F29" s="990">
        <v>0.02</v>
      </c>
      <c r="H29" s="91" t="s">
        <v>26</v>
      </c>
      <c r="I29" s="798">
        <v>1245</v>
      </c>
      <c r="J29" s="798"/>
      <c r="K29" s="798"/>
      <c r="L29" s="311"/>
      <c r="N29" s="76" t="s">
        <v>10</v>
      </c>
      <c r="O29" s="962">
        <f>MAX(3500,O16*P29)</f>
        <v>3500</v>
      </c>
      <c r="P29" s="1158">
        <v>0.02</v>
      </c>
      <c r="Q29" s="1075">
        <f>MAX(3500,O16*R29)</f>
        <v>3500</v>
      </c>
      <c r="R29" s="1156">
        <v>0.02</v>
      </c>
      <c r="U29" s="613"/>
      <c r="V29" s="91" t="s">
        <v>45</v>
      </c>
      <c r="W29" s="1090">
        <f>MAX(3500,W20*Y29)</f>
        <v>3500</v>
      </c>
      <c r="X29" s="910" t="s">
        <v>617</v>
      </c>
      <c r="Y29" s="989">
        <v>0.02</v>
      </c>
      <c r="Z29" s="1115"/>
      <c r="AA29" s="76" t="s">
        <v>10</v>
      </c>
      <c r="AB29" s="1089">
        <f>MAX(10000,AD29*AB20)</f>
        <v>11294</v>
      </c>
      <c r="AC29" s="911" t="s">
        <v>617</v>
      </c>
      <c r="AD29" s="990">
        <v>0.02</v>
      </c>
      <c r="AE29" s="1048"/>
      <c r="AF29" s="1000"/>
      <c r="AG29" s="613"/>
      <c r="AI29" s="567" t="s">
        <v>169</v>
      </c>
      <c r="AJ29" s="1096"/>
    </row>
    <row r="30" spans="2:38" ht="18" customHeight="1" thickBot="1" x14ac:dyDescent="0.25">
      <c r="B30" s="91" t="s">
        <v>10</v>
      </c>
      <c r="C30" s="963">
        <f>MAX(3500,C16*D30)</f>
        <v>3500</v>
      </c>
      <c r="D30" s="1112">
        <v>0</v>
      </c>
      <c r="E30" s="1159">
        <f>MAX(3500,C16*F30)</f>
        <v>3500</v>
      </c>
      <c r="F30" s="989">
        <v>0</v>
      </c>
      <c r="H30" s="85" t="s">
        <v>124</v>
      </c>
      <c r="I30" s="1151">
        <v>200</v>
      </c>
      <c r="J30" s="1151"/>
      <c r="K30" s="1151"/>
      <c r="L30" s="797"/>
      <c r="N30" s="91" t="s">
        <v>26</v>
      </c>
      <c r="O30" s="798">
        <v>1245</v>
      </c>
      <c r="P30" s="798"/>
      <c r="Q30" s="798"/>
      <c r="R30" s="311"/>
      <c r="U30" s="613"/>
      <c r="V30" s="76" t="s">
        <v>10</v>
      </c>
      <c r="W30" s="1089">
        <f>MAX(3500,Y30*W20)</f>
        <v>3500</v>
      </c>
      <c r="X30" s="911" t="s">
        <v>617</v>
      </c>
      <c r="Y30" s="990">
        <v>0.02</v>
      </c>
      <c r="Z30" s="1115"/>
      <c r="AA30" s="91" t="s">
        <v>791</v>
      </c>
      <c r="AB30" s="1131">
        <v>1245</v>
      </c>
      <c r="AC30" s="1549" t="s">
        <v>771</v>
      </c>
      <c r="AD30" s="1550"/>
      <c r="AE30" s="1090"/>
      <c r="AF30" s="1000"/>
      <c r="AG30" s="613"/>
      <c r="AI30" s="96" t="s">
        <v>87</v>
      </c>
      <c r="AJ30" s="799">
        <v>600</v>
      </c>
    </row>
    <row r="31" spans="2:38" ht="18" customHeight="1" thickBot="1" x14ac:dyDescent="0.25">
      <c r="B31" s="76" t="s">
        <v>26</v>
      </c>
      <c r="C31" s="796">
        <v>1245</v>
      </c>
      <c r="D31" s="796"/>
      <c r="E31" s="796"/>
      <c r="F31" s="793"/>
      <c r="H31" s="567" t="s">
        <v>169</v>
      </c>
      <c r="I31" s="1096"/>
      <c r="J31" s="1107"/>
      <c r="K31" s="1107"/>
      <c r="L31" s="1107"/>
      <c r="N31" s="85" t="s">
        <v>124</v>
      </c>
      <c r="O31" s="1151">
        <v>200</v>
      </c>
      <c r="P31" s="1151"/>
      <c r="Q31" s="1151"/>
      <c r="R31" s="797"/>
      <c r="U31" s="613"/>
      <c r="V31" s="91" t="s">
        <v>791</v>
      </c>
      <c r="W31" s="1131">
        <v>1245</v>
      </c>
      <c r="X31" s="1549" t="s">
        <v>771</v>
      </c>
      <c r="Y31" s="1550"/>
      <c r="Z31" s="1090"/>
      <c r="AA31" s="76" t="s">
        <v>232</v>
      </c>
      <c r="AB31" s="1130">
        <v>570</v>
      </c>
      <c r="AC31" s="1547" t="s">
        <v>771</v>
      </c>
      <c r="AD31" s="1548"/>
      <c r="AE31" s="1090"/>
      <c r="AF31" s="1000"/>
      <c r="AG31" s="613"/>
      <c r="AI31" s="97" t="s">
        <v>12</v>
      </c>
      <c r="AJ31" s="311">
        <v>1500</v>
      </c>
    </row>
    <row r="32" spans="2:38" ht="18" customHeight="1" thickBot="1" x14ac:dyDescent="0.25">
      <c r="B32" s="125" t="s">
        <v>124</v>
      </c>
      <c r="C32" s="800">
        <v>200</v>
      </c>
      <c r="D32" s="800"/>
      <c r="E32" s="800"/>
      <c r="F32" s="801"/>
      <c r="H32" s="96" t="s">
        <v>399</v>
      </c>
      <c r="I32" s="794">
        <v>600</v>
      </c>
      <c r="J32" s="1885" t="s">
        <v>770</v>
      </c>
      <c r="K32" s="1885"/>
      <c r="L32" s="1886"/>
      <c r="N32" s="567" t="s">
        <v>169</v>
      </c>
      <c r="O32" s="1107"/>
      <c r="P32" s="1107"/>
      <c r="Q32" s="1107"/>
      <c r="R32" s="1107"/>
      <c r="U32" s="613"/>
      <c r="V32" s="76" t="s">
        <v>232</v>
      </c>
      <c r="W32" s="1130">
        <v>440</v>
      </c>
      <c r="X32" s="1547" t="s">
        <v>771</v>
      </c>
      <c r="Y32" s="1548"/>
      <c r="Z32" s="1090"/>
      <c r="AA32" s="125" t="s">
        <v>124</v>
      </c>
      <c r="AB32" s="1142">
        <v>200</v>
      </c>
      <c r="AC32" s="1545" t="s">
        <v>771</v>
      </c>
      <c r="AD32" s="1546"/>
      <c r="AE32" s="1115"/>
      <c r="AF32" s="1000"/>
      <c r="AG32" s="613"/>
      <c r="AI32" s="98" t="s">
        <v>13</v>
      </c>
      <c r="AJ32" s="801">
        <v>0</v>
      </c>
    </row>
    <row r="33" spans="2:36" ht="18" customHeight="1" thickBot="1" x14ac:dyDescent="0.25">
      <c r="B33" s="567" t="s">
        <v>169</v>
      </c>
      <c r="C33" s="1096"/>
      <c r="D33" s="1096"/>
      <c r="E33" s="1096"/>
      <c r="F33" s="1096"/>
      <c r="H33" s="97" t="s">
        <v>12</v>
      </c>
      <c r="I33" s="798">
        <v>1500</v>
      </c>
      <c r="J33" s="1883" t="s">
        <v>771</v>
      </c>
      <c r="K33" s="1883"/>
      <c r="L33" s="1884"/>
      <c r="N33" s="96" t="s">
        <v>399</v>
      </c>
      <c r="O33" s="794">
        <v>600</v>
      </c>
      <c r="P33" s="1885" t="s">
        <v>770</v>
      </c>
      <c r="Q33" s="1885"/>
      <c r="R33" s="1886"/>
      <c r="U33" s="613"/>
      <c r="V33" s="125" t="s">
        <v>124</v>
      </c>
      <c r="W33" s="1142">
        <v>200</v>
      </c>
      <c r="X33" s="1545" t="s">
        <v>771</v>
      </c>
      <c r="Y33" s="1546"/>
      <c r="Z33" s="1090"/>
      <c r="AA33" s="396" t="s">
        <v>169</v>
      </c>
      <c r="AB33" s="1054"/>
      <c r="AC33" s="1054"/>
      <c r="AD33" s="1054"/>
      <c r="AE33" s="1115"/>
      <c r="AF33" s="1000"/>
      <c r="AG33" s="613"/>
      <c r="AI33" s="233"/>
      <c r="AJ33" s="264"/>
    </row>
    <row r="34" spans="2:36" ht="18" customHeight="1" thickBot="1" x14ac:dyDescent="0.25">
      <c r="B34" s="96" t="s">
        <v>399</v>
      </c>
      <c r="C34" s="794">
        <v>600</v>
      </c>
      <c r="D34" s="1885" t="s">
        <v>770</v>
      </c>
      <c r="E34" s="1885"/>
      <c r="F34" s="1886"/>
      <c r="H34" s="98" t="s">
        <v>13</v>
      </c>
      <c r="I34" s="800">
        <v>1500</v>
      </c>
      <c r="J34" s="1881" t="s">
        <v>771</v>
      </c>
      <c r="K34" s="1881"/>
      <c r="L34" s="1882"/>
      <c r="N34" s="97" t="s">
        <v>12</v>
      </c>
      <c r="O34" s="798">
        <v>1500</v>
      </c>
      <c r="P34" s="1883" t="s">
        <v>771</v>
      </c>
      <c r="Q34" s="1883"/>
      <c r="R34" s="1884"/>
      <c r="U34" s="613"/>
      <c r="V34" s="396" t="s">
        <v>169</v>
      </c>
      <c r="W34" s="1054"/>
      <c r="X34" s="1054"/>
      <c r="Y34" s="1054"/>
      <c r="Z34" s="1121"/>
      <c r="AA34" s="96" t="s">
        <v>14</v>
      </c>
      <c r="AB34" s="1103">
        <v>0</v>
      </c>
      <c r="AC34" s="1596" t="s">
        <v>770</v>
      </c>
      <c r="AD34" s="1597"/>
      <c r="AE34" s="1090"/>
      <c r="AF34" s="1000"/>
      <c r="AG34" s="613"/>
      <c r="AI34" s="108" t="s">
        <v>67</v>
      </c>
      <c r="AJ34" s="802">
        <f>SUM(AJ25:AJ32)</f>
        <v>14045</v>
      </c>
    </row>
    <row r="35" spans="2:36" ht="18" customHeight="1" thickBot="1" x14ac:dyDescent="0.25">
      <c r="B35" s="97" t="s">
        <v>12</v>
      </c>
      <c r="C35" s="798">
        <v>1500</v>
      </c>
      <c r="D35" s="1883" t="s">
        <v>771</v>
      </c>
      <c r="E35" s="1883"/>
      <c r="F35" s="1884"/>
      <c r="H35" s="233"/>
      <c r="I35" s="264"/>
      <c r="J35" s="264"/>
      <c r="K35" s="264"/>
      <c r="L35" s="264"/>
      <c r="N35" s="98" t="s">
        <v>13</v>
      </c>
      <c r="O35" s="800">
        <v>1500</v>
      </c>
      <c r="P35" s="1881" t="s">
        <v>771</v>
      </c>
      <c r="Q35" s="1881"/>
      <c r="R35" s="1882"/>
      <c r="U35" s="613"/>
      <c r="V35" s="96" t="s">
        <v>14</v>
      </c>
      <c r="W35" s="1103">
        <v>600</v>
      </c>
      <c r="X35" s="1596" t="s">
        <v>770</v>
      </c>
      <c r="Y35" s="1597"/>
      <c r="Z35" s="1093"/>
      <c r="AA35" s="97" t="s">
        <v>814</v>
      </c>
      <c r="AB35" s="1148">
        <v>1500</v>
      </c>
      <c r="AC35" s="1592" t="s">
        <v>771</v>
      </c>
      <c r="AD35" s="1593"/>
      <c r="AE35" s="1090"/>
      <c r="AF35" s="1000"/>
      <c r="AG35" s="613"/>
      <c r="AI35" s="110" t="s">
        <v>83</v>
      </c>
      <c r="AJ35" s="803">
        <f>AJ18-AJ34-AJ24</f>
        <v>23429.999999999971</v>
      </c>
    </row>
    <row r="36" spans="2:36" ht="18" customHeight="1" thickBot="1" x14ac:dyDescent="0.25">
      <c r="B36" s="98" t="s">
        <v>13</v>
      </c>
      <c r="C36" s="800">
        <v>1500</v>
      </c>
      <c r="D36" s="1881" t="s">
        <v>771</v>
      </c>
      <c r="E36" s="1881"/>
      <c r="F36" s="1882"/>
      <c r="H36" s="108" t="s">
        <v>67</v>
      </c>
      <c r="I36" s="805">
        <f>SUM(I27:I34)</f>
        <v>9715.75</v>
      </c>
      <c r="J36" s="1171" t="s">
        <v>747</v>
      </c>
      <c r="K36" s="830">
        <f>SUM(I29:I34,K27:K28)</f>
        <v>10106</v>
      </c>
      <c r="L36" s="1172" t="s">
        <v>748</v>
      </c>
      <c r="N36" s="233"/>
      <c r="O36" s="264"/>
      <c r="P36" s="264"/>
      <c r="Q36" s="264"/>
      <c r="R36" s="264"/>
      <c r="U36" s="613"/>
      <c r="V36" s="97" t="s">
        <v>814</v>
      </c>
      <c r="W36" s="1148">
        <v>1500</v>
      </c>
      <c r="X36" s="1592" t="s">
        <v>771</v>
      </c>
      <c r="Y36" s="1593"/>
      <c r="Z36" s="1090"/>
      <c r="AA36" s="98" t="s">
        <v>821</v>
      </c>
      <c r="AB36" s="1142">
        <v>1500</v>
      </c>
      <c r="AC36" s="1545" t="s">
        <v>771</v>
      </c>
      <c r="AD36" s="1546"/>
      <c r="AE36" s="1090"/>
      <c r="AF36" s="1000"/>
      <c r="AG36" s="613"/>
      <c r="AI36" s="804"/>
      <c r="AJ36" s="264"/>
    </row>
    <row r="37" spans="2:36" ht="18" customHeight="1" thickBot="1" x14ac:dyDescent="0.25">
      <c r="B37" s="233"/>
      <c r="C37" s="264"/>
      <c r="D37" s="264"/>
      <c r="E37" s="264"/>
      <c r="F37" s="264"/>
      <c r="H37" s="437" t="s">
        <v>917</v>
      </c>
      <c r="I37" s="1149">
        <f>I36+I26</f>
        <v>59715.75</v>
      </c>
      <c r="J37" s="1168"/>
      <c r="K37" s="1169">
        <f>I36+I26</f>
        <v>59715.75</v>
      </c>
      <c r="L37" s="1170"/>
      <c r="N37" s="108" t="s">
        <v>67</v>
      </c>
      <c r="O37" s="1166">
        <f>SUM(O28:O35)</f>
        <v>9715.75</v>
      </c>
      <c r="P37" s="1171" t="s">
        <v>747</v>
      </c>
      <c r="Q37" s="1173">
        <f>SUM(O30:O35,Q28:Q29)</f>
        <v>10106</v>
      </c>
      <c r="R37" s="1172" t="s">
        <v>748</v>
      </c>
      <c r="U37" s="613"/>
      <c r="V37" s="98" t="s">
        <v>821</v>
      </c>
      <c r="W37" s="1142">
        <v>0</v>
      </c>
      <c r="X37" s="1545" t="s">
        <v>771</v>
      </c>
      <c r="Y37" s="1546"/>
      <c r="Z37" s="1090"/>
      <c r="AA37" s="1056" t="s">
        <v>170</v>
      </c>
      <c r="AB37" s="1054"/>
      <c r="AC37" s="1054"/>
      <c r="AD37" s="1054"/>
      <c r="AE37" s="1121"/>
      <c r="AF37" s="1000"/>
      <c r="AG37" s="613"/>
      <c r="AI37" s="807" t="s">
        <v>20</v>
      </c>
      <c r="AJ37" s="808"/>
    </row>
    <row r="38" spans="2:36" ht="18" customHeight="1" thickBot="1" x14ac:dyDescent="0.25">
      <c r="B38" s="108" t="s">
        <v>67</v>
      </c>
      <c r="C38" s="805">
        <f>SUM(C29:C36)</f>
        <v>10120</v>
      </c>
      <c r="D38" s="806" t="s">
        <v>727</v>
      </c>
      <c r="E38" s="830">
        <f>SUM(E29,C30:C36)</f>
        <v>10645</v>
      </c>
      <c r="F38" s="813" t="s">
        <v>728</v>
      </c>
      <c r="H38" s="98" t="s">
        <v>83</v>
      </c>
      <c r="I38" s="1153">
        <f>MAX(0,I16-I36-I26)</f>
        <v>18334.25</v>
      </c>
      <c r="J38" s="1153"/>
      <c r="K38" s="1154"/>
      <c r="L38" s="803"/>
      <c r="N38" s="437" t="s">
        <v>917</v>
      </c>
      <c r="O38" s="1883">
        <f>O37+O26</f>
        <v>59715.75</v>
      </c>
      <c r="P38" s="1883"/>
      <c r="Q38" s="1902">
        <f>Q37+O26</f>
        <v>60106</v>
      </c>
      <c r="R38" s="1884"/>
      <c r="U38" s="613"/>
      <c r="V38" s="1056" t="s">
        <v>170</v>
      </c>
      <c r="W38" s="1054"/>
      <c r="X38" s="1054"/>
      <c r="Y38" s="1054"/>
      <c r="Z38" s="1121"/>
      <c r="AA38" s="108" t="s">
        <v>23</v>
      </c>
      <c r="AB38" s="1040">
        <f>SUM(AB28:AB29,AB34:AB36,AB30:AB32)</f>
        <v>30426.5</v>
      </c>
      <c r="AC38" s="1105"/>
      <c r="AD38" s="1105"/>
      <c r="AE38" s="1093"/>
      <c r="AF38" s="1000"/>
      <c r="AG38" s="613"/>
      <c r="AI38" s="810" t="s">
        <v>21</v>
      </c>
      <c r="AJ38" s="811"/>
    </row>
    <row r="39" spans="2:36" ht="18" customHeight="1" thickBot="1" x14ac:dyDescent="0.25">
      <c r="B39" s="110" t="s">
        <v>221</v>
      </c>
      <c r="C39" s="809">
        <f>C26+C38-C27-C28</f>
        <v>55120</v>
      </c>
      <c r="D39" s="809"/>
      <c r="E39" s="831">
        <f>C26+E38-C27-C28</f>
        <v>55645</v>
      </c>
      <c r="F39" s="777"/>
      <c r="H39" s="804"/>
      <c r="I39" s="264"/>
      <c r="J39" s="264"/>
      <c r="K39" s="264"/>
      <c r="L39" s="264"/>
      <c r="N39" s="437" t="s">
        <v>918</v>
      </c>
      <c r="O39" s="1903">
        <f>MAX(0,O38-O16)</f>
        <v>0</v>
      </c>
      <c r="P39" s="1903"/>
      <c r="Q39" s="1900">
        <f>MAX(0,Q38-O16)</f>
        <v>0</v>
      </c>
      <c r="R39" s="1901"/>
      <c r="U39" s="260"/>
      <c r="V39" s="108" t="s">
        <v>23</v>
      </c>
      <c r="W39" s="1040">
        <f>SUM(W29:W30,W35:W37,W31:W32,)</f>
        <v>10785</v>
      </c>
      <c r="X39" s="1105"/>
      <c r="Y39" s="1105"/>
      <c r="Z39" s="902"/>
      <c r="AA39" s="437" t="s">
        <v>907</v>
      </c>
      <c r="AB39" s="1041">
        <f>AB38+AB27</f>
        <v>30426.5</v>
      </c>
      <c r="AC39" s="1105"/>
      <c r="AD39" s="1105"/>
      <c r="AE39" s="1090"/>
      <c r="AF39" s="1000"/>
      <c r="AG39" s="260"/>
      <c r="AI39" s="812"/>
      <c r="AJ39" s="736"/>
    </row>
    <row r="40" spans="2:36" ht="18" customHeight="1" thickBot="1" x14ac:dyDescent="0.25">
      <c r="B40" s="804"/>
      <c r="C40" s="264"/>
      <c r="D40" s="264"/>
      <c r="E40" s="264"/>
      <c r="F40" s="264"/>
      <c r="H40" s="1777" t="s">
        <v>729</v>
      </c>
      <c r="I40" s="1778"/>
      <c r="J40" s="1778"/>
      <c r="K40" s="1778"/>
      <c r="L40" s="1779"/>
      <c r="N40" s="98" t="s">
        <v>920</v>
      </c>
      <c r="O40" s="1906">
        <f>MIN(O16,O38)</f>
        <v>59715.75</v>
      </c>
      <c r="P40" s="1906"/>
      <c r="Q40" s="1904">
        <f>MIN(O16,Q38)</f>
        <v>60106</v>
      </c>
      <c r="R40" s="1905"/>
      <c r="U40" s="613"/>
      <c r="V40" s="110" t="s">
        <v>841</v>
      </c>
      <c r="W40" s="1044">
        <f>W39+W26-W27-W28</f>
        <v>52285</v>
      </c>
      <c r="X40" s="1105"/>
      <c r="Y40" s="1105"/>
      <c r="Z40" s="902"/>
      <c r="AA40" s="437" t="s">
        <v>846</v>
      </c>
      <c r="AB40" s="1041">
        <f>MAX(0,AB39-AB17)</f>
        <v>0</v>
      </c>
      <c r="AC40" s="1105"/>
      <c r="AD40" s="1105"/>
      <c r="AE40" s="1090"/>
      <c r="AF40" s="1000"/>
      <c r="AG40" s="613"/>
      <c r="AI40" s="812"/>
      <c r="AJ40" s="736"/>
    </row>
    <row r="41" spans="2:36" ht="18" customHeight="1" thickBot="1" x14ac:dyDescent="0.25">
      <c r="B41" s="1777" t="s">
        <v>729</v>
      </c>
      <c r="C41" s="1778"/>
      <c r="D41" s="1778"/>
      <c r="E41" s="1778"/>
      <c r="F41" s="1779"/>
      <c r="H41" s="1874"/>
      <c r="I41" s="1875"/>
      <c r="J41" s="1875"/>
      <c r="K41" s="1875"/>
      <c r="L41" s="1876"/>
      <c r="N41" s="804"/>
      <c r="O41" s="264"/>
      <c r="P41" s="264"/>
      <c r="Q41" s="264"/>
      <c r="R41" s="264"/>
      <c r="U41" s="613"/>
      <c r="V41" s="535"/>
      <c r="W41" s="536"/>
      <c r="X41" s="536"/>
      <c r="Y41" s="536"/>
      <c r="Z41" s="902"/>
      <c r="AA41" s="98" t="s">
        <v>845</v>
      </c>
      <c r="AB41" s="1039">
        <f>MAX(0,AB17-AB39-AB26)</f>
        <v>101666.5</v>
      </c>
      <c r="AC41" s="1105"/>
      <c r="AD41" s="1105"/>
      <c r="AE41" s="1121"/>
      <c r="AG41" s="613"/>
    </row>
    <row r="42" spans="2:36" ht="18" customHeight="1" x14ac:dyDescent="0.2">
      <c r="B42" s="1874"/>
      <c r="C42" s="1875"/>
      <c r="D42" s="1875"/>
      <c r="E42" s="1875"/>
      <c r="F42" s="1876"/>
      <c r="H42" s="812"/>
      <c r="I42" s="736"/>
      <c r="J42" s="736"/>
      <c r="K42" s="736"/>
      <c r="L42" s="736"/>
      <c r="N42" s="1777" t="s">
        <v>729</v>
      </c>
      <c r="O42" s="1778"/>
      <c r="P42" s="1778"/>
      <c r="Q42" s="1778"/>
      <c r="R42" s="1779"/>
      <c r="U42" s="613"/>
      <c r="V42" s="1601" t="s">
        <v>376</v>
      </c>
      <c r="W42" s="1602"/>
      <c r="X42" s="1602"/>
      <c r="Y42" s="1603"/>
      <c r="Z42" s="902"/>
      <c r="AA42" s="535"/>
      <c r="AB42" s="536"/>
      <c r="AC42" s="536"/>
      <c r="AD42" s="536"/>
      <c r="AE42" s="902"/>
      <c r="AG42" s="613"/>
      <c r="AI42" s="812"/>
      <c r="AJ42" s="736"/>
    </row>
    <row r="43" spans="2:36" ht="18" customHeight="1" x14ac:dyDescent="0.2">
      <c r="B43" s="812"/>
      <c r="D43" s="736"/>
      <c r="F43" s="736"/>
      <c r="H43" s="812"/>
      <c r="I43" s="736"/>
      <c r="J43" s="736"/>
      <c r="K43" s="736"/>
      <c r="L43" s="736"/>
      <c r="N43" s="1874"/>
      <c r="O43" s="1875"/>
      <c r="P43" s="1875"/>
      <c r="Q43" s="1875"/>
      <c r="R43" s="1876"/>
      <c r="V43" s="1814"/>
      <c r="W43" s="1815"/>
      <c r="X43" s="1815"/>
      <c r="Y43" s="1816"/>
      <c r="Z43" s="1122"/>
      <c r="AA43" s="1601" t="s">
        <v>376</v>
      </c>
      <c r="AB43" s="1602"/>
      <c r="AC43" s="1602"/>
      <c r="AD43" s="1603"/>
      <c r="AE43" s="902"/>
    </row>
    <row r="44" spans="2:36" ht="18" customHeight="1" x14ac:dyDescent="0.2">
      <c r="B44" s="812"/>
      <c r="D44" s="736"/>
      <c r="F44" s="736"/>
      <c r="N44" s="812"/>
      <c r="O44" s="736"/>
      <c r="P44" s="736"/>
      <c r="Q44" s="736"/>
      <c r="R44" s="736"/>
      <c r="V44" s="1580" t="s">
        <v>913</v>
      </c>
      <c r="W44" s="1581"/>
      <c r="X44" s="1581"/>
      <c r="Y44" s="1582"/>
      <c r="Z44" s="1102"/>
      <c r="AA44" s="1814"/>
      <c r="AB44" s="1815"/>
      <c r="AC44" s="1815"/>
      <c r="AD44" s="1816"/>
      <c r="AE44" s="902"/>
    </row>
    <row r="45" spans="2:36" ht="18" customHeight="1" x14ac:dyDescent="0.2">
      <c r="H45" s="812"/>
      <c r="I45" s="736"/>
      <c r="J45" s="736"/>
      <c r="K45" s="736"/>
      <c r="L45" s="736"/>
      <c r="N45" s="812"/>
      <c r="O45" s="736"/>
      <c r="P45" s="736"/>
      <c r="Q45" s="736"/>
      <c r="R45" s="736"/>
      <c r="V45" s="1869"/>
      <c r="W45" s="1869"/>
      <c r="X45" s="1869"/>
      <c r="Y45" s="1869"/>
      <c r="Z45" s="1102"/>
      <c r="AA45" s="1580" t="s">
        <v>913</v>
      </c>
      <c r="AB45" s="1581"/>
      <c r="AC45" s="1581"/>
      <c r="AD45" s="1582"/>
      <c r="AE45" s="902"/>
    </row>
    <row r="46" spans="2:36" ht="18" customHeight="1" x14ac:dyDescent="0.2">
      <c r="B46" s="812"/>
      <c r="D46" s="736"/>
      <c r="F46" s="736"/>
      <c r="V46" s="1869"/>
      <c r="W46" s="1869"/>
      <c r="X46" s="1869"/>
      <c r="Y46" s="1869"/>
      <c r="Z46" s="1104"/>
      <c r="AA46" s="1869"/>
      <c r="AB46" s="1869"/>
      <c r="AC46" s="1869"/>
      <c r="AD46" s="1869"/>
      <c r="AE46" s="1122"/>
    </row>
    <row r="47" spans="2:36" ht="18" customHeight="1" x14ac:dyDescent="0.2">
      <c r="N47" s="812"/>
      <c r="O47" s="736"/>
      <c r="P47" s="736"/>
      <c r="Q47" s="736"/>
      <c r="R47" s="736"/>
      <c r="Y47" s="613"/>
      <c r="Z47" s="1104"/>
      <c r="AA47" s="1869"/>
      <c r="AB47" s="1869"/>
      <c r="AC47" s="1869"/>
      <c r="AD47" s="1869"/>
      <c r="AE47" s="1102"/>
    </row>
    <row r="48" spans="2:36" ht="18" customHeight="1" x14ac:dyDescent="0.2">
      <c r="Z48" s="1104"/>
      <c r="AD48" s="613"/>
      <c r="AE48" s="1102"/>
    </row>
    <row r="49" spans="26:31" ht="18" customHeight="1" x14ac:dyDescent="0.2">
      <c r="Z49" s="1094"/>
      <c r="AE49" s="1104"/>
    </row>
    <row r="50" spans="26:31" ht="18" customHeight="1" x14ac:dyDescent="0.2">
      <c r="Z50" s="1094"/>
      <c r="AE50" s="1104"/>
    </row>
    <row r="51" spans="26:31" ht="18" customHeight="1" x14ac:dyDescent="0.2">
      <c r="AE51" s="1104"/>
    </row>
    <row r="52" spans="26:31" ht="18" customHeight="1" x14ac:dyDescent="0.2">
      <c r="AE52" s="1094"/>
    </row>
    <row r="53" spans="26:31" ht="18" customHeight="1" x14ac:dyDescent="0.2">
      <c r="AE53" s="1094"/>
    </row>
    <row r="54" spans="26:31" ht="18" customHeight="1" x14ac:dyDescent="0.2"/>
    <row r="55" spans="26:31" ht="18" customHeight="1" x14ac:dyDescent="0.2"/>
    <row r="56" spans="26:31" ht="18" customHeight="1" x14ac:dyDescent="0.2"/>
  </sheetData>
  <mergeCells count="109">
    <mergeCell ref="C10:F10"/>
    <mergeCell ref="C11:F11"/>
    <mergeCell ref="B2:R2"/>
    <mergeCell ref="N42:R43"/>
    <mergeCell ref="Q39:R39"/>
    <mergeCell ref="Q38:R38"/>
    <mergeCell ref="O39:P39"/>
    <mergeCell ref="O38:P38"/>
    <mergeCell ref="Q40:R40"/>
    <mergeCell ref="O40:P40"/>
    <mergeCell ref="O11:R11"/>
    <mergeCell ref="D34:F34"/>
    <mergeCell ref="D35:F35"/>
    <mergeCell ref="D36:F36"/>
    <mergeCell ref="N4:R4"/>
    <mergeCell ref="O5:R5"/>
    <mergeCell ref="O13:R13"/>
    <mergeCell ref="O14:R14"/>
    <mergeCell ref="O15:R15"/>
    <mergeCell ref="O16:R16"/>
    <mergeCell ref="O17:P17"/>
    <mergeCell ref="Q17:R17"/>
    <mergeCell ref="P33:R33"/>
    <mergeCell ref="P34:R34"/>
    <mergeCell ref="E17:F17"/>
    <mergeCell ref="C17:D17"/>
    <mergeCell ref="B41:F42"/>
    <mergeCell ref="B4:F4"/>
    <mergeCell ref="C6:F6"/>
    <mergeCell ref="C7:F7"/>
    <mergeCell ref="C8:F8"/>
    <mergeCell ref="V4:Y4"/>
    <mergeCell ref="W6:Y6"/>
    <mergeCell ref="W7:Y7"/>
    <mergeCell ref="W8:Y8"/>
    <mergeCell ref="W9:Y9"/>
    <mergeCell ref="W10:Y10"/>
    <mergeCell ref="X36:Y36"/>
    <mergeCell ref="X37:Y37"/>
    <mergeCell ref="P35:R35"/>
    <mergeCell ref="C9:F9"/>
    <mergeCell ref="O6:R6"/>
    <mergeCell ref="O7:R7"/>
    <mergeCell ref="O8:R8"/>
    <mergeCell ref="O9:R9"/>
    <mergeCell ref="O10:R10"/>
    <mergeCell ref="H4:L4"/>
    <mergeCell ref="I5:L5"/>
    <mergeCell ref="H40:L41"/>
    <mergeCell ref="I13:L13"/>
    <mergeCell ref="I14:L14"/>
    <mergeCell ref="I15:L15"/>
    <mergeCell ref="I16:L16"/>
    <mergeCell ref="J34:L34"/>
    <mergeCell ref="J33:L33"/>
    <mergeCell ref="J32:L32"/>
    <mergeCell ref="AI4:AJ4"/>
    <mergeCell ref="AB20:AD20"/>
    <mergeCell ref="AB10:AD10"/>
    <mergeCell ref="AB13:AD13"/>
    <mergeCell ref="K17:L17"/>
    <mergeCell ref="I17:J17"/>
    <mergeCell ref="I11:L11"/>
    <mergeCell ref="I10:L10"/>
    <mergeCell ref="I9:L9"/>
    <mergeCell ref="I8:L8"/>
    <mergeCell ref="I7:L7"/>
    <mergeCell ref="I6:L6"/>
    <mergeCell ref="AB8:AD8"/>
    <mergeCell ref="AB9:AD9"/>
    <mergeCell ref="AB27:AD27"/>
    <mergeCell ref="AC22:AD22"/>
    <mergeCell ref="AB23:AD23"/>
    <mergeCell ref="V42:Y43"/>
    <mergeCell ref="W26:Y26"/>
    <mergeCell ref="X27:Y27"/>
    <mergeCell ref="X31:Y31"/>
    <mergeCell ref="X32:Y32"/>
    <mergeCell ref="X35:Y35"/>
    <mergeCell ref="X24:Y24"/>
    <mergeCell ref="AC24:AD24"/>
    <mergeCell ref="W20:Y20"/>
    <mergeCell ref="X22:Y22"/>
    <mergeCell ref="X23:Y23"/>
    <mergeCell ref="X33:Y33"/>
    <mergeCell ref="D27:F27"/>
    <mergeCell ref="D28:F28"/>
    <mergeCell ref="X28:Y28"/>
    <mergeCell ref="V2:AD2"/>
    <mergeCell ref="X21:Y21"/>
    <mergeCell ref="AC21:AD21"/>
    <mergeCell ref="V45:Y46"/>
    <mergeCell ref="AA46:AD47"/>
    <mergeCell ref="AA45:AD45"/>
    <mergeCell ref="V44:Y44"/>
    <mergeCell ref="AC34:AD34"/>
    <mergeCell ref="AC35:AD35"/>
    <mergeCell ref="AC36:AD36"/>
    <mergeCell ref="AA43:AD44"/>
    <mergeCell ref="AC31:AD31"/>
    <mergeCell ref="AC32:AD32"/>
    <mergeCell ref="AC30:AD30"/>
    <mergeCell ref="AB26:AD26"/>
    <mergeCell ref="AB14:AD14"/>
    <mergeCell ref="AB15:AD15"/>
    <mergeCell ref="AB16:AD16"/>
    <mergeCell ref="AA4:AD4"/>
    <mergeCell ref="AB6:AD6"/>
    <mergeCell ref="AB7:AD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28</vt:i4>
      </vt:variant>
    </vt:vector>
  </HeadingPairs>
  <TitlesOfParts>
    <vt:vector size="28" baseType="lpstr">
      <vt:lpstr>Mortgage Calculator</vt:lpstr>
      <vt:lpstr>CFRE</vt:lpstr>
      <vt:lpstr>TempleView</vt:lpstr>
      <vt:lpstr>Aloha Capital</vt:lpstr>
      <vt:lpstr>Global Integrity Finance</vt:lpstr>
      <vt:lpstr>ICON</vt:lpstr>
      <vt:lpstr>Infinity Capital</vt:lpstr>
      <vt:lpstr>Revolver</vt:lpstr>
      <vt:lpstr>Constructive Loans</vt:lpstr>
      <vt:lpstr>Gelt</vt:lpstr>
      <vt:lpstr>ABL1</vt:lpstr>
      <vt:lpstr>APEX</vt:lpstr>
      <vt:lpstr>Stronghill</vt:lpstr>
      <vt:lpstr>Silverhill</vt:lpstr>
      <vt:lpstr>ResCap</vt:lpstr>
      <vt:lpstr>VISIO</vt:lpstr>
      <vt:lpstr>Builder Finance</vt:lpstr>
      <vt:lpstr>Sharestates</vt:lpstr>
      <vt:lpstr>5 Arch</vt:lpstr>
      <vt:lpstr>Corevest</vt:lpstr>
      <vt:lpstr>Lima One</vt:lpstr>
      <vt:lpstr>Wholesale - Straightline</vt:lpstr>
      <vt:lpstr>Stratton Equities</vt:lpstr>
      <vt:lpstr>Velocity</vt:lpstr>
      <vt:lpstr>RCN</vt:lpstr>
      <vt:lpstr>LendingOne</vt:lpstr>
      <vt:lpstr>Athas</vt:lpstr>
      <vt:lpstr>MBFS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 johnston</dc:creator>
  <cp:lastModifiedBy>Christopher Perez</cp:lastModifiedBy>
  <dcterms:created xsi:type="dcterms:W3CDTF">2019-03-15T15:06:24Z</dcterms:created>
  <dcterms:modified xsi:type="dcterms:W3CDTF">2019-09-05T17:26:26Z</dcterms:modified>
</cp:coreProperties>
</file>