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21156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งานระบบไฟฟ้า!$A$1:$M$69</definedName>
    <definedName name="_xlnm.Print_Area" localSheetId="4">งานระบบประปา!$A$1:$M$94</definedName>
    <definedName name="_xlnm.Print_Area" localSheetId="2">'งานสถาปัตยกรรม '!$A$1:$M$156</definedName>
    <definedName name="_xlnm.Print_Area" localSheetId="1">หมวดงานโครงสร้าง!$A$1:$M$71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8" i="1" l="1"/>
  <c r="K69" i="7"/>
  <c r="I69" i="7"/>
  <c r="L69" i="7" s="1"/>
  <c r="K68" i="7"/>
  <c r="I68" i="7"/>
  <c r="L68" i="7" s="1"/>
  <c r="K67" i="7"/>
  <c r="L67" i="7" s="1"/>
  <c r="I67" i="7"/>
  <c r="L66" i="7"/>
  <c r="K66" i="7"/>
  <c r="I66" i="7"/>
  <c r="E66" i="7"/>
  <c r="L65" i="7"/>
  <c r="K65" i="7"/>
  <c r="I65" i="7"/>
  <c r="E65" i="7"/>
  <c r="L64" i="7"/>
  <c r="K64" i="7"/>
  <c r="I64" i="7"/>
  <c r="K63" i="7"/>
  <c r="I63" i="7"/>
  <c r="L63" i="7" s="1"/>
  <c r="K62" i="7"/>
  <c r="I62" i="7"/>
  <c r="L62" i="7" s="1"/>
  <c r="K59" i="7"/>
  <c r="I59" i="7"/>
  <c r="L59" i="7" s="1"/>
  <c r="L58" i="7"/>
  <c r="K58" i="7"/>
  <c r="I58" i="7"/>
  <c r="K57" i="7"/>
  <c r="I57" i="7"/>
  <c r="L57" i="7" s="1"/>
  <c r="K56" i="7"/>
  <c r="I56" i="7"/>
  <c r="L56" i="7" s="1"/>
  <c r="G54" i="7"/>
  <c r="K54" i="7" s="1"/>
  <c r="K53" i="7"/>
  <c r="I53" i="7"/>
  <c r="L53" i="7" s="1"/>
  <c r="L52" i="7"/>
  <c r="K52" i="7"/>
  <c r="I52" i="7"/>
  <c r="K51" i="7"/>
  <c r="I51" i="7"/>
  <c r="L51" i="7" s="1"/>
  <c r="K47" i="7"/>
  <c r="I47" i="7"/>
  <c r="L47" i="7" s="1"/>
  <c r="K46" i="7"/>
  <c r="I46" i="7"/>
  <c r="L46" i="7" s="1"/>
  <c r="L45" i="7"/>
  <c r="K45" i="7"/>
  <c r="I45" i="7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L39" i="7"/>
  <c r="K39" i="7"/>
  <c r="I39" i="7"/>
  <c r="K38" i="7"/>
  <c r="I38" i="7"/>
  <c r="L38" i="7" s="1"/>
  <c r="K37" i="7"/>
  <c r="I37" i="7"/>
  <c r="L37" i="7" s="1"/>
  <c r="G35" i="7"/>
  <c r="K35" i="7" s="1"/>
  <c r="K34" i="7"/>
  <c r="I34" i="7"/>
  <c r="L34" i="7" s="1"/>
  <c r="L33" i="7"/>
  <c r="K33" i="7"/>
  <c r="I33" i="7"/>
  <c r="K32" i="7"/>
  <c r="I32" i="7"/>
  <c r="L32" i="7" s="1"/>
  <c r="K31" i="7"/>
  <c r="I31" i="7"/>
  <c r="L31" i="7" s="1"/>
  <c r="K30" i="7"/>
  <c r="I30" i="7"/>
  <c r="L30" i="7" s="1"/>
  <c r="L29" i="7"/>
  <c r="K29" i="7"/>
  <c r="I29" i="7"/>
  <c r="K28" i="7"/>
  <c r="I28" i="7"/>
  <c r="L28" i="7" s="1"/>
  <c r="K24" i="7"/>
  <c r="I24" i="7"/>
  <c r="L24" i="7" s="1"/>
  <c r="K23" i="7"/>
  <c r="I23" i="7"/>
  <c r="L23" i="7" s="1"/>
  <c r="L22" i="7"/>
  <c r="K22" i="7"/>
  <c r="I22" i="7"/>
  <c r="K20" i="7"/>
  <c r="G20" i="7"/>
  <c r="I20" i="7" s="1"/>
  <c r="L20" i="7" s="1"/>
  <c r="K19" i="7"/>
  <c r="I19" i="7"/>
  <c r="L19" i="7" s="1"/>
  <c r="L18" i="7"/>
  <c r="K18" i="7"/>
  <c r="I18" i="7"/>
  <c r="K17" i="7"/>
  <c r="I17" i="7"/>
  <c r="L17" i="7" s="1"/>
  <c r="L16" i="7"/>
  <c r="K16" i="7"/>
  <c r="I16" i="7"/>
  <c r="K15" i="7"/>
  <c r="I15" i="7"/>
  <c r="L15" i="7" s="1"/>
  <c r="K14" i="7"/>
  <c r="I14" i="7"/>
  <c r="L14" i="7" s="1"/>
  <c r="K13" i="7"/>
  <c r="I13" i="7"/>
  <c r="L13" i="7" s="1"/>
  <c r="P12" i="7"/>
  <c r="K12" i="7"/>
  <c r="I12" i="7"/>
  <c r="L12" i="7" s="1"/>
  <c r="P11" i="7"/>
  <c r="K11" i="7"/>
  <c r="I11" i="7"/>
  <c r="L11" i="7" s="1"/>
  <c r="L10" i="7"/>
  <c r="K10" i="7"/>
  <c r="K71" i="7" s="1"/>
  <c r="I10" i="7"/>
  <c r="A5" i="7"/>
  <c r="A4" i="7"/>
  <c r="M3" i="7"/>
  <c r="A3" i="7"/>
  <c r="D10" i="1"/>
  <c r="D14" i="1"/>
  <c r="D12" i="1"/>
  <c r="K85" i="6"/>
  <c r="H85" i="6"/>
  <c r="I85" i="6" s="1"/>
  <c r="K84" i="6"/>
  <c r="L84" i="6" s="1"/>
  <c r="I84" i="6"/>
  <c r="K83" i="6"/>
  <c r="I83" i="6"/>
  <c r="L83" i="6" s="1"/>
  <c r="K82" i="6"/>
  <c r="L82" i="6" s="1"/>
  <c r="I82" i="6"/>
  <c r="K81" i="6"/>
  <c r="H81" i="6"/>
  <c r="I81" i="6" s="1"/>
  <c r="L81" i="6" s="1"/>
  <c r="K80" i="6"/>
  <c r="H80" i="6"/>
  <c r="I80" i="6" s="1"/>
  <c r="L80" i="6" s="1"/>
  <c r="K79" i="6"/>
  <c r="K93" i="6" s="1"/>
  <c r="I79" i="6"/>
  <c r="I93" i="6" s="1"/>
  <c r="K74" i="6"/>
  <c r="L74" i="6" s="1"/>
  <c r="J74" i="6"/>
  <c r="I74" i="6"/>
  <c r="K73" i="6"/>
  <c r="L73" i="6" s="1"/>
  <c r="L77" i="6" s="1"/>
  <c r="L12" i="6" s="1"/>
  <c r="C73" i="6"/>
  <c r="I73" i="6" s="1"/>
  <c r="I77" i="6" s="1"/>
  <c r="I12" i="6" s="1"/>
  <c r="K61" i="6"/>
  <c r="C61" i="6"/>
  <c r="I61" i="6" s="1"/>
  <c r="K60" i="6"/>
  <c r="L60" i="6" s="1"/>
  <c r="I60" i="6"/>
  <c r="C56" i="6"/>
  <c r="K56" i="6" s="1"/>
  <c r="C55" i="6"/>
  <c r="K55" i="6" s="1"/>
  <c r="L54" i="6"/>
  <c r="K54" i="6"/>
  <c r="I54" i="6"/>
  <c r="K53" i="6"/>
  <c r="C53" i="6"/>
  <c r="I53" i="6" s="1"/>
  <c r="L53" i="6" s="1"/>
  <c r="K52" i="6"/>
  <c r="L52" i="6" s="1"/>
  <c r="L51" i="6"/>
  <c r="K51" i="6"/>
  <c r="K50" i="6"/>
  <c r="I50" i="6"/>
  <c r="L50" i="6" s="1"/>
  <c r="H50" i="6"/>
  <c r="K48" i="6"/>
  <c r="L48" i="6" s="1"/>
  <c r="I48" i="6"/>
  <c r="J47" i="6"/>
  <c r="K47" i="6" s="1"/>
  <c r="L47" i="6" s="1"/>
  <c r="I47" i="6"/>
  <c r="K45" i="6"/>
  <c r="H45" i="6"/>
  <c r="I45" i="6" s="1"/>
  <c r="C45" i="6"/>
  <c r="H44" i="6"/>
  <c r="C44" i="6"/>
  <c r="K44" i="6" s="1"/>
  <c r="K38" i="6"/>
  <c r="I38" i="6"/>
  <c r="L38" i="6" s="1"/>
  <c r="C38" i="6"/>
  <c r="C37" i="6"/>
  <c r="K37" i="6" s="1"/>
  <c r="K36" i="6"/>
  <c r="I36" i="6"/>
  <c r="L36" i="6" s="1"/>
  <c r="C35" i="6"/>
  <c r="I35" i="6" s="1"/>
  <c r="K34" i="6"/>
  <c r="I34" i="6"/>
  <c r="L34" i="6" s="1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I28" i="6"/>
  <c r="L28" i="6" s="1"/>
  <c r="K27" i="6"/>
  <c r="I27" i="6"/>
  <c r="L27" i="6" s="1"/>
  <c r="K26" i="6"/>
  <c r="I26" i="6"/>
  <c r="L26" i="6" s="1"/>
  <c r="L25" i="6"/>
  <c r="K25" i="6"/>
  <c r="I25" i="6"/>
  <c r="H31" i="6" s="1"/>
  <c r="K22" i="6"/>
  <c r="H22" i="6"/>
  <c r="I22" i="6" s="1"/>
  <c r="L22" i="6" s="1"/>
  <c r="H21" i="6"/>
  <c r="C21" i="6"/>
  <c r="I21" i="6" s="1"/>
  <c r="K20" i="6"/>
  <c r="H20" i="6"/>
  <c r="I20" i="6" s="1"/>
  <c r="B13" i="6"/>
  <c r="A13" i="6"/>
  <c r="B12" i="6"/>
  <c r="A12" i="6"/>
  <c r="B11" i="6"/>
  <c r="A11" i="6"/>
  <c r="B10" i="6"/>
  <c r="A10" i="6"/>
  <c r="B9" i="6"/>
  <c r="A9" i="6"/>
  <c r="K68" i="5"/>
  <c r="K67" i="5"/>
  <c r="I67" i="5"/>
  <c r="I68" i="5" s="1"/>
  <c r="L64" i="5"/>
  <c r="K64" i="5"/>
  <c r="I64" i="5"/>
  <c r="K63" i="5"/>
  <c r="L63" i="5" s="1"/>
  <c r="I63" i="5"/>
  <c r="K62" i="5"/>
  <c r="I62" i="5"/>
  <c r="L62" i="5" s="1"/>
  <c r="K61" i="5"/>
  <c r="I61" i="5"/>
  <c r="L61" i="5" s="1"/>
  <c r="L60" i="5"/>
  <c r="K60" i="5"/>
  <c r="I60" i="5"/>
  <c r="K59" i="5"/>
  <c r="K65" i="5" s="1"/>
  <c r="I59" i="5"/>
  <c r="K58" i="5"/>
  <c r="I58" i="5"/>
  <c r="L58" i="5" s="1"/>
  <c r="L55" i="5"/>
  <c r="K55" i="5"/>
  <c r="I55" i="5"/>
  <c r="K54" i="5"/>
  <c r="I54" i="5"/>
  <c r="L54" i="5" s="1"/>
  <c r="K53" i="5"/>
  <c r="I53" i="5"/>
  <c r="L53" i="5" s="1"/>
  <c r="K52" i="5"/>
  <c r="I52" i="5"/>
  <c r="L52" i="5" s="1"/>
  <c r="L51" i="5"/>
  <c r="K51" i="5"/>
  <c r="I51" i="5"/>
  <c r="K50" i="5"/>
  <c r="I50" i="5"/>
  <c r="L50" i="5" s="1"/>
  <c r="K49" i="5"/>
  <c r="I49" i="5"/>
  <c r="L49" i="5" s="1"/>
  <c r="K48" i="5"/>
  <c r="I48" i="5"/>
  <c r="L48" i="5" s="1"/>
  <c r="L47" i="5"/>
  <c r="K47" i="5"/>
  <c r="I47" i="5"/>
  <c r="K46" i="5"/>
  <c r="K56" i="5" s="1"/>
  <c r="G46" i="5"/>
  <c r="I46" i="5" s="1"/>
  <c r="I43" i="5"/>
  <c r="L43" i="5" s="1"/>
  <c r="G43" i="5"/>
  <c r="K43" i="5" s="1"/>
  <c r="I42" i="5"/>
  <c r="L42" i="5" s="1"/>
  <c r="G42" i="5"/>
  <c r="K42" i="5" s="1"/>
  <c r="K41" i="5"/>
  <c r="I41" i="5"/>
  <c r="L41" i="5" s="1"/>
  <c r="K40" i="5"/>
  <c r="L40" i="5" s="1"/>
  <c r="I40" i="5"/>
  <c r="L39" i="5"/>
  <c r="K39" i="5"/>
  <c r="I39" i="5"/>
  <c r="K38" i="5"/>
  <c r="K44" i="5" s="1"/>
  <c r="I38" i="5"/>
  <c r="L38" i="5" s="1"/>
  <c r="K37" i="5"/>
  <c r="I37" i="5"/>
  <c r="I44" i="5" s="1"/>
  <c r="G33" i="5"/>
  <c r="K33" i="5" s="1"/>
  <c r="G32" i="5"/>
  <c r="K32" i="5" s="1"/>
  <c r="G31" i="5"/>
  <c r="K31" i="5" s="1"/>
  <c r="G30" i="5"/>
  <c r="K30" i="5" s="1"/>
  <c r="G29" i="5"/>
  <c r="K29" i="5" s="1"/>
  <c r="G28" i="5"/>
  <c r="K28" i="5" s="1"/>
  <c r="G27" i="5"/>
  <c r="K27" i="5" s="1"/>
  <c r="G26" i="5"/>
  <c r="K26" i="5" s="1"/>
  <c r="G25" i="5"/>
  <c r="K25" i="5" s="1"/>
  <c r="G24" i="5"/>
  <c r="K24" i="5" s="1"/>
  <c r="G23" i="5"/>
  <c r="K23" i="5" s="1"/>
  <c r="G22" i="5"/>
  <c r="K22" i="5" s="1"/>
  <c r="G21" i="5"/>
  <c r="K21" i="5" s="1"/>
  <c r="G20" i="5"/>
  <c r="K20" i="5" s="1"/>
  <c r="G19" i="5"/>
  <c r="K19" i="5" s="1"/>
  <c r="L16" i="5"/>
  <c r="K16" i="5"/>
  <c r="I16" i="5"/>
  <c r="K15" i="5"/>
  <c r="I15" i="5"/>
  <c r="L15" i="5" s="1"/>
  <c r="K14" i="5"/>
  <c r="I14" i="5"/>
  <c r="L14" i="5" s="1"/>
  <c r="K13" i="5"/>
  <c r="I13" i="5"/>
  <c r="L13" i="5" s="1"/>
  <c r="L12" i="5"/>
  <c r="K12" i="5"/>
  <c r="I12" i="5"/>
  <c r="K11" i="5"/>
  <c r="K17" i="5" s="1"/>
  <c r="I11" i="5"/>
  <c r="L11" i="5" s="1"/>
  <c r="K10" i="5"/>
  <c r="I10" i="5"/>
  <c r="L10" i="5" s="1"/>
  <c r="A4" i="6"/>
  <c r="M3" i="6"/>
  <c r="A3" i="6"/>
  <c r="A4" i="5"/>
  <c r="M3" i="5"/>
  <c r="A3" i="5"/>
  <c r="A4" i="3"/>
  <c r="M3" i="3"/>
  <c r="A3" i="3"/>
  <c r="K153" i="3"/>
  <c r="I153" i="3"/>
  <c r="K151" i="3"/>
  <c r="I151" i="3"/>
  <c r="K149" i="3"/>
  <c r="I149" i="3"/>
  <c r="K147" i="3"/>
  <c r="I147" i="3"/>
  <c r="K145" i="3"/>
  <c r="I145" i="3"/>
  <c r="K143" i="3"/>
  <c r="I143" i="3"/>
  <c r="K141" i="3"/>
  <c r="I141" i="3"/>
  <c r="E140" i="3"/>
  <c r="K139" i="3"/>
  <c r="I139" i="3"/>
  <c r="K137" i="3"/>
  <c r="I137" i="3"/>
  <c r="E136" i="3"/>
  <c r="K135" i="3"/>
  <c r="I135" i="3"/>
  <c r="E135" i="3"/>
  <c r="E134" i="3"/>
  <c r="K133" i="3"/>
  <c r="I133" i="3"/>
  <c r="K127" i="3"/>
  <c r="I127" i="3"/>
  <c r="E127" i="3"/>
  <c r="K126" i="3"/>
  <c r="I126" i="3"/>
  <c r="K125" i="3"/>
  <c r="I125" i="3"/>
  <c r="K124" i="3"/>
  <c r="I124" i="3"/>
  <c r="K123" i="3"/>
  <c r="I123" i="3"/>
  <c r="E123" i="3"/>
  <c r="K122" i="3"/>
  <c r="I122" i="3"/>
  <c r="E122" i="3"/>
  <c r="K121" i="3"/>
  <c r="I121" i="3"/>
  <c r="E121" i="3"/>
  <c r="K114" i="3"/>
  <c r="I114" i="3"/>
  <c r="I117" i="3" s="1"/>
  <c r="K107" i="3"/>
  <c r="I107" i="3"/>
  <c r="K106" i="3"/>
  <c r="I106" i="3"/>
  <c r="K105" i="3"/>
  <c r="I105" i="3"/>
  <c r="K104" i="3"/>
  <c r="I104" i="3"/>
  <c r="K103" i="3"/>
  <c r="I103" i="3"/>
  <c r="K102" i="3"/>
  <c r="I102" i="3"/>
  <c r="K101" i="3"/>
  <c r="I101" i="3"/>
  <c r="K100" i="3"/>
  <c r="I100" i="3"/>
  <c r="K99" i="3"/>
  <c r="I99" i="3"/>
  <c r="K98" i="3"/>
  <c r="I98" i="3"/>
  <c r="K97" i="3"/>
  <c r="I97" i="3"/>
  <c r="K96" i="3"/>
  <c r="I96" i="3"/>
  <c r="K95" i="3"/>
  <c r="I95" i="3"/>
  <c r="K94" i="3"/>
  <c r="I94" i="3"/>
  <c r="K92" i="3"/>
  <c r="I92" i="3"/>
  <c r="K91" i="3"/>
  <c r="I91" i="3"/>
  <c r="K90" i="3"/>
  <c r="I90" i="3"/>
  <c r="K88" i="3"/>
  <c r="I88" i="3"/>
  <c r="K87" i="3"/>
  <c r="I87" i="3"/>
  <c r="K86" i="3"/>
  <c r="I86" i="3"/>
  <c r="K85" i="3"/>
  <c r="I85" i="3"/>
  <c r="K84" i="3"/>
  <c r="I84" i="3"/>
  <c r="K83" i="3"/>
  <c r="I83" i="3"/>
  <c r="K82" i="3"/>
  <c r="I82" i="3"/>
  <c r="K81" i="3"/>
  <c r="I81" i="3"/>
  <c r="K80" i="3"/>
  <c r="I80" i="3"/>
  <c r="K79" i="3"/>
  <c r="I79" i="3"/>
  <c r="K78" i="3"/>
  <c r="I78" i="3"/>
  <c r="K77" i="3"/>
  <c r="I77" i="3"/>
  <c r="K76" i="3"/>
  <c r="I76" i="3"/>
  <c r="K75" i="3"/>
  <c r="I75" i="3"/>
  <c r="K70" i="3"/>
  <c r="I70" i="3"/>
  <c r="K69" i="3"/>
  <c r="I69" i="3"/>
  <c r="K68" i="3"/>
  <c r="I68" i="3"/>
  <c r="E65" i="3"/>
  <c r="K64" i="3"/>
  <c r="I64" i="3"/>
  <c r="E64" i="3"/>
  <c r="K63" i="3"/>
  <c r="I63" i="3"/>
  <c r="E63" i="3"/>
  <c r="K62" i="3"/>
  <c r="I62" i="3"/>
  <c r="E62" i="3"/>
  <c r="K61" i="3"/>
  <c r="I61" i="3"/>
  <c r="K60" i="3"/>
  <c r="I60" i="3"/>
  <c r="K59" i="3"/>
  <c r="I59" i="3"/>
  <c r="K58" i="3"/>
  <c r="I58" i="3"/>
  <c r="K57" i="3"/>
  <c r="I57" i="3"/>
  <c r="K56" i="3"/>
  <c r="I56" i="3"/>
  <c r="E51" i="3"/>
  <c r="K50" i="3"/>
  <c r="I50" i="3"/>
  <c r="E50" i="3"/>
  <c r="K49" i="3"/>
  <c r="I49" i="3"/>
  <c r="E49" i="3"/>
  <c r="K48" i="3"/>
  <c r="I48" i="3"/>
  <c r="K47" i="3"/>
  <c r="I47" i="3"/>
  <c r="K46" i="3"/>
  <c r="I46" i="3"/>
  <c r="E46" i="3"/>
  <c r="K45" i="3"/>
  <c r="I45" i="3"/>
  <c r="E45" i="3"/>
  <c r="K44" i="3"/>
  <c r="I44" i="3"/>
  <c r="K43" i="3"/>
  <c r="I43" i="3"/>
  <c r="K39" i="3"/>
  <c r="I39" i="3"/>
  <c r="K38" i="3"/>
  <c r="I38" i="3"/>
  <c r="K37" i="3"/>
  <c r="I37" i="3"/>
  <c r="F36" i="3"/>
  <c r="E36" i="3"/>
  <c r="K30" i="3"/>
  <c r="I30" i="3"/>
  <c r="K29" i="3"/>
  <c r="I29" i="3"/>
  <c r="K27" i="3"/>
  <c r="I27" i="3"/>
  <c r="K26" i="3"/>
  <c r="I26" i="3"/>
  <c r="E26" i="3"/>
  <c r="E24" i="3" s="1"/>
  <c r="K25" i="3"/>
  <c r="I25" i="3"/>
  <c r="E25" i="3"/>
  <c r="K24" i="3"/>
  <c r="I24" i="3"/>
  <c r="K23" i="3"/>
  <c r="I23" i="3"/>
  <c r="E23" i="3"/>
  <c r="K22" i="3"/>
  <c r="I22" i="3"/>
  <c r="L22" i="3" s="1"/>
  <c r="E22" i="3"/>
  <c r="K21" i="3"/>
  <c r="I21" i="3"/>
  <c r="E21" i="3"/>
  <c r="E43" i="3" s="1"/>
  <c r="F20" i="3"/>
  <c r="E16" i="3"/>
  <c r="E15" i="3"/>
  <c r="E9" i="3" s="1"/>
  <c r="K14" i="3"/>
  <c r="I14" i="3"/>
  <c r="K13" i="3"/>
  <c r="I13" i="3"/>
  <c r="K12" i="3"/>
  <c r="I12" i="3"/>
  <c r="K11" i="3"/>
  <c r="I11" i="3"/>
  <c r="K10" i="3"/>
  <c r="I10" i="3"/>
  <c r="F9" i="3"/>
  <c r="I35" i="7" l="1"/>
  <c r="L35" i="7" s="1"/>
  <c r="L71" i="7" s="1"/>
  <c r="I54" i="7"/>
  <c r="L54" i="7" s="1"/>
  <c r="L21" i="6"/>
  <c r="L35" i="6"/>
  <c r="L61" i="6"/>
  <c r="H23" i="6"/>
  <c r="L20" i="6"/>
  <c r="H62" i="6"/>
  <c r="I13" i="6"/>
  <c r="J31" i="6"/>
  <c r="K31" i="6" s="1"/>
  <c r="I31" i="6"/>
  <c r="L31" i="6" s="1"/>
  <c r="L45" i="6"/>
  <c r="K13" i="6"/>
  <c r="L85" i="6"/>
  <c r="K21" i="6"/>
  <c r="K35" i="6"/>
  <c r="K77" i="6"/>
  <c r="K12" i="6" s="1"/>
  <c r="L79" i="6"/>
  <c r="I37" i="6"/>
  <c r="L37" i="6" s="1"/>
  <c r="I44" i="6"/>
  <c r="I55" i="6"/>
  <c r="L55" i="6" s="1"/>
  <c r="I56" i="6"/>
  <c r="L56" i="6" s="1"/>
  <c r="L17" i="5"/>
  <c r="K35" i="5"/>
  <c r="K69" i="5" s="1"/>
  <c r="I56" i="5"/>
  <c r="L46" i="5"/>
  <c r="L56" i="5" s="1"/>
  <c r="I17" i="5"/>
  <c r="I19" i="5"/>
  <c r="I20" i="5"/>
  <c r="L20" i="5" s="1"/>
  <c r="I21" i="5"/>
  <c r="L21" i="5" s="1"/>
  <c r="I22" i="5"/>
  <c r="L22" i="5" s="1"/>
  <c r="I23" i="5"/>
  <c r="L23" i="5" s="1"/>
  <c r="I24" i="5"/>
  <c r="L24" i="5" s="1"/>
  <c r="I25" i="5"/>
  <c r="L25" i="5" s="1"/>
  <c r="I26" i="5"/>
  <c r="L26" i="5" s="1"/>
  <c r="I27" i="5"/>
  <c r="L27" i="5" s="1"/>
  <c r="I28" i="5"/>
  <c r="L28" i="5" s="1"/>
  <c r="I29" i="5"/>
  <c r="L29" i="5" s="1"/>
  <c r="I30" i="5"/>
  <c r="L30" i="5" s="1"/>
  <c r="I31" i="5"/>
  <c r="L31" i="5" s="1"/>
  <c r="I32" i="5"/>
  <c r="L32" i="5" s="1"/>
  <c r="I33" i="5"/>
  <c r="L33" i="5" s="1"/>
  <c r="L59" i="5"/>
  <c r="L65" i="5" s="1"/>
  <c r="I65" i="5"/>
  <c r="L37" i="5"/>
  <c r="L44" i="5" s="1"/>
  <c r="L67" i="5"/>
  <c r="L68" i="5" s="1"/>
  <c r="L61" i="3"/>
  <c r="L70" i="3"/>
  <c r="L80" i="3"/>
  <c r="L82" i="3"/>
  <c r="L86" i="3"/>
  <c r="L23" i="3"/>
  <c r="L26" i="3"/>
  <c r="L12" i="3"/>
  <c r="L48" i="3"/>
  <c r="L88" i="3"/>
  <c r="L91" i="3"/>
  <c r="L98" i="3"/>
  <c r="L100" i="3"/>
  <c r="L104" i="3"/>
  <c r="L59" i="3"/>
  <c r="L24" i="3"/>
  <c r="L56" i="3"/>
  <c r="L21" i="3"/>
  <c r="L25" i="3"/>
  <c r="K72" i="3"/>
  <c r="L126" i="3"/>
  <c r="L133" i="3"/>
  <c r="L14" i="3"/>
  <c r="L57" i="3"/>
  <c r="L92" i="3"/>
  <c r="L95" i="3"/>
  <c r="L101" i="3"/>
  <c r="L103" i="3"/>
  <c r="L122" i="3"/>
  <c r="L143" i="3"/>
  <c r="L151" i="3"/>
  <c r="L39" i="3"/>
  <c r="K33" i="3"/>
  <c r="L29" i="3"/>
  <c r="L38" i="3"/>
  <c r="L63" i="3"/>
  <c r="L69" i="3"/>
  <c r="L77" i="3"/>
  <c r="L83" i="3"/>
  <c r="L85" i="3"/>
  <c r="L106" i="3"/>
  <c r="L114" i="3"/>
  <c r="L117" i="3" s="1"/>
  <c r="L125" i="3"/>
  <c r="L139" i="3"/>
  <c r="L145" i="3"/>
  <c r="L149" i="3"/>
  <c r="L27" i="3"/>
  <c r="L96" i="3"/>
  <c r="L78" i="3"/>
  <c r="E20" i="3"/>
  <c r="K41" i="3"/>
  <c r="E44" i="3"/>
  <c r="L62" i="3"/>
  <c r="L81" i="3"/>
  <c r="L99" i="3"/>
  <c r="L121" i="3"/>
  <c r="L124" i="3"/>
  <c r="L43" i="3"/>
  <c r="L49" i="3"/>
  <c r="K155" i="3"/>
  <c r="L11" i="3"/>
  <c r="L44" i="3"/>
  <c r="L58" i="3"/>
  <c r="L60" i="3"/>
  <c r="L90" i="3"/>
  <c r="L107" i="3"/>
  <c r="L123" i="3"/>
  <c r="L137" i="3"/>
  <c r="L141" i="3"/>
  <c r="L13" i="3"/>
  <c r="L45" i="3"/>
  <c r="L64" i="3"/>
  <c r="L76" i="3"/>
  <c r="L79" i="3"/>
  <c r="L84" i="3"/>
  <c r="L87" i="3"/>
  <c r="L94" i="3"/>
  <c r="L97" i="3"/>
  <c r="L102" i="3"/>
  <c r="L105" i="3"/>
  <c r="K117" i="3"/>
  <c r="L127" i="3"/>
  <c r="L147" i="3"/>
  <c r="L153" i="3"/>
  <c r="L46" i="3"/>
  <c r="L50" i="3"/>
  <c r="K109" i="3"/>
  <c r="I129" i="3"/>
  <c r="I155" i="3"/>
  <c r="K17" i="3"/>
  <c r="I33" i="3"/>
  <c r="I41" i="3"/>
  <c r="K53" i="3"/>
  <c r="I72" i="3"/>
  <c r="I109" i="3"/>
  <c r="I53" i="3"/>
  <c r="L30" i="3"/>
  <c r="K129" i="3"/>
  <c r="L10" i="3"/>
  <c r="L37" i="3"/>
  <c r="L47" i="3"/>
  <c r="L135" i="3"/>
  <c r="I17" i="3"/>
  <c r="L68" i="3"/>
  <c r="L75" i="3"/>
  <c r="D16" i="1"/>
  <c r="I71" i="7" l="1"/>
  <c r="K41" i="6"/>
  <c r="K9" i="6" s="1"/>
  <c r="L93" i="6"/>
  <c r="I23" i="6"/>
  <c r="J23" i="6"/>
  <c r="K23" i="6" s="1"/>
  <c r="H46" i="6"/>
  <c r="L44" i="6"/>
  <c r="J62" i="6"/>
  <c r="K62" i="6" s="1"/>
  <c r="K70" i="6" s="1"/>
  <c r="I62" i="6"/>
  <c r="L34" i="5"/>
  <c r="L19" i="5"/>
  <c r="I35" i="5"/>
  <c r="I69" i="5" s="1"/>
  <c r="K156" i="3"/>
  <c r="I156" i="3"/>
  <c r="L33" i="3"/>
  <c r="L155" i="3"/>
  <c r="L41" i="3"/>
  <c r="L72" i="3"/>
  <c r="L129" i="3"/>
  <c r="L109" i="3"/>
  <c r="L17" i="3"/>
  <c r="L53" i="3"/>
  <c r="D18" i="1"/>
  <c r="L62" i="6" l="1"/>
  <c r="L70" i="6" s="1"/>
  <c r="L11" i="6" s="1"/>
  <c r="I70" i="6"/>
  <c r="L23" i="6"/>
  <c r="L41" i="6" s="1"/>
  <c r="L9" i="6" s="1"/>
  <c r="I41" i="6"/>
  <c r="I9" i="6" s="1"/>
  <c r="I46" i="6"/>
  <c r="I57" i="6" s="1"/>
  <c r="I10" i="6" s="1"/>
  <c r="J46" i="6"/>
  <c r="K46" i="6" s="1"/>
  <c r="K11" i="6"/>
  <c r="L13" i="6"/>
  <c r="L35" i="5"/>
  <c r="L69" i="5" s="1"/>
  <c r="D19" i="1"/>
  <c r="D20" i="1" s="1"/>
  <c r="D21" i="1" s="1"/>
  <c r="L156" i="3"/>
  <c r="I11" i="6" l="1"/>
  <c r="I17" i="6" s="1"/>
  <c r="I94" i="6"/>
  <c r="L46" i="6"/>
  <c r="L57" i="6" s="1"/>
  <c r="L10" i="6" s="1"/>
  <c r="L17" i="6" s="1"/>
  <c r="K57" i="6"/>
  <c r="K10" i="6" l="1"/>
  <c r="K17" i="6" s="1"/>
  <c r="K94" i="6"/>
  <c r="L94" i="6"/>
</calcChain>
</file>

<file path=xl/sharedStrings.xml><?xml version="1.0" encoding="utf-8"?>
<sst xmlns="http://schemas.openxmlformats.org/spreadsheetml/2006/main" count="813" uniqueCount="460">
  <si>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</si>
  <si>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</si>
  <si>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</si>
  <si>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</si>
  <si>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</si>
  <si>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</si>
  <si>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</si>
  <si>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</si>
  <si>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</si>
  <si>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</si>
  <si>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</si>
  <si>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</si>
  <si>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</si>
  <si>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</si>
  <si>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</si>
  <si>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</si>
  <si>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</si>
  <si>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</si>
  <si>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</si>
  <si>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</si>
  <si>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</si>
  <si>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</si>
  <si>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</si>
  <si>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</si>
  <si>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</si>
  <si>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</si>
  <si>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</si>
  <si>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</si>
  <si>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</si>
  <si>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</si>
  <si>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</si>
  <si>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</si>
  <si>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</si>
  <si>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</si>
  <si>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</si>
  <si>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</si>
  <si>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</si>
  <si>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</si>
  <si>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</si>
  <si>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</si>
  <si>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</si>
  <si>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</si>
  <si>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</si>
  <si>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</si>
  <si>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</si>
  <si>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</si>
  <si>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</si>
  <si>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</si>
  <si>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</si>
  <si>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</si>
  <si>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</si>
  <si>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</si>
  <si>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</si>
  <si>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</si>
  <si>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</si>
  <si>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</si>
  <si>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</si>
  <si>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</si>
  <si>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</si>
  <si>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</si>
  <si>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</si>
  <si>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</si>
  <si>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</si>
  <si>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</si>
  <si>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</si>
  <si>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</si>
  <si>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</si>
  <si>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</si>
  <si>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</si>
  <si>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</si>
  <si>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</si>
  <si>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</si>
  <si>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</si>
  <si>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</si>
  <si>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</si>
  <si>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</si>
  <si>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</si>
  <si>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</si>
  <si>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</si>
  <si>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</si>
  <si>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</si>
  <si>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</si>
  <si>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</si>
  <si>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</si>
  <si>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</si>
  <si>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</si>
  <si>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</si>
  <si>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</si>
  <si>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</si>
  <si>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</si>
  <si>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</si>
  <si>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</si>
  <si>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</si>
  <si>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</si>
  <si>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</si>
  <si>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</si>
  <si>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</si>
  <si>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</si>
  <si>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</si>
  <si>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</si>
  <si>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</si>
  <si>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</si>
  <si>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</si>
  <si>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</si>
  <si>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</si>
  <si>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</si>
  <si>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</si>
  <si>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</si>
  <si>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</si>
  <si>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</si>
  <si>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B-2.6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</si>
  <si>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</si>
  <si>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</si>
  <si>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</si>
  <si>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</si>
  <si>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</si>
  <si>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</si>
  <si>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</si>
  <si>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</si>
  <si>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</si>
  <si>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</si>
  <si>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B-4.5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</si>
  <si>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</si>
  <si>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</si>
  <si>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</si>
  <si>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</si>
  <si>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</si>
  <si>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</si>
  <si>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</si>
  <si>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</si>
  <si>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</si>
  <si>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</si>
  <si>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</si>
  <si>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</si>
  <si>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B-5.2.3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</si>
  <si>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</si>
  <si>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</si>
  <si>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</si>
  <si>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</si>
  <si>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</si>
  <si>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</si>
  <si>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</si>
  <si>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</si>
  <si>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</si>
  <si>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</si>
  <si>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</si>
  <si>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</si>
  <si>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</si>
  <si>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</si>
  <si>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>B-6.1.13</t>
  </si>
  <si>
    <t>B-6.1.14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</si>
  <si>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</si>
  <si>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</si>
  <si>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</si>
  <si>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</si>
  <si>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</si>
  <si>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</si>
  <si>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</si>
  <si>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</si>
  <si>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</si>
  <si>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</si>
  <si>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</si>
  <si>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</si>
  <si>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</si>
  <si>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</si>
  <si>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</si>
  <si>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</si>
  <si>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</si>
  <si>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</si>
  <si>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</si>
  <si>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</si>
  <si>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</si>
  <si>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</si>
  <si>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B-2.8</t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</si>
  <si>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</si>
  <si>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</si>
  <si>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</si>
  <si>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</si>
  <si>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</si>
  <si>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</si>
  <si>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</si>
  <si>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</si>
  <si>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</si>
  <si>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</si>
  <si>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</si>
  <si>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</si>
  <si>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</si>
  <si>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</si>
  <si>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</si>
  <si>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</si>
  <si>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</si>
  <si>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</si>
  <si>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</si>
  <si>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</si>
  <si>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</si>
  <si>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</si>
  <si>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</si>
  <si>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</si>
  <si>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</si>
  <si>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>(ชูด)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</si>
  <si>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</si>
  <si>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</si>
  <si>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</si>
  <si>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</si>
  <si>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>B-6.1.15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</si>
  <si>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</si>
  <si>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</si>
  <si>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</si>
  <si>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</si>
  <si>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</si>
  <si>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</si>
  <si>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</si>
  <si>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</si>
  <si>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</si>
  <si>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</si>
  <si>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ป9</t>
  </si>
  <si>
    <t>B-5.1.8</t>
  </si>
  <si>
    <t>B-5.1.9</t>
  </si>
  <si>
    <t>น1</t>
  </si>
  <si>
    <t>น2</t>
  </si>
  <si>
    <t>น3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</si>
  <si>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</si>
  <si>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</si>
  <si>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</si>
  <si>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</si>
  <si>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>เลิอน</t>
  </si>
  <si>
    <t>เปิด</t>
  </si>
  <si>
    <t>ทุ้ง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</si>
  <si>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</si>
  <si>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</si>
  <si>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</si>
  <si>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</si>
  <si>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</si>
  <si>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</si>
  <si>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</si>
  <si>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</si>
  <si>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</si>
  <si>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</si>
  <si>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</si>
  <si>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</si>
  <si>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</si>
  <si>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</si>
  <si>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</si>
  <si>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</si>
  <si>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</si>
  <si>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</si>
  <si>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</si>
  <si>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</si>
  <si>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</si>
  <si>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</si>
  <si>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</si>
  <si>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</si>
  <si>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</si>
  <si>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</si>
  <si>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</si>
  <si>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</si>
  <si>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</si>
  <si>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</si>
  <si>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</si>
  <si>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</si>
  <si>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</si>
  <si>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</si>
  <si>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</si>
  <si>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</si>
  <si>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</si>
  <si>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</si>
  <si>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</si>
  <si>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</si>
  <si>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>แผงบังแดด 5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</si>
  <si>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</si>
  <si>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</si>
  <si>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</si>
  <si>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</si>
  <si>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</si>
  <si>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</si>
  <si>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</si>
  <si>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</si>
  <si>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</si>
  <si>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</si>
  <si>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</si>
  <si>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</si>
  <si>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</si>
  <si>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</si>
  <si>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</si>
  <si>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</si>
  <si>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</si>
  <si>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</si>
  <si>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</si>
  <si>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</si>
  <si>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</si>
  <si>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</si>
  <si>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</si>
  <si>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</si>
  <si>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</si>
  <si>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</si>
  <si>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</si>
  <si>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</si>
  <si>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</si>
  <si>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</si>
  <si>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</si>
  <si>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</si>
  <si>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</si>
  <si>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</si>
  <si>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</si>
  <si>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</si>
  <si>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</si>
  <si>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</si>
  <si>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</si>
  <si>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</si>
  <si>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</si>
  <si>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</si>
  <si>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</si>
  <si>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</si>
  <si>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</si>
  <si>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</si>
  <si>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</si>
  <si>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</si>
  <si>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</si>
  <si>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</si>
  <si>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</si>
  <si>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</si>
  <si>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</si>
  <si>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</si>
  <si>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</si>
  <si>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</si>
  <si>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</si>
  <si>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</si>
  <si>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</si>
  <si>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</si>
  <si>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</si>
  <si>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</si>
  <si>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</si>
  <si>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</si>
  <si>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</si>
  <si>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</si>
  <si>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</si>
  <si>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</si>
  <si>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</si>
  <si>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</si>
  <si>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</si>
  <si>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</si>
  <si>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</si>
  <si>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</si>
  <si>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</si>
  <si>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</si>
  <si>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</si>
  <si>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</si>
  <si>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</si>
  <si>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</si>
  <si>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</si>
  <si>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</si>
  <si>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</si>
  <si>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</si>
  <si>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</si>
  <si>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</si>
  <si>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</si>
  <si>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</si>
  <si>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</si>
  <si>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</si>
  <si>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</si>
  <si>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</si>
  <si>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</si>
  <si>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</si>
  <si>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</si>
  <si>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</si>
  <si>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</si>
  <si>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</si>
  <si>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</si>
  <si>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</si>
  <si>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</si>
  <si>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</si>
  <si>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</si>
  <si>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</si>
  <si>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</si>
  <si>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</si>
  <si>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</si>
  <si>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>ผนังปิดผิวด้วยแผ่นสมาร์ทบอร์ด</t>
  </si>
  <si>
    <t>ห้องน้ำ 1</t>
  </si>
  <si>
    <t>B-6.2</t>
  </si>
  <si>
    <t>ห้องน้ำ 2</t>
  </si>
  <si>
    <t>B-6.2.1</t>
  </si>
  <si>
    <t>B-6.2.2</t>
  </si>
  <si>
    <t>B-6.2.3</t>
  </si>
  <si>
    <t>B-6.2.4</t>
  </si>
  <si>
    <t>B-6.2.5</t>
  </si>
  <si>
    <t>B-6.2.6</t>
  </si>
  <si>
    <t>B-6.2.7</t>
  </si>
  <si>
    <t>B-6.2.8</t>
  </si>
  <si>
    <t>B-6.2.9</t>
  </si>
  <si>
    <t>B-6.2.10</t>
  </si>
  <si>
    <t>B-6.2.11</t>
  </si>
  <si>
    <t>B-6.2.12</t>
  </si>
  <si>
    <t>B-6.2.13</t>
  </si>
  <si>
    <t>รวมหมวดงาน B - 6</t>
  </si>
  <si>
    <t>แผงบังแดด 6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</si>
  <si>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</si>
  <si>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</si>
  <si>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</si>
  <si>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</si>
  <si>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</si>
  <si>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</si>
  <si>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</si>
  <si>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</si>
  <si>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</si>
  <si>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</si>
  <si>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</si>
  <si>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</si>
  <si>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</si>
  <si>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</si>
  <si>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B-9.3</t>
  </si>
  <si>
    <t>B-9.4</t>
  </si>
  <si>
    <t>ราวระเบียง 1</t>
  </si>
  <si>
    <t>ราวระเบียง 2</t>
  </si>
  <si>
    <t>ราวระเบียง 3</t>
  </si>
  <si>
    <t>รวมหมวดงาน B-9</t>
  </si>
  <si>
    <t>B-9.5</t>
  </si>
  <si>
    <t>B-9.6</t>
  </si>
  <si>
    <t>B-9.7</t>
  </si>
  <si>
    <t>B-9.8</t>
  </si>
  <si>
    <t>B-9.9</t>
  </si>
  <si>
    <t>B-9.10</t>
  </si>
  <si>
    <t>ราวระเบียง 4</t>
  </si>
  <si>
    <t>B-9.11</t>
  </si>
  <si>
    <t>ราวระเบียง 5</t>
  </si>
  <si>
    <t>แบบบ้าน  :   บ้านดีดีรักษ์น้ำ 2</t>
  </si>
  <si>
    <t xml:space="preserve">  -  FITTING &amp; ACCESSORIES งานติดตั้งสายไฟและงานเดินท่อ(10%)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</si>
  <si>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</si>
  <si>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1P-30(100A)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</si>
  <si>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</si>
  <si>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</si>
  <si>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</si>
  <si>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</si>
  <si>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</si>
  <si>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</si>
  <si>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คอนกรีตหยาบ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</si>
  <si>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</si>
  <si>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</si>
  <si>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</si>
  <si>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</si>
  <si>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</si>
  <si>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 xml:space="preserve"> - ขนาด 1 1/2 นิ้ว </t>
  </si>
  <si>
    <t>RD</t>
  </si>
  <si>
    <t>ถังดักไขมันสำเร็จรูป ชนิดติดตั้งใต้อ่างล้างจาน</t>
  </si>
  <si>
    <t>บ่อดักกลิ่น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</si>
  <si>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</si>
  <si>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</si>
  <si>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</si>
  <si>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</si>
  <si>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</si>
  <si>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</si>
  <si>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</si>
  <si>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</si>
  <si>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3.2 mm.</t>
  </si>
  <si>
    <t xml:space="preserve">    Rectangular Tube 150 x 50 x 3.2 mm.</t>
  </si>
  <si>
    <t xml:space="preserve">    Rectangular Tube 125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</si>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</sst>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36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sz val="10"/>
      <color indexed="8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08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50" xfId="0" applyNumberFormat="1" applyFont="1" applyFill="1" applyBorder="1" applyAlignment="1" applyProtection="1">
      <alignment vertical="center"/>
      <protection locked="0"/>
    </xf>
    <xf numFmtId="43" fontId="10" fillId="25" borderId="37" xfId="0" applyNumberFormat="1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164" fontId="10" fillId="25" borderId="48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164" fontId="10" fillId="26" borderId="17" xfId="52" applyFont="1" applyFill="1" applyBorder="1" applyAlignment="1">
      <alignment horizontal="center" vertical="center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164" fontId="11" fillId="25" borderId="56" xfId="52" applyFont="1" applyFill="1" applyBorder="1" applyAlignment="1" applyProtection="1">
      <alignment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164" fontId="11" fillId="25" borderId="71" xfId="52" applyFont="1" applyFill="1" applyBorder="1" applyAlignment="1" applyProtection="1">
      <alignment vertical="center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1" fillId="25" borderId="7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43" fontId="11" fillId="25" borderId="54" xfId="52" applyNumberFormat="1" applyFont="1" applyFill="1" applyBorder="1" applyAlignment="1" applyProtection="1">
      <alignment horizontal="left" vertical="center"/>
      <protection locked="0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71" xfId="0" applyFont="1" applyFill="1" applyBorder="1" applyAlignment="1" applyProtection="1">
      <alignment horizontal="left" vertical="center" wrapText="1" shrinkToFit="1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1" fillId="25" borderId="70" xfId="0" applyNumberFormat="1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164" fontId="11" fillId="25" borderId="18" xfId="52" applyFont="1" applyFill="1" applyBorder="1" applyAlignment="1" applyProtection="1">
      <alignment vertical="center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</xf>
    <xf numFmtId="164" fontId="11" fillId="25" borderId="56" xfId="52" applyFont="1" applyFill="1" applyBorder="1" applyAlignment="1" applyProtection="1">
      <alignment horizontal="center" vertical="center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0" fontId="35" fillId="29" borderId="0" xfId="0" applyFont="1" applyFill="1" applyAlignment="1">
      <alignment horizontal="center" vertical="center"/>
    </xf>
    <xf numFmtId="166" fontId="35" fillId="29" borderId="0" xfId="52" applyNumberFormat="1" applyFont="1" applyFill="1" applyBorder="1" applyAlignment="1">
      <alignment horizontal="center" vertical="center"/>
    </xf>
    <xf numFmtId="0" fontId="9" fillId="0" borderId="0" xfId="0" applyFont="1"/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0" fontId="11" fillId="0" borderId="71" xfId="0" applyFont="1" applyFill="1" applyBorder="1" applyAlignment="1">
      <alignment vertical="center"/>
    </xf>
    <xf numFmtId="0" fontId="11" fillId="0" borderId="56" xfId="0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</xf>
    <xf numFmtId="0" fontId="11" fillId="25" borderId="0" xfId="0" applyFont="1" applyFill="1" applyBorder="1" applyAlignment="1" applyProtection="1">
      <alignment horizontal="center"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0" xfId="52" applyFont="1" applyFill="1" applyBorder="1" applyAlignment="1" applyProtection="1">
      <alignment vertical="center"/>
    </xf>
    <xf numFmtId="164" fontId="11" fillId="25" borderId="14" xfId="52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4" fontId="34" fillId="25" borderId="78" xfId="0" applyNumberFormat="1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  <protection locked="0"/>
    </xf>
    <xf numFmtId="0" fontId="11" fillId="25" borderId="80" xfId="0" applyFont="1" applyFill="1" applyBorder="1" applyAlignment="1" applyProtection="1">
      <alignment vertical="center"/>
      <protection locked="0"/>
    </xf>
    <xf numFmtId="164" fontId="11" fillId="25" borderId="23" xfId="0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0" fontId="11" fillId="25" borderId="81" xfId="0" applyFont="1" applyFill="1" applyBorder="1" applyAlignment="1" applyProtection="1">
      <alignment horizontal="left" vertical="center" wrapText="1"/>
    </xf>
    <xf numFmtId="0" fontId="11" fillId="0" borderId="82" xfId="0" applyFont="1" applyFill="1" applyBorder="1" applyAlignment="1">
      <alignment vertical="center"/>
    </xf>
    <xf numFmtId="164" fontId="11" fillId="25" borderId="78" xfId="52" applyFont="1" applyFill="1" applyBorder="1" applyAlignment="1" applyProtection="1">
      <alignment horizontal="center" vertical="center"/>
      <protection locked="0"/>
    </xf>
    <xf numFmtId="0" fontId="11" fillId="25" borderId="18" xfId="0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horizontal="left" vertical="center"/>
      <protection locked="0"/>
    </xf>
    <xf numFmtId="164" fontId="10" fillId="25" borderId="71" xfId="52" applyFont="1" applyFill="1" applyBorder="1" applyAlignment="1" applyProtection="1">
      <alignment horizontal="left" vertical="center"/>
      <protection locked="0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67" xfId="0" applyFont="1" applyFill="1" applyBorder="1" applyAlignment="1" applyProtection="1">
      <alignment horizontal="left" vertical="center" wrapText="1" shrinkToFit="1"/>
    </xf>
    <xf numFmtId="0" fontId="11" fillId="25" borderId="70" xfId="0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80" xfId="0" applyFont="1" applyFill="1" applyBorder="1" applyAlignment="1" applyProtection="1">
      <alignment horizontal="center" vertical="center"/>
    </xf>
    <xf numFmtId="10" fontId="14" fillId="25" borderId="80" xfId="54" applyNumberFormat="1" applyFont="1" applyFill="1" applyBorder="1" applyAlignment="1" applyProtection="1">
      <alignment horizontal="center" vertical="center"/>
    </xf>
    <xf numFmtId="164" fontId="11" fillId="25" borderId="80" xfId="52" applyFont="1" applyFill="1" applyBorder="1" applyAlignment="1" applyProtection="1">
      <alignment horizontal="center" vertical="center"/>
    </xf>
    <xf numFmtId="164" fontId="11" fillId="25" borderId="80" xfId="52" applyFont="1" applyFill="1" applyBorder="1" applyAlignment="1" applyProtection="1">
      <alignment horizontal="center" vertical="center"/>
      <protection locked="0"/>
    </xf>
    <xf numFmtId="164" fontId="11" fillId="25" borderId="80" xfId="52" applyFont="1" applyFill="1" applyBorder="1" applyAlignment="1" applyProtection="1">
      <alignment vertical="center"/>
      <protection locked="0"/>
    </xf>
    <xf numFmtId="164" fontId="11" fillId="25" borderId="80" xfId="52" applyFont="1" applyFill="1" applyBorder="1" applyAlignment="1" applyProtection="1">
      <alignment vertical="center"/>
    </xf>
    <xf numFmtId="0" fontId="11" fillId="0" borderId="79" xfId="0" applyFont="1" applyBorder="1"/>
    <xf numFmtId="10" fontId="11" fillId="0" borderId="79" xfId="54" applyNumberFormat="1" applyFont="1" applyBorder="1"/>
    <xf numFmtId="0" fontId="10" fillId="25" borderId="23" xfId="0" applyFont="1" applyFill="1" applyBorder="1" applyAlignment="1" applyProtection="1">
      <alignment vertical="center" wrapText="1" shrinkToFit="1"/>
    </xf>
    <xf numFmtId="0" fontId="11" fillId="0" borderId="18" xfId="0" applyFont="1" applyBorder="1"/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horizontal="right"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1" xfId="0" applyFont="1" applyFill="1" applyBorder="1" applyAlignment="1">
      <alignment horizontal="center"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89" xfId="0" applyFont="1" applyFill="1" applyBorder="1" applyAlignment="1">
      <alignment vertical="center"/>
    </xf>
    <xf numFmtId="0" fontId="11" fillId="0" borderId="90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43" fontId="11" fillId="25" borderId="10" xfId="0" applyNumberFormat="1" applyFont="1" applyFill="1" applyBorder="1" applyAlignment="1" applyProtection="1">
      <alignment vertical="center"/>
      <protection locked="0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25" borderId="91" xfId="0" applyFont="1" applyFill="1" applyBorder="1" applyAlignment="1" applyProtection="1">
      <alignment horizontal="center" vertical="center"/>
      <protection locked="0"/>
    </xf>
    <xf numFmtId="43" fontId="10" fillId="25" borderId="24" xfId="0" applyNumberFormat="1" applyFont="1" applyFill="1" applyBorder="1" applyAlignment="1" applyProtection="1">
      <alignment vertical="center"/>
      <protection locked="0"/>
    </xf>
    <xf numFmtId="0" fontId="11" fillId="0" borderId="89" xfId="0" applyFont="1" applyBorder="1"/>
    <xf numFmtId="0" fontId="11" fillId="0" borderId="10" xfId="0" applyFont="1" applyBorder="1"/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92" xfId="0" applyFont="1" applyFill="1" applyBorder="1" applyAlignment="1">
      <alignment horizontal="center" vertical="center"/>
    </xf>
    <xf numFmtId="164" fontId="10" fillId="27" borderId="92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3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94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0" xfId="0" applyFont="1" applyFill="1" applyBorder="1" applyAlignment="1">
      <alignment horizontal="left" vertical="center"/>
    </xf>
    <xf numFmtId="43" fontId="11" fillId="25" borderId="79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5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90" xfId="0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vertical="center"/>
    </xf>
    <xf numFmtId="43" fontId="11" fillId="25" borderId="46" xfId="0" applyNumberFormat="1" applyFont="1" applyFill="1" applyBorder="1" applyAlignment="1" applyProtection="1">
      <alignment vertical="center" wrapText="1" shrinkToFit="1"/>
      <protection locked="0"/>
    </xf>
    <xf numFmtId="0" fontId="10" fillId="0" borderId="79" xfId="0" applyFont="1" applyFill="1" applyBorder="1" applyAlignment="1">
      <alignment vertical="center"/>
    </xf>
    <xf numFmtId="0" fontId="10" fillId="25" borderId="19" xfId="0" applyFont="1" applyFill="1" applyBorder="1" applyAlignment="1" applyProtection="1">
      <alignment horizontal="center" vertical="center"/>
      <protection locked="0"/>
    </xf>
    <xf numFmtId="0" fontId="12" fillId="25" borderId="18" xfId="0" applyFont="1" applyFill="1" applyBorder="1" applyAlignment="1" applyProtection="1">
      <alignment vertical="center"/>
      <protection locked="0"/>
    </xf>
    <xf numFmtId="0" fontId="10" fillId="25" borderId="18" xfId="0" applyFont="1" applyFill="1" applyBorder="1" applyAlignment="1" applyProtection="1">
      <alignment horizontal="center" vertical="center"/>
      <protection locked="0"/>
    </xf>
    <xf numFmtId="10" fontId="13" fillId="25" borderId="18" xfId="54" applyNumberFormat="1" applyFont="1" applyFill="1" applyBorder="1" applyAlignment="1" applyProtection="1">
      <alignment horizontal="center" vertical="center"/>
      <protection locked="0"/>
    </xf>
    <xf numFmtId="0" fontId="10" fillId="25" borderId="80" xfId="0" applyFont="1" applyFill="1" applyBorder="1" applyAlignment="1" applyProtection="1">
      <alignment vertical="center" wrapText="1" shrinkToFit="1"/>
    </xf>
    <xf numFmtId="0" fontId="11" fillId="25" borderId="23" xfId="0" applyFont="1" applyFill="1" applyBorder="1" applyAlignment="1" applyProtection="1">
      <alignment horizontal="center" vertical="center"/>
    </xf>
    <xf numFmtId="10" fontId="14" fillId="25" borderId="82" xfId="54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</xf>
    <xf numFmtId="164" fontId="11" fillId="25" borderId="93" xfId="52" applyFont="1" applyFill="1" applyBorder="1" applyAlignment="1" applyProtection="1">
      <alignment horizontal="center" vertical="center"/>
      <protection locked="0"/>
    </xf>
    <xf numFmtId="0" fontId="11" fillId="0" borderId="80" xfId="0" applyFont="1" applyFill="1" applyBorder="1" applyAlignment="1">
      <alignment vertical="center"/>
    </xf>
    <xf numFmtId="0" fontId="10" fillId="25" borderId="79" xfId="0" applyFont="1" applyFill="1" applyBorder="1" applyAlignment="1" applyProtection="1">
      <alignment vertical="center" wrapText="1" shrinkToFit="1"/>
    </xf>
    <xf numFmtId="10" fontId="14" fillId="25" borderId="79" xfId="54" applyNumberFormat="1" applyFont="1" applyFill="1" applyBorder="1" applyAlignment="1" applyProtection="1">
      <alignment horizontal="center" vertical="center"/>
    </xf>
    <xf numFmtId="164" fontId="11" fillId="25" borderId="79" xfId="52" applyFont="1" applyFill="1" applyBorder="1" applyAlignment="1" applyProtection="1">
      <alignment horizontal="center" vertical="center"/>
    </xf>
    <xf numFmtId="164" fontId="11" fillId="25" borderId="79" xfId="52" applyFont="1" applyFill="1" applyBorder="1" applyAlignment="1" applyProtection="1">
      <alignment horizontal="center" vertical="center"/>
      <protection locked="0"/>
    </xf>
    <xf numFmtId="164" fontId="11" fillId="25" borderId="79" xfId="52" applyFont="1" applyFill="1" applyBorder="1" applyAlignment="1" applyProtection="1">
      <alignment vertical="center"/>
      <protection locked="0"/>
    </xf>
    <xf numFmtId="164" fontId="11" fillId="25" borderId="18" xfId="52" applyFont="1" applyFill="1" applyBorder="1" applyAlignment="1" applyProtection="1">
      <alignment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165" fontId="11" fillId="25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89" xfId="0" applyFont="1" applyFill="1" applyBorder="1" applyAlignment="1">
      <alignment vertical="center"/>
    </xf>
    <xf numFmtId="0" fontId="10" fillId="0" borderId="90" xfId="0" applyFont="1" applyFill="1" applyBorder="1" applyAlignment="1">
      <alignment vertical="center"/>
    </xf>
    <xf numFmtId="0" fontId="11" fillId="25" borderId="22" xfId="0" applyFont="1" applyFill="1" applyBorder="1" applyAlignment="1" applyProtection="1">
      <alignment horizontal="center" vertical="center"/>
      <protection locked="0"/>
    </xf>
    <xf numFmtId="43" fontId="10" fillId="25" borderId="95" xfId="0" applyNumberFormat="1" applyFont="1" applyFill="1" applyBorder="1" applyAlignment="1" applyProtection="1">
      <alignment vertical="center"/>
      <protection locked="0"/>
    </xf>
    <xf numFmtId="0" fontId="11" fillId="0" borderId="95" xfId="0" applyFont="1" applyFill="1" applyBorder="1" applyAlignment="1">
      <alignment vertical="center"/>
    </xf>
    <xf numFmtId="0" fontId="11" fillId="25" borderId="19" xfId="0" applyFont="1" applyFill="1" applyBorder="1" applyAlignment="1" applyProtection="1">
      <alignment horizontal="center" vertical="center"/>
      <protection locked="0"/>
    </xf>
    <xf numFmtId="43" fontId="10" fillId="25" borderId="90" xfId="0" applyNumberFormat="1" applyFont="1" applyFill="1" applyBorder="1" applyAlignment="1" applyProtection="1">
      <alignment vertical="center"/>
      <protection locked="0"/>
    </xf>
    <xf numFmtId="164" fontId="10" fillId="25" borderId="67" xfId="52" applyFont="1" applyFill="1" applyBorder="1" applyAlignment="1" applyProtection="1">
      <alignment horizontal="left" vertical="center"/>
      <protection locked="0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2" fontId="11" fillId="25" borderId="64" xfId="0" applyNumberFormat="1" applyFont="1" applyFill="1" applyBorder="1" applyAlignment="1" applyProtection="1">
      <alignment horizontal="center" vertical="center"/>
      <protection locked="0"/>
    </xf>
    <xf numFmtId="43" fontId="11" fillId="25" borderId="54" xfId="52" applyNumberFormat="1" applyFont="1" applyFill="1" applyBorder="1" applyAlignment="1" applyProtection="1">
      <alignment horizontal="center" vertical="center"/>
      <protection locked="0"/>
    </xf>
    <xf numFmtId="0" fontId="11" fillId="0" borderId="94" xfId="0" applyFont="1" applyBorder="1"/>
    <xf numFmtId="0" fontId="11" fillId="0" borderId="36" xfId="0" applyFont="1" applyBorder="1"/>
    <xf numFmtId="0" fontId="11" fillId="0" borderId="77" xfId="0" applyFont="1" applyBorder="1"/>
    <xf numFmtId="164" fontId="11" fillId="25" borderId="96" xfId="52" applyFont="1" applyFill="1" applyBorder="1" applyAlignment="1" applyProtection="1">
      <alignment horizontal="center" vertical="center"/>
      <protection locked="0"/>
    </xf>
    <xf numFmtId="164" fontId="11" fillId="25" borderId="97" xfId="52" applyFont="1" applyFill="1" applyBorder="1" applyAlignment="1" applyProtection="1">
      <alignment vertical="center"/>
      <protection locked="0"/>
    </xf>
    <xf numFmtId="0" fontId="11" fillId="0" borderId="19" xfId="0" applyFont="1" applyBorder="1"/>
    <xf numFmtId="0" fontId="11" fillId="0" borderId="24" xfId="0" applyFont="1" applyBorder="1"/>
    <xf numFmtId="0" fontId="11" fillId="0" borderId="43" xfId="0" applyFont="1" applyBorder="1"/>
    <xf numFmtId="0" fontId="11" fillId="0" borderId="37" xfId="0" applyFont="1" applyBorder="1"/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5" xfId="52" applyFont="1" applyFill="1" applyBorder="1" applyAlignment="1" applyProtection="1">
      <alignment horizontal="center" vertical="center"/>
      <protection locked="0"/>
    </xf>
    <xf numFmtId="164" fontId="10" fillId="28" borderId="86" xfId="52" applyFont="1" applyFill="1" applyBorder="1" applyAlignment="1" applyProtection="1">
      <alignment horizontal="center" vertical="center"/>
      <protection locked="0"/>
    </xf>
    <xf numFmtId="0" fontId="10" fillId="26" borderId="87" xfId="0" applyFont="1" applyFill="1" applyBorder="1" applyAlignment="1" applyProtection="1">
      <alignment horizontal="center" vertical="center"/>
    </xf>
    <xf numFmtId="0" fontId="10" fillId="26" borderId="88" xfId="0" applyFont="1" applyFill="1" applyBorder="1" applyAlignment="1" applyProtection="1">
      <alignment horizontal="center" vertical="center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4" fontId="10" fillId="26" borderId="86" xfId="0" applyNumberFormat="1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164" fontId="10" fillId="26" borderId="86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4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9" xfId="55" applyNumberFormat="1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  <protection locked="0"/>
    </xf>
    <xf numFmtId="169" fontId="16" fillId="0" borderId="49" xfId="56" applyNumberFormat="1" applyFont="1" applyFill="1" applyBorder="1" applyAlignment="1" applyProtection="1">
      <alignment vertical="center"/>
      <protection locked="0"/>
    </xf>
    <xf numFmtId="164" fontId="11" fillId="0" borderId="49" xfId="56" applyFont="1" applyFill="1" applyBorder="1" applyAlignment="1" applyProtection="1">
      <alignment horizontal="left" vertical="center"/>
      <protection locked="0"/>
    </xf>
    <xf numFmtId="164" fontId="11" fillId="0" borderId="49" xfId="56" applyFont="1" applyFill="1" applyBorder="1" applyAlignment="1" applyProtection="1">
      <alignment vertical="center"/>
    </xf>
    <xf numFmtId="10" fontId="14" fillId="25" borderId="49" xfId="55" applyNumberFormat="1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vertical="center"/>
      <protection locked="0"/>
    </xf>
    <xf numFmtId="164" fontId="11" fillId="25" borderId="49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vertical="center"/>
      <protection locked="0"/>
    </xf>
    <xf numFmtId="10" fontId="14" fillId="27" borderId="31" xfId="55" applyNumberFormat="1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vertical="center"/>
      <protection locked="0"/>
    </xf>
    <xf numFmtId="164" fontId="10" fillId="27" borderId="31" xfId="56" applyFont="1" applyFill="1" applyBorder="1" applyAlignment="1" applyProtection="1">
      <alignment vertical="center"/>
      <protection locked="0"/>
    </xf>
    <xf numFmtId="10" fontId="13" fillId="25" borderId="44" xfId="55" applyNumberFormat="1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vertical="center"/>
      <protection locked="0"/>
    </xf>
    <xf numFmtId="164" fontId="10" fillId="25" borderId="44" xfId="56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5" applyNumberFormat="1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vertical="center"/>
      <protection locked="0"/>
    </xf>
    <xf numFmtId="164" fontId="10" fillId="0" borderId="44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5" applyNumberFormat="1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vertical="center"/>
      <protection locked="0"/>
    </xf>
    <xf numFmtId="43" fontId="10" fillId="31" borderId="26" xfId="56" applyNumberFormat="1" applyFont="1" applyFill="1" applyBorder="1" applyAlignment="1" applyProtection="1">
      <alignment vertical="center"/>
      <protection locked="0"/>
    </xf>
    <xf numFmtId="0" fontId="10" fillId="25" borderId="63" xfId="57" applyFont="1" applyFill="1" applyBorder="1" applyAlignment="1">
      <alignment horizontal="center" vertical="center"/>
    </xf>
    <xf numFmtId="0" fontId="10" fillId="25" borderId="68" xfId="57" applyFont="1" applyFill="1" applyBorder="1" applyAlignment="1">
      <alignment horizontal="center" vertical="center"/>
    </xf>
    <xf numFmtId="0" fontId="10" fillId="25" borderId="69" xfId="57" applyFont="1" applyFill="1" applyBorder="1" applyAlignment="1">
      <alignment horizontal="center" vertical="center"/>
    </xf>
    <xf numFmtId="0" fontId="11" fillId="0" borderId="0" xfId="57" applyFont="1" applyFill="1" applyBorder="1" applyAlignment="1">
      <alignment vertical="center"/>
    </xf>
    <xf numFmtId="0" fontId="10" fillId="25" borderId="11" xfId="57" applyFont="1" applyFill="1" applyBorder="1" applyAlignment="1">
      <alignment horizontal="center" vertical="center"/>
    </xf>
    <xf numFmtId="0" fontId="10" fillId="25" borderId="0" xfId="57" applyFont="1" applyFill="1" applyBorder="1" applyAlignment="1">
      <alignment horizontal="center" vertical="center"/>
    </xf>
    <xf numFmtId="0" fontId="10" fillId="25" borderId="12" xfId="57" applyFont="1" applyFill="1" applyBorder="1" applyAlignment="1">
      <alignment horizontal="center" vertical="center"/>
    </xf>
    <xf numFmtId="0" fontId="10" fillId="25" borderId="11" xfId="57" applyFont="1" applyFill="1" applyBorder="1" applyAlignment="1">
      <alignment horizontal="left" vertical="center"/>
    </xf>
    <xf numFmtId="0" fontId="10" fillId="25" borderId="0" xfId="57" applyFont="1" applyFill="1" applyBorder="1" applyAlignment="1" applyProtection="1">
      <alignment vertical="center"/>
    </xf>
    <xf numFmtId="0" fontId="10" fillId="25" borderId="0" xfId="57" applyFont="1" applyFill="1" applyBorder="1" applyAlignment="1">
      <alignment vertical="center"/>
    </xf>
    <xf numFmtId="17" fontId="10" fillId="25" borderId="12" xfId="57" applyNumberFormat="1" applyFont="1" applyFill="1" applyBorder="1" applyAlignment="1" applyProtection="1">
      <alignment horizontal="right" vertical="center"/>
      <protection locked="0"/>
    </xf>
    <xf numFmtId="0" fontId="10" fillId="25" borderId="0" xfId="57" applyFont="1" applyFill="1" applyBorder="1" applyAlignment="1">
      <alignment horizontal="right" vertical="top" wrapText="1"/>
    </xf>
    <xf numFmtId="0" fontId="10" fillId="25" borderId="12" xfId="57" applyFont="1" applyFill="1" applyBorder="1" applyAlignment="1">
      <alignment horizontal="right" vertical="top" wrapText="1"/>
    </xf>
    <xf numFmtId="0" fontId="10" fillId="28" borderId="60" xfId="57" applyFont="1" applyFill="1" applyBorder="1" applyAlignment="1">
      <alignment horizontal="center" vertical="center"/>
    </xf>
    <xf numFmtId="0" fontId="10" fillId="28" borderId="61" xfId="57" applyFont="1" applyFill="1" applyBorder="1" applyAlignment="1">
      <alignment horizontal="center" vertical="center"/>
    </xf>
    <xf numFmtId="4" fontId="10" fillId="28" borderId="85" xfId="57" applyNumberFormat="1" applyFont="1" applyFill="1" applyBorder="1" applyAlignment="1" applyProtection="1">
      <alignment horizontal="center" vertical="center"/>
      <protection locked="0"/>
    </xf>
    <xf numFmtId="4" fontId="10" fillId="28" borderId="86" xfId="57" applyNumberFormat="1" applyFont="1" applyFill="1" applyBorder="1" applyAlignment="1" applyProtection="1">
      <alignment horizontal="center" vertical="center"/>
      <protection locked="0"/>
    </xf>
    <xf numFmtId="0" fontId="10" fillId="28" borderId="87" xfId="57" applyFont="1" applyFill="1" applyBorder="1" applyAlignment="1" applyProtection="1">
      <alignment horizontal="center" vertical="center"/>
    </xf>
    <xf numFmtId="0" fontId="10" fillId="0" borderId="0" xfId="57" applyFont="1" applyFill="1" applyBorder="1" applyAlignment="1">
      <alignment horizontal="center" vertical="center"/>
    </xf>
    <xf numFmtId="0" fontId="10" fillId="28" borderId="83" xfId="57" applyFont="1" applyFill="1" applyBorder="1" applyAlignment="1">
      <alignment horizontal="center" vertical="center"/>
    </xf>
    <xf numFmtId="0" fontId="10" fillId="28" borderId="84" xfId="57" applyFont="1" applyFill="1" applyBorder="1" applyAlignment="1">
      <alignment horizontal="center" vertical="center"/>
    </xf>
    <xf numFmtId="0" fontId="10" fillId="28" borderId="88" xfId="57" applyFont="1" applyFill="1" applyBorder="1" applyAlignment="1" applyProtection="1">
      <alignment horizontal="center" vertical="center"/>
    </xf>
    <xf numFmtId="0" fontId="10" fillId="25" borderId="60" xfId="57" applyFont="1" applyFill="1" applyBorder="1" applyAlignment="1">
      <alignment horizontal="center" vertical="center"/>
    </xf>
    <xf numFmtId="0" fontId="12" fillId="25" borderId="61" xfId="57" applyFont="1" applyFill="1" applyBorder="1" applyAlignment="1" applyProtection="1">
      <alignment vertical="center"/>
    </xf>
    <xf numFmtId="0" fontId="10" fillId="25" borderId="61" xfId="57" applyFont="1" applyFill="1" applyBorder="1" applyAlignment="1" applyProtection="1">
      <alignment horizontal="center" vertical="center"/>
    </xf>
    <xf numFmtId="0" fontId="10" fillId="25" borderId="62" xfId="57" applyFont="1" applyFill="1" applyBorder="1" applyAlignment="1" applyProtection="1">
      <alignment vertical="center"/>
      <protection locked="0"/>
    </xf>
    <xf numFmtId="0" fontId="10" fillId="0" borderId="0" xfId="57" applyFont="1" applyFill="1" applyBorder="1" applyAlignment="1">
      <alignment vertical="center"/>
    </xf>
    <xf numFmtId="0" fontId="10" fillId="25" borderId="53" xfId="57" applyFont="1" applyFill="1" applyBorder="1" applyAlignment="1">
      <alignment horizontal="center" vertical="center"/>
    </xf>
    <xf numFmtId="0" fontId="12" fillId="25" borderId="49" xfId="57" applyFont="1" applyFill="1" applyBorder="1" applyAlignment="1" applyProtection="1">
      <alignment vertical="center"/>
    </xf>
    <xf numFmtId="0" fontId="10" fillId="25" borderId="49" xfId="57" applyFont="1" applyFill="1" applyBorder="1" applyAlignment="1" applyProtection="1">
      <alignment horizontal="center" vertical="center"/>
    </xf>
    <xf numFmtId="0" fontId="10" fillId="25" borderId="46" xfId="57" applyFont="1" applyFill="1" applyBorder="1" applyAlignment="1" applyProtection="1">
      <alignment vertical="center"/>
      <protection locked="0"/>
    </xf>
    <xf numFmtId="0" fontId="11" fillId="25" borderId="53" xfId="57" applyFont="1" applyFill="1" applyBorder="1" applyAlignment="1">
      <alignment horizontal="center" vertical="center"/>
    </xf>
    <xf numFmtId="0" fontId="11" fillId="25" borderId="49" xfId="57" applyFont="1" applyFill="1" applyBorder="1" applyAlignment="1" applyProtection="1">
      <alignment horizontal="left" vertical="center" wrapText="1" shrinkToFit="1"/>
    </xf>
    <xf numFmtId="0" fontId="11" fillId="25" borderId="49" xfId="57" applyFont="1" applyFill="1" applyBorder="1" applyAlignment="1" applyProtection="1">
      <alignment horizontal="center" vertical="center"/>
    </xf>
    <xf numFmtId="43" fontId="11" fillId="25" borderId="46" xfId="57" applyNumberFormat="1" applyFont="1" applyFill="1" applyBorder="1" applyAlignment="1" applyProtection="1">
      <alignment vertical="center"/>
      <protection locked="0"/>
    </xf>
    <xf numFmtId="0" fontId="9" fillId="0" borderId="0" xfId="57" applyFont="1" applyFill="1" applyBorder="1" applyAlignment="1">
      <alignment vertical="center"/>
    </xf>
    <xf numFmtId="0" fontId="11" fillId="25" borderId="49" xfId="57" applyFont="1" applyFill="1" applyBorder="1" applyAlignment="1" applyProtection="1">
      <alignment horizontal="left" vertical="center"/>
    </xf>
    <xf numFmtId="0" fontId="11" fillId="25" borderId="49" xfId="57" applyFont="1" applyFill="1" applyBorder="1" applyAlignment="1" applyProtection="1">
      <alignment vertical="center"/>
    </xf>
    <xf numFmtId="0" fontId="11" fillId="25" borderId="71" xfId="57" applyFont="1" applyFill="1" applyBorder="1" applyAlignment="1" applyProtection="1">
      <alignment vertical="center"/>
    </xf>
    <xf numFmtId="0" fontId="11" fillId="25" borderId="53" xfId="57" applyFont="1" applyFill="1" applyBorder="1" applyAlignment="1">
      <alignment horizontal="right" vertical="center"/>
    </xf>
    <xf numFmtId="2" fontId="11" fillId="25" borderId="64" xfId="57" applyNumberFormat="1" applyFont="1" applyFill="1" applyBorder="1" applyAlignment="1">
      <alignment horizontal="center" vertical="center"/>
    </xf>
    <xf numFmtId="0" fontId="11" fillId="25" borderId="54" xfId="57" applyFont="1" applyFill="1" applyBorder="1" applyAlignment="1" applyProtection="1">
      <alignment vertical="center"/>
    </xf>
    <xf numFmtId="0" fontId="11" fillId="25" borderId="54" xfId="57" applyFont="1" applyFill="1" applyBorder="1" applyAlignment="1" applyProtection="1">
      <alignment horizontal="center" vertical="center"/>
    </xf>
    <xf numFmtId="43" fontId="11" fillId="25" borderId="55" xfId="57" applyNumberFormat="1" applyFont="1" applyFill="1" applyBorder="1" applyAlignment="1" applyProtection="1">
      <alignment vertical="center"/>
      <protection locked="0"/>
    </xf>
    <xf numFmtId="0" fontId="10" fillId="25" borderId="58" xfId="57" applyFont="1" applyFill="1" applyBorder="1" applyAlignment="1">
      <alignment horizontal="center" vertical="center"/>
    </xf>
    <xf numFmtId="0" fontId="10" fillId="25" borderId="44" xfId="57" applyFont="1" applyFill="1" applyBorder="1" applyAlignment="1" applyProtection="1">
      <alignment horizontal="center" vertical="center"/>
    </xf>
    <xf numFmtId="43" fontId="10" fillId="25" borderId="45" xfId="57" applyNumberFormat="1" applyFont="1" applyFill="1" applyBorder="1" applyAlignment="1" applyProtection="1">
      <alignment vertical="center"/>
      <protection locked="0"/>
    </xf>
    <xf numFmtId="0" fontId="10" fillId="25" borderId="47" xfId="57" applyFont="1" applyFill="1" applyBorder="1" applyAlignment="1">
      <alignment horizontal="center" vertical="center"/>
    </xf>
    <xf numFmtId="0" fontId="12" fillId="25" borderId="48" xfId="57" applyFont="1" applyFill="1" applyBorder="1" applyAlignment="1" applyProtection="1">
      <alignment horizontal="left" vertical="center"/>
    </xf>
    <xf numFmtId="0" fontId="10" fillId="25" borderId="48" xfId="57" applyFont="1" applyFill="1" applyBorder="1" applyAlignment="1" applyProtection="1">
      <alignment horizontal="center" vertical="center"/>
    </xf>
    <xf numFmtId="43" fontId="10" fillId="25" borderId="52" xfId="57" applyNumberFormat="1" applyFont="1" applyFill="1" applyBorder="1" applyAlignment="1" applyProtection="1">
      <alignment vertical="center"/>
      <protection locked="0"/>
    </xf>
    <xf numFmtId="43" fontId="11" fillId="25" borderId="50" xfId="57" applyNumberFormat="1" applyFont="1" applyFill="1" applyBorder="1" applyAlignment="1" applyProtection="1">
      <alignment vertical="center"/>
      <protection locked="0"/>
    </xf>
    <xf numFmtId="0" fontId="11" fillId="25" borderId="72" xfId="57" applyFont="1" applyFill="1" applyBorder="1" applyAlignment="1">
      <alignment horizontal="center" vertical="center"/>
    </xf>
    <xf numFmtId="0" fontId="11" fillId="25" borderId="56" xfId="57" applyFont="1" applyFill="1" applyBorder="1" applyAlignment="1" applyProtection="1">
      <alignment vertical="center"/>
    </xf>
    <xf numFmtId="0" fontId="11" fillId="25" borderId="56" xfId="57" applyFont="1" applyFill="1" applyBorder="1" applyAlignment="1" applyProtection="1">
      <alignment horizontal="center" vertical="center"/>
    </xf>
    <xf numFmtId="43" fontId="11" fillId="25" borderId="65" xfId="57" applyNumberFormat="1" applyFont="1" applyFill="1" applyBorder="1" applyAlignment="1" applyProtection="1">
      <alignment vertical="center"/>
      <protection locked="0"/>
    </xf>
    <xf numFmtId="0" fontId="11" fillId="25" borderId="66" xfId="57" applyFont="1" applyFill="1" applyBorder="1" applyAlignment="1">
      <alignment horizontal="right" vertical="center"/>
    </xf>
    <xf numFmtId="0" fontId="11" fillId="25" borderId="67" xfId="57" applyFont="1" applyFill="1" applyBorder="1" applyAlignment="1" applyProtection="1">
      <alignment vertical="center"/>
    </xf>
    <xf numFmtId="0" fontId="11" fillId="25" borderId="67" xfId="57" applyFont="1" applyFill="1" applyBorder="1" applyAlignment="1" applyProtection="1">
      <alignment horizontal="center" vertical="center"/>
    </xf>
    <xf numFmtId="43" fontId="11" fillId="25" borderId="51" xfId="57" applyNumberFormat="1" applyFont="1" applyFill="1" applyBorder="1" applyAlignment="1" applyProtection="1">
      <alignment vertical="center"/>
      <protection locked="0"/>
    </xf>
    <xf numFmtId="0" fontId="11" fillId="25" borderId="49" xfId="57" applyFont="1" applyFill="1" applyBorder="1" applyAlignment="1" applyProtection="1">
      <alignment horizontal="left" vertical="center" wrapText="1" indent="2" shrinkToFit="1"/>
    </xf>
    <xf numFmtId="0" fontId="11" fillId="25" borderId="49" xfId="57" applyFont="1" applyFill="1" applyBorder="1" applyAlignment="1" applyProtection="1">
      <alignment horizontal="left" vertical="center" indent="2"/>
    </xf>
    <xf numFmtId="0" fontId="11" fillId="25" borderId="54" xfId="57" applyFont="1" applyFill="1" applyBorder="1" applyAlignment="1" applyProtection="1">
      <alignment horizontal="left" vertical="center"/>
    </xf>
    <xf numFmtId="0" fontId="12" fillId="25" borderId="44" xfId="57" applyFont="1" applyFill="1" applyBorder="1" applyAlignment="1" applyProtection="1">
      <alignment horizontal="left" vertical="center"/>
    </xf>
    <xf numFmtId="0" fontId="12" fillId="25" borderId="49" xfId="57" applyFont="1" applyFill="1" applyBorder="1" applyAlignment="1" applyProtection="1">
      <alignment horizontal="left" vertical="center"/>
    </xf>
    <xf numFmtId="43" fontId="10" fillId="25" borderId="46" xfId="57" applyNumberFormat="1" applyFont="1" applyFill="1" applyBorder="1" applyAlignment="1" applyProtection="1">
      <alignment vertical="center"/>
      <protection locked="0"/>
    </xf>
    <xf numFmtId="0" fontId="10" fillId="25" borderId="49" xfId="57" applyFont="1" applyFill="1" applyBorder="1" applyAlignment="1" applyProtection="1">
      <alignment vertical="center"/>
    </xf>
    <xf numFmtId="4" fontId="34" fillId="25" borderId="98" xfId="57" applyNumberFormat="1" applyFont="1" applyFill="1" applyBorder="1" applyAlignment="1">
      <alignment vertical="center"/>
    </xf>
    <xf numFmtId="0" fontId="11" fillId="25" borderId="49" xfId="57" applyFont="1" applyFill="1" applyBorder="1" applyAlignment="1" applyProtection="1">
      <alignment horizontal="left" vertical="center" wrapText="1" indent="1" shrinkToFit="1"/>
    </xf>
    <xf numFmtId="0" fontId="11" fillId="25" borderId="70" xfId="57" applyFont="1" applyFill="1" applyBorder="1" applyAlignment="1">
      <alignment horizontal="center" vertical="center"/>
    </xf>
    <xf numFmtId="0" fontId="10" fillId="27" borderId="25" xfId="57" applyFont="1" applyFill="1" applyBorder="1" applyAlignment="1">
      <alignment horizontal="center" vertical="center"/>
    </xf>
    <xf numFmtId="0" fontId="10" fillId="27" borderId="26" xfId="57" applyFont="1" applyFill="1" applyBorder="1" applyAlignment="1" applyProtection="1">
      <alignment horizontal="center" vertical="center"/>
    </xf>
    <xf numFmtId="43" fontId="10" fillId="27" borderId="27" xfId="57" applyNumberFormat="1" applyFont="1" applyFill="1" applyBorder="1" applyAlignment="1" applyProtection="1">
      <alignment vertical="center"/>
      <protection locked="0"/>
    </xf>
    <xf numFmtId="0" fontId="11" fillId="24" borderId="0" xfId="57" applyFont="1" applyFill="1" applyBorder="1" applyAlignment="1">
      <alignment vertical="center"/>
    </xf>
    <xf numFmtId="0" fontId="11" fillId="24" borderId="0" xfId="57" applyFont="1" applyFill="1" applyBorder="1" applyAlignment="1">
      <alignment horizontal="right" vertical="center"/>
    </xf>
    <xf numFmtId="0" fontId="11" fillId="0" borderId="0" xfId="57" applyFont="1"/>
    <xf numFmtId="0" fontId="11" fillId="0" borderId="0" xfId="57" applyFont="1" applyBorder="1"/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7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09;&#3657;&#3635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09;&#3657;&#3635;%202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บ้านดีดีรักษ์น้ำ 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E17" sqref="E17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61" t="s">
        <v>2</v>
      </c>
      <c r="B1" s="462"/>
      <c r="C1" s="462"/>
      <c r="D1" s="462"/>
      <c r="E1" s="463"/>
    </row>
    <row r="2" spans="1:10" ht="20.100000000000001" customHeight="1">
      <c r="A2" s="136" t="s">
        <v>233</v>
      </c>
      <c r="B2" s="137"/>
      <c r="C2" s="137"/>
      <c r="D2" s="469" t="s">
        <v>258</v>
      </c>
      <c r="E2" s="470"/>
    </row>
    <row r="3" spans="1:10" ht="20.100000000000001" customHeight="1">
      <c r="A3" s="136" t="s">
        <v>234</v>
      </c>
      <c r="B3" s="138"/>
      <c r="C3" s="471" t="s">
        <v>259</v>
      </c>
      <c r="D3" s="471"/>
      <c r="E3" s="472"/>
    </row>
    <row r="4" spans="1:10" ht="14.4" thickBot="1">
      <c r="A4" s="136" t="s">
        <v>424</v>
      </c>
      <c r="B4" s="149"/>
      <c r="C4" s="149"/>
      <c r="D4" s="149"/>
      <c r="E4" s="152"/>
    </row>
    <row r="5" spans="1:10" ht="20.100000000000001" customHeight="1" thickBot="1">
      <c r="A5" s="67" t="s">
        <v>3</v>
      </c>
      <c r="B5" s="68" t="s">
        <v>4</v>
      </c>
      <c r="C5" s="68" t="s">
        <v>5</v>
      </c>
      <c r="D5" s="68" t="s">
        <v>6</v>
      </c>
      <c r="E5" s="69" t="s">
        <v>7</v>
      </c>
    </row>
    <row r="6" spans="1:10">
      <c r="A6" s="393"/>
      <c r="B6" s="390"/>
      <c r="C6" s="391"/>
      <c r="D6" s="391"/>
      <c r="E6" s="392"/>
    </row>
    <row r="7" spans="1:10">
      <c r="A7" s="70"/>
      <c r="B7" s="364" t="s">
        <v>8</v>
      </c>
      <c r="C7" s="71"/>
      <c r="D7" s="71"/>
      <c r="E7" s="72"/>
    </row>
    <row r="8" spans="1:10">
      <c r="A8" s="408" t="s">
        <v>9</v>
      </c>
      <c r="B8" s="406" t="s">
        <v>10</v>
      </c>
      <c r="C8" s="398"/>
      <c r="D8" s="403">
        <f>หมวดงานโครงสร้าง!L71</f>
        <v>1085791.2977168427</v>
      </c>
      <c r="E8" s="409"/>
      <c r="F8" s="259"/>
      <c r="G8" s="4"/>
    </row>
    <row r="9" spans="1:10">
      <c r="A9" s="410"/>
      <c r="B9" s="366"/>
      <c r="C9" s="399"/>
      <c r="D9" s="145"/>
      <c r="E9" s="411"/>
      <c r="I9" s="260"/>
      <c r="J9" s="260"/>
    </row>
    <row r="10" spans="1:10">
      <c r="A10" s="412" t="s">
        <v>14</v>
      </c>
      <c r="B10" s="361" t="s">
        <v>15</v>
      </c>
      <c r="C10" s="400"/>
      <c r="D10" s="434">
        <f>'งานสถาปัตยกรรม '!L156</f>
        <v>900719.1</v>
      </c>
      <c r="E10" s="413"/>
      <c r="F10" s="259"/>
      <c r="G10" s="4"/>
      <c r="I10" s="260"/>
      <c r="J10" s="260"/>
    </row>
    <row r="11" spans="1:10" ht="21.75" customHeight="1">
      <c r="A11" s="410"/>
      <c r="B11" s="367"/>
      <c r="C11" s="399"/>
      <c r="D11" s="145"/>
      <c r="E11" s="411"/>
      <c r="I11" s="260"/>
      <c r="J11" s="260"/>
    </row>
    <row r="12" spans="1:10">
      <c r="A12" s="412" t="s">
        <v>24</v>
      </c>
      <c r="B12" s="361" t="s">
        <v>25</v>
      </c>
      <c r="C12" s="400"/>
      <c r="D12" s="434">
        <f>งานระบบไฟฟ้า!L69</f>
        <v>98460.236000000004</v>
      </c>
      <c r="E12" s="413"/>
      <c r="F12" s="259"/>
      <c r="G12" s="4"/>
      <c r="I12" s="260"/>
      <c r="J12" s="260"/>
    </row>
    <row r="13" spans="1:10">
      <c r="A13" s="410"/>
      <c r="B13" s="366"/>
      <c r="C13" s="401"/>
      <c r="D13" s="145"/>
      <c r="E13" s="413"/>
      <c r="I13" s="260"/>
      <c r="J13" s="260"/>
    </row>
    <row r="14" spans="1:10" s="346" customFormat="1">
      <c r="A14" s="412" t="s">
        <v>27</v>
      </c>
      <c r="B14" s="361" t="s">
        <v>183</v>
      </c>
      <c r="C14" s="400"/>
      <c r="D14" s="434">
        <f>งานระบบประปา!L94</f>
        <v>93835.383600000001</v>
      </c>
      <c r="E14" s="413"/>
      <c r="F14" s="362"/>
      <c r="G14" s="363"/>
      <c r="I14" s="28"/>
      <c r="J14" s="28"/>
    </row>
    <row r="15" spans="1:10" ht="14.4" thickBot="1">
      <c r="A15" s="380"/>
      <c r="B15" s="407"/>
      <c r="C15" s="402"/>
      <c r="D15" s="369"/>
      <c r="E15" s="414"/>
      <c r="J15" s="260"/>
    </row>
    <row r="16" spans="1:10" ht="20.100000000000001" customHeight="1" thickTop="1">
      <c r="A16" s="365"/>
      <c r="B16" s="404" t="s">
        <v>28</v>
      </c>
      <c r="C16" s="368"/>
      <c r="D16" s="368">
        <f>SUM(D8:D15)</f>
        <v>2178806.0173168425</v>
      </c>
      <c r="E16" s="405"/>
      <c r="I16" s="2"/>
    </row>
    <row r="17" spans="1:14" ht="20.100000000000001" customHeight="1">
      <c r="A17" s="56" t="s">
        <v>30</v>
      </c>
      <c r="B17" s="57" t="s">
        <v>29</v>
      </c>
      <c r="C17" s="58" t="s">
        <v>184</v>
      </c>
      <c r="D17" s="58">
        <v>0</v>
      </c>
      <c r="E17" s="59"/>
      <c r="F17" s="4"/>
      <c r="I17" s="3"/>
    </row>
    <row r="18" spans="1:14" ht="20.100000000000001" customHeight="1">
      <c r="A18" s="56" t="s">
        <v>167</v>
      </c>
      <c r="B18" s="60" t="s">
        <v>186</v>
      </c>
      <c r="C18" s="100"/>
      <c r="D18" s="58">
        <f>ROUNDUP(D16*0.1,0)</f>
        <v>217881</v>
      </c>
      <c r="E18" s="61"/>
      <c r="F18" s="464"/>
      <c r="G18" s="464"/>
      <c r="H18" s="261"/>
      <c r="I18" s="3"/>
      <c r="J18" s="466"/>
      <c r="K18" s="467"/>
    </row>
    <row r="19" spans="1:14" ht="20.100000000000001" customHeight="1" thickBot="1">
      <c r="A19" s="62"/>
      <c r="B19" s="63" t="s">
        <v>31</v>
      </c>
      <c r="C19" s="64"/>
      <c r="D19" s="64">
        <f>SUM(D16:D18)</f>
        <v>2396687.0173168425</v>
      </c>
      <c r="E19" s="65"/>
      <c r="F19" s="465"/>
      <c r="G19" s="465"/>
      <c r="I19" s="6"/>
      <c r="J19" s="468"/>
      <c r="K19" s="465"/>
    </row>
    <row r="20" spans="1:14" ht="20.100000000000001" customHeight="1" outlineLevel="1" thickTop="1">
      <c r="A20" s="53"/>
      <c r="B20" s="54" t="s">
        <v>32</v>
      </c>
      <c r="C20" s="66"/>
      <c r="D20" s="66">
        <f>ROUNDUP(D19*7%,2)</f>
        <v>167768.1</v>
      </c>
      <c r="E20" s="55"/>
      <c r="N20" s="5">
        <v>515921.81</v>
      </c>
    </row>
    <row r="21" spans="1:14" ht="20.100000000000001" customHeight="1" outlineLevel="1" thickBot="1">
      <c r="A21" s="394"/>
      <c r="B21" s="395" t="s">
        <v>33</v>
      </c>
      <c r="C21" s="396"/>
      <c r="D21" s="396">
        <f>SUM(D19:D20)</f>
        <v>2564455.1173168425</v>
      </c>
      <c r="E21" s="397"/>
    </row>
    <row r="22" spans="1:14">
      <c r="A22" s="146" t="s">
        <v>34</v>
      </c>
      <c r="B22" s="147"/>
      <c r="C22" s="147"/>
      <c r="D22" s="147"/>
      <c r="E22" s="148"/>
    </row>
    <row r="24" spans="1:14">
      <c r="B24" s="144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6"/>
  <sheetViews>
    <sheetView view="pageBreakPreview" zoomScaleNormal="75" zoomScaleSheetLayoutView="100" workbookViewId="0">
      <pane xSplit="7" ySplit="8" topLeftCell="H66" activePane="bottomRight" state="frozen"/>
      <selection activeCell="P4" sqref="P4"/>
      <selection pane="topRight" activeCell="P4" sqref="P4"/>
      <selection pane="bottomLeft" activeCell="P4" sqref="P4"/>
      <selection pane="bottomRight" activeCell="M10" sqref="M10"/>
    </sheetView>
  </sheetViews>
  <sheetFormatPr defaultColWidth="9.109375" defaultRowHeight="13.8" outlineLevelCol="1"/>
  <cols>
    <col min="1" max="1" width="9.5546875" style="606" customWidth="1"/>
    <col min="2" max="2" width="56.5546875" style="606" customWidth="1"/>
    <col min="3" max="3" width="7.5546875" style="606" customWidth="1"/>
    <col min="4" max="4" width="11.44140625" style="606" hidden="1" customWidth="1" outlineLevel="1"/>
    <col min="5" max="5" width="11.5546875" style="606" hidden="1" customWidth="1" outlineLevel="1"/>
    <col min="6" max="6" width="9.109375" style="606" hidden="1" customWidth="1" outlineLevel="1"/>
    <col min="7" max="7" width="10.6640625" style="606" customWidth="1" collapsed="1"/>
    <col min="8" max="11" width="13.5546875" style="606" customWidth="1"/>
    <col min="12" max="12" width="15.5546875" style="606" customWidth="1"/>
    <col min="13" max="13" width="21.5546875" style="606" customWidth="1"/>
    <col min="14" max="15" width="9.109375" style="606"/>
    <col min="16" max="16" width="9.109375" style="607"/>
    <col min="17" max="256" width="9.109375" style="606"/>
    <col min="257" max="257" width="9.5546875" style="606" customWidth="1"/>
    <col min="258" max="258" width="56.5546875" style="606" customWidth="1"/>
    <col min="259" max="259" width="7.5546875" style="606" customWidth="1"/>
    <col min="260" max="262" width="0" style="606" hidden="1" customWidth="1"/>
    <col min="263" max="263" width="10.6640625" style="606" customWidth="1"/>
    <col min="264" max="267" width="13.5546875" style="606" customWidth="1"/>
    <col min="268" max="268" width="15.5546875" style="606" customWidth="1"/>
    <col min="269" max="269" width="21.5546875" style="606" customWidth="1"/>
    <col min="270" max="512" width="9.109375" style="606"/>
    <col min="513" max="513" width="9.5546875" style="606" customWidth="1"/>
    <col min="514" max="514" width="56.5546875" style="606" customWidth="1"/>
    <col min="515" max="515" width="7.5546875" style="606" customWidth="1"/>
    <col min="516" max="518" width="0" style="606" hidden="1" customWidth="1"/>
    <col min="519" max="519" width="10.6640625" style="606" customWidth="1"/>
    <col min="520" max="523" width="13.5546875" style="606" customWidth="1"/>
    <col min="524" max="524" width="15.5546875" style="606" customWidth="1"/>
    <col min="525" max="525" width="21.5546875" style="606" customWidth="1"/>
    <col min="526" max="768" width="9.109375" style="606"/>
    <col min="769" max="769" width="9.5546875" style="606" customWidth="1"/>
    <col min="770" max="770" width="56.5546875" style="606" customWidth="1"/>
    <col min="771" max="771" width="7.5546875" style="606" customWidth="1"/>
    <col min="772" max="774" width="0" style="606" hidden="1" customWidth="1"/>
    <col min="775" max="775" width="10.6640625" style="606" customWidth="1"/>
    <col min="776" max="779" width="13.5546875" style="606" customWidth="1"/>
    <col min="780" max="780" width="15.5546875" style="606" customWidth="1"/>
    <col min="781" max="781" width="21.5546875" style="606" customWidth="1"/>
    <col min="782" max="1024" width="9.109375" style="606"/>
    <col min="1025" max="1025" width="9.5546875" style="606" customWidth="1"/>
    <col min="1026" max="1026" width="56.5546875" style="606" customWidth="1"/>
    <col min="1027" max="1027" width="7.5546875" style="606" customWidth="1"/>
    <col min="1028" max="1030" width="0" style="606" hidden="1" customWidth="1"/>
    <col min="1031" max="1031" width="10.6640625" style="606" customWidth="1"/>
    <col min="1032" max="1035" width="13.5546875" style="606" customWidth="1"/>
    <col min="1036" max="1036" width="15.5546875" style="606" customWidth="1"/>
    <col min="1037" max="1037" width="21.5546875" style="606" customWidth="1"/>
    <col min="1038" max="1280" width="9.109375" style="606"/>
    <col min="1281" max="1281" width="9.5546875" style="606" customWidth="1"/>
    <col min="1282" max="1282" width="56.5546875" style="606" customWidth="1"/>
    <col min="1283" max="1283" width="7.5546875" style="606" customWidth="1"/>
    <col min="1284" max="1286" width="0" style="606" hidden="1" customWidth="1"/>
    <col min="1287" max="1287" width="10.6640625" style="606" customWidth="1"/>
    <col min="1288" max="1291" width="13.5546875" style="606" customWidth="1"/>
    <col min="1292" max="1292" width="15.5546875" style="606" customWidth="1"/>
    <col min="1293" max="1293" width="21.5546875" style="606" customWidth="1"/>
    <col min="1294" max="1536" width="9.109375" style="606"/>
    <col min="1537" max="1537" width="9.5546875" style="606" customWidth="1"/>
    <col min="1538" max="1538" width="56.5546875" style="606" customWidth="1"/>
    <col min="1539" max="1539" width="7.5546875" style="606" customWidth="1"/>
    <col min="1540" max="1542" width="0" style="606" hidden="1" customWidth="1"/>
    <col min="1543" max="1543" width="10.6640625" style="606" customWidth="1"/>
    <col min="1544" max="1547" width="13.5546875" style="606" customWidth="1"/>
    <col min="1548" max="1548" width="15.5546875" style="606" customWidth="1"/>
    <col min="1549" max="1549" width="21.5546875" style="606" customWidth="1"/>
    <col min="1550" max="1792" width="9.109375" style="606"/>
    <col min="1793" max="1793" width="9.5546875" style="606" customWidth="1"/>
    <col min="1794" max="1794" width="56.5546875" style="606" customWidth="1"/>
    <col min="1795" max="1795" width="7.5546875" style="606" customWidth="1"/>
    <col min="1796" max="1798" width="0" style="606" hidden="1" customWidth="1"/>
    <col min="1799" max="1799" width="10.6640625" style="606" customWidth="1"/>
    <col min="1800" max="1803" width="13.5546875" style="606" customWidth="1"/>
    <col min="1804" max="1804" width="15.5546875" style="606" customWidth="1"/>
    <col min="1805" max="1805" width="21.5546875" style="606" customWidth="1"/>
    <col min="1806" max="2048" width="9.109375" style="606"/>
    <col min="2049" max="2049" width="9.5546875" style="606" customWidth="1"/>
    <col min="2050" max="2050" width="56.5546875" style="606" customWidth="1"/>
    <col min="2051" max="2051" width="7.5546875" style="606" customWidth="1"/>
    <col min="2052" max="2054" width="0" style="606" hidden="1" customWidth="1"/>
    <col min="2055" max="2055" width="10.6640625" style="606" customWidth="1"/>
    <col min="2056" max="2059" width="13.5546875" style="606" customWidth="1"/>
    <col min="2060" max="2060" width="15.5546875" style="606" customWidth="1"/>
    <col min="2061" max="2061" width="21.5546875" style="606" customWidth="1"/>
    <col min="2062" max="2304" width="9.109375" style="606"/>
    <col min="2305" max="2305" width="9.5546875" style="606" customWidth="1"/>
    <col min="2306" max="2306" width="56.5546875" style="606" customWidth="1"/>
    <col min="2307" max="2307" width="7.5546875" style="606" customWidth="1"/>
    <col min="2308" max="2310" width="0" style="606" hidden="1" customWidth="1"/>
    <col min="2311" max="2311" width="10.6640625" style="606" customWidth="1"/>
    <col min="2312" max="2315" width="13.5546875" style="606" customWidth="1"/>
    <col min="2316" max="2316" width="15.5546875" style="606" customWidth="1"/>
    <col min="2317" max="2317" width="21.5546875" style="606" customWidth="1"/>
    <col min="2318" max="2560" width="9.109375" style="606"/>
    <col min="2561" max="2561" width="9.5546875" style="606" customWidth="1"/>
    <col min="2562" max="2562" width="56.5546875" style="606" customWidth="1"/>
    <col min="2563" max="2563" width="7.5546875" style="606" customWidth="1"/>
    <col min="2564" max="2566" width="0" style="606" hidden="1" customWidth="1"/>
    <col min="2567" max="2567" width="10.6640625" style="606" customWidth="1"/>
    <col min="2568" max="2571" width="13.5546875" style="606" customWidth="1"/>
    <col min="2572" max="2572" width="15.5546875" style="606" customWidth="1"/>
    <col min="2573" max="2573" width="21.5546875" style="606" customWidth="1"/>
    <col min="2574" max="2816" width="9.109375" style="606"/>
    <col min="2817" max="2817" width="9.5546875" style="606" customWidth="1"/>
    <col min="2818" max="2818" width="56.5546875" style="606" customWidth="1"/>
    <col min="2819" max="2819" width="7.5546875" style="606" customWidth="1"/>
    <col min="2820" max="2822" width="0" style="606" hidden="1" customWidth="1"/>
    <col min="2823" max="2823" width="10.6640625" style="606" customWidth="1"/>
    <col min="2824" max="2827" width="13.5546875" style="606" customWidth="1"/>
    <col min="2828" max="2828" width="15.5546875" style="606" customWidth="1"/>
    <col min="2829" max="2829" width="21.5546875" style="606" customWidth="1"/>
    <col min="2830" max="3072" width="9.109375" style="606"/>
    <col min="3073" max="3073" width="9.5546875" style="606" customWidth="1"/>
    <col min="3074" max="3074" width="56.5546875" style="606" customWidth="1"/>
    <col min="3075" max="3075" width="7.5546875" style="606" customWidth="1"/>
    <col min="3076" max="3078" width="0" style="606" hidden="1" customWidth="1"/>
    <col min="3079" max="3079" width="10.6640625" style="606" customWidth="1"/>
    <col min="3080" max="3083" width="13.5546875" style="606" customWidth="1"/>
    <col min="3084" max="3084" width="15.5546875" style="606" customWidth="1"/>
    <col min="3085" max="3085" width="21.5546875" style="606" customWidth="1"/>
    <col min="3086" max="3328" width="9.109375" style="606"/>
    <col min="3329" max="3329" width="9.5546875" style="606" customWidth="1"/>
    <col min="3330" max="3330" width="56.5546875" style="606" customWidth="1"/>
    <col min="3331" max="3331" width="7.5546875" style="606" customWidth="1"/>
    <col min="3332" max="3334" width="0" style="606" hidden="1" customWidth="1"/>
    <col min="3335" max="3335" width="10.6640625" style="606" customWidth="1"/>
    <col min="3336" max="3339" width="13.5546875" style="606" customWidth="1"/>
    <col min="3340" max="3340" width="15.5546875" style="606" customWidth="1"/>
    <col min="3341" max="3341" width="21.5546875" style="606" customWidth="1"/>
    <col min="3342" max="3584" width="9.109375" style="606"/>
    <col min="3585" max="3585" width="9.5546875" style="606" customWidth="1"/>
    <col min="3586" max="3586" width="56.5546875" style="606" customWidth="1"/>
    <col min="3587" max="3587" width="7.5546875" style="606" customWidth="1"/>
    <col min="3588" max="3590" width="0" style="606" hidden="1" customWidth="1"/>
    <col min="3591" max="3591" width="10.6640625" style="606" customWidth="1"/>
    <col min="3592" max="3595" width="13.5546875" style="606" customWidth="1"/>
    <col min="3596" max="3596" width="15.5546875" style="606" customWidth="1"/>
    <col min="3597" max="3597" width="21.5546875" style="606" customWidth="1"/>
    <col min="3598" max="3840" width="9.109375" style="606"/>
    <col min="3841" max="3841" width="9.5546875" style="606" customWidth="1"/>
    <col min="3842" max="3842" width="56.5546875" style="606" customWidth="1"/>
    <col min="3843" max="3843" width="7.5546875" style="606" customWidth="1"/>
    <col min="3844" max="3846" width="0" style="606" hidden="1" customWidth="1"/>
    <col min="3847" max="3847" width="10.6640625" style="606" customWidth="1"/>
    <col min="3848" max="3851" width="13.5546875" style="606" customWidth="1"/>
    <col min="3852" max="3852" width="15.5546875" style="606" customWidth="1"/>
    <col min="3853" max="3853" width="21.5546875" style="606" customWidth="1"/>
    <col min="3854" max="4096" width="9.109375" style="606"/>
    <col min="4097" max="4097" width="9.5546875" style="606" customWidth="1"/>
    <col min="4098" max="4098" width="56.5546875" style="606" customWidth="1"/>
    <col min="4099" max="4099" width="7.5546875" style="606" customWidth="1"/>
    <col min="4100" max="4102" width="0" style="606" hidden="1" customWidth="1"/>
    <col min="4103" max="4103" width="10.6640625" style="606" customWidth="1"/>
    <col min="4104" max="4107" width="13.5546875" style="606" customWidth="1"/>
    <col min="4108" max="4108" width="15.5546875" style="606" customWidth="1"/>
    <col min="4109" max="4109" width="21.5546875" style="606" customWidth="1"/>
    <col min="4110" max="4352" width="9.109375" style="606"/>
    <col min="4353" max="4353" width="9.5546875" style="606" customWidth="1"/>
    <col min="4354" max="4354" width="56.5546875" style="606" customWidth="1"/>
    <col min="4355" max="4355" width="7.5546875" style="606" customWidth="1"/>
    <col min="4356" max="4358" width="0" style="606" hidden="1" customWidth="1"/>
    <col min="4359" max="4359" width="10.6640625" style="606" customWidth="1"/>
    <col min="4360" max="4363" width="13.5546875" style="606" customWidth="1"/>
    <col min="4364" max="4364" width="15.5546875" style="606" customWidth="1"/>
    <col min="4365" max="4365" width="21.5546875" style="606" customWidth="1"/>
    <col min="4366" max="4608" width="9.109375" style="606"/>
    <col min="4609" max="4609" width="9.5546875" style="606" customWidth="1"/>
    <col min="4610" max="4610" width="56.5546875" style="606" customWidth="1"/>
    <col min="4611" max="4611" width="7.5546875" style="606" customWidth="1"/>
    <col min="4612" max="4614" width="0" style="606" hidden="1" customWidth="1"/>
    <col min="4615" max="4615" width="10.6640625" style="606" customWidth="1"/>
    <col min="4616" max="4619" width="13.5546875" style="606" customWidth="1"/>
    <col min="4620" max="4620" width="15.5546875" style="606" customWidth="1"/>
    <col min="4621" max="4621" width="21.5546875" style="606" customWidth="1"/>
    <col min="4622" max="4864" width="9.109375" style="606"/>
    <col min="4865" max="4865" width="9.5546875" style="606" customWidth="1"/>
    <col min="4866" max="4866" width="56.5546875" style="606" customWidth="1"/>
    <col min="4867" max="4867" width="7.5546875" style="606" customWidth="1"/>
    <col min="4868" max="4870" width="0" style="606" hidden="1" customWidth="1"/>
    <col min="4871" max="4871" width="10.6640625" style="606" customWidth="1"/>
    <col min="4872" max="4875" width="13.5546875" style="606" customWidth="1"/>
    <col min="4876" max="4876" width="15.5546875" style="606" customWidth="1"/>
    <col min="4877" max="4877" width="21.5546875" style="606" customWidth="1"/>
    <col min="4878" max="5120" width="9.109375" style="606"/>
    <col min="5121" max="5121" width="9.5546875" style="606" customWidth="1"/>
    <col min="5122" max="5122" width="56.5546875" style="606" customWidth="1"/>
    <col min="5123" max="5123" width="7.5546875" style="606" customWidth="1"/>
    <col min="5124" max="5126" width="0" style="606" hidden="1" customWidth="1"/>
    <col min="5127" max="5127" width="10.6640625" style="606" customWidth="1"/>
    <col min="5128" max="5131" width="13.5546875" style="606" customWidth="1"/>
    <col min="5132" max="5132" width="15.5546875" style="606" customWidth="1"/>
    <col min="5133" max="5133" width="21.5546875" style="606" customWidth="1"/>
    <col min="5134" max="5376" width="9.109375" style="606"/>
    <col min="5377" max="5377" width="9.5546875" style="606" customWidth="1"/>
    <col min="5378" max="5378" width="56.5546875" style="606" customWidth="1"/>
    <col min="5379" max="5379" width="7.5546875" style="606" customWidth="1"/>
    <col min="5380" max="5382" width="0" style="606" hidden="1" customWidth="1"/>
    <col min="5383" max="5383" width="10.6640625" style="606" customWidth="1"/>
    <col min="5384" max="5387" width="13.5546875" style="606" customWidth="1"/>
    <col min="5388" max="5388" width="15.5546875" style="606" customWidth="1"/>
    <col min="5389" max="5389" width="21.5546875" style="606" customWidth="1"/>
    <col min="5390" max="5632" width="9.109375" style="606"/>
    <col min="5633" max="5633" width="9.5546875" style="606" customWidth="1"/>
    <col min="5634" max="5634" width="56.5546875" style="606" customWidth="1"/>
    <col min="5635" max="5635" width="7.5546875" style="606" customWidth="1"/>
    <col min="5636" max="5638" width="0" style="606" hidden="1" customWidth="1"/>
    <col min="5639" max="5639" width="10.6640625" style="606" customWidth="1"/>
    <col min="5640" max="5643" width="13.5546875" style="606" customWidth="1"/>
    <col min="5644" max="5644" width="15.5546875" style="606" customWidth="1"/>
    <col min="5645" max="5645" width="21.5546875" style="606" customWidth="1"/>
    <col min="5646" max="5888" width="9.109375" style="606"/>
    <col min="5889" max="5889" width="9.5546875" style="606" customWidth="1"/>
    <col min="5890" max="5890" width="56.5546875" style="606" customWidth="1"/>
    <col min="5891" max="5891" width="7.5546875" style="606" customWidth="1"/>
    <col min="5892" max="5894" width="0" style="606" hidden="1" customWidth="1"/>
    <col min="5895" max="5895" width="10.6640625" style="606" customWidth="1"/>
    <col min="5896" max="5899" width="13.5546875" style="606" customWidth="1"/>
    <col min="5900" max="5900" width="15.5546875" style="606" customWidth="1"/>
    <col min="5901" max="5901" width="21.5546875" style="606" customWidth="1"/>
    <col min="5902" max="6144" width="9.109375" style="606"/>
    <col min="6145" max="6145" width="9.5546875" style="606" customWidth="1"/>
    <col min="6146" max="6146" width="56.5546875" style="606" customWidth="1"/>
    <col min="6147" max="6147" width="7.5546875" style="606" customWidth="1"/>
    <col min="6148" max="6150" width="0" style="606" hidden="1" customWidth="1"/>
    <col min="6151" max="6151" width="10.6640625" style="606" customWidth="1"/>
    <col min="6152" max="6155" width="13.5546875" style="606" customWidth="1"/>
    <col min="6156" max="6156" width="15.5546875" style="606" customWidth="1"/>
    <col min="6157" max="6157" width="21.5546875" style="606" customWidth="1"/>
    <col min="6158" max="6400" width="9.109375" style="606"/>
    <col min="6401" max="6401" width="9.5546875" style="606" customWidth="1"/>
    <col min="6402" max="6402" width="56.5546875" style="606" customWidth="1"/>
    <col min="6403" max="6403" width="7.5546875" style="606" customWidth="1"/>
    <col min="6404" max="6406" width="0" style="606" hidden="1" customWidth="1"/>
    <col min="6407" max="6407" width="10.6640625" style="606" customWidth="1"/>
    <col min="6408" max="6411" width="13.5546875" style="606" customWidth="1"/>
    <col min="6412" max="6412" width="15.5546875" style="606" customWidth="1"/>
    <col min="6413" max="6413" width="21.5546875" style="606" customWidth="1"/>
    <col min="6414" max="6656" width="9.109375" style="606"/>
    <col min="6657" max="6657" width="9.5546875" style="606" customWidth="1"/>
    <col min="6658" max="6658" width="56.5546875" style="606" customWidth="1"/>
    <col min="6659" max="6659" width="7.5546875" style="606" customWidth="1"/>
    <col min="6660" max="6662" width="0" style="606" hidden="1" customWidth="1"/>
    <col min="6663" max="6663" width="10.6640625" style="606" customWidth="1"/>
    <col min="6664" max="6667" width="13.5546875" style="606" customWidth="1"/>
    <col min="6668" max="6668" width="15.5546875" style="606" customWidth="1"/>
    <col min="6669" max="6669" width="21.5546875" style="606" customWidth="1"/>
    <col min="6670" max="6912" width="9.109375" style="606"/>
    <col min="6913" max="6913" width="9.5546875" style="606" customWidth="1"/>
    <col min="6914" max="6914" width="56.5546875" style="606" customWidth="1"/>
    <col min="6915" max="6915" width="7.5546875" style="606" customWidth="1"/>
    <col min="6916" max="6918" width="0" style="606" hidden="1" customWidth="1"/>
    <col min="6919" max="6919" width="10.6640625" style="606" customWidth="1"/>
    <col min="6920" max="6923" width="13.5546875" style="606" customWidth="1"/>
    <col min="6924" max="6924" width="15.5546875" style="606" customWidth="1"/>
    <col min="6925" max="6925" width="21.5546875" style="606" customWidth="1"/>
    <col min="6926" max="7168" width="9.109375" style="606"/>
    <col min="7169" max="7169" width="9.5546875" style="606" customWidth="1"/>
    <col min="7170" max="7170" width="56.5546875" style="606" customWidth="1"/>
    <col min="7171" max="7171" width="7.5546875" style="606" customWidth="1"/>
    <col min="7172" max="7174" width="0" style="606" hidden="1" customWidth="1"/>
    <col min="7175" max="7175" width="10.6640625" style="606" customWidth="1"/>
    <col min="7176" max="7179" width="13.5546875" style="606" customWidth="1"/>
    <col min="7180" max="7180" width="15.5546875" style="606" customWidth="1"/>
    <col min="7181" max="7181" width="21.5546875" style="606" customWidth="1"/>
    <col min="7182" max="7424" width="9.109375" style="606"/>
    <col min="7425" max="7425" width="9.5546875" style="606" customWidth="1"/>
    <col min="7426" max="7426" width="56.5546875" style="606" customWidth="1"/>
    <col min="7427" max="7427" width="7.5546875" style="606" customWidth="1"/>
    <col min="7428" max="7430" width="0" style="606" hidden="1" customWidth="1"/>
    <col min="7431" max="7431" width="10.6640625" style="606" customWidth="1"/>
    <col min="7432" max="7435" width="13.5546875" style="606" customWidth="1"/>
    <col min="7436" max="7436" width="15.5546875" style="606" customWidth="1"/>
    <col min="7437" max="7437" width="21.5546875" style="606" customWidth="1"/>
    <col min="7438" max="7680" width="9.109375" style="606"/>
    <col min="7681" max="7681" width="9.5546875" style="606" customWidth="1"/>
    <col min="7682" max="7682" width="56.5546875" style="606" customWidth="1"/>
    <col min="7683" max="7683" width="7.5546875" style="606" customWidth="1"/>
    <col min="7684" max="7686" width="0" style="606" hidden="1" customWidth="1"/>
    <col min="7687" max="7687" width="10.6640625" style="606" customWidth="1"/>
    <col min="7688" max="7691" width="13.5546875" style="606" customWidth="1"/>
    <col min="7692" max="7692" width="15.5546875" style="606" customWidth="1"/>
    <col min="7693" max="7693" width="21.5546875" style="606" customWidth="1"/>
    <col min="7694" max="7936" width="9.109375" style="606"/>
    <col min="7937" max="7937" width="9.5546875" style="606" customWidth="1"/>
    <col min="7938" max="7938" width="56.5546875" style="606" customWidth="1"/>
    <col min="7939" max="7939" width="7.5546875" style="606" customWidth="1"/>
    <col min="7940" max="7942" width="0" style="606" hidden="1" customWidth="1"/>
    <col min="7943" max="7943" width="10.6640625" style="606" customWidth="1"/>
    <col min="7944" max="7947" width="13.5546875" style="606" customWidth="1"/>
    <col min="7948" max="7948" width="15.5546875" style="606" customWidth="1"/>
    <col min="7949" max="7949" width="21.5546875" style="606" customWidth="1"/>
    <col min="7950" max="8192" width="9.109375" style="606"/>
    <col min="8193" max="8193" width="9.5546875" style="606" customWidth="1"/>
    <col min="8194" max="8194" width="56.5546875" style="606" customWidth="1"/>
    <col min="8195" max="8195" width="7.5546875" style="606" customWidth="1"/>
    <col min="8196" max="8198" width="0" style="606" hidden="1" customWidth="1"/>
    <col min="8199" max="8199" width="10.6640625" style="606" customWidth="1"/>
    <col min="8200" max="8203" width="13.5546875" style="606" customWidth="1"/>
    <col min="8204" max="8204" width="15.5546875" style="606" customWidth="1"/>
    <col min="8205" max="8205" width="21.5546875" style="606" customWidth="1"/>
    <col min="8206" max="8448" width="9.109375" style="606"/>
    <col min="8449" max="8449" width="9.5546875" style="606" customWidth="1"/>
    <col min="8450" max="8450" width="56.5546875" style="606" customWidth="1"/>
    <col min="8451" max="8451" width="7.5546875" style="606" customWidth="1"/>
    <col min="8452" max="8454" width="0" style="606" hidden="1" customWidth="1"/>
    <col min="8455" max="8455" width="10.6640625" style="606" customWidth="1"/>
    <col min="8456" max="8459" width="13.5546875" style="606" customWidth="1"/>
    <col min="8460" max="8460" width="15.5546875" style="606" customWidth="1"/>
    <col min="8461" max="8461" width="21.5546875" style="606" customWidth="1"/>
    <col min="8462" max="8704" width="9.109375" style="606"/>
    <col min="8705" max="8705" width="9.5546875" style="606" customWidth="1"/>
    <col min="8706" max="8706" width="56.5546875" style="606" customWidth="1"/>
    <col min="8707" max="8707" width="7.5546875" style="606" customWidth="1"/>
    <col min="8708" max="8710" width="0" style="606" hidden="1" customWidth="1"/>
    <col min="8711" max="8711" width="10.6640625" style="606" customWidth="1"/>
    <col min="8712" max="8715" width="13.5546875" style="606" customWidth="1"/>
    <col min="8716" max="8716" width="15.5546875" style="606" customWidth="1"/>
    <col min="8717" max="8717" width="21.5546875" style="606" customWidth="1"/>
    <col min="8718" max="8960" width="9.109375" style="606"/>
    <col min="8961" max="8961" width="9.5546875" style="606" customWidth="1"/>
    <col min="8962" max="8962" width="56.5546875" style="606" customWidth="1"/>
    <col min="8963" max="8963" width="7.5546875" style="606" customWidth="1"/>
    <col min="8964" max="8966" width="0" style="606" hidden="1" customWidth="1"/>
    <col min="8967" max="8967" width="10.6640625" style="606" customWidth="1"/>
    <col min="8968" max="8971" width="13.5546875" style="606" customWidth="1"/>
    <col min="8972" max="8972" width="15.5546875" style="606" customWidth="1"/>
    <col min="8973" max="8973" width="21.5546875" style="606" customWidth="1"/>
    <col min="8974" max="9216" width="9.109375" style="606"/>
    <col min="9217" max="9217" width="9.5546875" style="606" customWidth="1"/>
    <col min="9218" max="9218" width="56.5546875" style="606" customWidth="1"/>
    <col min="9219" max="9219" width="7.5546875" style="606" customWidth="1"/>
    <col min="9220" max="9222" width="0" style="606" hidden="1" customWidth="1"/>
    <col min="9223" max="9223" width="10.6640625" style="606" customWidth="1"/>
    <col min="9224" max="9227" width="13.5546875" style="606" customWidth="1"/>
    <col min="9228" max="9228" width="15.5546875" style="606" customWidth="1"/>
    <col min="9229" max="9229" width="21.5546875" style="606" customWidth="1"/>
    <col min="9230" max="9472" width="9.109375" style="606"/>
    <col min="9473" max="9473" width="9.5546875" style="606" customWidth="1"/>
    <col min="9474" max="9474" width="56.5546875" style="606" customWidth="1"/>
    <col min="9475" max="9475" width="7.5546875" style="606" customWidth="1"/>
    <col min="9476" max="9478" width="0" style="606" hidden="1" customWidth="1"/>
    <col min="9479" max="9479" width="10.6640625" style="606" customWidth="1"/>
    <col min="9480" max="9483" width="13.5546875" style="606" customWidth="1"/>
    <col min="9484" max="9484" width="15.5546875" style="606" customWidth="1"/>
    <col min="9485" max="9485" width="21.5546875" style="606" customWidth="1"/>
    <col min="9486" max="9728" width="9.109375" style="606"/>
    <col min="9729" max="9729" width="9.5546875" style="606" customWidth="1"/>
    <col min="9730" max="9730" width="56.5546875" style="606" customWidth="1"/>
    <col min="9731" max="9731" width="7.5546875" style="606" customWidth="1"/>
    <col min="9732" max="9734" width="0" style="606" hidden="1" customWidth="1"/>
    <col min="9735" max="9735" width="10.6640625" style="606" customWidth="1"/>
    <col min="9736" max="9739" width="13.5546875" style="606" customWidth="1"/>
    <col min="9740" max="9740" width="15.5546875" style="606" customWidth="1"/>
    <col min="9741" max="9741" width="21.5546875" style="606" customWidth="1"/>
    <col min="9742" max="9984" width="9.109375" style="606"/>
    <col min="9985" max="9985" width="9.5546875" style="606" customWidth="1"/>
    <col min="9986" max="9986" width="56.5546875" style="606" customWidth="1"/>
    <col min="9987" max="9987" width="7.5546875" style="606" customWidth="1"/>
    <col min="9988" max="9990" width="0" style="606" hidden="1" customWidth="1"/>
    <col min="9991" max="9991" width="10.6640625" style="606" customWidth="1"/>
    <col min="9992" max="9995" width="13.5546875" style="606" customWidth="1"/>
    <col min="9996" max="9996" width="15.5546875" style="606" customWidth="1"/>
    <col min="9997" max="9997" width="21.5546875" style="606" customWidth="1"/>
    <col min="9998" max="10240" width="9.109375" style="606"/>
    <col min="10241" max="10241" width="9.5546875" style="606" customWidth="1"/>
    <col min="10242" max="10242" width="56.5546875" style="606" customWidth="1"/>
    <col min="10243" max="10243" width="7.5546875" style="606" customWidth="1"/>
    <col min="10244" max="10246" width="0" style="606" hidden="1" customWidth="1"/>
    <col min="10247" max="10247" width="10.6640625" style="606" customWidth="1"/>
    <col min="10248" max="10251" width="13.5546875" style="606" customWidth="1"/>
    <col min="10252" max="10252" width="15.5546875" style="606" customWidth="1"/>
    <col min="10253" max="10253" width="21.5546875" style="606" customWidth="1"/>
    <col min="10254" max="10496" width="9.109375" style="606"/>
    <col min="10497" max="10497" width="9.5546875" style="606" customWidth="1"/>
    <col min="10498" max="10498" width="56.5546875" style="606" customWidth="1"/>
    <col min="10499" max="10499" width="7.5546875" style="606" customWidth="1"/>
    <col min="10500" max="10502" width="0" style="606" hidden="1" customWidth="1"/>
    <col min="10503" max="10503" width="10.6640625" style="606" customWidth="1"/>
    <col min="10504" max="10507" width="13.5546875" style="606" customWidth="1"/>
    <col min="10508" max="10508" width="15.5546875" style="606" customWidth="1"/>
    <col min="10509" max="10509" width="21.5546875" style="606" customWidth="1"/>
    <col min="10510" max="10752" width="9.109375" style="606"/>
    <col min="10753" max="10753" width="9.5546875" style="606" customWidth="1"/>
    <col min="10754" max="10754" width="56.5546875" style="606" customWidth="1"/>
    <col min="10755" max="10755" width="7.5546875" style="606" customWidth="1"/>
    <col min="10756" max="10758" width="0" style="606" hidden="1" customWidth="1"/>
    <col min="10759" max="10759" width="10.6640625" style="606" customWidth="1"/>
    <col min="10760" max="10763" width="13.5546875" style="606" customWidth="1"/>
    <col min="10764" max="10764" width="15.5546875" style="606" customWidth="1"/>
    <col min="10765" max="10765" width="21.5546875" style="606" customWidth="1"/>
    <col min="10766" max="11008" width="9.109375" style="606"/>
    <col min="11009" max="11009" width="9.5546875" style="606" customWidth="1"/>
    <col min="11010" max="11010" width="56.5546875" style="606" customWidth="1"/>
    <col min="11011" max="11011" width="7.5546875" style="606" customWidth="1"/>
    <col min="11012" max="11014" width="0" style="606" hidden="1" customWidth="1"/>
    <col min="11015" max="11015" width="10.6640625" style="606" customWidth="1"/>
    <col min="11016" max="11019" width="13.5546875" style="606" customWidth="1"/>
    <col min="11020" max="11020" width="15.5546875" style="606" customWidth="1"/>
    <col min="11021" max="11021" width="21.5546875" style="606" customWidth="1"/>
    <col min="11022" max="11264" width="9.109375" style="606"/>
    <col min="11265" max="11265" width="9.5546875" style="606" customWidth="1"/>
    <col min="11266" max="11266" width="56.5546875" style="606" customWidth="1"/>
    <col min="11267" max="11267" width="7.5546875" style="606" customWidth="1"/>
    <col min="11268" max="11270" width="0" style="606" hidden="1" customWidth="1"/>
    <col min="11271" max="11271" width="10.6640625" style="606" customWidth="1"/>
    <col min="11272" max="11275" width="13.5546875" style="606" customWidth="1"/>
    <col min="11276" max="11276" width="15.5546875" style="606" customWidth="1"/>
    <col min="11277" max="11277" width="21.5546875" style="606" customWidth="1"/>
    <col min="11278" max="11520" width="9.109375" style="606"/>
    <col min="11521" max="11521" width="9.5546875" style="606" customWidth="1"/>
    <col min="11522" max="11522" width="56.5546875" style="606" customWidth="1"/>
    <col min="11523" max="11523" width="7.5546875" style="606" customWidth="1"/>
    <col min="11524" max="11526" width="0" style="606" hidden="1" customWidth="1"/>
    <col min="11527" max="11527" width="10.6640625" style="606" customWidth="1"/>
    <col min="11528" max="11531" width="13.5546875" style="606" customWidth="1"/>
    <col min="11532" max="11532" width="15.5546875" style="606" customWidth="1"/>
    <col min="11533" max="11533" width="21.5546875" style="606" customWidth="1"/>
    <col min="11534" max="11776" width="9.109375" style="606"/>
    <col min="11777" max="11777" width="9.5546875" style="606" customWidth="1"/>
    <col min="11778" max="11778" width="56.5546875" style="606" customWidth="1"/>
    <col min="11779" max="11779" width="7.5546875" style="606" customWidth="1"/>
    <col min="11780" max="11782" width="0" style="606" hidden="1" customWidth="1"/>
    <col min="11783" max="11783" width="10.6640625" style="606" customWidth="1"/>
    <col min="11784" max="11787" width="13.5546875" style="606" customWidth="1"/>
    <col min="11788" max="11788" width="15.5546875" style="606" customWidth="1"/>
    <col min="11789" max="11789" width="21.5546875" style="606" customWidth="1"/>
    <col min="11790" max="12032" width="9.109375" style="606"/>
    <col min="12033" max="12033" width="9.5546875" style="606" customWidth="1"/>
    <col min="12034" max="12034" width="56.5546875" style="606" customWidth="1"/>
    <col min="12035" max="12035" width="7.5546875" style="606" customWidth="1"/>
    <col min="12036" max="12038" width="0" style="606" hidden="1" customWidth="1"/>
    <col min="12039" max="12039" width="10.6640625" style="606" customWidth="1"/>
    <col min="12040" max="12043" width="13.5546875" style="606" customWidth="1"/>
    <col min="12044" max="12044" width="15.5546875" style="606" customWidth="1"/>
    <col min="12045" max="12045" width="21.5546875" style="606" customWidth="1"/>
    <col min="12046" max="12288" width="9.109375" style="606"/>
    <col min="12289" max="12289" width="9.5546875" style="606" customWidth="1"/>
    <col min="12290" max="12290" width="56.5546875" style="606" customWidth="1"/>
    <col min="12291" max="12291" width="7.5546875" style="606" customWidth="1"/>
    <col min="12292" max="12294" width="0" style="606" hidden="1" customWidth="1"/>
    <col min="12295" max="12295" width="10.6640625" style="606" customWidth="1"/>
    <col min="12296" max="12299" width="13.5546875" style="606" customWidth="1"/>
    <col min="12300" max="12300" width="15.5546875" style="606" customWidth="1"/>
    <col min="12301" max="12301" width="21.5546875" style="606" customWidth="1"/>
    <col min="12302" max="12544" width="9.109375" style="606"/>
    <col min="12545" max="12545" width="9.5546875" style="606" customWidth="1"/>
    <col min="12546" max="12546" width="56.5546875" style="606" customWidth="1"/>
    <col min="12547" max="12547" width="7.5546875" style="606" customWidth="1"/>
    <col min="12548" max="12550" width="0" style="606" hidden="1" customWidth="1"/>
    <col min="12551" max="12551" width="10.6640625" style="606" customWidth="1"/>
    <col min="12552" max="12555" width="13.5546875" style="606" customWidth="1"/>
    <col min="12556" max="12556" width="15.5546875" style="606" customWidth="1"/>
    <col min="12557" max="12557" width="21.5546875" style="606" customWidth="1"/>
    <col min="12558" max="12800" width="9.109375" style="606"/>
    <col min="12801" max="12801" width="9.5546875" style="606" customWidth="1"/>
    <col min="12802" max="12802" width="56.5546875" style="606" customWidth="1"/>
    <col min="12803" max="12803" width="7.5546875" style="606" customWidth="1"/>
    <col min="12804" max="12806" width="0" style="606" hidden="1" customWidth="1"/>
    <col min="12807" max="12807" width="10.6640625" style="606" customWidth="1"/>
    <col min="12808" max="12811" width="13.5546875" style="606" customWidth="1"/>
    <col min="12812" max="12812" width="15.5546875" style="606" customWidth="1"/>
    <col min="12813" max="12813" width="21.5546875" style="606" customWidth="1"/>
    <col min="12814" max="13056" width="9.109375" style="606"/>
    <col min="13057" max="13057" width="9.5546875" style="606" customWidth="1"/>
    <col min="13058" max="13058" width="56.5546875" style="606" customWidth="1"/>
    <col min="13059" max="13059" width="7.5546875" style="606" customWidth="1"/>
    <col min="13060" max="13062" width="0" style="606" hidden="1" customWidth="1"/>
    <col min="13063" max="13063" width="10.6640625" style="606" customWidth="1"/>
    <col min="13064" max="13067" width="13.5546875" style="606" customWidth="1"/>
    <col min="13068" max="13068" width="15.5546875" style="606" customWidth="1"/>
    <col min="13069" max="13069" width="21.5546875" style="606" customWidth="1"/>
    <col min="13070" max="13312" width="9.109375" style="606"/>
    <col min="13313" max="13313" width="9.5546875" style="606" customWidth="1"/>
    <col min="13314" max="13314" width="56.5546875" style="606" customWidth="1"/>
    <col min="13315" max="13315" width="7.5546875" style="606" customWidth="1"/>
    <col min="13316" max="13318" width="0" style="606" hidden="1" customWidth="1"/>
    <col min="13319" max="13319" width="10.6640625" style="606" customWidth="1"/>
    <col min="13320" max="13323" width="13.5546875" style="606" customWidth="1"/>
    <col min="13324" max="13324" width="15.5546875" style="606" customWidth="1"/>
    <col min="13325" max="13325" width="21.5546875" style="606" customWidth="1"/>
    <col min="13326" max="13568" width="9.109375" style="606"/>
    <col min="13569" max="13569" width="9.5546875" style="606" customWidth="1"/>
    <col min="13570" max="13570" width="56.5546875" style="606" customWidth="1"/>
    <col min="13571" max="13571" width="7.5546875" style="606" customWidth="1"/>
    <col min="13572" max="13574" width="0" style="606" hidden="1" customWidth="1"/>
    <col min="13575" max="13575" width="10.6640625" style="606" customWidth="1"/>
    <col min="13576" max="13579" width="13.5546875" style="606" customWidth="1"/>
    <col min="13580" max="13580" width="15.5546875" style="606" customWidth="1"/>
    <col min="13581" max="13581" width="21.5546875" style="606" customWidth="1"/>
    <col min="13582" max="13824" width="9.109375" style="606"/>
    <col min="13825" max="13825" width="9.5546875" style="606" customWidth="1"/>
    <col min="13826" max="13826" width="56.5546875" style="606" customWidth="1"/>
    <col min="13827" max="13827" width="7.5546875" style="606" customWidth="1"/>
    <col min="13828" max="13830" width="0" style="606" hidden="1" customWidth="1"/>
    <col min="13831" max="13831" width="10.6640625" style="606" customWidth="1"/>
    <col min="13832" max="13835" width="13.5546875" style="606" customWidth="1"/>
    <col min="13836" max="13836" width="15.5546875" style="606" customWidth="1"/>
    <col min="13837" max="13837" width="21.5546875" style="606" customWidth="1"/>
    <col min="13838" max="14080" width="9.109375" style="606"/>
    <col min="14081" max="14081" width="9.5546875" style="606" customWidth="1"/>
    <col min="14082" max="14082" width="56.5546875" style="606" customWidth="1"/>
    <col min="14083" max="14083" width="7.5546875" style="606" customWidth="1"/>
    <col min="14084" max="14086" width="0" style="606" hidden="1" customWidth="1"/>
    <col min="14087" max="14087" width="10.6640625" style="606" customWidth="1"/>
    <col min="14088" max="14091" width="13.5546875" style="606" customWidth="1"/>
    <col min="14092" max="14092" width="15.5546875" style="606" customWidth="1"/>
    <col min="14093" max="14093" width="21.5546875" style="606" customWidth="1"/>
    <col min="14094" max="14336" width="9.109375" style="606"/>
    <col min="14337" max="14337" width="9.5546875" style="606" customWidth="1"/>
    <col min="14338" max="14338" width="56.5546875" style="606" customWidth="1"/>
    <col min="14339" max="14339" width="7.5546875" style="606" customWidth="1"/>
    <col min="14340" max="14342" width="0" style="606" hidden="1" customWidth="1"/>
    <col min="14343" max="14343" width="10.6640625" style="606" customWidth="1"/>
    <col min="14344" max="14347" width="13.5546875" style="606" customWidth="1"/>
    <col min="14348" max="14348" width="15.5546875" style="606" customWidth="1"/>
    <col min="14349" max="14349" width="21.5546875" style="606" customWidth="1"/>
    <col min="14350" max="14592" width="9.109375" style="606"/>
    <col min="14593" max="14593" width="9.5546875" style="606" customWidth="1"/>
    <col min="14594" max="14594" width="56.5546875" style="606" customWidth="1"/>
    <col min="14595" max="14595" width="7.5546875" style="606" customWidth="1"/>
    <col min="14596" max="14598" width="0" style="606" hidden="1" customWidth="1"/>
    <col min="14599" max="14599" width="10.6640625" style="606" customWidth="1"/>
    <col min="14600" max="14603" width="13.5546875" style="606" customWidth="1"/>
    <col min="14604" max="14604" width="15.5546875" style="606" customWidth="1"/>
    <col min="14605" max="14605" width="21.5546875" style="606" customWidth="1"/>
    <col min="14606" max="14848" width="9.109375" style="606"/>
    <col min="14849" max="14849" width="9.5546875" style="606" customWidth="1"/>
    <col min="14850" max="14850" width="56.5546875" style="606" customWidth="1"/>
    <col min="14851" max="14851" width="7.5546875" style="606" customWidth="1"/>
    <col min="14852" max="14854" width="0" style="606" hidden="1" customWidth="1"/>
    <col min="14855" max="14855" width="10.6640625" style="606" customWidth="1"/>
    <col min="14856" max="14859" width="13.5546875" style="606" customWidth="1"/>
    <col min="14860" max="14860" width="15.5546875" style="606" customWidth="1"/>
    <col min="14861" max="14861" width="21.5546875" style="606" customWidth="1"/>
    <col min="14862" max="15104" width="9.109375" style="606"/>
    <col min="15105" max="15105" width="9.5546875" style="606" customWidth="1"/>
    <col min="15106" max="15106" width="56.5546875" style="606" customWidth="1"/>
    <col min="15107" max="15107" width="7.5546875" style="606" customWidth="1"/>
    <col min="15108" max="15110" width="0" style="606" hidden="1" customWidth="1"/>
    <col min="15111" max="15111" width="10.6640625" style="606" customWidth="1"/>
    <col min="15112" max="15115" width="13.5546875" style="606" customWidth="1"/>
    <col min="15116" max="15116" width="15.5546875" style="606" customWidth="1"/>
    <col min="15117" max="15117" width="21.5546875" style="606" customWidth="1"/>
    <col min="15118" max="15360" width="9.109375" style="606"/>
    <col min="15361" max="15361" width="9.5546875" style="606" customWidth="1"/>
    <col min="15362" max="15362" width="56.5546875" style="606" customWidth="1"/>
    <col min="15363" max="15363" width="7.5546875" style="606" customWidth="1"/>
    <col min="15364" max="15366" width="0" style="606" hidden="1" customWidth="1"/>
    <col min="15367" max="15367" width="10.6640625" style="606" customWidth="1"/>
    <col min="15368" max="15371" width="13.5546875" style="606" customWidth="1"/>
    <col min="15372" max="15372" width="15.5546875" style="606" customWidth="1"/>
    <col min="15373" max="15373" width="21.5546875" style="606" customWidth="1"/>
    <col min="15374" max="15616" width="9.109375" style="606"/>
    <col min="15617" max="15617" width="9.5546875" style="606" customWidth="1"/>
    <col min="15618" max="15618" width="56.5546875" style="606" customWidth="1"/>
    <col min="15619" max="15619" width="7.5546875" style="606" customWidth="1"/>
    <col min="15620" max="15622" width="0" style="606" hidden="1" customWidth="1"/>
    <col min="15623" max="15623" width="10.6640625" style="606" customWidth="1"/>
    <col min="15624" max="15627" width="13.5546875" style="606" customWidth="1"/>
    <col min="15628" max="15628" width="15.5546875" style="606" customWidth="1"/>
    <col min="15629" max="15629" width="21.5546875" style="606" customWidth="1"/>
    <col min="15630" max="15872" width="9.109375" style="606"/>
    <col min="15873" max="15873" width="9.5546875" style="606" customWidth="1"/>
    <col min="15874" max="15874" width="56.5546875" style="606" customWidth="1"/>
    <col min="15875" max="15875" width="7.5546875" style="606" customWidth="1"/>
    <col min="15876" max="15878" width="0" style="606" hidden="1" customWidth="1"/>
    <col min="15879" max="15879" width="10.6640625" style="606" customWidth="1"/>
    <col min="15880" max="15883" width="13.5546875" style="606" customWidth="1"/>
    <col min="15884" max="15884" width="15.5546875" style="606" customWidth="1"/>
    <col min="15885" max="15885" width="21.5546875" style="606" customWidth="1"/>
    <col min="15886" max="16128" width="9.109375" style="606"/>
    <col min="16129" max="16129" width="9.5546875" style="606" customWidth="1"/>
    <col min="16130" max="16130" width="56.5546875" style="606" customWidth="1"/>
    <col min="16131" max="16131" width="7.5546875" style="606" customWidth="1"/>
    <col min="16132" max="16134" width="0" style="606" hidden="1" customWidth="1"/>
    <col min="16135" max="16135" width="10.6640625" style="606" customWidth="1"/>
    <col min="16136" max="16139" width="13.5546875" style="606" customWidth="1"/>
    <col min="16140" max="16140" width="15.5546875" style="606" customWidth="1"/>
    <col min="16141" max="16141" width="21.5546875" style="606" customWidth="1"/>
    <col min="16142" max="16384" width="9.109375" style="606"/>
  </cols>
  <sheetData>
    <row r="1" spans="1:16" s="534" customFormat="1" ht="20.100000000000001" customHeight="1">
      <c r="A1" s="531" t="s">
        <v>37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3"/>
    </row>
    <row r="2" spans="1:16" s="534" customFormat="1" ht="20.100000000000001" customHeight="1">
      <c r="A2" s="535" t="s">
        <v>46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7"/>
    </row>
    <row r="3" spans="1:16" s="534" customFormat="1" ht="20.100000000000001" customHeight="1">
      <c r="A3" s="538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539"/>
      <c r="C3" s="540"/>
      <c r="D3" s="163"/>
      <c r="E3" s="139"/>
      <c r="F3" s="139"/>
      <c r="G3" s="139"/>
      <c r="H3" s="140"/>
      <c r="I3" s="140"/>
      <c r="J3" s="164"/>
      <c r="K3" s="164"/>
      <c r="L3" s="142"/>
      <c r="M3" s="541" t="str">
        <f>'[2]cover '!D2</f>
        <v xml:space="preserve">จัดทำโดย คณะสถาปัตยกรรมศาสตร์ 
</v>
      </c>
    </row>
    <row r="4" spans="1:16" s="534" customFormat="1" ht="20.100000000000001" customHeight="1">
      <c r="A4" s="538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540"/>
      <c r="C4" s="540"/>
      <c r="D4" s="163"/>
      <c r="E4" s="139"/>
      <c r="F4" s="139"/>
      <c r="G4" s="139"/>
      <c r="H4" s="140"/>
      <c r="I4" s="140"/>
      <c r="J4" s="542" t="s">
        <v>259</v>
      </c>
      <c r="K4" s="542"/>
      <c r="L4" s="542"/>
      <c r="M4" s="543"/>
    </row>
    <row r="5" spans="1:16" s="534" customFormat="1" ht="20.100000000000001" customHeight="1" thickBot="1">
      <c r="A5" s="538" t="str">
        <f>'[2]cover '!A4</f>
        <v>แบบบ้าน  :  บ้านดีดีรักษ์น้ำ 2</v>
      </c>
      <c r="B5" s="540"/>
      <c r="C5" s="540"/>
      <c r="D5" s="163"/>
      <c r="E5" s="139"/>
      <c r="F5" s="139"/>
      <c r="G5" s="139"/>
      <c r="H5" s="140"/>
      <c r="I5" s="140"/>
      <c r="J5" s="141"/>
      <c r="K5" s="141"/>
      <c r="L5" s="139"/>
      <c r="M5" s="541"/>
    </row>
    <row r="6" spans="1:16" s="549" customFormat="1" ht="20.100000000000001" customHeight="1">
      <c r="A6" s="544" t="s">
        <v>3</v>
      </c>
      <c r="B6" s="545" t="s">
        <v>4</v>
      </c>
      <c r="C6" s="545" t="s">
        <v>38</v>
      </c>
      <c r="D6" s="262" t="s">
        <v>47</v>
      </c>
      <c r="E6" s="459" t="s">
        <v>39</v>
      </c>
      <c r="F6" s="459" t="s">
        <v>39</v>
      </c>
      <c r="G6" s="473" t="s">
        <v>39</v>
      </c>
      <c r="H6" s="546" t="s">
        <v>40</v>
      </c>
      <c r="I6" s="547"/>
      <c r="J6" s="475" t="s">
        <v>41</v>
      </c>
      <c r="K6" s="476"/>
      <c r="L6" s="263" t="s">
        <v>6</v>
      </c>
      <c r="M6" s="548" t="s">
        <v>42</v>
      </c>
    </row>
    <row r="7" spans="1:16" s="549" customFormat="1" ht="20.100000000000001" customHeight="1" thickBot="1">
      <c r="A7" s="550"/>
      <c r="B7" s="551"/>
      <c r="C7" s="551"/>
      <c r="D7" s="264" t="s">
        <v>48</v>
      </c>
      <c r="E7" s="460"/>
      <c r="F7" s="265"/>
      <c r="G7" s="474"/>
      <c r="H7" s="266" t="s">
        <v>43</v>
      </c>
      <c r="I7" s="266" t="s">
        <v>44</v>
      </c>
      <c r="J7" s="266" t="s">
        <v>43</v>
      </c>
      <c r="K7" s="266" t="s">
        <v>44</v>
      </c>
      <c r="L7" s="267" t="s">
        <v>45</v>
      </c>
      <c r="M7" s="552"/>
    </row>
    <row r="8" spans="1:16" s="557" customFormat="1" ht="20.100000000000001" customHeight="1">
      <c r="A8" s="553" t="s">
        <v>49</v>
      </c>
      <c r="B8" s="554" t="s">
        <v>50</v>
      </c>
      <c r="C8" s="555"/>
      <c r="D8" s="153"/>
      <c r="E8" s="154"/>
      <c r="F8" s="155"/>
      <c r="G8" s="156"/>
      <c r="H8" s="156"/>
      <c r="I8" s="156"/>
      <c r="J8" s="156"/>
      <c r="K8" s="156"/>
      <c r="L8" s="157"/>
      <c r="M8" s="556"/>
    </row>
    <row r="9" spans="1:16" s="557" customFormat="1" ht="20.100000000000001" customHeight="1">
      <c r="A9" s="558" t="s">
        <v>11</v>
      </c>
      <c r="B9" s="559" t="s">
        <v>190</v>
      </c>
      <c r="C9" s="560"/>
      <c r="D9" s="158"/>
      <c r="E9" s="159"/>
      <c r="F9" s="159"/>
      <c r="G9" s="133"/>
      <c r="H9" s="133"/>
      <c r="I9" s="133"/>
      <c r="J9" s="133"/>
      <c r="K9" s="133"/>
      <c r="L9" s="161"/>
      <c r="M9" s="561"/>
    </row>
    <row r="10" spans="1:16" s="566" customFormat="1" ht="18.899999999999999" customHeight="1">
      <c r="A10" s="562" t="s">
        <v>51</v>
      </c>
      <c r="B10" s="563" t="s">
        <v>269</v>
      </c>
      <c r="C10" s="564" t="s">
        <v>52</v>
      </c>
      <c r="D10" s="115">
        <v>0</v>
      </c>
      <c r="E10" s="116">
        <v>58</v>
      </c>
      <c r="F10" s="117"/>
      <c r="G10" s="118">
        <v>21</v>
      </c>
      <c r="H10" s="117">
        <v>5460</v>
      </c>
      <c r="I10" s="118">
        <f>G10*H10</f>
        <v>114660</v>
      </c>
      <c r="J10" s="118">
        <v>0</v>
      </c>
      <c r="K10" s="118">
        <f>SUM(G10*J10)</f>
        <v>0</v>
      </c>
      <c r="L10" s="119">
        <f t="shared" ref="L10:L18" si="0">SUM(I10+K10)</f>
        <v>114660</v>
      </c>
      <c r="M10" s="565"/>
      <c r="O10" s="566">
        <v>1</v>
      </c>
      <c r="P10" s="164">
        <v>21</v>
      </c>
    </row>
    <row r="11" spans="1:16" s="566" customFormat="1" ht="18.899999999999999" customHeight="1">
      <c r="A11" s="562" t="s">
        <v>192</v>
      </c>
      <c r="B11" s="567" t="s">
        <v>270</v>
      </c>
      <c r="C11" s="564" t="s">
        <v>52</v>
      </c>
      <c r="D11" s="115">
        <v>0</v>
      </c>
      <c r="E11" s="116">
        <v>58</v>
      </c>
      <c r="F11" s="117"/>
      <c r="G11" s="118">
        <v>21</v>
      </c>
      <c r="H11" s="117">
        <v>0</v>
      </c>
      <c r="I11" s="118">
        <f>G11*H11</f>
        <v>0</v>
      </c>
      <c r="J11" s="118">
        <v>230</v>
      </c>
      <c r="K11" s="118">
        <f t="shared" ref="K11:K18" si="1">SUM(G11*J11)</f>
        <v>4830</v>
      </c>
      <c r="L11" s="119">
        <f t="shared" si="0"/>
        <v>4830</v>
      </c>
      <c r="M11" s="565"/>
      <c r="O11" s="566">
        <v>1</v>
      </c>
      <c r="P11" s="164">
        <f>P10</f>
        <v>21</v>
      </c>
    </row>
    <row r="12" spans="1:16" s="566" customFormat="1" ht="18.899999999999999" customHeight="1">
      <c r="A12" s="562" t="s">
        <v>53</v>
      </c>
      <c r="B12" s="563" t="s">
        <v>271</v>
      </c>
      <c r="C12" s="564" t="s">
        <v>179</v>
      </c>
      <c r="D12" s="115">
        <v>0</v>
      </c>
      <c r="E12" s="116">
        <v>58</v>
      </c>
      <c r="F12" s="117"/>
      <c r="G12" s="118">
        <v>21</v>
      </c>
      <c r="H12" s="117">
        <v>0</v>
      </c>
      <c r="I12" s="118">
        <f>G12*H12</f>
        <v>0</v>
      </c>
      <c r="J12" s="118">
        <v>1450</v>
      </c>
      <c r="K12" s="118">
        <f t="shared" si="1"/>
        <v>30450</v>
      </c>
      <c r="L12" s="119">
        <f t="shared" si="0"/>
        <v>30450</v>
      </c>
      <c r="M12" s="565"/>
      <c r="O12" s="566">
        <v>1</v>
      </c>
      <c r="P12" s="164">
        <f>P10</f>
        <v>21</v>
      </c>
    </row>
    <row r="13" spans="1:16" s="566" customFormat="1" ht="18.899999999999999" customHeight="1">
      <c r="A13" s="562" t="s">
        <v>56</v>
      </c>
      <c r="B13" s="567" t="s">
        <v>54</v>
      </c>
      <c r="C13" s="564" t="s">
        <v>55</v>
      </c>
      <c r="D13" s="115">
        <v>0</v>
      </c>
      <c r="E13" s="116">
        <v>153</v>
      </c>
      <c r="F13" s="117"/>
      <c r="G13" s="118">
        <v>11.115000000000002</v>
      </c>
      <c r="H13" s="117">
        <v>0</v>
      </c>
      <c r="I13" s="118">
        <f>G13*H13</f>
        <v>0</v>
      </c>
      <c r="J13" s="118">
        <v>125</v>
      </c>
      <c r="K13" s="118">
        <f t="shared" si="1"/>
        <v>1389.3750000000002</v>
      </c>
      <c r="L13" s="119">
        <f t="shared" si="0"/>
        <v>1389.3750000000002</v>
      </c>
      <c r="M13" s="565"/>
      <c r="O13" s="566">
        <v>1</v>
      </c>
      <c r="P13" s="164">
        <v>22</v>
      </c>
    </row>
    <row r="14" spans="1:16" s="566" customFormat="1" ht="18.899999999999999" customHeight="1">
      <c r="A14" s="562" t="s">
        <v>58</v>
      </c>
      <c r="B14" s="568" t="s">
        <v>57</v>
      </c>
      <c r="C14" s="564" t="s">
        <v>55</v>
      </c>
      <c r="D14" s="115">
        <v>0</v>
      </c>
      <c r="E14" s="116">
        <v>141</v>
      </c>
      <c r="F14" s="117"/>
      <c r="G14" s="118">
        <v>3.3345000000000011</v>
      </c>
      <c r="H14" s="117">
        <v>0</v>
      </c>
      <c r="I14" s="118">
        <f>G14*H14</f>
        <v>0</v>
      </c>
      <c r="J14" s="118">
        <v>99</v>
      </c>
      <c r="K14" s="118">
        <f t="shared" si="1"/>
        <v>330.11550000000011</v>
      </c>
      <c r="L14" s="119">
        <f t="shared" si="0"/>
        <v>330.11550000000011</v>
      </c>
      <c r="M14" s="565"/>
      <c r="O14" s="566">
        <v>1</v>
      </c>
      <c r="P14" s="164">
        <v>14</v>
      </c>
    </row>
    <row r="15" spans="1:16" s="566" customFormat="1" ht="18.899999999999999" customHeight="1">
      <c r="A15" s="562" t="s">
        <v>59</v>
      </c>
      <c r="B15" s="568" t="s">
        <v>191</v>
      </c>
      <c r="C15" s="564" t="s">
        <v>55</v>
      </c>
      <c r="D15" s="115">
        <v>0.3</v>
      </c>
      <c r="E15" s="116">
        <v>0.85</v>
      </c>
      <c r="F15" s="117"/>
      <c r="G15" s="118">
        <v>1.78125</v>
      </c>
      <c r="H15" s="117">
        <v>453.33</v>
      </c>
      <c r="I15" s="118">
        <f t="shared" ref="I15:I20" si="2">SUM(G15*H15)</f>
        <v>807.49406249999993</v>
      </c>
      <c r="J15" s="118">
        <v>91</v>
      </c>
      <c r="K15" s="118">
        <f t="shared" si="1"/>
        <v>162.09375</v>
      </c>
      <c r="L15" s="119">
        <f t="shared" si="0"/>
        <v>969.58781249999993</v>
      </c>
      <c r="M15" s="565"/>
      <c r="O15" s="566">
        <v>1</v>
      </c>
      <c r="P15" s="164">
        <v>0.5</v>
      </c>
    </row>
    <row r="16" spans="1:16" s="566" customFormat="1" ht="18.899999999999999" customHeight="1">
      <c r="A16" s="562" t="s">
        <v>60</v>
      </c>
      <c r="B16" s="568" t="s">
        <v>61</v>
      </c>
      <c r="C16" s="564" t="s">
        <v>55</v>
      </c>
      <c r="D16" s="115">
        <v>0.1</v>
      </c>
      <c r="E16" s="116">
        <v>0.85</v>
      </c>
      <c r="F16" s="117"/>
      <c r="G16" s="118">
        <v>1.425</v>
      </c>
      <c r="H16" s="117">
        <v>2034</v>
      </c>
      <c r="I16" s="118">
        <f t="shared" si="2"/>
        <v>2898.4500000000003</v>
      </c>
      <c r="J16" s="118">
        <v>398</v>
      </c>
      <c r="K16" s="118">
        <f t="shared" si="1"/>
        <v>567.15</v>
      </c>
      <c r="L16" s="119">
        <f t="shared" si="0"/>
        <v>3465.6000000000004</v>
      </c>
      <c r="M16" s="565"/>
      <c r="O16" s="566">
        <v>1</v>
      </c>
      <c r="P16" s="164">
        <v>0.3</v>
      </c>
    </row>
    <row r="17" spans="1:16" s="566" customFormat="1" ht="18.899999999999999" customHeight="1">
      <c r="A17" s="562" t="s">
        <v>62</v>
      </c>
      <c r="B17" s="568" t="s">
        <v>94</v>
      </c>
      <c r="C17" s="564" t="s">
        <v>55</v>
      </c>
      <c r="D17" s="115">
        <v>0.05</v>
      </c>
      <c r="E17" s="116">
        <v>29</v>
      </c>
      <c r="F17" s="117"/>
      <c r="G17" s="118">
        <v>8.5500000000000007</v>
      </c>
      <c r="H17" s="117">
        <v>2259</v>
      </c>
      <c r="I17" s="118">
        <f t="shared" si="2"/>
        <v>19314.45</v>
      </c>
      <c r="J17" s="118">
        <v>391</v>
      </c>
      <c r="K17" s="118">
        <f t="shared" si="1"/>
        <v>3343.05</v>
      </c>
      <c r="L17" s="119">
        <f t="shared" si="0"/>
        <v>22657.5</v>
      </c>
      <c r="M17" s="565"/>
      <c r="O17" s="566">
        <v>1</v>
      </c>
      <c r="P17" s="164">
        <v>2.5</v>
      </c>
    </row>
    <row r="18" spans="1:16" s="566" customFormat="1" ht="18.899999999999999" customHeight="1">
      <c r="A18" s="562" t="s">
        <v>63</v>
      </c>
      <c r="B18" s="568" t="s">
        <v>200</v>
      </c>
      <c r="C18" s="564" t="s">
        <v>64</v>
      </c>
      <c r="D18" s="115">
        <v>0</v>
      </c>
      <c r="E18" s="116">
        <v>423</v>
      </c>
      <c r="F18" s="117"/>
      <c r="G18" s="118">
        <v>20.16</v>
      </c>
      <c r="H18" s="117">
        <v>400</v>
      </c>
      <c r="I18" s="118">
        <f t="shared" si="2"/>
        <v>8064</v>
      </c>
      <c r="J18" s="118">
        <v>105</v>
      </c>
      <c r="K18" s="118">
        <f t="shared" si="1"/>
        <v>2116.8000000000002</v>
      </c>
      <c r="L18" s="119">
        <f t="shared" si="0"/>
        <v>10180.799999999999</v>
      </c>
      <c r="M18" s="565"/>
      <c r="O18" s="566">
        <v>1</v>
      </c>
      <c r="P18" s="164">
        <v>19.899999999999999</v>
      </c>
    </row>
    <row r="19" spans="1:16" s="566" customFormat="1" ht="18.899999999999999" customHeight="1">
      <c r="A19" s="562" t="s">
        <v>65</v>
      </c>
      <c r="B19" s="569" t="s">
        <v>444</v>
      </c>
      <c r="C19" s="564" t="s">
        <v>64</v>
      </c>
      <c r="D19" s="216"/>
      <c r="E19" s="217"/>
      <c r="F19" s="218"/>
      <c r="G19" s="219">
        <v>28.8</v>
      </c>
      <c r="H19" s="218">
        <v>0</v>
      </c>
      <c r="I19" s="219">
        <f t="shared" si="2"/>
        <v>0</v>
      </c>
      <c r="J19" s="118">
        <v>105</v>
      </c>
      <c r="K19" s="118">
        <f>SUM(G19*J19)</f>
        <v>3024</v>
      </c>
      <c r="L19" s="119">
        <f>SUM(I19+K19)</f>
        <v>3024</v>
      </c>
      <c r="M19" s="565"/>
      <c r="P19" s="164"/>
    </row>
    <row r="20" spans="1:16" s="566" customFormat="1" ht="18.899999999999999" customHeight="1">
      <c r="A20" s="562" t="s">
        <v>70</v>
      </c>
      <c r="B20" s="568" t="s">
        <v>445</v>
      </c>
      <c r="C20" s="564" t="s">
        <v>64</v>
      </c>
      <c r="D20" s="115">
        <v>0</v>
      </c>
      <c r="E20" s="116">
        <v>423</v>
      </c>
      <c r="F20" s="117"/>
      <c r="G20" s="118">
        <f>G18*0.3</f>
        <v>6.048</v>
      </c>
      <c r="H20" s="117">
        <v>400</v>
      </c>
      <c r="I20" s="118">
        <f t="shared" si="2"/>
        <v>2419.1999999999998</v>
      </c>
      <c r="J20" s="118">
        <v>0</v>
      </c>
      <c r="K20" s="118">
        <f>SUM(G20*J20)</f>
        <v>0</v>
      </c>
      <c r="L20" s="119">
        <f>SUM(I20+K20)</f>
        <v>2419.1999999999998</v>
      </c>
      <c r="M20" s="565"/>
      <c r="P20" s="164"/>
    </row>
    <row r="21" spans="1:16" s="566" customFormat="1" ht="18.899999999999999" customHeight="1">
      <c r="A21" s="562" t="s">
        <v>72</v>
      </c>
      <c r="B21" s="568" t="s">
        <v>66</v>
      </c>
      <c r="C21" s="564"/>
      <c r="D21" s="192"/>
      <c r="E21" s="117"/>
      <c r="F21" s="117"/>
      <c r="G21" s="118"/>
      <c r="H21" s="118"/>
      <c r="I21" s="118"/>
      <c r="J21" s="118"/>
      <c r="K21" s="118"/>
      <c r="L21" s="119"/>
      <c r="M21" s="565"/>
      <c r="O21" s="566">
        <v>1</v>
      </c>
      <c r="P21" s="164"/>
    </row>
    <row r="22" spans="1:16" s="566" customFormat="1" ht="18.899999999999999" customHeight="1">
      <c r="A22" s="570"/>
      <c r="B22" s="568" t="s">
        <v>166</v>
      </c>
      <c r="C22" s="564" t="s">
        <v>68</v>
      </c>
      <c r="D22" s="115">
        <v>0.11</v>
      </c>
      <c r="E22" s="116">
        <v>1174</v>
      </c>
      <c r="F22" s="117"/>
      <c r="G22" s="118">
        <v>787.49971200000005</v>
      </c>
      <c r="H22" s="117">
        <v>17.100000000000001</v>
      </c>
      <c r="I22" s="118">
        <f>SUM(G22*H22)</f>
        <v>13466.245075200002</v>
      </c>
      <c r="J22" s="118">
        <v>3.3</v>
      </c>
      <c r="K22" s="118">
        <f>SUM(G22*J22)</f>
        <v>2598.7490496</v>
      </c>
      <c r="L22" s="119">
        <f>SUM(I22+K22)</f>
        <v>16064.994124800003</v>
      </c>
      <c r="M22" s="565"/>
      <c r="O22" s="566">
        <v>1</v>
      </c>
      <c r="P22" s="164">
        <v>311</v>
      </c>
    </row>
    <row r="23" spans="1:16" s="566" customFormat="1" ht="18.899999999999999" customHeight="1">
      <c r="A23" s="562" t="s">
        <v>222</v>
      </c>
      <c r="B23" s="568" t="s">
        <v>71</v>
      </c>
      <c r="C23" s="564" t="s">
        <v>68</v>
      </c>
      <c r="D23" s="115">
        <v>0</v>
      </c>
      <c r="E23" s="117">
        <v>211</v>
      </c>
      <c r="F23" s="117"/>
      <c r="G23" s="118">
        <v>23.624991359999999</v>
      </c>
      <c r="H23" s="117">
        <v>21.11</v>
      </c>
      <c r="I23" s="118">
        <f>SUM(G23*H23)</f>
        <v>498.72356760959997</v>
      </c>
      <c r="J23" s="118">
        <v>0</v>
      </c>
      <c r="K23" s="118">
        <f>SUM(G23*J23)</f>
        <v>0</v>
      </c>
      <c r="L23" s="119">
        <f>SUM(I23+K23)</f>
        <v>498.72356760959997</v>
      </c>
      <c r="M23" s="565"/>
      <c r="O23" s="566">
        <v>1</v>
      </c>
      <c r="P23" s="164">
        <v>15</v>
      </c>
    </row>
    <row r="24" spans="1:16" s="566" customFormat="1" ht="18.899999999999999" customHeight="1">
      <c r="A24" s="562" t="s">
        <v>272</v>
      </c>
      <c r="B24" s="567" t="s">
        <v>73</v>
      </c>
      <c r="C24" s="564" t="s">
        <v>68</v>
      </c>
      <c r="D24" s="115">
        <v>0</v>
      </c>
      <c r="E24" s="117">
        <v>127</v>
      </c>
      <c r="F24" s="117"/>
      <c r="G24" s="118">
        <v>7.2</v>
      </c>
      <c r="H24" s="117">
        <v>23.7</v>
      </c>
      <c r="I24" s="118">
        <f>SUM(G24*H24)</f>
        <v>170.64</v>
      </c>
      <c r="J24" s="118">
        <v>0</v>
      </c>
      <c r="K24" s="118">
        <f>SUM(G24*J24)</f>
        <v>0</v>
      </c>
      <c r="L24" s="119">
        <f>SUM(I24+K24)</f>
        <v>170.64</v>
      </c>
      <c r="M24" s="565"/>
      <c r="O24" s="566">
        <v>1</v>
      </c>
      <c r="P24" s="164">
        <v>10</v>
      </c>
    </row>
    <row r="25" spans="1:16" s="566" customFormat="1" ht="18.899999999999999" customHeight="1" thickBot="1">
      <c r="A25" s="571"/>
      <c r="B25" s="572"/>
      <c r="C25" s="573"/>
      <c r="D25" s="122"/>
      <c r="E25" s="123"/>
      <c r="F25" s="124"/>
      <c r="G25" s="125"/>
      <c r="H25" s="125"/>
      <c r="I25" s="125"/>
      <c r="J25" s="125"/>
      <c r="K25" s="125"/>
      <c r="L25" s="126"/>
      <c r="M25" s="574" t="s">
        <v>34</v>
      </c>
      <c r="O25" s="566">
        <v>1</v>
      </c>
      <c r="P25" s="164"/>
    </row>
    <row r="26" spans="1:16" s="557" customFormat="1" ht="20.100000000000001" customHeight="1" thickTop="1">
      <c r="A26" s="575"/>
      <c r="B26" s="576"/>
      <c r="C26" s="576"/>
      <c r="D26" s="74"/>
      <c r="E26" s="151"/>
      <c r="F26" s="75"/>
      <c r="G26" s="76"/>
      <c r="H26" s="76"/>
      <c r="I26" s="76"/>
      <c r="J26" s="76"/>
      <c r="K26" s="76"/>
      <c r="L26" s="76"/>
      <c r="M26" s="577"/>
      <c r="O26" s="566">
        <v>1</v>
      </c>
      <c r="P26" s="141"/>
    </row>
    <row r="27" spans="1:16" s="557" customFormat="1" ht="20.100000000000001" customHeight="1">
      <c r="A27" s="578" t="s">
        <v>12</v>
      </c>
      <c r="B27" s="579" t="s">
        <v>446</v>
      </c>
      <c r="C27" s="580"/>
      <c r="D27" s="89"/>
      <c r="E27" s="162"/>
      <c r="F27" s="90"/>
      <c r="G27" s="91"/>
      <c r="H27" s="91"/>
      <c r="I27" s="91"/>
      <c r="J27" s="91"/>
      <c r="K27" s="91"/>
      <c r="L27" s="92"/>
      <c r="M27" s="581"/>
      <c r="O27" s="566">
        <v>1</v>
      </c>
      <c r="P27" s="141"/>
    </row>
    <row r="28" spans="1:16" s="566" customFormat="1" ht="18.899999999999999" customHeight="1">
      <c r="A28" s="562" t="s">
        <v>75</v>
      </c>
      <c r="B28" s="568" t="s">
        <v>228</v>
      </c>
      <c r="C28" s="564" t="s">
        <v>55</v>
      </c>
      <c r="D28" s="115">
        <v>0</v>
      </c>
      <c r="E28" s="116">
        <v>0</v>
      </c>
      <c r="F28" s="117"/>
      <c r="G28" s="118">
        <v>12.448800000000002</v>
      </c>
      <c r="H28" s="117">
        <v>0</v>
      </c>
      <c r="I28" s="118">
        <f t="shared" ref="I28:I35" si="3">SUM(G28*H28)</f>
        <v>0</v>
      </c>
      <c r="J28" s="118">
        <v>125</v>
      </c>
      <c r="K28" s="118">
        <f t="shared" ref="K28:K33" si="4">SUM(G28*J28)</f>
        <v>1556.1000000000004</v>
      </c>
      <c r="L28" s="119">
        <f t="shared" ref="L28:L33" si="5">SUM(I28+K28)</f>
        <v>1556.1000000000004</v>
      </c>
      <c r="M28" s="565" t="s">
        <v>34</v>
      </c>
      <c r="O28" s="566">
        <v>1</v>
      </c>
      <c r="P28" s="164">
        <v>10</v>
      </c>
    </row>
    <row r="29" spans="1:16" s="566" customFormat="1" ht="18.899999999999999" customHeight="1">
      <c r="A29" s="562" t="s">
        <v>76</v>
      </c>
      <c r="B29" s="568" t="s">
        <v>78</v>
      </c>
      <c r="C29" s="564" t="s">
        <v>55</v>
      </c>
      <c r="D29" s="115">
        <v>0.3</v>
      </c>
      <c r="E29" s="116">
        <v>21.7</v>
      </c>
      <c r="F29" s="117"/>
      <c r="G29" s="118">
        <v>0.59850000000000003</v>
      </c>
      <c r="H29" s="117">
        <v>453.33</v>
      </c>
      <c r="I29" s="118">
        <f t="shared" si="3"/>
        <v>271.31800500000003</v>
      </c>
      <c r="J29" s="118">
        <v>91</v>
      </c>
      <c r="K29" s="118">
        <f t="shared" si="4"/>
        <v>54.463500000000003</v>
      </c>
      <c r="L29" s="119">
        <f t="shared" si="5"/>
        <v>325.78150500000004</v>
      </c>
      <c r="M29" s="565"/>
      <c r="O29" s="566">
        <v>1</v>
      </c>
      <c r="P29" s="164">
        <v>13</v>
      </c>
    </row>
    <row r="30" spans="1:16" s="566" customFormat="1" ht="18.899999999999999" customHeight="1">
      <c r="A30" s="562" t="s">
        <v>77</v>
      </c>
      <c r="B30" s="567" t="s">
        <v>434</v>
      </c>
      <c r="C30" s="564" t="s">
        <v>64</v>
      </c>
      <c r="D30" s="115">
        <v>0.15</v>
      </c>
      <c r="E30" s="116">
        <v>217</v>
      </c>
      <c r="F30" s="117"/>
      <c r="G30" s="118">
        <v>0.47880000000000006</v>
      </c>
      <c r="H30" s="117">
        <v>2034</v>
      </c>
      <c r="I30" s="118">
        <f t="shared" si="3"/>
        <v>973.87920000000008</v>
      </c>
      <c r="J30" s="118">
        <v>398</v>
      </c>
      <c r="K30" s="118">
        <f t="shared" si="4"/>
        <v>190.56240000000003</v>
      </c>
      <c r="L30" s="119">
        <f t="shared" si="5"/>
        <v>1164.4416000000001</v>
      </c>
      <c r="M30" s="565"/>
      <c r="O30" s="566">
        <v>1</v>
      </c>
      <c r="P30" s="164">
        <v>40</v>
      </c>
    </row>
    <row r="31" spans="1:16" s="566" customFormat="1" ht="18.899999999999999" customHeight="1">
      <c r="A31" s="562" t="s">
        <v>79</v>
      </c>
      <c r="B31" s="568" t="s">
        <v>94</v>
      </c>
      <c r="C31" s="564" t="s">
        <v>55</v>
      </c>
      <c r="D31" s="115">
        <v>0.05</v>
      </c>
      <c r="E31" s="116">
        <v>46</v>
      </c>
      <c r="F31" s="117"/>
      <c r="G31" s="118">
        <v>28.547499999999999</v>
      </c>
      <c r="H31" s="117">
        <v>2259</v>
      </c>
      <c r="I31" s="118">
        <f t="shared" si="3"/>
        <v>64488.802499999998</v>
      </c>
      <c r="J31" s="118">
        <v>391</v>
      </c>
      <c r="K31" s="118">
        <f t="shared" si="4"/>
        <v>11162.0725</v>
      </c>
      <c r="L31" s="119">
        <f t="shared" si="5"/>
        <v>75650.875</v>
      </c>
      <c r="M31" s="565"/>
      <c r="O31" s="566">
        <v>1</v>
      </c>
      <c r="P31" s="164">
        <v>20</v>
      </c>
    </row>
    <row r="32" spans="1:16" s="566" customFormat="1" ht="18.899999999999999" customHeight="1">
      <c r="A32" s="562" t="s">
        <v>80</v>
      </c>
      <c r="B32" s="568" t="s">
        <v>447</v>
      </c>
      <c r="C32" s="564" t="s">
        <v>55</v>
      </c>
      <c r="D32" s="115"/>
      <c r="E32" s="116"/>
      <c r="F32" s="117"/>
      <c r="G32" s="118">
        <v>24.675000000000004</v>
      </c>
      <c r="H32" s="117">
        <v>2417</v>
      </c>
      <c r="I32" s="118">
        <f t="shared" si="3"/>
        <v>59639.475000000013</v>
      </c>
      <c r="J32" s="118">
        <v>391</v>
      </c>
      <c r="K32" s="118">
        <f t="shared" si="4"/>
        <v>9647.9250000000011</v>
      </c>
      <c r="L32" s="119">
        <f t="shared" si="5"/>
        <v>69287.400000000009</v>
      </c>
      <c r="M32" s="565"/>
      <c r="P32" s="164"/>
    </row>
    <row r="33" spans="1:16" s="566" customFormat="1" ht="18.899999999999999" customHeight="1">
      <c r="A33" s="562" t="s">
        <v>81</v>
      </c>
      <c r="B33" s="568" t="s">
        <v>200</v>
      </c>
      <c r="C33" s="564" t="s">
        <v>64</v>
      </c>
      <c r="D33" s="115">
        <v>0</v>
      </c>
      <c r="E33" s="116">
        <v>197</v>
      </c>
      <c r="F33" s="117"/>
      <c r="G33" s="118">
        <v>427.85050000000001</v>
      </c>
      <c r="H33" s="117">
        <v>400</v>
      </c>
      <c r="I33" s="118">
        <f t="shared" si="3"/>
        <v>171140.2</v>
      </c>
      <c r="J33" s="118">
        <v>0</v>
      </c>
      <c r="K33" s="118">
        <f t="shared" si="4"/>
        <v>0</v>
      </c>
      <c r="L33" s="119">
        <f t="shared" si="5"/>
        <v>171140.2</v>
      </c>
      <c r="M33" s="565"/>
      <c r="O33" s="566">
        <v>1</v>
      </c>
      <c r="P33" s="164">
        <v>138.5</v>
      </c>
    </row>
    <row r="34" spans="1:16" s="566" customFormat="1" ht="18.899999999999999" customHeight="1">
      <c r="A34" s="562" t="s">
        <v>82</v>
      </c>
      <c r="B34" s="569" t="s">
        <v>444</v>
      </c>
      <c r="C34" s="564" t="s">
        <v>64</v>
      </c>
      <c r="D34" s="216"/>
      <c r="E34" s="217"/>
      <c r="F34" s="218"/>
      <c r="G34" s="219">
        <v>611.21499999999992</v>
      </c>
      <c r="H34" s="218">
        <v>0</v>
      </c>
      <c r="I34" s="219">
        <f t="shared" si="3"/>
        <v>0</v>
      </c>
      <c r="J34" s="118">
        <v>105</v>
      </c>
      <c r="K34" s="118">
        <f>SUM(G34*J34)</f>
        <v>64177.57499999999</v>
      </c>
      <c r="L34" s="119">
        <f>SUM(I34+K34)</f>
        <v>64177.57499999999</v>
      </c>
      <c r="M34" s="582"/>
      <c r="P34" s="164"/>
    </row>
    <row r="35" spans="1:16" s="566" customFormat="1" ht="18.899999999999999" customHeight="1">
      <c r="A35" s="583" t="s">
        <v>83</v>
      </c>
      <c r="B35" s="568" t="s">
        <v>445</v>
      </c>
      <c r="C35" s="564" t="s">
        <v>64</v>
      </c>
      <c r="D35" s="115">
        <v>0</v>
      </c>
      <c r="E35" s="116">
        <v>423</v>
      </c>
      <c r="F35" s="117"/>
      <c r="G35" s="118">
        <f>G33*0.3</f>
        <v>128.35515000000001</v>
      </c>
      <c r="H35" s="117">
        <v>400</v>
      </c>
      <c r="I35" s="118">
        <f t="shared" si="3"/>
        <v>51342.060000000005</v>
      </c>
      <c r="J35" s="118">
        <v>0</v>
      </c>
      <c r="K35" s="118">
        <f>SUM(G35*J35)</f>
        <v>0</v>
      </c>
      <c r="L35" s="119">
        <f>SUM(I35+K35)</f>
        <v>51342.060000000005</v>
      </c>
      <c r="M35" s="582"/>
      <c r="P35" s="164"/>
    </row>
    <row r="36" spans="1:16" s="566" customFormat="1" ht="18.899999999999999" customHeight="1">
      <c r="A36" s="583" t="s">
        <v>84</v>
      </c>
      <c r="B36" s="584" t="s">
        <v>66</v>
      </c>
      <c r="C36" s="585"/>
      <c r="D36" s="268"/>
      <c r="E36" s="134"/>
      <c r="F36" s="134"/>
      <c r="G36" s="135"/>
      <c r="H36" s="135"/>
      <c r="I36" s="135"/>
      <c r="J36" s="135"/>
      <c r="K36" s="135"/>
      <c r="L36" s="194"/>
      <c r="M36" s="586"/>
      <c r="O36" s="566">
        <v>1</v>
      </c>
      <c r="P36" s="164"/>
    </row>
    <row r="37" spans="1:16" s="566" customFormat="1" ht="18.899999999999999" customHeight="1">
      <c r="A37" s="587"/>
      <c r="B37" s="588" t="s">
        <v>67</v>
      </c>
      <c r="C37" s="589" t="s">
        <v>68</v>
      </c>
      <c r="D37" s="197">
        <v>0.09</v>
      </c>
      <c r="E37" s="198">
        <v>473</v>
      </c>
      <c r="F37" s="199"/>
      <c r="G37" s="118">
        <v>899.38721250000003</v>
      </c>
      <c r="H37" s="199">
        <v>18.37</v>
      </c>
      <c r="I37" s="200">
        <f>SUM(G37*H37)</f>
        <v>16521.743093625002</v>
      </c>
      <c r="J37" s="200">
        <v>4.0999999999999996</v>
      </c>
      <c r="K37" s="200">
        <f>SUM(G37*J37)</f>
        <v>3687.4875712499997</v>
      </c>
      <c r="L37" s="201">
        <f>SUM(I37+K37)</f>
        <v>20209.230664875002</v>
      </c>
      <c r="M37" s="590"/>
      <c r="O37" s="566">
        <v>1</v>
      </c>
      <c r="P37" s="164">
        <v>20</v>
      </c>
    </row>
    <row r="38" spans="1:16" s="566" customFormat="1" ht="18.899999999999999" customHeight="1">
      <c r="A38" s="570"/>
      <c r="B38" s="568" t="s">
        <v>69</v>
      </c>
      <c r="C38" s="564" t="s">
        <v>68</v>
      </c>
      <c r="D38" s="115">
        <v>0.1</v>
      </c>
      <c r="E38" s="116">
        <v>199</v>
      </c>
      <c r="F38" s="117"/>
      <c r="G38" s="118">
        <v>2320.1340827000004</v>
      </c>
      <c r="H38" s="117">
        <v>17.54</v>
      </c>
      <c r="I38" s="118">
        <f>SUM(G38*H38)</f>
        <v>40695.151810558003</v>
      </c>
      <c r="J38" s="118">
        <v>4.0999999999999996</v>
      </c>
      <c r="K38" s="118">
        <f>SUM(G38*J38)</f>
        <v>9512.5497390700002</v>
      </c>
      <c r="L38" s="119">
        <f>SUM(I38+K38)</f>
        <v>50207.701549628007</v>
      </c>
      <c r="M38" s="565"/>
      <c r="O38" s="566">
        <v>1</v>
      </c>
      <c r="P38" s="164">
        <v>1098</v>
      </c>
    </row>
    <row r="39" spans="1:16" s="566" customFormat="1" ht="18.899999999999999" customHeight="1">
      <c r="A39" s="570"/>
      <c r="B39" s="568" t="s">
        <v>166</v>
      </c>
      <c r="C39" s="564" t="s">
        <v>68</v>
      </c>
      <c r="D39" s="115">
        <v>0.11</v>
      </c>
      <c r="E39" s="116">
        <v>257</v>
      </c>
      <c r="F39" s="117"/>
      <c r="G39" s="118">
        <v>3031.6899864000011</v>
      </c>
      <c r="H39" s="117">
        <v>17.100000000000001</v>
      </c>
      <c r="I39" s="118">
        <f>SUM(G39*H39)</f>
        <v>51841.89876744002</v>
      </c>
      <c r="J39" s="118">
        <v>3.3</v>
      </c>
      <c r="K39" s="118">
        <f>SUM(G39*J39)</f>
        <v>10004.576955120003</v>
      </c>
      <c r="L39" s="119">
        <f>SUM(I39+K39)</f>
        <v>61846.475722560019</v>
      </c>
      <c r="M39" s="565"/>
      <c r="O39" s="566">
        <v>1</v>
      </c>
      <c r="P39" s="164">
        <v>586</v>
      </c>
    </row>
    <row r="40" spans="1:16" s="566" customFormat="1" ht="18.899999999999999" customHeight="1">
      <c r="A40" s="562" t="s">
        <v>85</v>
      </c>
      <c r="B40" s="568" t="s">
        <v>71</v>
      </c>
      <c r="C40" s="564" t="s">
        <v>68</v>
      </c>
      <c r="D40" s="115">
        <v>0</v>
      </c>
      <c r="E40" s="117">
        <v>89</v>
      </c>
      <c r="F40" s="117"/>
      <c r="G40" s="118">
        <v>187.31274892800002</v>
      </c>
      <c r="H40" s="117">
        <v>21.11</v>
      </c>
      <c r="I40" s="118">
        <f>SUM(G40*H40)</f>
        <v>3954.1721298700804</v>
      </c>
      <c r="J40" s="118">
        <v>0</v>
      </c>
      <c r="K40" s="118">
        <f>SUM(G40*J40)</f>
        <v>0</v>
      </c>
      <c r="L40" s="119">
        <f>SUM(I40+K40)</f>
        <v>3954.1721298700804</v>
      </c>
      <c r="M40" s="565"/>
      <c r="O40" s="566">
        <v>1</v>
      </c>
      <c r="P40" s="164">
        <v>60</v>
      </c>
    </row>
    <row r="41" spans="1:16" s="566" customFormat="1" ht="18.899999999999999" customHeight="1">
      <c r="A41" s="562" t="s">
        <v>448</v>
      </c>
      <c r="B41" s="567" t="s">
        <v>73</v>
      </c>
      <c r="C41" s="564" t="s">
        <v>68</v>
      </c>
      <c r="D41" s="115">
        <v>0</v>
      </c>
      <c r="E41" s="117">
        <v>59</v>
      </c>
      <c r="F41" s="117"/>
      <c r="G41" s="118">
        <v>152.80374999999998</v>
      </c>
      <c r="H41" s="117">
        <v>23.7</v>
      </c>
      <c r="I41" s="118">
        <f>SUM(G41*H41)</f>
        <v>3621.4488749999996</v>
      </c>
      <c r="J41" s="118">
        <v>0</v>
      </c>
      <c r="K41" s="118">
        <f>SUM(G41*J41)</f>
        <v>0</v>
      </c>
      <c r="L41" s="119">
        <f>SUM(I41+K41)</f>
        <v>3621.4488749999996</v>
      </c>
      <c r="M41" s="565"/>
      <c r="O41" s="566">
        <v>1</v>
      </c>
      <c r="P41" s="164">
        <v>55</v>
      </c>
    </row>
    <row r="42" spans="1:16" s="566" customFormat="1" ht="18.899999999999999" customHeight="1">
      <c r="A42" s="562" t="s">
        <v>449</v>
      </c>
      <c r="B42" s="563" t="s">
        <v>163</v>
      </c>
      <c r="C42" s="564"/>
      <c r="D42" s="115"/>
      <c r="E42" s="116"/>
      <c r="F42" s="117"/>
      <c r="G42" s="118"/>
      <c r="H42" s="118"/>
      <c r="I42" s="118"/>
      <c r="J42" s="118"/>
      <c r="K42" s="118"/>
      <c r="L42" s="119"/>
      <c r="M42" s="565"/>
      <c r="O42" s="566">
        <v>1</v>
      </c>
      <c r="P42" s="164"/>
    </row>
    <row r="43" spans="1:16" s="566" customFormat="1" ht="35.1" customHeight="1">
      <c r="A43" s="570"/>
      <c r="B43" s="591" t="s">
        <v>193</v>
      </c>
      <c r="C43" s="564" t="s">
        <v>64</v>
      </c>
      <c r="D43" s="115">
        <v>0</v>
      </c>
      <c r="E43" s="116">
        <v>108</v>
      </c>
      <c r="F43" s="117"/>
      <c r="G43" s="118">
        <v>92.95</v>
      </c>
      <c r="H43" s="117">
        <v>220</v>
      </c>
      <c r="I43" s="118">
        <f>SUM(G43*H43)</f>
        <v>20449</v>
      </c>
      <c r="J43" s="118">
        <v>60</v>
      </c>
      <c r="K43" s="118">
        <f>SUM(G43*J43)</f>
        <v>5577</v>
      </c>
      <c r="L43" s="119">
        <f>SUM(I43+K43)</f>
        <v>26026</v>
      </c>
      <c r="M43" s="565"/>
      <c r="O43" s="566">
        <v>1</v>
      </c>
      <c r="P43" s="164">
        <v>40</v>
      </c>
    </row>
    <row r="44" spans="1:16" s="566" customFormat="1" ht="18.899999999999999" customHeight="1">
      <c r="A44" s="570"/>
      <c r="B44" s="592" t="s">
        <v>165</v>
      </c>
      <c r="C44" s="564" t="s">
        <v>55</v>
      </c>
      <c r="D44" s="115">
        <v>0.05</v>
      </c>
      <c r="E44" s="116">
        <f>+E43*0.05</f>
        <v>5.4</v>
      </c>
      <c r="F44" s="117"/>
      <c r="G44" s="118">
        <v>4.6475</v>
      </c>
      <c r="H44" s="117">
        <v>2259</v>
      </c>
      <c r="I44" s="118">
        <f>SUM(G44*H44)</f>
        <v>10498.702499999999</v>
      </c>
      <c r="J44" s="118">
        <v>391</v>
      </c>
      <c r="K44" s="118">
        <f>SUM(G44*J44)</f>
        <v>1817.1724999999999</v>
      </c>
      <c r="L44" s="119">
        <f>SUM(I44+K44)</f>
        <v>12315.875</v>
      </c>
      <c r="M44" s="565"/>
      <c r="O44" s="566">
        <v>1</v>
      </c>
      <c r="P44" s="164">
        <v>2</v>
      </c>
    </row>
    <row r="45" spans="1:16" s="566" customFormat="1" ht="18.899999999999999" customHeight="1">
      <c r="A45" s="570"/>
      <c r="B45" s="568" t="s">
        <v>450</v>
      </c>
      <c r="C45" s="564" t="s">
        <v>68</v>
      </c>
      <c r="D45" s="115">
        <v>0.09</v>
      </c>
      <c r="E45" s="116">
        <v>473</v>
      </c>
      <c r="F45" s="117"/>
      <c r="G45" s="118">
        <v>259.99974000000003</v>
      </c>
      <c r="H45" s="117">
        <v>18.37</v>
      </c>
      <c r="I45" s="118">
        <f>SUM(G45*H45)</f>
        <v>4776.1952238000013</v>
      </c>
      <c r="J45" s="118">
        <v>4.0999999999999996</v>
      </c>
      <c r="K45" s="118">
        <f>SUM(G45*J45)</f>
        <v>1065.998934</v>
      </c>
      <c r="L45" s="119">
        <f>SUM(I45+K45)</f>
        <v>5842.1941578000014</v>
      </c>
      <c r="M45" s="565"/>
      <c r="O45" s="566">
        <v>1</v>
      </c>
      <c r="P45" s="164">
        <v>105</v>
      </c>
    </row>
    <row r="46" spans="1:16" s="566" customFormat="1" ht="18.899999999999999" customHeight="1">
      <c r="A46" s="570"/>
      <c r="B46" s="591" t="s">
        <v>197</v>
      </c>
      <c r="C46" s="564" t="s">
        <v>68</v>
      </c>
      <c r="D46" s="115">
        <v>0.09</v>
      </c>
      <c r="E46" s="116">
        <v>0</v>
      </c>
      <c r="F46" s="117"/>
      <c r="G46" s="118">
        <v>19.851517400000002</v>
      </c>
      <c r="H46" s="117">
        <v>17.54</v>
      </c>
      <c r="I46" s="118">
        <f>SUM(G46*H46)</f>
        <v>348.19561519600001</v>
      </c>
      <c r="J46" s="118">
        <v>4.0999999999999996</v>
      </c>
      <c r="K46" s="118">
        <f>SUM(G46*J46)</f>
        <v>81.391221340000001</v>
      </c>
      <c r="L46" s="119">
        <f>SUM(I46+K46)</f>
        <v>429.58683653600002</v>
      </c>
      <c r="M46" s="565"/>
      <c r="O46" s="566">
        <v>1</v>
      </c>
      <c r="P46" s="164">
        <v>10</v>
      </c>
    </row>
    <row r="47" spans="1:16" s="566" customFormat="1" ht="18.899999999999999" customHeight="1">
      <c r="A47" s="562" t="s">
        <v>451</v>
      </c>
      <c r="B47" s="567" t="s">
        <v>86</v>
      </c>
      <c r="C47" s="564" t="s">
        <v>64</v>
      </c>
      <c r="D47" s="115">
        <v>0</v>
      </c>
      <c r="E47" s="116">
        <v>310</v>
      </c>
      <c r="F47" s="117"/>
      <c r="G47" s="118">
        <v>155</v>
      </c>
      <c r="H47" s="117">
        <v>120</v>
      </c>
      <c r="I47" s="118">
        <f>SUM(G47*H47)</f>
        <v>18600</v>
      </c>
      <c r="J47" s="118">
        <v>0</v>
      </c>
      <c r="K47" s="118">
        <f>SUM(G47*J47)</f>
        <v>0</v>
      </c>
      <c r="L47" s="119">
        <f>SUM(I47+K47)</f>
        <v>18600</v>
      </c>
      <c r="M47" s="565"/>
      <c r="O47" s="566">
        <v>1</v>
      </c>
      <c r="P47" s="164">
        <v>112</v>
      </c>
    </row>
    <row r="48" spans="1:16" s="566" customFormat="1" ht="18.899999999999999" customHeight="1" thickBot="1">
      <c r="A48" s="571"/>
      <c r="B48" s="593"/>
      <c r="C48" s="573"/>
      <c r="D48" s="122"/>
      <c r="E48" s="123"/>
      <c r="F48" s="124"/>
      <c r="G48" s="125"/>
      <c r="H48" s="125"/>
      <c r="I48" s="125"/>
      <c r="J48" s="125"/>
      <c r="K48" s="125"/>
      <c r="L48" s="126"/>
      <c r="M48" s="574"/>
      <c r="O48" s="566">
        <v>1</v>
      </c>
      <c r="P48" s="164"/>
    </row>
    <row r="49" spans="1:16" s="566" customFormat="1" ht="20.100000000000001" customHeight="1" thickTop="1" thickBot="1">
      <c r="A49" s="571"/>
      <c r="B49" s="593"/>
      <c r="C49" s="573"/>
      <c r="D49" s="122"/>
      <c r="E49" s="123"/>
      <c r="F49" s="124"/>
      <c r="G49" s="125"/>
      <c r="H49" s="125"/>
      <c r="I49" s="125"/>
      <c r="J49" s="125"/>
      <c r="K49" s="125"/>
      <c r="L49" s="126"/>
      <c r="M49" s="574"/>
      <c r="O49" s="566">
        <v>1</v>
      </c>
      <c r="P49" s="164"/>
    </row>
    <row r="50" spans="1:16" s="557" customFormat="1" ht="18.899999999999999" customHeight="1" thickTop="1">
      <c r="A50" s="575" t="s">
        <v>13</v>
      </c>
      <c r="B50" s="594" t="s">
        <v>201</v>
      </c>
      <c r="C50" s="576"/>
      <c r="D50" s="74"/>
      <c r="E50" s="151"/>
      <c r="F50" s="75"/>
      <c r="G50" s="76"/>
      <c r="H50" s="76"/>
      <c r="I50" s="76"/>
      <c r="J50" s="76"/>
      <c r="K50" s="76"/>
      <c r="L50" s="77"/>
      <c r="M50" s="577"/>
      <c r="O50" s="566">
        <v>1</v>
      </c>
      <c r="P50" s="141"/>
    </row>
    <row r="51" spans="1:16" s="566" customFormat="1" ht="18.899999999999999" customHeight="1">
      <c r="A51" s="562" t="s">
        <v>87</v>
      </c>
      <c r="B51" s="568" t="s">
        <v>94</v>
      </c>
      <c r="C51" s="564" t="s">
        <v>55</v>
      </c>
      <c r="D51" s="115">
        <v>0.05</v>
      </c>
      <c r="E51" s="116">
        <v>9.73</v>
      </c>
      <c r="F51" s="117"/>
      <c r="G51" s="118">
        <v>4.5760000000000005</v>
      </c>
      <c r="H51" s="117">
        <v>2259</v>
      </c>
      <c r="I51" s="118">
        <f>SUM(G51*H51)</f>
        <v>10337.184000000001</v>
      </c>
      <c r="J51" s="118">
        <v>391</v>
      </c>
      <c r="K51" s="118">
        <f>SUM(G51*J51)</f>
        <v>1789.2160000000001</v>
      </c>
      <c r="L51" s="119">
        <f>SUM(I51+K51)</f>
        <v>12126.400000000001</v>
      </c>
      <c r="M51" s="565"/>
      <c r="O51" s="566">
        <v>1</v>
      </c>
      <c r="P51" s="164">
        <v>10</v>
      </c>
    </row>
    <row r="52" spans="1:16" s="566" customFormat="1" ht="18.899999999999999" customHeight="1">
      <c r="A52" s="562" t="s">
        <v>88</v>
      </c>
      <c r="B52" s="568" t="s">
        <v>200</v>
      </c>
      <c r="C52" s="564" t="s">
        <v>64</v>
      </c>
      <c r="D52" s="115">
        <v>0</v>
      </c>
      <c r="E52" s="116">
        <v>197</v>
      </c>
      <c r="F52" s="117"/>
      <c r="G52" s="118">
        <v>40.04</v>
      </c>
      <c r="H52" s="117">
        <v>400</v>
      </c>
      <c r="I52" s="118">
        <f>SUM(G52*H52)</f>
        <v>16016</v>
      </c>
      <c r="J52" s="118">
        <v>0</v>
      </c>
      <c r="K52" s="118">
        <f>SUM(G52*J52)</f>
        <v>0</v>
      </c>
      <c r="L52" s="119">
        <f>SUM(I52+K52)</f>
        <v>16016</v>
      </c>
      <c r="M52" s="565"/>
      <c r="O52" s="566">
        <v>1</v>
      </c>
      <c r="P52" s="164">
        <v>91.5</v>
      </c>
    </row>
    <row r="53" spans="1:16" s="566" customFormat="1" ht="18.899999999999999" customHeight="1">
      <c r="A53" s="562" t="s">
        <v>89</v>
      </c>
      <c r="B53" s="569" t="s">
        <v>444</v>
      </c>
      <c r="C53" s="564" t="s">
        <v>64</v>
      </c>
      <c r="D53" s="216"/>
      <c r="E53" s="217"/>
      <c r="F53" s="218"/>
      <c r="G53" s="219">
        <v>57.2</v>
      </c>
      <c r="H53" s="218">
        <v>0</v>
      </c>
      <c r="I53" s="219">
        <f>SUM(G53*H53)</f>
        <v>0</v>
      </c>
      <c r="J53" s="118">
        <v>105</v>
      </c>
      <c r="K53" s="118">
        <f>SUM(G53*J53)</f>
        <v>6006</v>
      </c>
      <c r="L53" s="119">
        <f>SUM(I53+K53)</f>
        <v>6006</v>
      </c>
      <c r="M53" s="565"/>
      <c r="P53" s="164"/>
    </row>
    <row r="54" spans="1:16" s="566" customFormat="1" ht="18.899999999999999" customHeight="1">
      <c r="A54" s="562" t="s">
        <v>90</v>
      </c>
      <c r="B54" s="568" t="s">
        <v>445</v>
      </c>
      <c r="C54" s="564" t="s">
        <v>64</v>
      </c>
      <c r="D54" s="115">
        <v>0</v>
      </c>
      <c r="E54" s="116">
        <v>423</v>
      </c>
      <c r="F54" s="117"/>
      <c r="G54" s="118">
        <f>G52*0.3</f>
        <v>12.011999999999999</v>
      </c>
      <c r="H54" s="117">
        <v>400</v>
      </c>
      <c r="I54" s="118">
        <f>SUM(G54*H54)</f>
        <v>4804.7999999999993</v>
      </c>
      <c r="J54" s="118">
        <v>0</v>
      </c>
      <c r="K54" s="118">
        <f>SUM(G54*J54)</f>
        <v>0</v>
      </c>
      <c r="L54" s="119">
        <f>SUM(I54+K54)</f>
        <v>4804.7999999999993</v>
      </c>
      <c r="M54" s="565"/>
      <c r="P54" s="164"/>
    </row>
    <row r="55" spans="1:16" s="566" customFormat="1" ht="18.899999999999999" customHeight="1">
      <c r="A55" s="562" t="s">
        <v>91</v>
      </c>
      <c r="B55" s="568" t="s">
        <v>66</v>
      </c>
      <c r="C55" s="564"/>
      <c r="D55" s="192"/>
      <c r="E55" s="117"/>
      <c r="F55" s="117"/>
      <c r="G55" s="118"/>
      <c r="H55" s="118"/>
      <c r="I55" s="118"/>
      <c r="J55" s="118"/>
      <c r="K55" s="118"/>
      <c r="L55" s="119"/>
      <c r="M55" s="565"/>
      <c r="O55" s="566">
        <v>1</v>
      </c>
      <c r="P55" s="164"/>
    </row>
    <row r="56" spans="1:16" s="566" customFormat="1" ht="18.899999999999999" customHeight="1">
      <c r="A56" s="570"/>
      <c r="B56" s="568" t="s">
        <v>67</v>
      </c>
      <c r="C56" s="564" t="s">
        <v>68</v>
      </c>
      <c r="D56" s="115">
        <v>0.09</v>
      </c>
      <c r="E56" s="116">
        <v>494.03899999999999</v>
      </c>
      <c r="F56" s="117"/>
      <c r="G56" s="118">
        <v>95.999904000000015</v>
      </c>
      <c r="H56" s="117">
        <v>18.37</v>
      </c>
      <c r="I56" s="118">
        <f>SUM(G56*H56)</f>
        <v>1763.5182364800003</v>
      </c>
      <c r="J56" s="118">
        <v>4.0999999999999996</v>
      </c>
      <c r="K56" s="118">
        <f>SUM(G56*J56)</f>
        <v>393.59960640000003</v>
      </c>
      <c r="L56" s="119">
        <f>SUM(I56+K56)</f>
        <v>2157.1178428800004</v>
      </c>
      <c r="M56" s="565"/>
      <c r="O56" s="566">
        <v>1</v>
      </c>
      <c r="P56" s="164">
        <v>20</v>
      </c>
    </row>
    <row r="57" spans="1:16" s="566" customFormat="1" ht="18.899999999999999" customHeight="1">
      <c r="A57" s="570"/>
      <c r="B57" s="568" t="s">
        <v>166</v>
      </c>
      <c r="C57" s="564" t="s">
        <v>68</v>
      </c>
      <c r="D57" s="115">
        <v>0.11</v>
      </c>
      <c r="E57" s="116">
        <v>1092.24</v>
      </c>
      <c r="F57" s="117"/>
      <c r="G57" s="118">
        <v>332.19014400000009</v>
      </c>
      <c r="H57" s="117">
        <v>17.100000000000001</v>
      </c>
      <c r="I57" s="118">
        <f>SUM(G57*H57)</f>
        <v>5680.4514624000021</v>
      </c>
      <c r="J57" s="118">
        <v>3.3</v>
      </c>
      <c r="K57" s="118">
        <f>SUM(G57*J57)</f>
        <v>1096.2274752000003</v>
      </c>
      <c r="L57" s="119">
        <f>SUM(I57+K57)</f>
        <v>6776.6789376000024</v>
      </c>
      <c r="M57" s="565"/>
      <c r="O57" s="566">
        <v>1</v>
      </c>
      <c r="P57" s="164">
        <v>373</v>
      </c>
    </row>
    <row r="58" spans="1:16" s="566" customFormat="1" ht="18.899999999999999" customHeight="1">
      <c r="A58" s="562" t="s">
        <v>92</v>
      </c>
      <c r="B58" s="568" t="s">
        <v>71</v>
      </c>
      <c r="C58" s="564" t="s">
        <v>68</v>
      </c>
      <c r="D58" s="115">
        <v>0</v>
      </c>
      <c r="E58" s="117">
        <v>54.274999999999999</v>
      </c>
      <c r="F58" s="117"/>
      <c r="G58" s="118">
        <v>12.845701440000003</v>
      </c>
      <c r="H58" s="117">
        <v>21.1</v>
      </c>
      <c r="I58" s="118">
        <f>SUM(G58*H58)</f>
        <v>271.04430038400005</v>
      </c>
      <c r="J58" s="118">
        <v>0</v>
      </c>
      <c r="K58" s="118">
        <f>SUM(G58*J58)</f>
        <v>0</v>
      </c>
      <c r="L58" s="119">
        <f>SUM(I58+K58)</f>
        <v>271.04430038400005</v>
      </c>
      <c r="M58" s="565" t="s">
        <v>34</v>
      </c>
      <c r="O58" s="566">
        <v>1</v>
      </c>
      <c r="P58" s="164">
        <v>27</v>
      </c>
    </row>
    <row r="59" spans="1:16" s="566" customFormat="1" ht="18.899999999999999" customHeight="1">
      <c r="A59" s="562" t="s">
        <v>273</v>
      </c>
      <c r="B59" s="567" t="s">
        <v>73</v>
      </c>
      <c r="C59" s="564" t="s">
        <v>68</v>
      </c>
      <c r="D59" s="115">
        <v>0</v>
      </c>
      <c r="E59" s="117">
        <v>64.596000000000004</v>
      </c>
      <c r="F59" s="117"/>
      <c r="G59" s="118">
        <v>14.3</v>
      </c>
      <c r="H59" s="117">
        <v>23.7</v>
      </c>
      <c r="I59" s="118">
        <f>SUM(G59*H59)</f>
        <v>338.91</v>
      </c>
      <c r="J59" s="118">
        <v>0</v>
      </c>
      <c r="K59" s="118">
        <f>SUM(G59*J59)</f>
        <v>0</v>
      </c>
      <c r="L59" s="119">
        <f>SUM(I59+K59)</f>
        <v>338.91</v>
      </c>
      <c r="M59" s="565" t="s">
        <v>34</v>
      </c>
      <c r="O59" s="566">
        <v>1</v>
      </c>
      <c r="P59" s="164">
        <v>37</v>
      </c>
    </row>
    <row r="60" spans="1:16" s="557" customFormat="1" ht="9.9" customHeight="1">
      <c r="A60" s="562"/>
      <c r="B60" s="595"/>
      <c r="C60" s="560"/>
      <c r="D60" s="158"/>
      <c r="E60" s="159"/>
      <c r="F60" s="160"/>
      <c r="G60" s="133"/>
      <c r="H60" s="133"/>
      <c r="I60" s="133"/>
      <c r="J60" s="133"/>
      <c r="K60" s="133"/>
      <c r="L60" s="161"/>
      <c r="M60" s="596" t="s">
        <v>34</v>
      </c>
      <c r="O60" s="566">
        <v>1</v>
      </c>
      <c r="P60" s="141"/>
    </row>
    <row r="61" spans="1:16" s="566" customFormat="1" ht="18.899999999999999" customHeight="1">
      <c r="A61" s="562" t="s">
        <v>274</v>
      </c>
      <c r="B61" s="597" t="s">
        <v>164</v>
      </c>
      <c r="C61" s="564"/>
      <c r="D61" s="115"/>
      <c r="E61" s="117"/>
      <c r="F61" s="117"/>
      <c r="G61" s="118"/>
      <c r="H61" s="118"/>
      <c r="I61" s="118"/>
      <c r="J61" s="118"/>
      <c r="K61" s="118"/>
      <c r="L61" s="119"/>
      <c r="M61" s="565"/>
      <c r="O61" s="566">
        <v>1</v>
      </c>
      <c r="P61" s="164"/>
    </row>
    <row r="62" spans="1:16" s="566" customFormat="1" ht="18.899999999999999" customHeight="1">
      <c r="A62" s="562"/>
      <c r="B62" s="598" t="s">
        <v>452</v>
      </c>
      <c r="C62" s="564" t="s">
        <v>68</v>
      </c>
      <c r="D62" s="115"/>
      <c r="E62" s="116"/>
      <c r="F62" s="117"/>
      <c r="G62" s="118">
        <v>165.64799999999997</v>
      </c>
      <c r="H62" s="117">
        <v>18.100000000000001</v>
      </c>
      <c r="I62" s="118">
        <f t="shared" ref="I62:I69" si="6">SUM(G62*H62)</f>
        <v>2998.2287999999999</v>
      </c>
      <c r="J62" s="118">
        <v>14</v>
      </c>
      <c r="K62" s="118">
        <f t="shared" ref="K62:K69" si="7">G62*J62</f>
        <v>2319.0719999999997</v>
      </c>
      <c r="L62" s="119">
        <f t="shared" ref="L62:L69" si="8">SUM(I62+K62)</f>
        <v>5317.3007999999991</v>
      </c>
      <c r="M62" s="565"/>
      <c r="P62" s="164"/>
    </row>
    <row r="63" spans="1:16" s="566" customFormat="1" ht="18.899999999999999" customHeight="1">
      <c r="A63" s="562"/>
      <c r="B63" s="598" t="s">
        <v>453</v>
      </c>
      <c r="C63" s="564" t="s">
        <v>68</v>
      </c>
      <c r="D63" s="115"/>
      <c r="E63" s="116"/>
      <c r="F63" s="117"/>
      <c r="G63" s="118">
        <v>95.199999999999989</v>
      </c>
      <c r="H63" s="117">
        <v>18.100000000000001</v>
      </c>
      <c r="I63" s="118">
        <f>SUM(G63*H63)</f>
        <v>1723.12</v>
      </c>
      <c r="J63" s="118">
        <v>14</v>
      </c>
      <c r="K63" s="118">
        <f>G63*J63</f>
        <v>1332.7999999999997</v>
      </c>
      <c r="L63" s="119">
        <f>SUM(I63+K63)</f>
        <v>3055.9199999999996</v>
      </c>
      <c r="M63" s="565"/>
      <c r="P63" s="164"/>
    </row>
    <row r="64" spans="1:16" s="566" customFormat="1" ht="18.899999999999999" customHeight="1">
      <c r="A64" s="562"/>
      <c r="B64" s="598" t="s">
        <v>454</v>
      </c>
      <c r="C64" s="564" t="s">
        <v>68</v>
      </c>
      <c r="D64" s="115"/>
      <c r="E64" s="116"/>
      <c r="F64" s="117"/>
      <c r="G64" s="118">
        <v>252.756</v>
      </c>
      <c r="H64" s="117">
        <v>18.100000000000001</v>
      </c>
      <c r="I64" s="118">
        <f t="shared" si="6"/>
        <v>4574.8836000000001</v>
      </c>
      <c r="J64" s="118">
        <v>14</v>
      </c>
      <c r="K64" s="118">
        <f t="shared" si="7"/>
        <v>3538.5839999999998</v>
      </c>
      <c r="L64" s="119">
        <f t="shared" si="8"/>
        <v>8113.4675999999999</v>
      </c>
      <c r="M64" s="565"/>
      <c r="P64" s="164"/>
    </row>
    <row r="65" spans="1:16" s="566" customFormat="1" ht="18.899999999999999" customHeight="1">
      <c r="A65" s="562"/>
      <c r="B65" s="568" t="s">
        <v>455</v>
      </c>
      <c r="C65" s="564" t="s">
        <v>68</v>
      </c>
      <c r="D65" s="115">
        <v>7.0000000000000007E-2</v>
      </c>
      <c r="E65" s="116">
        <f>88.55*9.72</f>
        <v>860.70600000000002</v>
      </c>
      <c r="F65" s="117"/>
      <c r="G65" s="118">
        <v>2013.2719999999999</v>
      </c>
      <c r="H65" s="117">
        <v>18.100000000000001</v>
      </c>
      <c r="I65" s="118">
        <f t="shared" si="6"/>
        <v>36440.2232</v>
      </c>
      <c r="J65" s="118">
        <v>14</v>
      </c>
      <c r="K65" s="118">
        <f t="shared" si="7"/>
        <v>28185.807999999997</v>
      </c>
      <c r="L65" s="119">
        <f t="shared" si="8"/>
        <v>64626.031199999998</v>
      </c>
      <c r="M65" s="565"/>
      <c r="O65" s="566">
        <v>1</v>
      </c>
      <c r="P65" s="164">
        <v>146.19999999999999</v>
      </c>
    </row>
    <row r="66" spans="1:16" s="566" customFormat="1" ht="18.899999999999999" customHeight="1">
      <c r="A66" s="562"/>
      <c r="B66" s="568" t="s">
        <v>456</v>
      </c>
      <c r="C66" s="564" t="s">
        <v>68</v>
      </c>
      <c r="D66" s="115">
        <v>7.0000000000000007E-2</v>
      </c>
      <c r="E66" s="116">
        <f>88.55*9.72</f>
        <v>860.70600000000002</v>
      </c>
      <c r="F66" s="117"/>
      <c r="G66" s="118">
        <v>1577.8510000000003</v>
      </c>
      <c r="H66" s="117">
        <v>18.100000000000001</v>
      </c>
      <c r="I66" s="118">
        <f t="shared" si="6"/>
        <v>28559.103100000008</v>
      </c>
      <c r="J66" s="118">
        <v>14</v>
      </c>
      <c r="K66" s="118">
        <f t="shared" si="7"/>
        <v>22089.914000000004</v>
      </c>
      <c r="L66" s="119">
        <f t="shared" si="8"/>
        <v>50649.017100000012</v>
      </c>
      <c r="M66" s="565"/>
      <c r="O66" s="566">
        <v>1</v>
      </c>
      <c r="P66" s="164">
        <v>441.4</v>
      </c>
    </row>
    <row r="67" spans="1:16" s="566" customFormat="1" ht="18.899999999999999" customHeight="1">
      <c r="A67" s="562"/>
      <c r="B67" s="599" t="s">
        <v>457</v>
      </c>
      <c r="C67" s="564" t="s">
        <v>68</v>
      </c>
      <c r="D67" s="115">
        <v>7.0000000000000007E-2</v>
      </c>
      <c r="E67" s="116">
        <v>8</v>
      </c>
      <c r="F67" s="117"/>
      <c r="G67" s="118">
        <v>1024.816</v>
      </c>
      <c r="H67" s="117">
        <v>18.100000000000001</v>
      </c>
      <c r="I67" s="118">
        <f>SUM(G67*H67)</f>
        <v>18549.169600000001</v>
      </c>
      <c r="J67" s="118">
        <v>14</v>
      </c>
      <c r="K67" s="118">
        <f>G67*J67</f>
        <v>14347.424000000001</v>
      </c>
      <c r="L67" s="119">
        <f>SUM(I67+K67)</f>
        <v>32896.5936</v>
      </c>
      <c r="M67" s="565"/>
      <c r="O67" s="566">
        <v>1</v>
      </c>
      <c r="P67" s="164">
        <v>105</v>
      </c>
    </row>
    <row r="68" spans="1:16" s="566" customFormat="1" ht="18.899999999999999" customHeight="1">
      <c r="A68" s="562"/>
      <c r="B68" s="599" t="s">
        <v>458</v>
      </c>
      <c r="C68" s="564" t="s">
        <v>64</v>
      </c>
      <c r="D68" s="115">
        <v>7.0000000000000007E-2</v>
      </c>
      <c r="E68" s="116">
        <v>30</v>
      </c>
      <c r="F68" s="117"/>
      <c r="G68" s="118">
        <v>19.429244999999998</v>
      </c>
      <c r="H68" s="117">
        <v>26.69</v>
      </c>
      <c r="I68" s="118">
        <f>SUM(G68*H68)</f>
        <v>518.56654904999994</v>
      </c>
      <c r="J68" s="118">
        <v>9.35</v>
      </c>
      <c r="K68" s="118">
        <f>G68*J68</f>
        <v>181.66344074999998</v>
      </c>
      <c r="L68" s="119">
        <f>SUM(I68+K68)</f>
        <v>700.22998979999988</v>
      </c>
      <c r="M68" s="565"/>
      <c r="O68" s="566">
        <v>1</v>
      </c>
      <c r="P68" s="164">
        <v>125</v>
      </c>
    </row>
    <row r="69" spans="1:16" s="566" customFormat="1" ht="18.899999999999999" customHeight="1">
      <c r="A69" s="600"/>
      <c r="B69" s="599" t="s">
        <v>459</v>
      </c>
      <c r="C69" s="564" t="s">
        <v>64</v>
      </c>
      <c r="D69" s="115">
        <v>7.0000000000000007E-2</v>
      </c>
      <c r="E69" s="116">
        <v>30</v>
      </c>
      <c r="F69" s="117"/>
      <c r="G69" s="118">
        <v>254.15529999999998</v>
      </c>
      <c r="H69" s="117">
        <v>56</v>
      </c>
      <c r="I69" s="118">
        <f t="shared" si="6"/>
        <v>14232.6968</v>
      </c>
      <c r="J69" s="118">
        <v>35</v>
      </c>
      <c r="K69" s="118">
        <f t="shared" si="7"/>
        <v>8895.4354999999996</v>
      </c>
      <c r="L69" s="119">
        <f t="shared" si="8"/>
        <v>23128.132299999997</v>
      </c>
      <c r="M69" s="582"/>
      <c r="P69" s="164"/>
    </row>
    <row r="70" spans="1:16" s="566" customFormat="1" ht="18.899999999999999" customHeight="1" thickBot="1">
      <c r="A70" s="571"/>
      <c r="B70" s="593"/>
      <c r="C70" s="573"/>
      <c r="D70" s="122"/>
      <c r="E70" s="123"/>
      <c r="F70" s="124"/>
      <c r="G70" s="125"/>
      <c r="H70" s="125"/>
      <c r="I70" s="125"/>
      <c r="J70" s="125"/>
      <c r="K70" s="125"/>
      <c r="L70" s="126"/>
      <c r="M70" s="574"/>
      <c r="P70" s="164"/>
    </row>
    <row r="71" spans="1:16" s="557" customFormat="1" ht="20.100000000000001" customHeight="1" thickTop="1" thickBot="1">
      <c r="A71" s="601"/>
      <c r="B71" s="602" t="s">
        <v>93</v>
      </c>
      <c r="C71" s="602"/>
      <c r="D71" s="38"/>
      <c r="E71" s="39"/>
      <c r="F71" s="40"/>
      <c r="G71" s="41"/>
      <c r="H71" s="41"/>
      <c r="I71" s="41">
        <f>SUM(I10:I70)/2</f>
        <v>414134.6725370565</v>
      </c>
      <c r="J71" s="41"/>
      <c r="K71" s="41">
        <f>SUM(K10:K70)/2</f>
        <v>128760.97632136496</v>
      </c>
      <c r="L71" s="41">
        <f>SUM(L8:L70)</f>
        <v>1085791.2977168427</v>
      </c>
      <c r="M71" s="603"/>
    </row>
    <row r="72" spans="1:16" s="534" customFormat="1" ht="18" customHeight="1">
      <c r="D72" s="15"/>
      <c r="E72" s="16"/>
      <c r="F72" s="17"/>
      <c r="G72" s="18"/>
      <c r="H72" s="18"/>
      <c r="I72" s="18"/>
      <c r="J72" s="18"/>
      <c r="K72" s="18"/>
      <c r="L72" s="18"/>
    </row>
    <row r="73" spans="1:16" s="534" customFormat="1" ht="20.100000000000001" customHeight="1">
      <c r="B73" s="604"/>
      <c r="C73" s="19"/>
      <c r="D73" s="15"/>
      <c r="E73" s="20"/>
      <c r="F73" s="21"/>
      <c r="G73" s="18"/>
      <c r="H73" s="18"/>
      <c r="I73" s="18"/>
      <c r="J73" s="18"/>
      <c r="K73" s="18"/>
      <c r="L73" s="18"/>
    </row>
    <row r="74" spans="1:16" s="534" customFormat="1" ht="20.100000000000001" customHeight="1">
      <c r="B74" s="604"/>
      <c r="C74" s="22"/>
      <c r="D74" s="15"/>
      <c r="E74" s="16"/>
      <c r="F74" s="16"/>
      <c r="G74" s="18"/>
      <c r="H74" s="18"/>
      <c r="I74" s="18"/>
      <c r="J74" s="18"/>
      <c r="K74" s="18"/>
      <c r="L74" s="18"/>
    </row>
    <row r="75" spans="1:16" s="534" customFormat="1" ht="20.100000000000001" customHeight="1">
      <c r="B75" s="604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534" customFormat="1" ht="20.100000000000001" customHeight="1">
      <c r="B76" s="604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534" customFormat="1" ht="20.100000000000001" customHeight="1">
      <c r="B77" s="604"/>
      <c r="C77" s="22"/>
      <c r="D77" s="23"/>
      <c r="E77" s="16"/>
      <c r="F77" s="16"/>
      <c r="G77" s="18"/>
      <c r="H77" s="18"/>
      <c r="I77" s="18"/>
      <c r="J77" s="18"/>
      <c r="K77" s="18"/>
      <c r="L77" s="18"/>
    </row>
    <row r="78" spans="1:16" s="534" customFormat="1" ht="20.100000000000001" customHeight="1">
      <c r="B78" s="604"/>
      <c r="C78" s="22"/>
      <c r="D78" s="23"/>
      <c r="E78" s="16"/>
      <c r="F78" s="17"/>
      <c r="G78" s="18"/>
      <c r="H78" s="18"/>
      <c r="I78" s="18"/>
      <c r="J78" s="18"/>
      <c r="K78" s="18"/>
      <c r="L78" s="18"/>
    </row>
    <row r="79" spans="1:16" s="534" customFormat="1" ht="20.100000000000001" customHeight="1">
      <c r="B79" s="604"/>
      <c r="C79" s="22"/>
      <c r="D79" s="15"/>
      <c r="E79" s="16"/>
      <c r="F79" s="16"/>
      <c r="G79" s="18"/>
      <c r="H79" s="18"/>
      <c r="I79" s="18"/>
      <c r="J79" s="18"/>
      <c r="K79" s="18"/>
      <c r="L79" s="18"/>
    </row>
    <row r="80" spans="1:16" s="534" customFormat="1" ht="20.100000000000001" customHeight="1">
      <c r="B80" s="604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534" customFormat="1" ht="20.100000000000001" customHeight="1">
      <c r="B81" s="604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534" customFormat="1" ht="20.100000000000001" customHeight="1">
      <c r="B82" s="604"/>
      <c r="C82" s="22"/>
      <c r="D82" s="24"/>
      <c r="E82" s="16"/>
      <c r="F82" s="16"/>
      <c r="G82" s="18"/>
      <c r="H82" s="18"/>
      <c r="I82" s="18"/>
      <c r="J82" s="18"/>
      <c r="K82" s="18"/>
      <c r="L82" s="18"/>
    </row>
    <row r="83" spans="2:12" s="534" customFormat="1" ht="20.100000000000001" customHeight="1">
      <c r="B83" s="604"/>
      <c r="C83" s="605"/>
      <c r="D83" s="15"/>
      <c r="E83" s="16"/>
      <c r="F83" s="17"/>
      <c r="G83" s="18"/>
      <c r="H83" s="18"/>
      <c r="I83" s="18"/>
      <c r="J83" s="18"/>
      <c r="K83" s="18"/>
      <c r="L83" s="18"/>
    </row>
    <row r="384" spans="2:7">
      <c r="B384" s="606">
        <v>676.7</v>
      </c>
      <c r="G384" s="606" t="s">
        <v>194</v>
      </c>
    </row>
    <row r="386" spans="2:2">
      <c r="B386" s="606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Q156"/>
  <sheetViews>
    <sheetView view="pageBreakPreview" topLeftCell="A139" zoomScale="80" zoomScaleNormal="75" workbookViewId="0">
      <selection activeCell="L156" sqref="L156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7.44140625" style="5" customWidth="1"/>
    <col min="16" max="16" width="7.5546875" style="5" customWidth="1"/>
    <col min="17" max="16384" width="9.109375" style="5"/>
  </cols>
  <sheetData>
    <row r="1" spans="1:13" s="1" customFormat="1" ht="20.100000000000001" customHeight="1">
      <c r="A1" s="183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4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3"/>
      <c r="E3" s="139"/>
      <c r="F3" s="139"/>
      <c r="G3" s="139"/>
      <c r="H3" s="140"/>
      <c r="I3" s="140"/>
      <c r="J3" s="164"/>
      <c r="K3" s="164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3"/>
      <c r="E4" s="139"/>
      <c r="F4" s="139"/>
      <c r="G4" s="139"/>
      <c r="H4" s="140"/>
      <c r="I4" s="140"/>
      <c r="J4" s="471" t="s">
        <v>259</v>
      </c>
      <c r="K4" s="471"/>
      <c r="L4" s="471"/>
      <c r="M4" s="472"/>
    </row>
    <row r="5" spans="1:13" s="1" customFormat="1" ht="20.100000000000001" customHeight="1" thickBot="1">
      <c r="A5" s="136" t="s">
        <v>424</v>
      </c>
      <c r="B5" s="138"/>
      <c r="C5" s="138"/>
      <c r="D5" s="163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83" t="s">
        <v>3</v>
      </c>
      <c r="B6" s="485" t="s">
        <v>4</v>
      </c>
      <c r="C6" s="485" t="s">
        <v>38</v>
      </c>
      <c r="D6" s="30" t="s">
        <v>47</v>
      </c>
      <c r="E6" s="31" t="s">
        <v>39</v>
      </c>
      <c r="F6" s="31" t="s">
        <v>39</v>
      </c>
      <c r="G6" s="487" t="s">
        <v>39</v>
      </c>
      <c r="H6" s="479" t="s">
        <v>40</v>
      </c>
      <c r="I6" s="480"/>
      <c r="J6" s="481" t="s">
        <v>41</v>
      </c>
      <c r="K6" s="482"/>
      <c r="L6" s="32" t="s">
        <v>6</v>
      </c>
      <c r="M6" s="477" t="s">
        <v>42</v>
      </c>
    </row>
    <row r="7" spans="1:13" s="25" customFormat="1" ht="20.100000000000001" customHeight="1" thickBot="1">
      <c r="A7" s="484"/>
      <c r="B7" s="486"/>
      <c r="C7" s="486"/>
      <c r="D7" s="33" t="s">
        <v>48</v>
      </c>
      <c r="E7" s="187"/>
      <c r="F7" s="187"/>
      <c r="G7" s="488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78"/>
    </row>
    <row r="8" spans="1:13" s="1" customFormat="1" ht="20.100000000000001" customHeight="1">
      <c r="A8" s="165" t="s">
        <v>95</v>
      </c>
      <c r="B8" s="166" t="s">
        <v>168</v>
      </c>
      <c r="C8" s="167"/>
      <c r="D8" s="168"/>
      <c r="E8" s="169"/>
      <c r="F8" s="170"/>
      <c r="G8" s="170"/>
      <c r="H8" s="171"/>
      <c r="I8" s="171"/>
      <c r="J8" s="171"/>
      <c r="K8" s="171"/>
      <c r="L8" s="172"/>
      <c r="M8" s="173"/>
    </row>
    <row r="9" spans="1:13" s="1" customFormat="1" ht="20.100000000000001" customHeight="1">
      <c r="A9" s="86" t="s">
        <v>16</v>
      </c>
      <c r="B9" s="87" t="s">
        <v>96</v>
      </c>
      <c r="C9" s="88"/>
      <c r="D9" s="89"/>
      <c r="E9" s="90" t="e">
        <f>SUM(E10:E15)</f>
        <v>#REF!</v>
      </c>
      <c r="F9" s="90">
        <f>SUM(F10:F15)</f>
        <v>0</v>
      </c>
      <c r="G9" s="90"/>
      <c r="H9" s="91"/>
      <c r="I9" s="91"/>
      <c r="J9" s="91"/>
      <c r="K9" s="91"/>
      <c r="L9" s="92"/>
      <c r="M9" s="111"/>
    </row>
    <row r="10" spans="1:13" s="7" customFormat="1" ht="20.25" customHeight="1">
      <c r="A10" s="188" t="s">
        <v>97</v>
      </c>
      <c r="B10" s="213" t="s">
        <v>229</v>
      </c>
      <c r="C10" s="114" t="s">
        <v>64</v>
      </c>
      <c r="D10" s="115">
        <v>0</v>
      </c>
      <c r="E10" s="116">
        <v>174</v>
      </c>
      <c r="F10" s="117"/>
      <c r="G10" s="117">
        <v>70</v>
      </c>
      <c r="H10" s="117">
        <v>350</v>
      </c>
      <c r="I10" s="118">
        <f>G10*H10</f>
        <v>24500</v>
      </c>
      <c r="J10" s="118">
        <v>250</v>
      </c>
      <c r="K10" s="118">
        <f>G10*J10</f>
        <v>17500</v>
      </c>
      <c r="L10" s="119">
        <f>K10+I10</f>
        <v>42000</v>
      </c>
      <c r="M10" s="120"/>
    </row>
    <row r="11" spans="1:13" s="7" customFormat="1" ht="20.100000000000001" customHeight="1">
      <c r="A11" s="229" t="s">
        <v>98</v>
      </c>
      <c r="B11" s="213" t="s">
        <v>230</v>
      </c>
      <c r="C11" s="114" t="s">
        <v>64</v>
      </c>
      <c r="D11" s="290">
        <v>0</v>
      </c>
      <c r="E11" s="291">
        <v>435</v>
      </c>
      <c r="F11" s="134"/>
      <c r="G11" s="134">
        <v>70</v>
      </c>
      <c r="H11" s="134">
        <v>300</v>
      </c>
      <c r="I11" s="118">
        <f>G11*H11</f>
        <v>21000</v>
      </c>
      <c r="J11" s="135">
        <v>250</v>
      </c>
      <c r="K11" s="118">
        <f>G11*J11</f>
        <v>17500</v>
      </c>
      <c r="L11" s="119">
        <f>K11+I11</f>
        <v>38500</v>
      </c>
      <c r="M11" s="195"/>
    </row>
    <row r="12" spans="1:13" s="7" customFormat="1" ht="20.100000000000001" customHeight="1">
      <c r="A12" s="188" t="s">
        <v>99</v>
      </c>
      <c r="B12" s="213" t="s">
        <v>231</v>
      </c>
      <c r="C12" s="114" t="s">
        <v>64</v>
      </c>
      <c r="D12" s="197">
        <v>0</v>
      </c>
      <c r="E12" s="198">
        <v>435</v>
      </c>
      <c r="F12" s="199"/>
      <c r="G12" s="199">
        <v>90</v>
      </c>
      <c r="H12" s="199">
        <v>280</v>
      </c>
      <c r="I12" s="118">
        <f>G12*H12</f>
        <v>25200</v>
      </c>
      <c r="J12" s="200">
        <v>180</v>
      </c>
      <c r="K12" s="118">
        <f>G12*J12</f>
        <v>16200</v>
      </c>
      <c r="L12" s="119">
        <f>K12+I12</f>
        <v>41400</v>
      </c>
      <c r="M12" s="202"/>
    </row>
    <row r="13" spans="1:13" s="7" customFormat="1" ht="20.100000000000001" customHeight="1">
      <c r="A13" s="188" t="s">
        <v>100</v>
      </c>
      <c r="B13" s="223" t="s">
        <v>202</v>
      </c>
      <c r="C13" s="114" t="s">
        <v>64</v>
      </c>
      <c r="D13" s="115">
        <v>0</v>
      </c>
      <c r="E13" s="116">
        <v>38</v>
      </c>
      <c r="F13" s="117"/>
      <c r="G13" s="117">
        <v>26</v>
      </c>
      <c r="H13" s="117">
        <v>20</v>
      </c>
      <c r="I13" s="118">
        <f>G13*H13</f>
        <v>520</v>
      </c>
      <c r="J13" s="118">
        <v>30</v>
      </c>
      <c r="K13" s="118">
        <f>G13*J13</f>
        <v>780</v>
      </c>
      <c r="L13" s="119">
        <f>K13+I13</f>
        <v>1300</v>
      </c>
      <c r="M13" s="120"/>
    </row>
    <row r="14" spans="1:13" s="7" customFormat="1" ht="20.100000000000001" customHeight="1">
      <c r="A14" s="188" t="s">
        <v>101</v>
      </c>
      <c r="B14" s="223" t="s">
        <v>257</v>
      </c>
      <c r="C14" s="114" t="s">
        <v>180</v>
      </c>
      <c r="D14" s="115">
        <v>0</v>
      </c>
      <c r="E14" s="116">
        <v>38</v>
      </c>
      <c r="F14" s="117"/>
      <c r="G14" s="117">
        <v>29</v>
      </c>
      <c r="H14" s="117">
        <v>60</v>
      </c>
      <c r="I14" s="118">
        <f>G14*H14</f>
        <v>1740</v>
      </c>
      <c r="J14" s="118">
        <v>45</v>
      </c>
      <c r="K14" s="118">
        <f>G14*J14</f>
        <v>1305</v>
      </c>
      <c r="L14" s="119">
        <f>K14+I14</f>
        <v>3045</v>
      </c>
      <c r="M14" s="120"/>
    </row>
    <row r="15" spans="1:13" s="7" customFormat="1" ht="20.100000000000001" customHeight="1">
      <c r="A15" s="188"/>
      <c r="B15" s="223"/>
      <c r="C15" s="114"/>
      <c r="D15" s="115">
        <v>0</v>
      </c>
      <c r="E15" s="116" t="e">
        <f>E14+#REF!+#REF!+#REF!</f>
        <v>#REF!</v>
      </c>
      <c r="F15" s="116"/>
      <c r="G15" s="117"/>
      <c r="H15" s="117"/>
      <c r="I15" s="118"/>
      <c r="J15" s="118"/>
      <c r="K15" s="118"/>
      <c r="L15" s="119"/>
      <c r="M15" s="120"/>
    </row>
    <row r="16" spans="1:13" s="7" customFormat="1" ht="20.100000000000001" customHeight="1" thickBot="1">
      <c r="A16" s="188"/>
      <c r="B16" s="309"/>
      <c r="C16" s="310"/>
      <c r="D16" s="115">
        <v>0</v>
      </c>
      <c r="E16" s="116" t="e">
        <f>#REF!</f>
        <v>#REF!</v>
      </c>
      <c r="F16" s="116"/>
      <c r="G16" s="117"/>
      <c r="H16" s="117"/>
      <c r="I16" s="118"/>
      <c r="J16" s="118"/>
      <c r="K16" s="118"/>
      <c r="L16" s="119"/>
      <c r="M16" s="120"/>
    </row>
    <row r="17" spans="1:13" s="7" customFormat="1" ht="20.100000000000001" customHeight="1" thickTop="1" thickBot="1">
      <c r="A17" s="52"/>
      <c r="B17" s="44" t="s">
        <v>103</v>
      </c>
      <c r="C17" s="48"/>
      <c r="D17" s="49"/>
      <c r="E17" s="50"/>
      <c r="F17" s="50"/>
      <c r="G17" s="50"/>
      <c r="H17" s="51"/>
      <c r="I17" s="36">
        <f>SUM(I10:I16)</f>
        <v>72960</v>
      </c>
      <c r="J17" s="51"/>
      <c r="K17" s="36">
        <f>SUM(K10:K16)</f>
        <v>53285</v>
      </c>
      <c r="L17" s="36">
        <f>SUM(L10:L16)</f>
        <v>126245</v>
      </c>
      <c r="M17" s="37"/>
    </row>
    <row r="18" spans="1:13" s="7" customFormat="1" ht="20.100000000000001" customHeight="1" thickTop="1">
      <c r="A18" s="370"/>
      <c r="B18" s="311"/>
      <c r="C18" s="312"/>
      <c r="D18" s="313"/>
      <c r="E18" s="314"/>
      <c r="F18" s="315"/>
      <c r="G18" s="315"/>
      <c r="H18" s="164"/>
      <c r="I18" s="164"/>
      <c r="J18" s="164"/>
      <c r="K18" s="164"/>
      <c r="L18" s="316"/>
      <c r="M18" s="371"/>
    </row>
    <row r="19" spans="1:13" s="7" customFormat="1" ht="20.100000000000001" customHeight="1">
      <c r="A19" s="372"/>
      <c r="B19" s="319"/>
      <c r="C19" s="319"/>
      <c r="D19" s="319"/>
      <c r="E19" s="319"/>
      <c r="F19" s="319"/>
      <c r="G19" s="319"/>
      <c r="H19" s="319"/>
      <c r="I19" s="319"/>
      <c r="J19" s="319"/>
      <c r="K19" s="319"/>
      <c r="L19" s="319"/>
      <c r="M19" s="373"/>
    </row>
    <row r="20" spans="1:13" s="1" customFormat="1" ht="20.100000000000001" customHeight="1">
      <c r="A20" s="165" t="s">
        <v>17</v>
      </c>
      <c r="B20" s="166" t="s">
        <v>169</v>
      </c>
      <c r="C20" s="167"/>
      <c r="D20" s="168"/>
      <c r="E20" s="170" t="e">
        <f>SUM(E21:E21)*2</f>
        <v>#REF!</v>
      </c>
      <c r="F20" s="170">
        <f>SUM(F21:F21)*2</f>
        <v>0</v>
      </c>
      <c r="G20" s="170"/>
      <c r="H20" s="171"/>
      <c r="I20" s="171"/>
      <c r="J20" s="171"/>
      <c r="K20" s="171"/>
      <c r="L20" s="172"/>
      <c r="M20" s="173"/>
    </row>
    <row r="21" spans="1:13" s="7" customFormat="1" ht="20.100000000000001" customHeight="1">
      <c r="A21" s="225" t="s">
        <v>104</v>
      </c>
      <c r="B21" s="226" t="s">
        <v>232</v>
      </c>
      <c r="C21" s="105" t="s">
        <v>64</v>
      </c>
      <c r="D21" s="106">
        <v>0</v>
      </c>
      <c r="E21" s="107" t="e">
        <f>#REF!*2-#REF!</f>
        <v>#REF!</v>
      </c>
      <c r="F21" s="108"/>
      <c r="G21" s="108">
        <v>175</v>
      </c>
      <c r="H21" s="108">
        <v>200</v>
      </c>
      <c r="I21" s="118">
        <f>G21*H21</f>
        <v>35000</v>
      </c>
      <c r="J21" s="109">
        <v>80</v>
      </c>
      <c r="K21" s="118">
        <f>G21*J21</f>
        <v>14000</v>
      </c>
      <c r="L21" s="119">
        <f>K21+I21</f>
        <v>49000</v>
      </c>
      <c r="M21" s="111"/>
    </row>
    <row r="22" spans="1:13" s="7" customFormat="1" ht="20.100000000000001" customHeight="1">
      <c r="A22" s="188" t="s">
        <v>105</v>
      </c>
      <c r="B22" s="227" t="s">
        <v>181</v>
      </c>
      <c r="C22" s="114" t="s">
        <v>64</v>
      </c>
      <c r="D22" s="115">
        <v>0</v>
      </c>
      <c r="E22" s="116">
        <f>35*2</f>
        <v>70</v>
      </c>
      <c r="F22" s="117"/>
      <c r="G22" s="117">
        <v>165</v>
      </c>
      <c r="H22" s="117">
        <v>45</v>
      </c>
      <c r="I22" s="118">
        <f t="shared" ref="I22:I30" si="0">G22*H22</f>
        <v>7425</v>
      </c>
      <c r="J22" s="118">
        <v>80</v>
      </c>
      <c r="K22" s="118">
        <f t="shared" ref="K22:K30" si="1">G22*J22</f>
        <v>13200</v>
      </c>
      <c r="L22" s="119">
        <f t="shared" ref="L22:L30" si="2">K22+I22</f>
        <v>20625</v>
      </c>
      <c r="M22" s="120"/>
    </row>
    <row r="23" spans="1:13" s="7" customFormat="1" ht="20.100000000000001" customHeight="1">
      <c r="A23" s="188" t="s">
        <v>106</v>
      </c>
      <c r="B23" s="227" t="s">
        <v>182</v>
      </c>
      <c r="C23" s="114" t="s">
        <v>64</v>
      </c>
      <c r="D23" s="115">
        <v>0</v>
      </c>
      <c r="E23" s="116">
        <f>35*2</f>
        <v>70</v>
      </c>
      <c r="F23" s="117"/>
      <c r="G23" s="117">
        <v>150</v>
      </c>
      <c r="H23" s="117">
        <v>45</v>
      </c>
      <c r="I23" s="118">
        <f t="shared" si="0"/>
        <v>6750</v>
      </c>
      <c r="J23" s="118">
        <v>80</v>
      </c>
      <c r="K23" s="118">
        <f t="shared" si="1"/>
        <v>12000</v>
      </c>
      <c r="L23" s="119">
        <f t="shared" si="2"/>
        <v>18750</v>
      </c>
      <c r="M23" s="120"/>
    </row>
    <row r="24" spans="1:13" s="7" customFormat="1" ht="20.100000000000001" customHeight="1">
      <c r="A24" s="188" t="s">
        <v>107</v>
      </c>
      <c r="B24" s="228" t="s">
        <v>109</v>
      </c>
      <c r="C24" s="114" t="s">
        <v>102</v>
      </c>
      <c r="D24" s="115">
        <v>0</v>
      </c>
      <c r="E24" s="116" t="e">
        <f>E26</f>
        <v>#REF!</v>
      </c>
      <c r="F24" s="117"/>
      <c r="G24" s="117">
        <v>130</v>
      </c>
      <c r="H24" s="117">
        <v>70</v>
      </c>
      <c r="I24" s="118">
        <f t="shared" si="0"/>
        <v>9100</v>
      </c>
      <c r="J24" s="118">
        <v>50</v>
      </c>
      <c r="K24" s="118">
        <f t="shared" si="1"/>
        <v>6500</v>
      </c>
      <c r="L24" s="119">
        <f t="shared" si="2"/>
        <v>15600</v>
      </c>
      <c r="M24" s="120"/>
    </row>
    <row r="25" spans="1:13" s="7" customFormat="1" ht="20.100000000000001" customHeight="1">
      <c r="A25" s="188" t="s">
        <v>108</v>
      </c>
      <c r="B25" s="227" t="s">
        <v>265</v>
      </c>
      <c r="C25" s="114" t="s">
        <v>102</v>
      </c>
      <c r="D25" s="115">
        <v>0</v>
      </c>
      <c r="E25" s="116" t="e">
        <f>#REF!</f>
        <v>#REF!</v>
      </c>
      <c r="F25" s="117"/>
      <c r="G25" s="117">
        <v>250</v>
      </c>
      <c r="H25" s="117">
        <v>25</v>
      </c>
      <c r="I25" s="118">
        <f t="shared" si="0"/>
        <v>6250</v>
      </c>
      <c r="J25" s="118">
        <v>35</v>
      </c>
      <c r="K25" s="118">
        <f t="shared" si="1"/>
        <v>8750</v>
      </c>
      <c r="L25" s="119">
        <f t="shared" si="2"/>
        <v>15000</v>
      </c>
      <c r="M25" s="120"/>
    </row>
    <row r="26" spans="1:13" s="7" customFormat="1" ht="20.100000000000001" customHeight="1">
      <c r="A26" s="225" t="s">
        <v>110</v>
      </c>
      <c r="B26" s="326" t="s">
        <v>260</v>
      </c>
      <c r="C26" s="215" t="s">
        <v>64</v>
      </c>
      <c r="D26" s="115">
        <v>0</v>
      </c>
      <c r="E26" s="116" t="e">
        <f>#REF!</f>
        <v>#REF!</v>
      </c>
      <c r="F26" s="117"/>
      <c r="G26" s="117">
        <v>72</v>
      </c>
      <c r="H26" s="117">
        <v>280</v>
      </c>
      <c r="I26" s="118">
        <f t="shared" si="0"/>
        <v>20160</v>
      </c>
      <c r="J26" s="118">
        <v>180</v>
      </c>
      <c r="K26" s="118">
        <f t="shared" si="1"/>
        <v>12960</v>
      </c>
      <c r="L26" s="119">
        <f t="shared" si="2"/>
        <v>33120</v>
      </c>
      <c r="M26" s="120"/>
    </row>
    <row r="27" spans="1:13" s="7" customFormat="1" ht="20.100000000000001" customHeight="1">
      <c r="A27" s="374"/>
      <c r="B27" s="320" t="s">
        <v>221</v>
      </c>
      <c r="C27" s="215" t="s">
        <v>64</v>
      </c>
      <c r="D27" s="216">
        <v>0</v>
      </c>
      <c r="E27" s="217">
        <v>530</v>
      </c>
      <c r="F27" s="218"/>
      <c r="G27" s="134">
        <v>72</v>
      </c>
      <c r="H27" s="134">
        <v>60</v>
      </c>
      <c r="I27" s="118">
        <f t="shared" si="0"/>
        <v>4320</v>
      </c>
      <c r="J27" s="135">
        <v>70</v>
      </c>
      <c r="K27" s="118">
        <f t="shared" si="1"/>
        <v>5040</v>
      </c>
      <c r="L27" s="119">
        <f t="shared" si="2"/>
        <v>9360</v>
      </c>
      <c r="M27" s="195"/>
    </row>
    <row r="28" spans="1:13" s="7" customFormat="1" ht="20.100000000000001" customHeight="1">
      <c r="A28" s="375" t="s">
        <v>111</v>
      </c>
      <c r="B28" s="322" t="s">
        <v>189</v>
      </c>
      <c r="C28" s="323"/>
      <c r="G28" s="327"/>
      <c r="H28" s="324"/>
      <c r="I28" s="118"/>
      <c r="J28" s="325"/>
      <c r="K28" s="325"/>
      <c r="L28" s="119"/>
      <c r="M28" s="371"/>
    </row>
    <row r="29" spans="1:13" s="7" customFormat="1" ht="21" customHeight="1">
      <c r="A29" s="253"/>
      <c r="B29" s="321" t="s">
        <v>224</v>
      </c>
      <c r="C29" s="276" t="s">
        <v>102</v>
      </c>
      <c r="G29" s="328">
        <v>38</v>
      </c>
      <c r="H29" s="257">
        <v>110</v>
      </c>
      <c r="I29" s="118">
        <f t="shared" si="0"/>
        <v>4180</v>
      </c>
      <c r="J29" s="258">
        <v>70</v>
      </c>
      <c r="K29" s="118">
        <f t="shared" si="1"/>
        <v>2660</v>
      </c>
      <c r="L29" s="119">
        <f t="shared" si="2"/>
        <v>6840</v>
      </c>
      <c r="M29" s="371"/>
    </row>
    <row r="30" spans="1:13" s="7" customFormat="1" ht="20.100000000000001" customHeight="1">
      <c r="A30" s="376" t="s">
        <v>173</v>
      </c>
      <c r="B30" s="318" t="s">
        <v>376</v>
      </c>
      <c r="C30" s="305" t="s">
        <v>64</v>
      </c>
      <c r="D30" s="306"/>
      <c r="E30" s="307"/>
      <c r="F30" s="176"/>
      <c r="G30" s="176">
        <v>125</v>
      </c>
      <c r="H30" s="176">
        <v>100</v>
      </c>
      <c r="I30" s="118">
        <f t="shared" si="0"/>
        <v>12500</v>
      </c>
      <c r="J30" s="317">
        <v>100</v>
      </c>
      <c r="K30" s="118">
        <f t="shared" si="1"/>
        <v>12500</v>
      </c>
      <c r="L30" s="119">
        <f t="shared" si="2"/>
        <v>25000</v>
      </c>
      <c r="M30" s="377"/>
    </row>
    <row r="31" spans="1:13" s="7" customFormat="1" ht="20.100000000000001" customHeight="1">
      <c r="A31" s="378"/>
      <c r="B31" s="318"/>
      <c r="C31" s="318"/>
      <c r="D31" s="318"/>
      <c r="E31" s="318"/>
      <c r="F31" s="318"/>
      <c r="G31" s="318"/>
      <c r="H31" s="318"/>
      <c r="I31" s="318"/>
      <c r="J31" s="318"/>
      <c r="K31" s="318"/>
      <c r="L31" s="318"/>
      <c r="M31" s="379"/>
    </row>
    <row r="32" spans="1:13" s="7" customFormat="1" ht="20.100000000000001" customHeight="1" thickBot="1">
      <c r="A32" s="380"/>
      <c r="B32" s="329"/>
      <c r="C32" s="277"/>
      <c r="D32" s="278"/>
      <c r="E32" s="279"/>
      <c r="F32" s="280"/>
      <c r="G32" s="280"/>
      <c r="H32" s="330"/>
      <c r="I32" s="330"/>
      <c r="J32" s="330"/>
      <c r="K32" s="330"/>
      <c r="L32" s="281"/>
      <c r="M32" s="381" t="s">
        <v>34</v>
      </c>
    </row>
    <row r="33" spans="1:13" s="7" customFormat="1" ht="17.25" customHeight="1" thickTop="1" thickBot="1">
      <c r="A33" s="304"/>
      <c r="B33" s="283" t="s">
        <v>112</v>
      </c>
      <c r="C33" s="284"/>
      <c r="D33" s="285"/>
      <c r="E33" s="286"/>
      <c r="F33" s="286"/>
      <c r="G33" s="286"/>
      <c r="H33" s="287"/>
      <c r="I33" s="36">
        <f>SUM(I21:I32)</f>
        <v>105685</v>
      </c>
      <c r="J33" s="287"/>
      <c r="K33" s="288">
        <f>SUM(K21:K32)</f>
        <v>87610</v>
      </c>
      <c r="L33" s="288">
        <f>SUM(L21:L32)</f>
        <v>193295</v>
      </c>
      <c r="M33" s="289"/>
    </row>
    <row r="34" spans="1:13" s="7" customFormat="1" ht="21" customHeight="1" thickTop="1">
      <c r="A34" s="382"/>
      <c r="M34" s="383"/>
    </row>
    <row r="35" spans="1:13" s="1" customFormat="1" ht="20.100000000000001" customHeight="1">
      <c r="A35" s="384"/>
      <c r="M35" s="385"/>
    </row>
    <row r="36" spans="1:13" s="7" customFormat="1" ht="23.25" customHeight="1">
      <c r="A36" s="129" t="s">
        <v>18</v>
      </c>
      <c r="B36" s="130" t="s">
        <v>170</v>
      </c>
      <c r="C36" s="101"/>
      <c r="D36" s="174"/>
      <c r="E36" s="176">
        <f>SUM(E37:E39)</f>
        <v>749</v>
      </c>
      <c r="F36" s="176">
        <f>SUM(F37:F39)</f>
        <v>0</v>
      </c>
      <c r="G36" s="81"/>
      <c r="H36" s="131"/>
      <c r="I36" s="131"/>
      <c r="J36" s="131"/>
      <c r="K36" s="131"/>
      <c r="L36" s="83"/>
      <c r="M36" s="132"/>
    </row>
    <row r="37" spans="1:13" s="7" customFormat="1" ht="52.5" customHeight="1">
      <c r="A37" s="225" t="s">
        <v>113</v>
      </c>
      <c r="B37" s="227" t="s">
        <v>236</v>
      </c>
      <c r="C37" s="105" t="s">
        <v>64</v>
      </c>
      <c r="D37" s="106">
        <v>0</v>
      </c>
      <c r="E37" s="107">
        <v>608</v>
      </c>
      <c r="F37" s="107"/>
      <c r="G37" s="117">
        <v>69.7</v>
      </c>
      <c r="H37" s="108">
        <v>510</v>
      </c>
      <c r="I37" s="118">
        <f>G37*H37</f>
        <v>35547</v>
      </c>
      <c r="J37" s="109"/>
      <c r="K37" s="118">
        <f>G37*J37</f>
        <v>0</v>
      </c>
      <c r="L37" s="119">
        <f>K37+I37</f>
        <v>35547</v>
      </c>
      <c r="M37" s="111"/>
    </row>
    <row r="38" spans="1:13" s="7" customFormat="1" ht="53.25" customHeight="1">
      <c r="A38" s="188" t="s">
        <v>114</v>
      </c>
      <c r="B38" s="230" t="s">
        <v>235</v>
      </c>
      <c r="C38" s="114" t="s">
        <v>64</v>
      </c>
      <c r="D38" s="115">
        <v>0</v>
      </c>
      <c r="E38" s="116">
        <v>110</v>
      </c>
      <c r="F38" s="116"/>
      <c r="G38" s="117">
        <v>74.599999999999994</v>
      </c>
      <c r="H38" s="117">
        <v>480</v>
      </c>
      <c r="I38" s="118">
        <f>G38*H38</f>
        <v>35808</v>
      </c>
      <c r="J38" s="118"/>
      <c r="K38" s="118">
        <f>G38*J38</f>
        <v>0</v>
      </c>
      <c r="L38" s="119">
        <f>K38+I38</f>
        <v>35808</v>
      </c>
      <c r="M38" s="416"/>
    </row>
    <row r="39" spans="1:13" s="7" customFormat="1" ht="56.25" customHeight="1">
      <c r="A39" s="188" t="s">
        <v>115</v>
      </c>
      <c r="B39" s="189" t="s">
        <v>237</v>
      </c>
      <c r="C39" s="114" t="s">
        <v>64</v>
      </c>
      <c r="D39" s="115">
        <v>0</v>
      </c>
      <c r="E39" s="116">
        <v>31</v>
      </c>
      <c r="F39" s="116"/>
      <c r="G39" s="117">
        <v>88.5</v>
      </c>
      <c r="H39" s="117">
        <v>375</v>
      </c>
      <c r="I39" s="118">
        <f>G39*H39</f>
        <v>33187.5</v>
      </c>
      <c r="J39" s="118"/>
      <c r="K39" s="118">
        <f>G39*J39</f>
        <v>0</v>
      </c>
      <c r="L39" s="119">
        <f>K39+I39</f>
        <v>33187.5</v>
      </c>
      <c r="M39" s="120"/>
    </row>
    <row r="40" spans="1:13" s="7" customFormat="1" ht="20.100000000000001" customHeight="1" thickBot="1">
      <c r="A40" s="188"/>
      <c r="B40" s="189"/>
      <c r="C40" s="114"/>
      <c r="D40" s="122"/>
      <c r="E40" s="123"/>
      <c r="F40" s="124"/>
      <c r="G40" s="117"/>
      <c r="H40" s="117"/>
      <c r="I40" s="118"/>
      <c r="J40" s="231"/>
      <c r="K40" s="231"/>
      <c r="L40" s="119"/>
      <c r="M40" s="127" t="s">
        <v>34</v>
      </c>
    </row>
    <row r="41" spans="1:13" s="1" customFormat="1" ht="20.100000000000001" customHeight="1" thickTop="1" thickBot="1">
      <c r="A41" s="52"/>
      <c r="B41" s="44" t="s">
        <v>116</v>
      </c>
      <c r="C41" s="48"/>
      <c r="D41" s="49"/>
      <c r="E41" s="50"/>
      <c r="F41" s="50"/>
      <c r="G41" s="50"/>
      <c r="H41" s="51"/>
      <c r="I41" s="51">
        <f>SUM(I37:I40)</f>
        <v>104542.5</v>
      </c>
      <c r="J41" s="51"/>
      <c r="K41" s="36">
        <f>SUM(K37:K40)</f>
        <v>0</v>
      </c>
      <c r="L41" s="36">
        <f>SUM(L37:L40)</f>
        <v>104542.5</v>
      </c>
      <c r="M41" s="37" t="s">
        <v>34</v>
      </c>
    </row>
    <row r="42" spans="1:13" s="7" customFormat="1" ht="20.100000000000001" customHeight="1" thickTop="1">
      <c r="A42" s="150" t="s">
        <v>19</v>
      </c>
      <c r="B42" s="99" t="s">
        <v>171</v>
      </c>
      <c r="C42" s="73"/>
      <c r="D42" s="74"/>
      <c r="E42" s="151"/>
      <c r="F42" s="128"/>
      <c r="G42" s="75"/>
      <c r="H42" s="185"/>
      <c r="I42" s="185"/>
      <c r="J42" s="185"/>
      <c r="K42" s="185"/>
      <c r="L42" s="77"/>
      <c r="M42" s="186"/>
    </row>
    <row r="43" spans="1:13" s="7" customFormat="1" ht="20.100000000000001" customHeight="1">
      <c r="A43" s="188" t="s">
        <v>117</v>
      </c>
      <c r="B43" s="213" t="s">
        <v>238</v>
      </c>
      <c r="C43" s="114" t="s">
        <v>64</v>
      </c>
      <c r="D43" s="115">
        <v>0</v>
      </c>
      <c r="E43" s="116" t="e">
        <f>E21/2</f>
        <v>#REF!</v>
      </c>
      <c r="F43" s="117"/>
      <c r="G43" s="117">
        <v>165</v>
      </c>
      <c r="H43" s="117">
        <v>27</v>
      </c>
      <c r="I43" s="118">
        <f t="shared" ref="I43:I50" si="3">G43*H43</f>
        <v>4455</v>
      </c>
      <c r="J43" s="118">
        <v>29</v>
      </c>
      <c r="K43" s="118">
        <f t="shared" ref="K43:K50" si="4">G43*J43</f>
        <v>4785</v>
      </c>
      <c r="L43" s="119">
        <f>K43+I43</f>
        <v>9240</v>
      </c>
      <c r="M43" s="85"/>
    </row>
    <row r="44" spans="1:13" s="7" customFormat="1" ht="20.100000000000001" customHeight="1">
      <c r="A44" s="188" t="s">
        <v>118</v>
      </c>
      <c r="B44" s="213" t="s">
        <v>239</v>
      </c>
      <c r="C44" s="114" t="s">
        <v>64</v>
      </c>
      <c r="D44" s="115">
        <v>0</v>
      </c>
      <c r="E44" s="116" t="e">
        <f>E21/2</f>
        <v>#REF!</v>
      </c>
      <c r="F44" s="117"/>
      <c r="G44" s="117">
        <v>150</v>
      </c>
      <c r="H44" s="117">
        <v>30</v>
      </c>
      <c r="I44" s="118">
        <f t="shared" si="3"/>
        <v>4500</v>
      </c>
      <c r="J44" s="118">
        <v>29</v>
      </c>
      <c r="K44" s="118">
        <f t="shared" si="4"/>
        <v>4350</v>
      </c>
      <c r="L44" s="119">
        <f t="shared" ref="L44:L50" si="5">K44+I44</f>
        <v>8850</v>
      </c>
      <c r="M44" s="85"/>
    </row>
    <row r="45" spans="1:13" s="7" customFormat="1" ht="20.100000000000001" customHeight="1">
      <c r="A45" s="188" t="s">
        <v>119</v>
      </c>
      <c r="B45" s="213" t="s">
        <v>240</v>
      </c>
      <c r="C45" s="114" t="s">
        <v>64</v>
      </c>
      <c r="D45" s="115">
        <v>0</v>
      </c>
      <c r="E45" s="116" t="e">
        <f>#REF!+#REF!+E37+#REF!-26</f>
        <v>#REF!</v>
      </c>
      <c r="F45" s="116"/>
      <c r="G45" s="117">
        <v>144.30000000000001</v>
      </c>
      <c r="H45" s="117">
        <v>30</v>
      </c>
      <c r="I45" s="118">
        <f t="shared" si="3"/>
        <v>4329</v>
      </c>
      <c r="J45" s="118">
        <v>30</v>
      </c>
      <c r="K45" s="118">
        <f t="shared" si="4"/>
        <v>4329</v>
      </c>
      <c r="L45" s="119">
        <f t="shared" si="5"/>
        <v>8658</v>
      </c>
      <c r="M45" s="85"/>
    </row>
    <row r="46" spans="1:13" s="7" customFormat="1" ht="20.100000000000001" customHeight="1">
      <c r="A46" s="188" t="s">
        <v>120</v>
      </c>
      <c r="B46" s="213" t="s">
        <v>241</v>
      </c>
      <c r="C46" s="114" t="s">
        <v>64</v>
      </c>
      <c r="D46" s="115">
        <v>0</v>
      </c>
      <c r="E46" s="116" t="e">
        <f>#REF!+#REF!+E38+#REF!-26</f>
        <v>#REF!</v>
      </c>
      <c r="F46" s="116"/>
      <c r="G46" s="117">
        <v>88.5</v>
      </c>
      <c r="H46" s="117">
        <v>35</v>
      </c>
      <c r="I46" s="118">
        <f t="shared" si="3"/>
        <v>3097.5</v>
      </c>
      <c r="J46" s="118">
        <v>36</v>
      </c>
      <c r="K46" s="118">
        <f t="shared" si="4"/>
        <v>3186</v>
      </c>
      <c r="L46" s="119">
        <f t="shared" si="5"/>
        <v>6283.5</v>
      </c>
      <c r="M46" s="85"/>
    </row>
    <row r="47" spans="1:13" s="7" customFormat="1" ht="19.5" customHeight="1">
      <c r="A47" s="214" t="s">
        <v>121</v>
      </c>
      <c r="B47" s="191" t="s">
        <v>188</v>
      </c>
      <c r="C47" s="114" t="s">
        <v>180</v>
      </c>
      <c r="D47" s="216">
        <v>0</v>
      </c>
      <c r="E47" s="217">
        <v>337</v>
      </c>
      <c r="F47" s="218"/>
      <c r="G47" s="218">
        <v>95</v>
      </c>
      <c r="H47" s="218">
        <v>35</v>
      </c>
      <c r="I47" s="118">
        <f t="shared" si="3"/>
        <v>3325</v>
      </c>
      <c r="J47" s="219">
        <v>25</v>
      </c>
      <c r="K47" s="118">
        <f t="shared" si="4"/>
        <v>2375</v>
      </c>
      <c r="L47" s="119">
        <f t="shared" si="5"/>
        <v>5700</v>
      </c>
      <c r="M47" s="95"/>
    </row>
    <row r="48" spans="1:13" s="7" customFormat="1" ht="0.75" customHeight="1">
      <c r="A48" s="222"/>
      <c r="B48" s="295"/>
      <c r="C48" s="196"/>
      <c r="D48" s="197">
        <v>0</v>
      </c>
      <c r="E48" s="198">
        <v>337</v>
      </c>
      <c r="F48" s="199"/>
      <c r="G48" s="199"/>
      <c r="H48" s="199"/>
      <c r="I48" s="118">
        <f t="shared" si="3"/>
        <v>0</v>
      </c>
      <c r="J48" s="200"/>
      <c r="K48" s="118">
        <f t="shared" si="4"/>
        <v>0</v>
      </c>
      <c r="L48" s="119">
        <f t="shared" si="5"/>
        <v>0</v>
      </c>
      <c r="M48" s="97"/>
    </row>
    <row r="49" spans="1:17" s="7" customFormat="1" ht="20.100000000000001" customHeight="1">
      <c r="A49" s="188" t="s">
        <v>0</v>
      </c>
      <c r="B49" s="223" t="s">
        <v>206</v>
      </c>
      <c r="C49" s="114" t="s">
        <v>180</v>
      </c>
      <c r="D49" s="115">
        <v>0</v>
      </c>
      <c r="E49" s="116" t="e">
        <f>#REF!</f>
        <v>#REF!</v>
      </c>
      <c r="F49" s="117"/>
      <c r="G49" s="117">
        <v>95</v>
      </c>
      <c r="H49" s="117">
        <v>30</v>
      </c>
      <c r="I49" s="118">
        <f t="shared" si="3"/>
        <v>2850</v>
      </c>
      <c r="J49" s="118">
        <v>20</v>
      </c>
      <c r="K49" s="118">
        <f t="shared" si="4"/>
        <v>1900</v>
      </c>
      <c r="L49" s="119">
        <f t="shared" si="5"/>
        <v>4750</v>
      </c>
      <c r="M49" s="85"/>
    </row>
    <row r="50" spans="1:17" s="7" customFormat="1" ht="20.100000000000001" customHeight="1">
      <c r="A50" s="188" t="s">
        <v>187</v>
      </c>
      <c r="B50" s="223" t="s">
        <v>178</v>
      </c>
      <c r="C50" s="114" t="s">
        <v>175</v>
      </c>
      <c r="D50" s="115">
        <v>0</v>
      </c>
      <c r="E50" s="116" t="e">
        <f>#REF!</f>
        <v>#REF!</v>
      </c>
      <c r="F50" s="116"/>
      <c r="G50" s="117">
        <v>1</v>
      </c>
      <c r="H50" s="117">
        <v>3500</v>
      </c>
      <c r="I50" s="118">
        <f t="shared" si="3"/>
        <v>3500</v>
      </c>
      <c r="J50" s="118"/>
      <c r="K50" s="118">
        <f t="shared" si="4"/>
        <v>0</v>
      </c>
      <c r="L50" s="119">
        <f t="shared" si="5"/>
        <v>3500</v>
      </c>
      <c r="M50" s="85"/>
    </row>
    <row r="51" spans="1:17" s="7" customFormat="1" ht="20.100000000000001" customHeight="1">
      <c r="A51" s="188"/>
      <c r="B51" s="223"/>
      <c r="C51" s="114"/>
      <c r="D51" s="115">
        <v>0</v>
      </c>
      <c r="E51" s="116" t="e">
        <f>#REF!</f>
        <v>#REF!</v>
      </c>
      <c r="F51" s="117"/>
      <c r="G51" s="117"/>
      <c r="H51" s="117"/>
      <c r="I51" s="118"/>
      <c r="J51" s="118"/>
      <c r="K51" s="118"/>
      <c r="L51" s="119"/>
      <c r="M51" s="120"/>
    </row>
    <row r="52" spans="1:17" s="1" customFormat="1" ht="20.100000000000001" customHeight="1" thickBot="1">
      <c r="A52" s="224"/>
      <c r="B52" s="294"/>
      <c r="C52" s="121"/>
      <c r="D52" s="122"/>
      <c r="E52" s="123"/>
      <c r="F52" s="124"/>
      <c r="G52" s="124"/>
      <c r="H52" s="124"/>
      <c r="I52" s="125"/>
      <c r="J52" s="125"/>
      <c r="K52" s="125"/>
      <c r="L52" s="126"/>
      <c r="M52" s="127"/>
    </row>
    <row r="53" spans="1:17" s="1" customFormat="1" ht="20.100000000000001" customHeight="1" thickTop="1" thickBot="1">
      <c r="A53" s="282"/>
      <c r="B53" s="283" t="s">
        <v>223</v>
      </c>
      <c r="C53" s="284"/>
      <c r="D53" s="285"/>
      <c r="E53" s="286"/>
      <c r="F53" s="286"/>
      <c r="G53" s="286"/>
      <c r="H53" s="287"/>
      <c r="I53" s="288">
        <f>SUM(I43:I52)</f>
        <v>26056.5</v>
      </c>
      <c r="J53" s="287"/>
      <c r="K53" s="288">
        <f>SUM(K43:K52)</f>
        <v>20925</v>
      </c>
      <c r="L53" s="288">
        <f>SUM(L43:L52)</f>
        <v>46981.5</v>
      </c>
      <c r="M53" s="289"/>
    </row>
    <row r="54" spans="1:17" s="1" customFormat="1" ht="20.100000000000001" customHeight="1" thickTop="1">
      <c r="A54" s="129" t="s">
        <v>20</v>
      </c>
      <c r="B54" s="130" t="s">
        <v>172</v>
      </c>
      <c r="C54" s="101"/>
      <c r="D54" s="102"/>
      <c r="E54" s="103"/>
      <c r="F54" s="81"/>
      <c r="G54" s="81"/>
      <c r="H54" s="131"/>
      <c r="I54" s="131"/>
      <c r="J54" s="131"/>
      <c r="K54" s="131"/>
      <c r="L54" s="83"/>
      <c r="M54" s="132"/>
    </row>
    <row r="55" spans="1:17" s="1" customFormat="1" ht="20.100000000000001" customHeight="1">
      <c r="A55" s="86" t="s">
        <v>122</v>
      </c>
      <c r="B55" s="104" t="s">
        <v>185</v>
      </c>
      <c r="C55" s="88"/>
      <c r="D55" s="89"/>
      <c r="E55" s="162"/>
      <c r="F55" s="108"/>
      <c r="G55" s="90"/>
      <c r="H55" s="175"/>
      <c r="I55" s="175"/>
      <c r="J55" s="175"/>
      <c r="K55" s="175"/>
      <c r="L55" s="92"/>
      <c r="M55" s="111"/>
    </row>
    <row r="56" spans="1:17" s="1" customFormat="1" ht="20.100000000000001" customHeight="1">
      <c r="A56" s="188" t="s">
        <v>123</v>
      </c>
      <c r="B56" s="189" t="s">
        <v>207</v>
      </c>
      <c r="C56" s="114" t="s">
        <v>124</v>
      </c>
      <c r="D56" s="115"/>
      <c r="E56" s="116"/>
      <c r="F56" s="117"/>
      <c r="G56" s="117">
        <v>1</v>
      </c>
      <c r="H56" s="117">
        <v>7800</v>
      </c>
      <c r="I56" s="118">
        <f t="shared" ref="I56:I64" si="6">G56*H56</f>
        <v>7800</v>
      </c>
      <c r="J56" s="118"/>
      <c r="K56" s="118">
        <f t="shared" ref="K56:K64" si="7">G56*J56</f>
        <v>0</v>
      </c>
      <c r="L56" s="119">
        <f>K56+I56</f>
        <v>7800</v>
      </c>
      <c r="M56" s="120" t="s">
        <v>34</v>
      </c>
    </row>
    <row r="57" spans="1:17" s="7" customFormat="1" ht="18.899999999999999" customHeight="1">
      <c r="A57" s="188" t="s">
        <v>125</v>
      </c>
      <c r="B57" s="189" t="s">
        <v>208</v>
      </c>
      <c r="C57" s="114" t="s">
        <v>124</v>
      </c>
      <c r="D57" s="115"/>
      <c r="E57" s="116"/>
      <c r="F57" s="117"/>
      <c r="G57" s="117">
        <v>1</v>
      </c>
      <c r="H57" s="117">
        <v>53750</v>
      </c>
      <c r="I57" s="118">
        <f t="shared" si="6"/>
        <v>53750</v>
      </c>
      <c r="J57" s="269"/>
      <c r="K57" s="118">
        <f t="shared" si="7"/>
        <v>0</v>
      </c>
      <c r="L57" s="119">
        <f t="shared" ref="L57:L64" si="8">K57+I57</f>
        <v>53750</v>
      </c>
      <c r="M57" s="120" t="s">
        <v>34</v>
      </c>
      <c r="O57" s="296"/>
      <c r="P57" s="297"/>
      <c r="Q57" s="5"/>
    </row>
    <row r="58" spans="1:17" s="7" customFormat="1" ht="18.899999999999999" customHeight="1">
      <c r="A58" s="188" t="s">
        <v>126</v>
      </c>
      <c r="B58" s="189" t="s">
        <v>209</v>
      </c>
      <c r="C58" s="114" t="s">
        <v>124</v>
      </c>
      <c r="D58" s="115">
        <v>0</v>
      </c>
      <c r="E58" s="116">
        <v>6</v>
      </c>
      <c r="F58" s="117"/>
      <c r="G58" s="117">
        <v>1</v>
      </c>
      <c r="H58" s="117">
        <v>31500</v>
      </c>
      <c r="I58" s="118">
        <f t="shared" si="6"/>
        <v>31500</v>
      </c>
      <c r="J58" s="269"/>
      <c r="K58" s="118">
        <f t="shared" si="7"/>
        <v>0</v>
      </c>
      <c r="L58" s="119">
        <f t="shared" si="8"/>
        <v>31500</v>
      </c>
      <c r="M58" s="120"/>
      <c r="O58" s="296"/>
      <c r="P58" s="297"/>
      <c r="Q58" s="5"/>
    </row>
    <row r="59" spans="1:17" s="7" customFormat="1" ht="18.899999999999999" customHeight="1">
      <c r="A59" s="188" t="s">
        <v>127</v>
      </c>
      <c r="B59" s="189" t="s">
        <v>210</v>
      </c>
      <c r="C59" s="114" t="s">
        <v>124</v>
      </c>
      <c r="D59" s="115"/>
      <c r="E59" s="116"/>
      <c r="F59" s="117"/>
      <c r="G59" s="117">
        <v>1</v>
      </c>
      <c r="H59" s="117">
        <v>16875</v>
      </c>
      <c r="I59" s="118">
        <f t="shared" si="6"/>
        <v>16875</v>
      </c>
      <c r="J59" s="269"/>
      <c r="K59" s="118">
        <f t="shared" si="7"/>
        <v>0</v>
      </c>
      <c r="L59" s="119">
        <f t="shared" si="8"/>
        <v>16875</v>
      </c>
      <c r="M59" s="120"/>
      <c r="O59" s="296"/>
      <c r="P59" s="297"/>
      <c r="Q59" s="5"/>
    </row>
    <row r="60" spans="1:17" s="7" customFormat="1" ht="18.899999999999999" customHeight="1">
      <c r="A60" s="188" t="s">
        <v>128</v>
      </c>
      <c r="B60" s="189" t="s">
        <v>211</v>
      </c>
      <c r="C60" s="114" t="s">
        <v>124</v>
      </c>
      <c r="D60" s="115"/>
      <c r="E60" s="116"/>
      <c r="F60" s="117"/>
      <c r="G60" s="117">
        <v>2</v>
      </c>
      <c r="H60" s="117">
        <v>12600</v>
      </c>
      <c r="I60" s="118">
        <f t="shared" si="6"/>
        <v>25200</v>
      </c>
      <c r="J60" s="118"/>
      <c r="K60" s="118">
        <f t="shared" si="7"/>
        <v>0</v>
      </c>
      <c r="L60" s="119">
        <f t="shared" si="8"/>
        <v>25200</v>
      </c>
      <c r="M60" s="120"/>
      <c r="O60" s="296"/>
      <c r="P60" s="297"/>
      <c r="Q60" s="5"/>
    </row>
    <row r="61" spans="1:17" s="7" customFormat="1" ht="18.899999999999999" customHeight="1">
      <c r="A61" s="188" t="s">
        <v>129</v>
      </c>
      <c r="B61" s="189" t="s">
        <v>212</v>
      </c>
      <c r="C61" s="114" t="s">
        <v>124</v>
      </c>
      <c r="D61" s="115">
        <v>0</v>
      </c>
      <c r="E61" s="116"/>
      <c r="F61" s="117"/>
      <c r="G61" s="117">
        <v>2</v>
      </c>
      <c r="H61" s="117">
        <v>10250</v>
      </c>
      <c r="I61" s="118">
        <f t="shared" si="6"/>
        <v>20500</v>
      </c>
      <c r="J61" s="118"/>
      <c r="K61" s="118">
        <f t="shared" si="7"/>
        <v>0</v>
      </c>
      <c r="L61" s="119">
        <f t="shared" si="8"/>
        <v>20500</v>
      </c>
      <c r="M61" s="120"/>
      <c r="O61" s="296"/>
      <c r="P61" s="297"/>
      <c r="Q61" s="298"/>
    </row>
    <row r="62" spans="1:17" s="7" customFormat="1" ht="18.899999999999999" customHeight="1">
      <c r="A62" s="188" t="s">
        <v>198</v>
      </c>
      <c r="B62" s="189" t="s">
        <v>213</v>
      </c>
      <c r="C62" s="114" t="s">
        <v>124</v>
      </c>
      <c r="D62" s="115">
        <v>0</v>
      </c>
      <c r="E62" s="116">
        <f>22+6</f>
        <v>28</v>
      </c>
      <c r="F62" s="117"/>
      <c r="G62" s="117">
        <v>2</v>
      </c>
      <c r="H62" s="117">
        <v>4800</v>
      </c>
      <c r="I62" s="118">
        <f t="shared" si="6"/>
        <v>9600</v>
      </c>
      <c r="J62" s="118"/>
      <c r="K62" s="118">
        <f t="shared" si="7"/>
        <v>0</v>
      </c>
      <c r="L62" s="119">
        <f t="shared" si="8"/>
        <v>9600</v>
      </c>
      <c r="M62" s="120"/>
      <c r="O62" s="296"/>
      <c r="P62" s="297"/>
      <c r="Q62" s="298"/>
    </row>
    <row r="63" spans="1:17" s="7" customFormat="1" ht="18.899999999999999" customHeight="1">
      <c r="A63" s="188" t="s">
        <v>216</v>
      </c>
      <c r="B63" s="189" t="s">
        <v>214</v>
      </c>
      <c r="C63" s="114" t="s">
        <v>124</v>
      </c>
      <c r="D63" s="115">
        <v>0</v>
      </c>
      <c r="E63" s="116">
        <f>22+6</f>
        <v>28</v>
      </c>
      <c r="F63" s="117"/>
      <c r="G63" s="117">
        <v>2</v>
      </c>
      <c r="H63" s="117">
        <v>3000</v>
      </c>
      <c r="I63" s="118">
        <f t="shared" si="6"/>
        <v>6000</v>
      </c>
      <c r="J63" s="118"/>
      <c r="K63" s="118">
        <f t="shared" si="7"/>
        <v>0</v>
      </c>
      <c r="L63" s="119">
        <f t="shared" si="8"/>
        <v>6000</v>
      </c>
      <c r="M63" s="120"/>
      <c r="O63" s="296"/>
      <c r="P63" s="297"/>
      <c r="Q63" s="298"/>
    </row>
    <row r="64" spans="1:17" s="7" customFormat="1" ht="18.899999999999999" customHeight="1">
      <c r="A64" s="214" t="s">
        <v>217</v>
      </c>
      <c r="B64" s="252" t="s">
        <v>215</v>
      </c>
      <c r="C64" s="215" t="s">
        <v>124</v>
      </c>
      <c r="D64" s="216">
        <v>0</v>
      </c>
      <c r="E64" s="217">
        <f>22+6</f>
        <v>28</v>
      </c>
      <c r="F64" s="218"/>
      <c r="G64" s="218">
        <v>1</v>
      </c>
      <c r="H64" s="117">
        <v>7800</v>
      </c>
      <c r="I64" s="118">
        <f t="shared" si="6"/>
        <v>7800</v>
      </c>
      <c r="J64" s="331"/>
      <c r="K64" s="118">
        <f t="shared" si="7"/>
        <v>0</v>
      </c>
      <c r="L64" s="119">
        <f t="shared" si="8"/>
        <v>7800</v>
      </c>
      <c r="M64" s="221"/>
      <c r="O64" s="296"/>
      <c r="P64" s="297"/>
      <c r="Q64" s="298"/>
    </row>
    <row r="65" spans="1:17" s="7" customFormat="1" ht="18.899999999999999" customHeight="1">
      <c r="A65" s="376"/>
      <c r="B65" s="332"/>
      <c r="C65" s="305"/>
      <c r="D65" s="306">
        <v>0</v>
      </c>
      <c r="E65" s="307">
        <f>22+6</f>
        <v>28</v>
      </c>
      <c r="F65" s="176"/>
      <c r="G65" s="176"/>
      <c r="H65" s="176"/>
      <c r="I65" s="317"/>
      <c r="J65" s="317"/>
      <c r="K65" s="317"/>
      <c r="L65" s="308"/>
      <c r="M65" s="377"/>
      <c r="O65" s="296">
        <v>5.59</v>
      </c>
      <c r="P65" s="297">
        <v>2500</v>
      </c>
      <c r="Q65" s="5" t="s">
        <v>225</v>
      </c>
    </row>
    <row r="66" spans="1:17" s="7" customFormat="1" ht="18.899999999999999" customHeight="1">
      <c r="A66" s="382"/>
      <c r="M66" s="383"/>
      <c r="O66" s="296"/>
      <c r="P66" s="297"/>
      <c r="Q66" s="298"/>
    </row>
    <row r="67" spans="1:17" s="1" customFormat="1" ht="18.899999999999999" customHeight="1">
      <c r="A67" s="129" t="s">
        <v>130</v>
      </c>
      <c r="B67" s="130" t="s">
        <v>131</v>
      </c>
      <c r="C67" s="101"/>
      <c r="D67" s="102"/>
      <c r="E67" s="103"/>
      <c r="F67" s="176"/>
      <c r="G67" s="81"/>
      <c r="H67" s="131"/>
      <c r="I67" s="131"/>
      <c r="J67" s="131"/>
      <c r="K67" s="131"/>
      <c r="L67" s="83"/>
      <c r="M67" s="377"/>
      <c r="O67" s="296"/>
      <c r="P67" s="297"/>
      <c r="Q67" s="298"/>
    </row>
    <row r="68" spans="1:17" s="1" customFormat="1" ht="18.899999999999999" customHeight="1">
      <c r="A68" s="222" t="s">
        <v>132</v>
      </c>
      <c r="B68" s="333" t="s">
        <v>218</v>
      </c>
      <c r="C68" s="196" t="s">
        <v>124</v>
      </c>
      <c r="D68" s="197">
        <v>0</v>
      </c>
      <c r="E68" s="198">
        <v>4</v>
      </c>
      <c r="F68" s="199"/>
      <c r="G68" s="199">
        <v>2</v>
      </c>
      <c r="H68" s="117">
        <v>2362.5</v>
      </c>
      <c r="I68" s="118">
        <f>G68*H68</f>
        <v>4725</v>
      </c>
      <c r="J68" s="443"/>
      <c r="K68" s="118">
        <f>G68*J68</f>
        <v>0</v>
      </c>
      <c r="L68" s="119">
        <f>K68+I68</f>
        <v>4725</v>
      </c>
      <c r="M68" s="202"/>
      <c r="O68" s="296">
        <v>1.62</v>
      </c>
      <c r="P68" s="297">
        <v>2500</v>
      </c>
      <c r="Q68" s="5" t="s">
        <v>225</v>
      </c>
    </row>
    <row r="69" spans="1:17" s="1" customFormat="1" ht="18.899999999999999" customHeight="1">
      <c r="A69" s="188" t="s">
        <v>133</v>
      </c>
      <c r="B69" s="189" t="s">
        <v>219</v>
      </c>
      <c r="C69" s="114" t="s">
        <v>124</v>
      </c>
      <c r="D69" s="115"/>
      <c r="E69" s="116">
        <v>4</v>
      </c>
      <c r="F69" s="117"/>
      <c r="G69" s="117">
        <v>1</v>
      </c>
      <c r="H69" s="117">
        <v>2012.5</v>
      </c>
      <c r="I69" s="118">
        <f>G69*H69</f>
        <v>2012.5</v>
      </c>
      <c r="J69" s="269"/>
      <c r="K69" s="118">
        <f>G69*J69</f>
        <v>0</v>
      </c>
      <c r="L69" s="119">
        <f>K69+I69</f>
        <v>2012.5</v>
      </c>
      <c r="M69" s="120"/>
      <c r="O69" s="296">
        <v>1.0249999999999999</v>
      </c>
      <c r="P69" s="297">
        <v>3500</v>
      </c>
      <c r="Q69" s="298" t="s">
        <v>226</v>
      </c>
    </row>
    <row r="70" spans="1:17" s="1" customFormat="1" ht="18.899999999999999" customHeight="1">
      <c r="A70" s="188" t="s">
        <v>134</v>
      </c>
      <c r="B70" s="189" t="s">
        <v>220</v>
      </c>
      <c r="C70" s="114" t="s">
        <v>124</v>
      </c>
      <c r="D70" s="115"/>
      <c r="E70" s="116">
        <v>4</v>
      </c>
      <c r="F70" s="117"/>
      <c r="G70" s="117">
        <v>2</v>
      </c>
      <c r="H70" s="117">
        <v>750</v>
      </c>
      <c r="I70" s="118">
        <f>G70*H70</f>
        <v>1500</v>
      </c>
      <c r="J70" s="269"/>
      <c r="K70" s="118">
        <f>G70*J70</f>
        <v>0</v>
      </c>
      <c r="L70" s="119">
        <f>K70+I70</f>
        <v>1500</v>
      </c>
      <c r="M70" s="120"/>
      <c r="O70" s="296">
        <v>0.27500000000000002</v>
      </c>
      <c r="P70" s="297">
        <v>7800</v>
      </c>
      <c r="Q70" s="298" t="s">
        <v>227</v>
      </c>
    </row>
    <row r="71" spans="1:17" s="1" customFormat="1" ht="18.899999999999999" customHeight="1" thickBot="1">
      <c r="A71" s="188"/>
      <c r="B71" s="189"/>
      <c r="C71" s="114"/>
      <c r="D71" s="115"/>
      <c r="E71" s="116">
        <v>4</v>
      </c>
      <c r="F71" s="117"/>
      <c r="G71" s="117"/>
      <c r="H71" s="299"/>
      <c r="I71" s="118"/>
      <c r="J71" s="269"/>
      <c r="K71" s="269"/>
      <c r="L71" s="119"/>
      <c r="M71" s="120"/>
      <c r="O71" s="296">
        <v>0.68</v>
      </c>
      <c r="P71" s="297">
        <v>3500</v>
      </c>
      <c r="Q71" s="298" t="s">
        <v>226</v>
      </c>
    </row>
    <row r="72" spans="1:17" s="1" customFormat="1" ht="18.899999999999999" customHeight="1" thickTop="1" thickBot="1">
      <c r="A72" s="43"/>
      <c r="B72" s="44" t="s">
        <v>135</v>
      </c>
      <c r="C72" s="48"/>
      <c r="D72" s="49"/>
      <c r="E72" s="50"/>
      <c r="F72" s="50"/>
      <c r="G72" s="50"/>
      <c r="H72" s="51"/>
      <c r="I72" s="36">
        <f>SUM(I56:I71)</f>
        <v>187262.5</v>
      </c>
      <c r="J72" s="51"/>
      <c r="K72" s="36">
        <f>SUM(K68:K71)</f>
        <v>0</v>
      </c>
      <c r="L72" s="36">
        <f>SUM(L56:L71)</f>
        <v>187262.5</v>
      </c>
      <c r="M72" s="37"/>
      <c r="O72" s="296">
        <v>4.68</v>
      </c>
      <c r="P72" s="297">
        <v>2800</v>
      </c>
      <c r="Q72" s="298" t="s">
        <v>226</v>
      </c>
    </row>
    <row r="73" spans="1:17" s="1" customFormat="1" ht="18.899999999999999" customHeight="1" thickTop="1">
      <c r="A73" s="79" t="s">
        <v>21</v>
      </c>
      <c r="B73" s="80" t="s">
        <v>205</v>
      </c>
      <c r="C73" s="101"/>
      <c r="D73" s="102"/>
      <c r="E73" s="103"/>
      <c r="F73" s="81"/>
      <c r="G73" s="81"/>
      <c r="H73" s="82"/>
      <c r="I73" s="82"/>
      <c r="J73" s="82"/>
      <c r="K73" s="82"/>
      <c r="L73" s="83"/>
      <c r="M73" s="84"/>
      <c r="O73" s="296">
        <v>3.01</v>
      </c>
      <c r="P73" s="297">
        <v>2800</v>
      </c>
      <c r="Q73" s="298" t="s">
        <v>226</v>
      </c>
    </row>
    <row r="74" spans="1:17" s="1" customFormat="1" ht="18.899999999999999" customHeight="1">
      <c r="A74" s="274" t="s">
        <v>136</v>
      </c>
      <c r="B74" s="104" t="s">
        <v>377</v>
      </c>
      <c r="C74" s="105"/>
      <c r="D74" s="106"/>
      <c r="E74" s="107"/>
      <c r="F74" s="108"/>
      <c r="G74" s="108"/>
      <c r="H74" s="109"/>
      <c r="I74" s="109"/>
      <c r="J74" s="109"/>
      <c r="K74" s="109"/>
      <c r="L74" s="110"/>
      <c r="M74" s="111"/>
      <c r="O74" s="296">
        <v>2.36</v>
      </c>
      <c r="P74" s="297">
        <v>2500</v>
      </c>
      <c r="Q74" s="5" t="s">
        <v>225</v>
      </c>
    </row>
    <row r="75" spans="1:17" s="7" customFormat="1" ht="18.899999999999999" customHeight="1">
      <c r="A75" s="112" t="s">
        <v>137</v>
      </c>
      <c r="B75" s="189" t="s">
        <v>242</v>
      </c>
      <c r="C75" s="114" t="s">
        <v>124</v>
      </c>
      <c r="D75" s="115">
        <v>0</v>
      </c>
      <c r="E75" s="116">
        <v>12</v>
      </c>
      <c r="F75" s="117"/>
      <c r="G75" s="117">
        <v>1</v>
      </c>
      <c r="H75" s="117">
        <v>4628</v>
      </c>
      <c r="I75" s="118">
        <f t="shared" ref="I75:I107" si="9">G75*H75</f>
        <v>4628</v>
      </c>
      <c r="J75" s="118"/>
      <c r="K75" s="118">
        <f t="shared" ref="K75:K107" si="10">G75*J75</f>
        <v>0</v>
      </c>
      <c r="L75" s="119">
        <f t="shared" ref="L75:L107" si="11">K75+I75</f>
        <v>4628</v>
      </c>
      <c r="M75" s="85"/>
      <c r="O75" s="296">
        <v>1.62</v>
      </c>
      <c r="P75" s="297">
        <v>2500</v>
      </c>
      <c r="Q75" s="5" t="s">
        <v>225</v>
      </c>
    </row>
    <row r="76" spans="1:17" s="7" customFormat="1" ht="18.899999999999999" customHeight="1">
      <c r="A76" s="112" t="s">
        <v>138</v>
      </c>
      <c r="B76" s="227" t="s">
        <v>243</v>
      </c>
      <c r="C76" s="114" t="s">
        <v>124</v>
      </c>
      <c r="D76" s="115">
        <v>0</v>
      </c>
      <c r="E76" s="116">
        <v>28</v>
      </c>
      <c r="F76" s="117"/>
      <c r="G76" s="117">
        <v>1</v>
      </c>
      <c r="H76" s="117">
        <v>150</v>
      </c>
      <c r="I76" s="118">
        <f t="shared" si="9"/>
        <v>150</v>
      </c>
      <c r="J76" s="118"/>
      <c r="K76" s="118">
        <f t="shared" si="10"/>
        <v>0</v>
      </c>
      <c r="L76" s="119">
        <f t="shared" si="11"/>
        <v>150</v>
      </c>
      <c r="M76" s="85"/>
      <c r="O76" s="296">
        <v>3.69</v>
      </c>
      <c r="P76" s="297">
        <v>2500</v>
      </c>
      <c r="Q76" s="5" t="s">
        <v>225</v>
      </c>
    </row>
    <row r="77" spans="1:17" s="7" customFormat="1" ht="18.899999999999999" customHeight="1">
      <c r="A77" s="112" t="s">
        <v>139</v>
      </c>
      <c r="B77" s="227" t="s">
        <v>244</v>
      </c>
      <c r="C77" s="114" t="s">
        <v>124</v>
      </c>
      <c r="D77" s="115">
        <v>0</v>
      </c>
      <c r="E77" s="116">
        <v>28</v>
      </c>
      <c r="F77" s="117"/>
      <c r="G77" s="117">
        <v>1</v>
      </c>
      <c r="H77" s="117">
        <v>94</v>
      </c>
      <c r="I77" s="118">
        <f t="shared" si="9"/>
        <v>94</v>
      </c>
      <c r="J77" s="118"/>
      <c r="K77" s="118">
        <f t="shared" si="10"/>
        <v>0</v>
      </c>
      <c r="L77" s="119">
        <f t="shared" si="11"/>
        <v>94</v>
      </c>
      <c r="M77" s="85"/>
      <c r="O77" s="296">
        <v>0.36</v>
      </c>
      <c r="P77" s="297">
        <v>7800</v>
      </c>
      <c r="Q77" s="298" t="s">
        <v>227</v>
      </c>
    </row>
    <row r="78" spans="1:17" s="7" customFormat="1" ht="20.100000000000001" customHeight="1">
      <c r="A78" s="112" t="s">
        <v>140</v>
      </c>
      <c r="B78" s="189" t="s">
        <v>245</v>
      </c>
      <c r="C78" s="114" t="s">
        <v>124</v>
      </c>
      <c r="D78" s="115">
        <v>0</v>
      </c>
      <c r="E78" s="116">
        <v>16</v>
      </c>
      <c r="F78" s="117"/>
      <c r="G78" s="117">
        <v>1</v>
      </c>
      <c r="H78" s="117">
        <v>2440</v>
      </c>
      <c r="I78" s="118">
        <f t="shared" si="9"/>
        <v>2440</v>
      </c>
      <c r="J78" s="118"/>
      <c r="K78" s="118">
        <f t="shared" si="10"/>
        <v>0</v>
      </c>
      <c r="L78" s="119">
        <f t="shared" si="11"/>
        <v>2440</v>
      </c>
      <c r="M78" s="85"/>
    </row>
    <row r="79" spans="1:17" s="1" customFormat="1" ht="20.100000000000001" customHeight="1">
      <c r="A79" s="112" t="s">
        <v>141</v>
      </c>
      <c r="B79" s="227" t="s">
        <v>246</v>
      </c>
      <c r="C79" s="114" t="s">
        <v>124</v>
      </c>
      <c r="D79" s="115">
        <v>0</v>
      </c>
      <c r="E79" s="116">
        <v>12</v>
      </c>
      <c r="F79" s="117"/>
      <c r="G79" s="117">
        <v>1</v>
      </c>
      <c r="H79" s="117">
        <v>894.6</v>
      </c>
      <c r="I79" s="118">
        <f t="shared" si="9"/>
        <v>894.6</v>
      </c>
      <c r="J79" s="118"/>
      <c r="K79" s="118">
        <f t="shared" si="10"/>
        <v>0</v>
      </c>
      <c r="L79" s="119">
        <f t="shared" si="11"/>
        <v>894.6</v>
      </c>
      <c r="M79" s="85"/>
    </row>
    <row r="80" spans="1:17" s="1" customFormat="1" ht="20.100000000000001" customHeight="1">
      <c r="A80" s="112" t="s">
        <v>142</v>
      </c>
      <c r="B80" s="190" t="s">
        <v>247</v>
      </c>
      <c r="C80" s="114" t="s">
        <v>124</v>
      </c>
      <c r="D80" s="115">
        <v>0</v>
      </c>
      <c r="E80" s="116">
        <v>20</v>
      </c>
      <c r="F80" s="117"/>
      <c r="G80" s="117">
        <v>1</v>
      </c>
      <c r="H80" s="117">
        <v>670</v>
      </c>
      <c r="I80" s="118">
        <f t="shared" si="9"/>
        <v>670</v>
      </c>
      <c r="J80" s="118"/>
      <c r="K80" s="118">
        <f t="shared" si="10"/>
        <v>0</v>
      </c>
      <c r="L80" s="119">
        <f t="shared" si="11"/>
        <v>670</v>
      </c>
      <c r="M80" s="85"/>
    </row>
    <row r="81" spans="1:13" s="1" customFormat="1" ht="20.100000000000001" customHeight="1">
      <c r="A81" s="112" t="s">
        <v>143</v>
      </c>
      <c r="B81" s="190" t="s">
        <v>248</v>
      </c>
      <c r="C81" s="114" t="s">
        <v>124</v>
      </c>
      <c r="D81" s="115">
        <v>0</v>
      </c>
      <c r="E81" s="116">
        <v>20</v>
      </c>
      <c r="F81" s="117"/>
      <c r="G81" s="117">
        <v>1</v>
      </c>
      <c r="H81" s="117">
        <v>300</v>
      </c>
      <c r="I81" s="118">
        <f t="shared" si="9"/>
        <v>300</v>
      </c>
      <c r="J81" s="118"/>
      <c r="K81" s="118">
        <f t="shared" si="10"/>
        <v>0</v>
      </c>
      <c r="L81" s="119">
        <f t="shared" si="11"/>
        <v>300</v>
      </c>
      <c r="M81" s="85"/>
    </row>
    <row r="82" spans="1:13" s="1" customFormat="1" ht="20.100000000000001" customHeight="1">
      <c r="A82" s="112" t="s">
        <v>144</v>
      </c>
      <c r="B82" s="190" t="s">
        <v>249</v>
      </c>
      <c r="C82" s="114" t="s">
        <v>124</v>
      </c>
      <c r="D82" s="115">
        <v>0</v>
      </c>
      <c r="E82" s="116">
        <v>20</v>
      </c>
      <c r="F82" s="117"/>
      <c r="G82" s="117">
        <v>1</v>
      </c>
      <c r="H82" s="117">
        <v>94</v>
      </c>
      <c r="I82" s="118">
        <f t="shared" si="9"/>
        <v>94</v>
      </c>
      <c r="J82" s="118"/>
      <c r="K82" s="118">
        <f t="shared" si="10"/>
        <v>0</v>
      </c>
      <c r="L82" s="119">
        <f t="shared" si="11"/>
        <v>94</v>
      </c>
      <c r="M82" s="85"/>
    </row>
    <row r="83" spans="1:13" s="7" customFormat="1" ht="20.100000000000001" customHeight="1">
      <c r="A83" s="112" t="s">
        <v>145</v>
      </c>
      <c r="B83" s="190" t="s">
        <v>261</v>
      </c>
      <c r="C83" s="114" t="s">
        <v>124</v>
      </c>
      <c r="D83" s="115">
        <v>0</v>
      </c>
      <c r="E83" s="116">
        <v>20</v>
      </c>
      <c r="F83" s="117"/>
      <c r="G83" s="117">
        <v>1</v>
      </c>
      <c r="H83" s="117">
        <v>315</v>
      </c>
      <c r="I83" s="118">
        <f t="shared" si="9"/>
        <v>315</v>
      </c>
      <c r="J83" s="118"/>
      <c r="K83" s="118">
        <f t="shared" si="10"/>
        <v>0</v>
      </c>
      <c r="L83" s="119">
        <f t="shared" si="11"/>
        <v>315</v>
      </c>
      <c r="M83" s="85"/>
    </row>
    <row r="84" spans="1:13" s="7" customFormat="1" ht="20.25" customHeight="1">
      <c r="A84" s="112" t="s">
        <v>146</v>
      </c>
      <c r="B84" s="190" t="s">
        <v>250</v>
      </c>
      <c r="C84" s="114" t="s">
        <v>124</v>
      </c>
      <c r="D84" s="115">
        <v>0</v>
      </c>
      <c r="E84" s="116">
        <v>48</v>
      </c>
      <c r="F84" s="117"/>
      <c r="G84" s="117">
        <v>2</v>
      </c>
      <c r="H84" s="117">
        <v>231</v>
      </c>
      <c r="I84" s="118">
        <f t="shared" si="9"/>
        <v>462</v>
      </c>
      <c r="J84" s="118"/>
      <c r="K84" s="118">
        <f t="shared" si="10"/>
        <v>0</v>
      </c>
      <c r="L84" s="119">
        <f t="shared" si="11"/>
        <v>462</v>
      </c>
      <c r="M84" s="85"/>
    </row>
    <row r="85" spans="1:13" s="7" customFormat="1" ht="20.100000000000001" customHeight="1">
      <c r="A85" s="112" t="s">
        <v>147</v>
      </c>
      <c r="B85" s="189" t="s">
        <v>262</v>
      </c>
      <c r="C85" s="114" t="s">
        <v>124</v>
      </c>
      <c r="D85" s="115">
        <v>0</v>
      </c>
      <c r="E85" s="116">
        <v>28</v>
      </c>
      <c r="F85" s="117"/>
      <c r="G85" s="117">
        <v>1</v>
      </c>
      <c r="H85" s="117">
        <v>350</v>
      </c>
      <c r="I85" s="118">
        <f t="shared" si="9"/>
        <v>350</v>
      </c>
      <c r="J85" s="118"/>
      <c r="K85" s="118">
        <f t="shared" si="10"/>
        <v>0</v>
      </c>
      <c r="L85" s="119">
        <f t="shared" si="11"/>
        <v>350</v>
      </c>
      <c r="M85" s="85"/>
    </row>
    <row r="86" spans="1:13" s="7" customFormat="1" ht="20.100000000000001" customHeight="1">
      <c r="A86" s="112" t="s">
        <v>148</v>
      </c>
      <c r="B86" s="189" t="s">
        <v>251</v>
      </c>
      <c r="C86" s="114" t="s">
        <v>124</v>
      </c>
      <c r="D86" s="115">
        <v>0</v>
      </c>
      <c r="E86" s="116">
        <v>28</v>
      </c>
      <c r="F86" s="117"/>
      <c r="G86" s="117">
        <v>1</v>
      </c>
      <c r="H86" s="117">
        <v>172.2</v>
      </c>
      <c r="I86" s="118">
        <f t="shared" si="9"/>
        <v>172.2</v>
      </c>
      <c r="J86" s="118"/>
      <c r="K86" s="118">
        <f t="shared" si="10"/>
        <v>0</v>
      </c>
      <c r="L86" s="119">
        <f t="shared" si="11"/>
        <v>172.2</v>
      </c>
      <c r="M86" s="85"/>
    </row>
    <row r="87" spans="1:13" s="7" customFormat="1" ht="20.100000000000001" customHeight="1">
      <c r="A87" s="112" t="s">
        <v>149</v>
      </c>
      <c r="B87" s="189" t="s">
        <v>252</v>
      </c>
      <c r="C87" s="114" t="s">
        <v>124</v>
      </c>
      <c r="D87" s="115">
        <v>0</v>
      </c>
      <c r="E87" s="116">
        <v>28</v>
      </c>
      <c r="F87" s="117"/>
      <c r="G87" s="117">
        <v>1</v>
      </c>
      <c r="H87" s="117">
        <v>90</v>
      </c>
      <c r="I87" s="118">
        <f t="shared" si="9"/>
        <v>90</v>
      </c>
      <c r="J87" s="118"/>
      <c r="K87" s="118">
        <f t="shared" si="10"/>
        <v>0</v>
      </c>
      <c r="L87" s="119">
        <f t="shared" si="11"/>
        <v>90</v>
      </c>
      <c r="M87" s="85"/>
    </row>
    <row r="88" spans="1:13" s="7" customFormat="1" ht="20.100000000000001" customHeight="1">
      <c r="A88" s="112" t="s">
        <v>150</v>
      </c>
      <c r="B88" s="189" t="s">
        <v>253</v>
      </c>
      <c r="C88" s="114" t="s">
        <v>124</v>
      </c>
      <c r="D88" s="115">
        <v>0</v>
      </c>
      <c r="E88" s="116">
        <v>28</v>
      </c>
      <c r="F88" s="117"/>
      <c r="G88" s="117">
        <v>1</v>
      </c>
      <c r="H88" s="117">
        <v>570</v>
      </c>
      <c r="I88" s="118">
        <f t="shared" si="9"/>
        <v>570</v>
      </c>
      <c r="J88" s="118"/>
      <c r="K88" s="118">
        <f t="shared" si="10"/>
        <v>0</v>
      </c>
      <c r="L88" s="119">
        <f t="shared" si="11"/>
        <v>570</v>
      </c>
      <c r="M88" s="85"/>
    </row>
    <row r="89" spans="1:13" s="7" customFormat="1" ht="20.100000000000001" customHeight="1">
      <c r="A89" s="112" t="s">
        <v>204</v>
      </c>
      <c r="B89" s="271" t="s">
        <v>74</v>
      </c>
      <c r="C89" s="215"/>
      <c r="D89" s="216"/>
      <c r="E89" s="217"/>
      <c r="F89" s="218"/>
      <c r="G89" s="218"/>
      <c r="H89" s="219"/>
      <c r="I89" s="219"/>
      <c r="J89" s="219"/>
      <c r="K89" s="118"/>
      <c r="L89" s="119"/>
      <c r="M89" s="85"/>
    </row>
    <row r="90" spans="1:13" s="7" customFormat="1" ht="20.100000000000001" customHeight="1">
      <c r="A90" s="112"/>
      <c r="B90" s="273" t="s">
        <v>263</v>
      </c>
      <c r="C90" s="254" t="s">
        <v>124</v>
      </c>
      <c r="D90" s="255">
        <v>0</v>
      </c>
      <c r="E90" s="256">
        <v>20</v>
      </c>
      <c r="F90" s="257"/>
      <c r="G90" s="257">
        <v>1</v>
      </c>
      <c r="H90" s="257">
        <v>145</v>
      </c>
      <c r="I90" s="118">
        <f t="shared" si="9"/>
        <v>145</v>
      </c>
      <c r="J90" s="258"/>
      <c r="K90" s="118">
        <f t="shared" si="10"/>
        <v>0</v>
      </c>
      <c r="L90" s="119">
        <f t="shared" si="11"/>
        <v>145</v>
      </c>
      <c r="M90" s="120"/>
    </row>
    <row r="91" spans="1:13" s="7" customFormat="1" ht="18" customHeight="1">
      <c r="A91" s="270"/>
      <c r="B91" s="273" t="s">
        <v>203</v>
      </c>
      <c r="C91" s="254" t="s">
        <v>124</v>
      </c>
      <c r="D91" s="255">
        <v>0</v>
      </c>
      <c r="E91" s="256">
        <v>20</v>
      </c>
      <c r="F91" s="257"/>
      <c r="G91" s="257">
        <v>1</v>
      </c>
      <c r="H91" s="257">
        <v>145</v>
      </c>
      <c r="I91" s="118">
        <f t="shared" si="9"/>
        <v>145</v>
      </c>
      <c r="J91" s="258"/>
      <c r="K91" s="118">
        <f t="shared" si="10"/>
        <v>0</v>
      </c>
      <c r="L91" s="119">
        <f t="shared" si="11"/>
        <v>145</v>
      </c>
      <c r="M91" s="221" t="s">
        <v>34</v>
      </c>
    </row>
    <row r="92" spans="1:13" s="7" customFormat="1" ht="19.5" hidden="1" customHeight="1">
      <c r="A92" s="272"/>
      <c r="B92" s="301"/>
      <c r="C92" s="303"/>
      <c r="G92" s="302"/>
      <c r="H92" s="303"/>
      <c r="I92" s="118">
        <f t="shared" si="9"/>
        <v>0</v>
      </c>
      <c r="J92" s="303"/>
      <c r="K92" s="118">
        <f t="shared" si="10"/>
        <v>0</v>
      </c>
      <c r="L92" s="119">
        <f t="shared" si="11"/>
        <v>0</v>
      </c>
      <c r="M92" s="96"/>
    </row>
    <row r="93" spans="1:13" s="7" customFormat="1" ht="20.100000000000001" customHeight="1">
      <c r="A93" s="274" t="s">
        <v>378</v>
      </c>
      <c r="B93" s="104" t="s">
        <v>379</v>
      </c>
      <c r="C93" s="105"/>
      <c r="D93" s="106"/>
      <c r="E93" s="107"/>
      <c r="F93" s="108"/>
      <c r="G93" s="108"/>
      <c r="H93" s="109"/>
      <c r="I93" s="118"/>
      <c r="J93" s="109"/>
      <c r="K93" s="118"/>
      <c r="L93" s="119"/>
      <c r="M93" s="111"/>
    </row>
    <row r="94" spans="1:13" s="7" customFormat="1" ht="20.100000000000001" customHeight="1">
      <c r="A94" s="112" t="s">
        <v>380</v>
      </c>
      <c r="B94" s="189" t="s">
        <v>242</v>
      </c>
      <c r="C94" s="114" t="s">
        <v>124</v>
      </c>
      <c r="D94" s="115">
        <v>0</v>
      </c>
      <c r="E94" s="116">
        <v>12</v>
      </c>
      <c r="F94" s="117"/>
      <c r="G94" s="117">
        <v>1</v>
      </c>
      <c r="H94" s="117">
        <v>4628</v>
      </c>
      <c r="I94" s="118">
        <f t="shared" si="9"/>
        <v>4628</v>
      </c>
      <c r="J94" s="118"/>
      <c r="K94" s="118">
        <f t="shared" si="10"/>
        <v>0</v>
      </c>
      <c r="L94" s="119">
        <f t="shared" si="11"/>
        <v>4628</v>
      </c>
      <c r="M94" s="85"/>
    </row>
    <row r="95" spans="1:13" s="7" customFormat="1" ht="20.100000000000001" customHeight="1">
      <c r="A95" s="112" t="s">
        <v>381</v>
      </c>
      <c r="B95" s="227" t="s">
        <v>243</v>
      </c>
      <c r="C95" s="114" t="s">
        <v>124</v>
      </c>
      <c r="D95" s="115">
        <v>0</v>
      </c>
      <c r="E95" s="116">
        <v>28</v>
      </c>
      <c r="F95" s="117"/>
      <c r="G95" s="117">
        <v>1</v>
      </c>
      <c r="H95" s="117">
        <v>150</v>
      </c>
      <c r="I95" s="118">
        <f t="shared" si="9"/>
        <v>150</v>
      </c>
      <c r="J95" s="118"/>
      <c r="K95" s="118">
        <f t="shared" si="10"/>
        <v>0</v>
      </c>
      <c r="L95" s="119">
        <f t="shared" si="11"/>
        <v>150</v>
      </c>
      <c r="M95" s="85"/>
    </row>
    <row r="96" spans="1:13" s="7" customFormat="1" ht="20.100000000000001" customHeight="1">
      <c r="A96" s="112" t="s">
        <v>382</v>
      </c>
      <c r="B96" s="227" t="s">
        <v>244</v>
      </c>
      <c r="C96" s="114" t="s">
        <v>124</v>
      </c>
      <c r="D96" s="115">
        <v>0</v>
      </c>
      <c r="E96" s="116">
        <v>28</v>
      </c>
      <c r="F96" s="117"/>
      <c r="G96" s="117">
        <v>1</v>
      </c>
      <c r="H96" s="117">
        <v>94</v>
      </c>
      <c r="I96" s="118">
        <f t="shared" si="9"/>
        <v>94</v>
      </c>
      <c r="J96" s="118"/>
      <c r="K96" s="118">
        <f t="shared" si="10"/>
        <v>0</v>
      </c>
      <c r="L96" s="119">
        <f t="shared" si="11"/>
        <v>94</v>
      </c>
      <c r="M96" s="85"/>
    </row>
    <row r="97" spans="1:13" s="7" customFormat="1" ht="20.100000000000001" customHeight="1">
      <c r="A97" s="112" t="s">
        <v>383</v>
      </c>
      <c r="B97" s="189" t="s">
        <v>245</v>
      </c>
      <c r="C97" s="114" t="s">
        <v>124</v>
      </c>
      <c r="D97" s="115">
        <v>0</v>
      </c>
      <c r="E97" s="116">
        <v>16</v>
      </c>
      <c r="F97" s="117"/>
      <c r="G97" s="117">
        <v>1</v>
      </c>
      <c r="H97" s="117">
        <v>2440</v>
      </c>
      <c r="I97" s="118">
        <f t="shared" si="9"/>
        <v>2440</v>
      </c>
      <c r="J97" s="118"/>
      <c r="K97" s="118">
        <f t="shared" si="10"/>
        <v>0</v>
      </c>
      <c r="L97" s="119">
        <f t="shared" si="11"/>
        <v>2440</v>
      </c>
      <c r="M97" s="85"/>
    </row>
    <row r="98" spans="1:13" s="7" customFormat="1" ht="20.100000000000001" customHeight="1">
      <c r="A98" s="112" t="s">
        <v>384</v>
      </c>
      <c r="B98" s="227" t="s">
        <v>246</v>
      </c>
      <c r="C98" s="114" t="s">
        <v>124</v>
      </c>
      <c r="D98" s="115">
        <v>0</v>
      </c>
      <c r="E98" s="116">
        <v>12</v>
      </c>
      <c r="F98" s="117"/>
      <c r="G98" s="117">
        <v>1</v>
      </c>
      <c r="H98" s="117">
        <v>894.6</v>
      </c>
      <c r="I98" s="118">
        <f t="shared" si="9"/>
        <v>894.6</v>
      </c>
      <c r="J98" s="118"/>
      <c r="K98" s="118">
        <f t="shared" si="10"/>
        <v>0</v>
      </c>
      <c r="L98" s="119">
        <f t="shared" si="11"/>
        <v>894.6</v>
      </c>
      <c r="M98" s="85"/>
    </row>
    <row r="99" spans="1:13" s="7" customFormat="1" ht="20.100000000000001" customHeight="1">
      <c r="A99" s="112" t="s">
        <v>385</v>
      </c>
      <c r="B99" s="190" t="s">
        <v>247</v>
      </c>
      <c r="C99" s="114" t="s">
        <v>124</v>
      </c>
      <c r="D99" s="115">
        <v>0</v>
      </c>
      <c r="E99" s="116">
        <v>20</v>
      </c>
      <c r="F99" s="117"/>
      <c r="G99" s="117">
        <v>1</v>
      </c>
      <c r="H99" s="117">
        <v>670</v>
      </c>
      <c r="I99" s="118">
        <f t="shared" si="9"/>
        <v>670</v>
      </c>
      <c r="J99" s="118"/>
      <c r="K99" s="118">
        <f t="shared" si="10"/>
        <v>0</v>
      </c>
      <c r="L99" s="119">
        <f t="shared" si="11"/>
        <v>670</v>
      </c>
      <c r="M99" s="85"/>
    </row>
    <row r="100" spans="1:13" s="7" customFormat="1" ht="20.100000000000001" customHeight="1">
      <c r="A100" s="112" t="s">
        <v>386</v>
      </c>
      <c r="B100" s="190" t="s">
        <v>248</v>
      </c>
      <c r="C100" s="114" t="s">
        <v>124</v>
      </c>
      <c r="D100" s="115">
        <v>0</v>
      </c>
      <c r="E100" s="116">
        <v>20</v>
      </c>
      <c r="F100" s="117"/>
      <c r="G100" s="117">
        <v>1</v>
      </c>
      <c r="H100" s="117">
        <v>300</v>
      </c>
      <c r="I100" s="118">
        <f t="shared" si="9"/>
        <v>300</v>
      </c>
      <c r="J100" s="118"/>
      <c r="K100" s="118">
        <f t="shared" si="10"/>
        <v>0</v>
      </c>
      <c r="L100" s="119">
        <f t="shared" si="11"/>
        <v>300</v>
      </c>
      <c r="M100" s="85"/>
    </row>
    <row r="101" spans="1:13" s="7" customFormat="1" ht="20.100000000000001" customHeight="1">
      <c r="A101" s="112" t="s">
        <v>387</v>
      </c>
      <c r="B101" s="190" t="s">
        <v>249</v>
      </c>
      <c r="C101" s="114" t="s">
        <v>124</v>
      </c>
      <c r="D101" s="115">
        <v>0</v>
      </c>
      <c r="E101" s="116">
        <v>20</v>
      </c>
      <c r="F101" s="117"/>
      <c r="G101" s="117">
        <v>1</v>
      </c>
      <c r="H101" s="117">
        <v>94</v>
      </c>
      <c r="I101" s="118">
        <f t="shared" si="9"/>
        <v>94</v>
      </c>
      <c r="J101" s="118"/>
      <c r="K101" s="118">
        <f t="shared" si="10"/>
        <v>0</v>
      </c>
      <c r="L101" s="119">
        <f t="shared" si="11"/>
        <v>94</v>
      </c>
      <c r="M101" s="85"/>
    </row>
    <row r="102" spans="1:13" s="7" customFormat="1" ht="19.5" customHeight="1">
      <c r="A102" s="112" t="s">
        <v>388</v>
      </c>
      <c r="B102" s="190" t="s">
        <v>261</v>
      </c>
      <c r="C102" s="114" t="s">
        <v>124</v>
      </c>
      <c r="D102" s="115">
        <v>0</v>
      </c>
      <c r="E102" s="116">
        <v>20</v>
      </c>
      <c r="F102" s="117"/>
      <c r="G102" s="117">
        <v>1</v>
      </c>
      <c r="H102" s="117">
        <v>315</v>
      </c>
      <c r="I102" s="118">
        <f t="shared" si="9"/>
        <v>315</v>
      </c>
      <c r="J102" s="118"/>
      <c r="K102" s="118">
        <f t="shared" si="10"/>
        <v>0</v>
      </c>
      <c r="L102" s="119">
        <f t="shared" si="11"/>
        <v>315</v>
      </c>
      <c r="M102" s="85"/>
    </row>
    <row r="103" spans="1:13" s="7" customFormat="1" ht="19.5" customHeight="1">
      <c r="A103" s="112" t="s">
        <v>389</v>
      </c>
      <c r="B103" s="190" t="s">
        <v>250</v>
      </c>
      <c r="C103" s="114" t="s">
        <v>124</v>
      </c>
      <c r="D103" s="115">
        <v>0</v>
      </c>
      <c r="E103" s="116">
        <v>48</v>
      </c>
      <c r="F103" s="117"/>
      <c r="G103" s="117">
        <v>2</v>
      </c>
      <c r="H103" s="117">
        <v>231</v>
      </c>
      <c r="I103" s="118">
        <f t="shared" si="9"/>
        <v>462</v>
      </c>
      <c r="J103" s="118"/>
      <c r="K103" s="118">
        <f t="shared" si="10"/>
        <v>0</v>
      </c>
      <c r="L103" s="119">
        <f t="shared" si="11"/>
        <v>462</v>
      </c>
      <c r="M103" s="85"/>
    </row>
    <row r="104" spans="1:13" s="7" customFormat="1" ht="20.25" customHeight="1">
      <c r="A104" s="112" t="s">
        <v>390</v>
      </c>
      <c r="B104" s="189" t="s">
        <v>262</v>
      </c>
      <c r="C104" s="114" t="s">
        <v>124</v>
      </c>
      <c r="D104" s="115">
        <v>0</v>
      </c>
      <c r="E104" s="116">
        <v>28</v>
      </c>
      <c r="F104" s="117"/>
      <c r="G104" s="117">
        <v>1</v>
      </c>
      <c r="H104" s="117">
        <v>350</v>
      </c>
      <c r="I104" s="118">
        <f t="shared" si="9"/>
        <v>350</v>
      </c>
      <c r="J104" s="118"/>
      <c r="K104" s="118">
        <f t="shared" si="10"/>
        <v>0</v>
      </c>
      <c r="L104" s="119">
        <f t="shared" si="11"/>
        <v>350</v>
      </c>
      <c r="M104" s="85"/>
    </row>
    <row r="105" spans="1:13" s="7" customFormat="1" ht="20.100000000000001" customHeight="1">
      <c r="A105" s="112" t="s">
        <v>391</v>
      </c>
      <c r="B105" s="189" t="s">
        <v>251</v>
      </c>
      <c r="C105" s="114" t="s">
        <v>124</v>
      </c>
      <c r="D105" s="115">
        <v>0</v>
      </c>
      <c r="E105" s="116">
        <v>28</v>
      </c>
      <c r="F105" s="117"/>
      <c r="G105" s="117">
        <v>1</v>
      </c>
      <c r="H105" s="117">
        <v>172.2</v>
      </c>
      <c r="I105" s="118">
        <f t="shared" si="9"/>
        <v>172.2</v>
      </c>
      <c r="J105" s="118"/>
      <c r="K105" s="118">
        <f t="shared" si="10"/>
        <v>0</v>
      </c>
      <c r="L105" s="119">
        <f t="shared" si="11"/>
        <v>172.2</v>
      </c>
      <c r="M105" s="85"/>
    </row>
    <row r="106" spans="1:13" s="7" customFormat="1" ht="20.100000000000001" customHeight="1">
      <c r="A106" s="270" t="s">
        <v>392</v>
      </c>
      <c r="B106" s="252" t="s">
        <v>252</v>
      </c>
      <c r="C106" s="215" t="s">
        <v>124</v>
      </c>
      <c r="D106" s="216">
        <v>0</v>
      </c>
      <c r="E106" s="217">
        <v>28</v>
      </c>
      <c r="F106" s="218"/>
      <c r="G106" s="218">
        <v>1</v>
      </c>
      <c r="H106" s="117">
        <v>90</v>
      </c>
      <c r="I106" s="118">
        <f t="shared" si="9"/>
        <v>90</v>
      </c>
      <c r="J106" s="219"/>
      <c r="K106" s="118">
        <f t="shared" si="10"/>
        <v>0</v>
      </c>
      <c r="L106" s="119">
        <f t="shared" si="11"/>
        <v>90</v>
      </c>
      <c r="M106" s="95"/>
    </row>
    <row r="107" spans="1:13" s="7" customFormat="1" ht="20.100000000000001" customHeight="1">
      <c r="A107" s="435" t="s">
        <v>150</v>
      </c>
      <c r="B107" s="332" t="s">
        <v>253</v>
      </c>
      <c r="C107" s="305" t="s">
        <v>124</v>
      </c>
      <c r="D107" s="306">
        <v>0</v>
      </c>
      <c r="E107" s="307">
        <v>28</v>
      </c>
      <c r="F107" s="176"/>
      <c r="G107" s="176">
        <v>1</v>
      </c>
      <c r="H107" s="117">
        <v>570</v>
      </c>
      <c r="I107" s="118">
        <f t="shared" si="9"/>
        <v>570</v>
      </c>
      <c r="J107" s="317"/>
      <c r="K107" s="118">
        <f t="shared" si="10"/>
        <v>0</v>
      </c>
      <c r="L107" s="119">
        <f t="shared" si="11"/>
        <v>570</v>
      </c>
      <c r="M107" s="84"/>
    </row>
    <row r="108" spans="1:13" s="1" customFormat="1" ht="20.100000000000001" customHeight="1" thickBot="1">
      <c r="A108" s="384"/>
      <c r="M108" s="385"/>
    </row>
    <row r="109" spans="1:13" s="7" customFormat="1" ht="20.100000000000001" customHeight="1" thickTop="1" thickBot="1">
      <c r="A109" s="43"/>
      <c r="B109" s="44" t="s">
        <v>393</v>
      </c>
      <c r="C109" s="48"/>
      <c r="D109" s="49"/>
      <c r="E109" s="50"/>
      <c r="F109" s="50"/>
      <c r="G109" s="50"/>
      <c r="H109" s="51"/>
      <c r="I109" s="36">
        <f>SUM(I75:I108)</f>
        <v>22749.600000000002</v>
      </c>
      <c r="J109" s="51"/>
      <c r="K109" s="36">
        <f>SUM(K75:K108)</f>
        <v>0</v>
      </c>
      <c r="L109" s="36">
        <f>SUM(L75:L108)</f>
        <v>22749.600000000002</v>
      </c>
      <c r="M109" s="37"/>
    </row>
    <row r="110" spans="1:13" s="7" customFormat="1" ht="20.100000000000001" customHeight="1" thickTop="1">
      <c r="A110" s="382"/>
      <c r="M110" s="383"/>
    </row>
    <row r="111" spans="1:13" s="7" customFormat="1" ht="20.100000000000001" customHeight="1">
      <c r="A111" s="436"/>
      <c r="B111" s="417"/>
      <c r="C111" s="417"/>
      <c r="D111" s="417"/>
      <c r="E111" s="417"/>
      <c r="F111" s="417"/>
      <c r="G111" s="417"/>
      <c r="H111" s="417"/>
      <c r="I111" s="417"/>
      <c r="J111" s="417"/>
      <c r="K111" s="417"/>
      <c r="L111" s="417"/>
      <c r="M111" s="437"/>
    </row>
    <row r="112" spans="1:13" s="7" customFormat="1" ht="20.25" customHeight="1">
      <c r="A112" s="418" t="s">
        <v>22</v>
      </c>
      <c r="B112" s="419" t="s">
        <v>151</v>
      </c>
      <c r="C112" s="420"/>
      <c r="D112" s="421"/>
      <c r="E112" s="170"/>
      <c r="F112" s="170"/>
      <c r="G112" s="170"/>
      <c r="H112" s="171"/>
      <c r="I112" s="171"/>
      <c r="J112" s="171"/>
      <c r="K112" s="171"/>
      <c r="L112" s="172"/>
      <c r="M112" s="173"/>
    </row>
    <row r="113" spans="1:13" s="7" customFormat="1" ht="20.100000000000001" customHeight="1">
      <c r="A113" s="232" t="s">
        <v>152</v>
      </c>
      <c r="B113" s="238" t="s">
        <v>264</v>
      </c>
      <c r="C113" s="235"/>
      <c r="D113" s="236"/>
      <c r="E113" s="117"/>
      <c r="F113" s="117"/>
      <c r="G113" s="117"/>
      <c r="H113" s="118"/>
      <c r="I113" s="118"/>
      <c r="J113" s="118"/>
      <c r="K113" s="118"/>
      <c r="L113" s="119"/>
      <c r="M113" s="111"/>
    </row>
    <row r="114" spans="1:13" s="7" customFormat="1" ht="23.25" customHeight="1">
      <c r="A114" s="234" t="s">
        <v>177</v>
      </c>
      <c r="B114" s="113" t="s">
        <v>254</v>
      </c>
      <c r="C114" s="235" t="s">
        <v>176</v>
      </c>
      <c r="D114" s="236"/>
      <c r="E114" s="117"/>
      <c r="F114" s="117"/>
      <c r="G114" s="117">
        <v>644</v>
      </c>
      <c r="H114" s="117">
        <v>42</v>
      </c>
      <c r="I114" s="219">
        <f>G114*H114</f>
        <v>27048</v>
      </c>
      <c r="J114" s="118"/>
      <c r="K114" s="118">
        <f>G114*J114</f>
        <v>0</v>
      </c>
      <c r="L114" s="119">
        <f>K114+I114</f>
        <v>27048</v>
      </c>
      <c r="M114" s="237"/>
    </row>
    <row r="115" spans="1:13" s="7" customFormat="1" ht="23.25" customHeight="1">
      <c r="A115" s="234" t="s">
        <v>195</v>
      </c>
      <c r="B115" s="300" t="s">
        <v>196</v>
      </c>
      <c r="C115" s="292" t="s">
        <v>179</v>
      </c>
      <c r="D115" s="293"/>
      <c r="E115" s="134"/>
      <c r="F115" s="134"/>
      <c r="G115" s="134"/>
      <c r="H115" s="453"/>
      <c r="I115" s="164"/>
      <c r="J115" s="454"/>
      <c r="K115" s="135"/>
      <c r="L115" s="194">
        <v>7000</v>
      </c>
      <c r="M115" s="237"/>
    </row>
    <row r="116" spans="1:13" s="7" customFormat="1" ht="20.100000000000001" customHeight="1" thickBot="1">
      <c r="A116" s="234"/>
      <c r="B116" s="113"/>
      <c r="C116" s="235"/>
      <c r="D116" s="236"/>
      <c r="E116" s="117"/>
      <c r="F116" s="117"/>
      <c r="G116" s="117"/>
      <c r="H116" s="117"/>
      <c r="I116" s="200"/>
      <c r="J116" s="118"/>
      <c r="K116" s="118"/>
      <c r="L116" s="119"/>
      <c r="M116" s="237"/>
    </row>
    <row r="117" spans="1:13" s="7" customFormat="1" ht="20.100000000000001" customHeight="1" thickTop="1" thickBot="1">
      <c r="A117" s="43"/>
      <c r="B117" s="44" t="s">
        <v>153</v>
      </c>
      <c r="C117" s="48"/>
      <c r="D117" s="49"/>
      <c r="E117" s="50"/>
      <c r="F117" s="50"/>
      <c r="G117" s="50"/>
      <c r="H117" s="51"/>
      <c r="I117" s="36">
        <f>SUM(I114:I116)</f>
        <v>27048</v>
      </c>
      <c r="J117" s="51"/>
      <c r="K117" s="36">
        <f>SUM(K114:K116)</f>
        <v>0</v>
      </c>
      <c r="L117" s="36">
        <f>SUM(L114:L116)</f>
        <v>34048</v>
      </c>
      <c r="M117" s="37"/>
    </row>
    <row r="118" spans="1:13" s="7" customFormat="1" ht="20.100000000000001" customHeight="1" thickTop="1" thickBot="1">
      <c r="A118" s="382"/>
      <c r="M118" s="383"/>
    </row>
    <row r="119" spans="1:13" s="7" customFormat="1" ht="20.100000000000001" customHeight="1" thickTop="1">
      <c r="A119" s="444" t="s">
        <v>23</v>
      </c>
      <c r="B119" s="445" t="s">
        <v>396</v>
      </c>
      <c r="C119" s="177" t="s">
        <v>34</v>
      </c>
      <c r="D119" s="178"/>
      <c r="E119" s="179"/>
      <c r="F119" s="179"/>
      <c r="G119" s="179"/>
      <c r="H119" s="180"/>
      <c r="I119" s="180"/>
      <c r="J119" s="180"/>
      <c r="K119" s="180"/>
      <c r="L119" s="181"/>
      <c r="M119" s="182"/>
    </row>
    <row r="120" spans="1:13" s="7" customFormat="1" ht="20.100000000000001" customHeight="1">
      <c r="A120" s="232" t="s">
        <v>154</v>
      </c>
      <c r="B120" s="446" t="s">
        <v>397</v>
      </c>
      <c r="C120" s="447"/>
      <c r="D120" s="233"/>
      <c r="E120" s="108"/>
      <c r="F120" s="108"/>
      <c r="G120" s="108"/>
      <c r="H120" s="109"/>
      <c r="I120" s="109"/>
      <c r="J120" s="109"/>
      <c r="K120" s="109"/>
      <c r="L120" s="110"/>
      <c r="M120" s="111"/>
    </row>
    <row r="121" spans="1:13" s="7" customFormat="1" ht="20.100000000000001" customHeight="1">
      <c r="A121" s="234"/>
      <c r="B121" s="239" t="s">
        <v>398</v>
      </c>
      <c r="C121" s="235" t="s">
        <v>399</v>
      </c>
      <c r="D121" s="115">
        <v>0</v>
      </c>
      <c r="E121" s="116">
        <f>32*2</f>
        <v>64</v>
      </c>
      <c r="F121" s="117"/>
      <c r="G121" s="117">
        <v>16</v>
      </c>
      <c r="H121" s="117">
        <v>540</v>
      </c>
      <c r="I121" s="118">
        <f t="shared" ref="I121:I127" si="12">G121*H121</f>
        <v>8640</v>
      </c>
      <c r="J121" s="118"/>
      <c r="K121" s="118">
        <f t="shared" ref="K121:K127" si="13">G121*J121</f>
        <v>0</v>
      </c>
      <c r="L121" s="119">
        <f t="shared" ref="L121:L127" si="14">K121+I121</f>
        <v>8640</v>
      </c>
      <c r="M121" s="85"/>
    </row>
    <row r="122" spans="1:13" s="7" customFormat="1" ht="20.100000000000001" customHeight="1">
      <c r="A122" s="234"/>
      <c r="B122" s="239" t="s">
        <v>400</v>
      </c>
      <c r="C122" s="114" t="s">
        <v>64</v>
      </c>
      <c r="D122" s="115">
        <v>0</v>
      </c>
      <c r="E122" s="116">
        <f>4.38*2</f>
        <v>8.76</v>
      </c>
      <c r="F122" s="117"/>
      <c r="G122" s="117">
        <v>2.75</v>
      </c>
      <c r="H122" s="117">
        <v>470</v>
      </c>
      <c r="I122" s="118">
        <f t="shared" si="12"/>
        <v>1292.5</v>
      </c>
      <c r="J122" s="118"/>
      <c r="K122" s="118">
        <f t="shared" si="13"/>
        <v>0</v>
      </c>
      <c r="L122" s="119">
        <f t="shared" si="14"/>
        <v>1292.5</v>
      </c>
      <c r="M122" s="85"/>
    </row>
    <row r="123" spans="1:13" s="7" customFormat="1" ht="20.100000000000001" customHeight="1">
      <c r="A123" s="234"/>
      <c r="B123" s="275" t="s">
        <v>401</v>
      </c>
      <c r="C123" s="114" t="s">
        <v>102</v>
      </c>
      <c r="D123" s="115">
        <v>0</v>
      </c>
      <c r="E123" s="116">
        <f>6*3.12*2</f>
        <v>37.44</v>
      </c>
      <c r="F123" s="117"/>
      <c r="G123" s="117">
        <v>10</v>
      </c>
      <c r="H123" s="117">
        <v>70</v>
      </c>
      <c r="I123" s="118">
        <f t="shared" si="12"/>
        <v>700</v>
      </c>
      <c r="J123" s="118"/>
      <c r="K123" s="118">
        <f t="shared" si="13"/>
        <v>0</v>
      </c>
      <c r="L123" s="119">
        <f t="shared" si="14"/>
        <v>700</v>
      </c>
      <c r="M123" s="85"/>
    </row>
    <row r="124" spans="1:13" s="7" customFormat="1" ht="20.100000000000001" customHeight="1">
      <c r="A124" s="234"/>
      <c r="B124" s="239" t="s">
        <v>402</v>
      </c>
      <c r="C124" s="114" t="s">
        <v>175</v>
      </c>
      <c r="D124" s="115"/>
      <c r="E124" s="116"/>
      <c r="F124" s="117"/>
      <c r="G124" s="117">
        <v>1</v>
      </c>
      <c r="H124" s="117"/>
      <c r="I124" s="118">
        <f t="shared" si="12"/>
        <v>0</v>
      </c>
      <c r="J124" s="118">
        <v>12000</v>
      </c>
      <c r="K124" s="118">
        <f t="shared" si="13"/>
        <v>12000</v>
      </c>
      <c r="L124" s="119">
        <f t="shared" si="14"/>
        <v>12000</v>
      </c>
      <c r="M124" s="85"/>
    </row>
    <row r="125" spans="1:13" s="1" customFormat="1" ht="20.100000000000001" customHeight="1">
      <c r="A125" s="234"/>
      <c r="B125" s="223" t="s">
        <v>403</v>
      </c>
      <c r="C125" s="114" t="s">
        <v>175</v>
      </c>
      <c r="D125" s="115"/>
      <c r="E125" s="116"/>
      <c r="F125" s="117"/>
      <c r="G125" s="117">
        <v>1</v>
      </c>
      <c r="H125" s="117">
        <v>2500</v>
      </c>
      <c r="I125" s="118">
        <f t="shared" si="12"/>
        <v>2500</v>
      </c>
      <c r="J125" s="118"/>
      <c r="K125" s="118">
        <f t="shared" si="13"/>
        <v>0</v>
      </c>
      <c r="L125" s="119">
        <f t="shared" si="14"/>
        <v>2500</v>
      </c>
      <c r="M125" s="85"/>
    </row>
    <row r="126" spans="1:13" s="1" customFormat="1" ht="20.100000000000001" customHeight="1">
      <c r="A126" s="234"/>
      <c r="B126" s="223" t="s">
        <v>404</v>
      </c>
      <c r="C126" s="114" t="s">
        <v>175</v>
      </c>
      <c r="D126" s="115"/>
      <c r="E126" s="116"/>
      <c r="F126" s="117"/>
      <c r="G126" s="117">
        <v>1</v>
      </c>
      <c r="H126" s="117">
        <v>3500</v>
      </c>
      <c r="I126" s="118">
        <f t="shared" si="12"/>
        <v>3500</v>
      </c>
      <c r="J126" s="118"/>
      <c r="K126" s="118">
        <f t="shared" si="13"/>
        <v>0</v>
      </c>
      <c r="L126" s="119">
        <f t="shared" si="14"/>
        <v>3500</v>
      </c>
      <c r="M126" s="85"/>
    </row>
    <row r="127" spans="1:13" s="7" customFormat="1" ht="20.100000000000001" customHeight="1">
      <c r="A127" s="234"/>
      <c r="B127" s="239" t="s">
        <v>405</v>
      </c>
      <c r="C127" s="114" t="s">
        <v>102</v>
      </c>
      <c r="D127" s="115">
        <v>0</v>
      </c>
      <c r="E127" s="116">
        <f>6*3.12*2</f>
        <v>37.44</v>
      </c>
      <c r="F127" s="117"/>
      <c r="G127" s="117">
        <v>4</v>
      </c>
      <c r="H127" s="117">
        <v>1800</v>
      </c>
      <c r="I127" s="118">
        <f t="shared" si="12"/>
        <v>7200</v>
      </c>
      <c r="J127" s="118"/>
      <c r="K127" s="118">
        <f t="shared" si="13"/>
        <v>0</v>
      </c>
      <c r="L127" s="119">
        <f t="shared" si="14"/>
        <v>7200</v>
      </c>
      <c r="M127" s="85"/>
    </row>
    <row r="128" spans="1:13" s="7" customFormat="1" ht="20.100000000000001" customHeight="1" thickBot="1">
      <c r="A128" s="448"/>
      <c r="B128" s="193"/>
      <c r="C128" s="121"/>
      <c r="D128" s="122"/>
      <c r="E128" s="123"/>
      <c r="F128" s="124"/>
      <c r="G128" s="124"/>
      <c r="H128" s="449"/>
      <c r="I128" s="125"/>
      <c r="J128" s="449"/>
      <c r="K128" s="125"/>
      <c r="L128" s="126"/>
      <c r="M128" s="85"/>
    </row>
    <row r="129" spans="1:13" s="7" customFormat="1" ht="20.100000000000001" customHeight="1" thickTop="1" thickBot="1">
      <c r="A129" s="43"/>
      <c r="B129" s="44" t="s">
        <v>155</v>
      </c>
      <c r="C129" s="48"/>
      <c r="D129" s="49"/>
      <c r="E129" s="50"/>
      <c r="F129" s="50"/>
      <c r="G129" s="50"/>
      <c r="H129" s="51"/>
      <c r="I129" s="36">
        <f>SUM(I121:I128)</f>
        <v>23832.5</v>
      </c>
      <c r="J129" s="51"/>
      <c r="K129" s="36">
        <f>SUM(K121:K128)</f>
        <v>12000</v>
      </c>
      <c r="L129" s="36">
        <f>SUM(L121:L128)</f>
        <v>35832.5</v>
      </c>
      <c r="M129" s="37"/>
    </row>
    <row r="130" spans="1:13" s="7" customFormat="1" ht="20.100000000000001" customHeight="1" thickTop="1">
      <c r="A130" s="382"/>
      <c r="M130" s="383"/>
    </row>
    <row r="131" spans="1:13" s="7" customFormat="1" ht="20.100000000000001" customHeight="1">
      <c r="A131" s="372"/>
      <c r="B131" s="319"/>
      <c r="C131" s="319"/>
      <c r="D131" s="319"/>
      <c r="E131" s="319"/>
      <c r="F131" s="319"/>
      <c r="G131" s="319"/>
      <c r="H131" s="319"/>
      <c r="I131" s="319"/>
      <c r="J131" s="319"/>
      <c r="K131" s="319"/>
      <c r="L131" s="319"/>
      <c r="M131" s="373"/>
    </row>
    <row r="132" spans="1:13" s="7" customFormat="1" ht="20.100000000000001" customHeight="1">
      <c r="A132" s="418" t="s">
        <v>406</v>
      </c>
      <c r="B132" s="419" t="s">
        <v>156</v>
      </c>
      <c r="C132" s="420" t="s">
        <v>34</v>
      </c>
      <c r="D132" s="421"/>
      <c r="E132" s="170"/>
      <c r="F132" s="170"/>
      <c r="G132" s="170"/>
      <c r="H132" s="171"/>
      <c r="I132" s="171"/>
      <c r="J132" s="171"/>
      <c r="K132" s="171"/>
      <c r="L132" s="172"/>
      <c r="M132" s="173"/>
    </row>
    <row r="133" spans="1:13" s="7" customFormat="1" ht="20.100000000000001" customHeight="1">
      <c r="A133" s="240" t="s">
        <v>407</v>
      </c>
      <c r="B133" s="241" t="s">
        <v>255</v>
      </c>
      <c r="C133" s="114" t="s">
        <v>199</v>
      </c>
      <c r="D133" s="233"/>
      <c r="E133" s="108"/>
      <c r="F133" s="108"/>
      <c r="G133" s="108">
        <v>2</v>
      </c>
      <c r="H133" s="109">
        <v>2400</v>
      </c>
      <c r="I133" s="118">
        <f>G133*H133</f>
        <v>4800</v>
      </c>
      <c r="J133" s="109"/>
      <c r="K133" s="118">
        <f>G133*J133</f>
        <v>0</v>
      </c>
      <c r="L133" s="119">
        <f>K133+I133</f>
        <v>4800</v>
      </c>
      <c r="M133" s="111"/>
    </row>
    <row r="134" spans="1:13" s="7" customFormat="1" ht="24.75" customHeight="1">
      <c r="A134" s="234"/>
      <c r="B134" s="239"/>
      <c r="C134" s="235"/>
      <c r="D134" s="115">
        <v>0</v>
      </c>
      <c r="E134" s="116">
        <f>32*2</f>
        <v>64</v>
      </c>
      <c r="F134" s="117"/>
      <c r="G134" s="117"/>
      <c r="H134" s="117"/>
      <c r="I134" s="118"/>
      <c r="J134" s="118"/>
      <c r="K134" s="118"/>
      <c r="L134" s="119"/>
      <c r="M134" s="85"/>
    </row>
    <row r="135" spans="1:13" s="7" customFormat="1" ht="20.25" customHeight="1">
      <c r="A135" s="234" t="s">
        <v>408</v>
      </c>
      <c r="B135" s="241" t="s">
        <v>256</v>
      </c>
      <c r="C135" s="114" t="s">
        <v>199</v>
      </c>
      <c r="D135" s="115">
        <v>0</v>
      </c>
      <c r="E135" s="116">
        <f>4.38*2</f>
        <v>8.76</v>
      </c>
      <c r="F135" s="117"/>
      <c r="G135" s="117">
        <v>2</v>
      </c>
      <c r="H135" s="109">
        <v>16800</v>
      </c>
      <c r="I135" s="118">
        <f>G135*H135</f>
        <v>33600</v>
      </c>
      <c r="J135" s="109"/>
      <c r="K135" s="118">
        <f>G135*J135</f>
        <v>0</v>
      </c>
      <c r="L135" s="119">
        <f>K135+I135</f>
        <v>33600</v>
      </c>
      <c r="M135" s="85"/>
    </row>
    <row r="136" spans="1:13" s="7" customFormat="1" ht="20.100000000000001" customHeight="1">
      <c r="A136" s="234"/>
      <c r="B136" s="275"/>
      <c r="C136" s="114"/>
      <c r="D136" s="115">
        <v>0</v>
      </c>
      <c r="E136" s="116">
        <f>6*3.12*2</f>
        <v>37.44</v>
      </c>
      <c r="F136" s="117"/>
      <c r="G136" s="117"/>
      <c r="H136" s="117"/>
      <c r="I136" s="118"/>
      <c r="J136" s="118"/>
      <c r="K136" s="118"/>
      <c r="L136" s="119"/>
      <c r="M136" s="85"/>
    </row>
    <row r="137" spans="1:13" s="1" customFormat="1" ht="20.100000000000001" customHeight="1">
      <c r="A137" s="234" t="s">
        <v>409</v>
      </c>
      <c r="B137" s="241" t="s">
        <v>266</v>
      </c>
      <c r="C137" s="114" t="s">
        <v>199</v>
      </c>
      <c r="D137" s="115"/>
      <c r="E137" s="116"/>
      <c r="F137" s="117"/>
      <c r="G137" s="117">
        <v>1</v>
      </c>
      <c r="H137" s="109">
        <v>10800</v>
      </c>
      <c r="I137" s="118">
        <f>G137*H137</f>
        <v>10800</v>
      </c>
      <c r="J137" s="109"/>
      <c r="K137" s="118">
        <f>G137*J137</f>
        <v>0</v>
      </c>
      <c r="L137" s="119">
        <f>K137+I137</f>
        <v>10800</v>
      </c>
      <c r="M137" s="85"/>
    </row>
    <row r="138" spans="1:13" s="1" customFormat="1" ht="20.100000000000001" customHeight="1">
      <c r="A138" s="234"/>
      <c r="B138" s="223"/>
      <c r="C138" s="114"/>
      <c r="D138" s="115"/>
      <c r="E138" s="116"/>
      <c r="F138" s="117"/>
      <c r="G138" s="117"/>
      <c r="H138" s="117"/>
      <c r="I138" s="118"/>
      <c r="J138" s="118"/>
      <c r="K138" s="118"/>
      <c r="L138" s="119"/>
      <c r="M138" s="85"/>
    </row>
    <row r="139" spans="1:13" s="7" customFormat="1" ht="20.100000000000001" customHeight="1">
      <c r="A139" s="234" t="s">
        <v>410</v>
      </c>
      <c r="B139" s="241" t="s">
        <v>267</v>
      </c>
      <c r="C139" s="114" t="s">
        <v>199</v>
      </c>
      <c r="D139" s="115"/>
      <c r="E139" s="116"/>
      <c r="F139" s="117"/>
      <c r="G139" s="117">
        <v>1</v>
      </c>
      <c r="H139" s="109">
        <v>12600</v>
      </c>
      <c r="I139" s="118">
        <f>G139*H139</f>
        <v>12600</v>
      </c>
      <c r="J139" s="109"/>
      <c r="K139" s="118">
        <f>G139*J139</f>
        <v>0</v>
      </c>
      <c r="L139" s="119">
        <f>K139+I139</f>
        <v>12600</v>
      </c>
      <c r="M139" s="85"/>
    </row>
    <row r="140" spans="1:13" s="7" customFormat="1" ht="20.100000000000001" customHeight="1">
      <c r="A140" s="334"/>
      <c r="B140" s="335"/>
      <c r="C140" s="215"/>
      <c r="D140" s="216">
        <v>0</v>
      </c>
      <c r="E140" s="217">
        <f>6*3.12*2</f>
        <v>37.44</v>
      </c>
      <c r="F140" s="218"/>
      <c r="G140" s="218"/>
      <c r="H140" s="218"/>
      <c r="I140" s="219"/>
      <c r="J140" s="219"/>
      <c r="K140" s="219"/>
      <c r="L140" s="220"/>
      <c r="M140" s="95"/>
    </row>
    <row r="141" spans="1:13" s="7" customFormat="1" ht="20.100000000000001" customHeight="1">
      <c r="A141" s="438" t="s">
        <v>415</v>
      </c>
      <c r="B141" s="422" t="s">
        <v>268</v>
      </c>
      <c r="C141" s="423" t="s">
        <v>199</v>
      </c>
      <c r="D141" s="424"/>
      <c r="E141" s="425"/>
      <c r="F141" s="324"/>
      <c r="G141" s="426">
        <v>1</v>
      </c>
      <c r="H141" s="109">
        <v>21862.5</v>
      </c>
      <c r="I141" s="118">
        <f>G141*H141</f>
        <v>21862.5</v>
      </c>
      <c r="J141" s="109"/>
      <c r="K141" s="118">
        <f>G141*J141</f>
        <v>0</v>
      </c>
      <c r="L141" s="119">
        <f>K141+I141</f>
        <v>21862.5</v>
      </c>
      <c r="M141" s="439"/>
    </row>
    <row r="142" spans="1:13" s="7" customFormat="1" ht="19.5" customHeight="1">
      <c r="A142" s="374"/>
      <c r="C142" s="415"/>
      <c r="H142" s="415"/>
      <c r="J142" s="303"/>
      <c r="L142" s="303"/>
      <c r="M142" s="383"/>
    </row>
    <row r="143" spans="1:13" s="7" customFormat="1" ht="21" customHeight="1">
      <c r="A143" s="438" t="s">
        <v>416</v>
      </c>
      <c r="B143" s="422" t="s">
        <v>394</v>
      </c>
      <c r="C143" s="423" t="s">
        <v>199</v>
      </c>
      <c r="D143" s="427"/>
      <c r="E143" s="427"/>
      <c r="F143" s="427"/>
      <c r="G143" s="427">
        <v>1</v>
      </c>
      <c r="H143" s="109">
        <v>4900</v>
      </c>
      <c r="I143" s="118">
        <f>G143*H143</f>
        <v>4900</v>
      </c>
      <c r="J143" s="109"/>
      <c r="K143" s="118">
        <f>G143*J143</f>
        <v>0</v>
      </c>
      <c r="L143" s="119">
        <f>K143+I143</f>
        <v>4900</v>
      </c>
      <c r="M143" s="440"/>
    </row>
    <row r="144" spans="1:13" s="7" customFormat="1" ht="20.100000000000001" customHeight="1">
      <c r="A144" s="441"/>
      <c r="B144" s="428"/>
      <c r="C144" s="277"/>
      <c r="D144" s="429">
        <v>0</v>
      </c>
      <c r="E144" s="430">
        <v>530</v>
      </c>
      <c r="F144" s="431"/>
      <c r="G144" s="431"/>
      <c r="H144" s="280"/>
      <c r="I144" s="432"/>
      <c r="J144" s="433"/>
      <c r="K144" s="432"/>
      <c r="L144" s="281"/>
      <c r="M144" s="442"/>
    </row>
    <row r="145" spans="1:13" s="1" customFormat="1" ht="20.100000000000001" customHeight="1">
      <c r="A145" s="234" t="s">
        <v>417</v>
      </c>
      <c r="B145" s="241" t="s">
        <v>411</v>
      </c>
      <c r="C145" s="114" t="s">
        <v>199</v>
      </c>
      <c r="D145" s="216"/>
      <c r="E145" s="217"/>
      <c r="F145" s="218"/>
      <c r="G145" s="218">
        <v>4</v>
      </c>
      <c r="H145" s="109">
        <v>9675</v>
      </c>
      <c r="I145" s="118">
        <f>G145*H145</f>
        <v>38700</v>
      </c>
      <c r="J145" s="109"/>
      <c r="K145" s="118">
        <f>G145*J145</f>
        <v>0</v>
      </c>
      <c r="L145" s="119">
        <f>K145+I145</f>
        <v>38700</v>
      </c>
      <c r="M145" s="85"/>
    </row>
    <row r="146" spans="1:13" s="7" customFormat="1" ht="20.100000000000001" customHeight="1">
      <c r="A146" s="234"/>
      <c r="B146" s="239"/>
      <c r="C146" s="114"/>
      <c r="D146" s="216"/>
      <c r="E146" s="217"/>
      <c r="F146" s="218"/>
      <c r="G146" s="218"/>
      <c r="H146" s="218"/>
      <c r="I146" s="219"/>
      <c r="J146" s="219"/>
      <c r="K146" s="219"/>
      <c r="L146" s="220"/>
      <c r="M146" s="85"/>
    </row>
    <row r="147" spans="1:13" s="1" customFormat="1" ht="20.100000000000001" customHeight="1">
      <c r="A147" s="234" t="s">
        <v>418</v>
      </c>
      <c r="B147" s="241" t="s">
        <v>412</v>
      </c>
      <c r="C147" s="114" t="s">
        <v>199</v>
      </c>
      <c r="D147" s="216"/>
      <c r="E147" s="217"/>
      <c r="F147" s="218"/>
      <c r="G147" s="218">
        <v>3</v>
      </c>
      <c r="H147" s="109">
        <v>2700</v>
      </c>
      <c r="I147" s="118">
        <f>G147*H147</f>
        <v>8100</v>
      </c>
      <c r="J147" s="109"/>
      <c r="K147" s="118">
        <f>G147*J147</f>
        <v>0</v>
      </c>
      <c r="L147" s="119">
        <f>K147+I147</f>
        <v>8100</v>
      </c>
      <c r="M147" s="85"/>
    </row>
    <row r="148" spans="1:13">
      <c r="A148" s="334"/>
      <c r="B148" s="335"/>
      <c r="C148" s="215"/>
      <c r="D148" s="216"/>
      <c r="E148" s="217"/>
      <c r="F148" s="218"/>
      <c r="G148" s="218"/>
      <c r="H148" s="218"/>
      <c r="I148" s="219"/>
      <c r="J148" s="219"/>
      <c r="K148" s="219"/>
      <c r="L148" s="220"/>
      <c r="M148" s="95"/>
    </row>
    <row r="149" spans="1:13">
      <c r="A149" s="438" t="s">
        <v>419</v>
      </c>
      <c r="B149" s="344" t="s">
        <v>413</v>
      </c>
      <c r="C149" s="423" t="s">
        <v>199</v>
      </c>
      <c r="D149" s="337"/>
      <c r="E149" s="338"/>
      <c r="F149" s="339"/>
      <c r="G149" s="324">
        <v>1</v>
      </c>
      <c r="H149" s="109">
        <v>8775</v>
      </c>
      <c r="I149" s="118">
        <f>G149*H149</f>
        <v>8775</v>
      </c>
      <c r="J149" s="109"/>
      <c r="K149" s="118">
        <f>G149*J149</f>
        <v>0</v>
      </c>
      <c r="L149" s="119">
        <f>K149+I149</f>
        <v>8775</v>
      </c>
      <c r="M149" s="387"/>
    </row>
    <row r="150" spans="1:13">
      <c r="A150" s="455"/>
      <c r="B150" s="345"/>
      <c r="C150" s="345"/>
      <c r="D150" s="343"/>
      <c r="E150" s="342"/>
      <c r="F150" s="342"/>
      <c r="G150" s="345"/>
      <c r="H150" s="450"/>
      <c r="I150" s="345"/>
      <c r="J150" s="342"/>
      <c r="K150" s="345"/>
      <c r="L150" s="342"/>
      <c r="M150" s="389"/>
    </row>
    <row r="151" spans="1:13">
      <c r="A151" s="438" t="s">
        <v>420</v>
      </c>
      <c r="B151" s="344" t="s">
        <v>421</v>
      </c>
      <c r="C151" s="423" t="s">
        <v>199</v>
      </c>
      <c r="D151" s="337"/>
      <c r="E151" s="338"/>
      <c r="F151" s="339"/>
      <c r="G151" s="324">
        <v>1</v>
      </c>
      <c r="H151" s="109">
        <v>4050</v>
      </c>
      <c r="I151" s="109">
        <f>G151*H151</f>
        <v>4050</v>
      </c>
      <c r="J151" s="109"/>
      <c r="K151" s="109">
        <f>G151*J151</f>
        <v>0</v>
      </c>
      <c r="L151" s="110">
        <f>K151+I151</f>
        <v>4050</v>
      </c>
      <c r="M151" s="456"/>
    </row>
    <row r="152" spans="1:13">
      <c r="A152" s="457"/>
      <c r="B152" s="451"/>
      <c r="C152" s="451"/>
      <c r="D152" s="363"/>
      <c r="E152" s="346"/>
      <c r="F152" s="346"/>
      <c r="G152" s="451"/>
      <c r="H152" s="452"/>
      <c r="I152" s="451"/>
      <c r="J152" s="346"/>
      <c r="K152" s="451"/>
      <c r="L152" s="346"/>
      <c r="M152" s="458"/>
    </row>
    <row r="153" spans="1:13">
      <c r="A153" s="386" t="s">
        <v>422</v>
      </c>
      <c r="B153" s="344" t="s">
        <v>423</v>
      </c>
      <c r="C153" s="336" t="s">
        <v>199</v>
      </c>
      <c r="D153" s="337"/>
      <c r="E153" s="338"/>
      <c r="F153" s="339"/>
      <c r="G153" s="324">
        <v>1</v>
      </c>
      <c r="H153" s="340">
        <v>1575</v>
      </c>
      <c r="I153" s="325">
        <f>G153*H153</f>
        <v>1575</v>
      </c>
      <c r="J153" s="340"/>
      <c r="K153" s="325">
        <f>G153*J153</f>
        <v>0</v>
      </c>
      <c r="L153" s="341">
        <f>K153+I153</f>
        <v>1575</v>
      </c>
      <c r="M153" s="456"/>
    </row>
    <row r="154" spans="1:13" ht="14.4" thickBot="1">
      <c r="A154" s="388"/>
      <c r="B154" s="345"/>
      <c r="C154" s="342"/>
      <c r="D154" s="343"/>
      <c r="E154" s="342"/>
      <c r="F154" s="342"/>
      <c r="G154" s="345"/>
      <c r="H154" s="342"/>
      <c r="I154" s="345"/>
      <c r="J154" s="342"/>
      <c r="K154" s="345"/>
      <c r="L154" s="342"/>
      <c r="M154" s="389"/>
    </row>
    <row r="155" spans="1:13" ht="15" thickTop="1" thickBot="1">
      <c r="A155" s="43"/>
      <c r="B155" s="44" t="s">
        <v>414</v>
      </c>
      <c r="C155" s="48"/>
      <c r="D155" s="49"/>
      <c r="E155" s="50"/>
      <c r="F155" s="50"/>
      <c r="G155" s="50"/>
      <c r="H155" s="51"/>
      <c r="I155" s="36">
        <f>SUM(I133:I154)</f>
        <v>149762.5</v>
      </c>
      <c r="J155" s="51"/>
      <c r="K155" s="36">
        <f>SUM(K133:K154)</f>
        <v>0</v>
      </c>
      <c r="L155" s="36">
        <f>SUM(L133:L154)</f>
        <v>149762.5</v>
      </c>
      <c r="M155" s="37"/>
    </row>
    <row r="156" spans="1:13" ht="25.5" customHeight="1" thickTop="1" thickBot="1">
      <c r="A156" s="45"/>
      <c r="B156" s="46" t="s">
        <v>157</v>
      </c>
      <c r="C156" s="46"/>
      <c r="D156" s="47"/>
      <c r="E156" s="40"/>
      <c r="F156" s="40"/>
      <c r="G156" s="40"/>
      <c r="H156" s="41"/>
      <c r="I156" s="41">
        <f>I17+I33+I41+I53+I72+I109+I117+I129+I155</f>
        <v>719899.1</v>
      </c>
      <c r="J156" s="41"/>
      <c r="K156" s="41">
        <f>K17+K33+K41+K53+K72+K109+K117+K129+K155</f>
        <v>173820</v>
      </c>
      <c r="L156" s="41">
        <f>L17+L33+L41+L53+L72+L109+L117+L129+L155</f>
        <v>900719.1</v>
      </c>
      <c r="M156" s="42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rowBreaks count="1" manualBreakCount="1">
    <brk id="3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3" activePane="bottomRight" state="frozen"/>
      <selection activeCell="P4" sqref="P4"/>
      <selection pane="topRight" activeCell="P4" sqref="P4"/>
      <selection pane="bottomLeft" activeCell="P4" sqref="P4"/>
      <selection pane="bottomRight" activeCell="C74" sqref="C74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3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4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3"/>
      <c r="E3" s="139"/>
      <c r="F3" s="139"/>
      <c r="G3" s="139"/>
      <c r="H3" s="140"/>
      <c r="I3" s="140"/>
      <c r="J3" s="164"/>
      <c r="K3" s="164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3"/>
      <c r="E4" s="139"/>
      <c r="F4" s="139"/>
      <c r="G4" s="139"/>
      <c r="H4" s="140"/>
      <c r="I4" s="140"/>
      <c r="J4" s="471" t="s">
        <v>259</v>
      </c>
      <c r="K4" s="471"/>
      <c r="L4" s="471"/>
      <c r="M4" s="472"/>
    </row>
    <row r="5" spans="1:13" s="1" customFormat="1" ht="20.100000000000001" customHeight="1" thickBot="1">
      <c r="A5" s="136" t="s">
        <v>424</v>
      </c>
      <c r="B5" s="138"/>
      <c r="C5" s="138"/>
      <c r="D5" s="163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83" t="s">
        <v>3</v>
      </c>
      <c r="B6" s="485" t="s">
        <v>4</v>
      </c>
      <c r="C6" s="485" t="s">
        <v>38</v>
      </c>
      <c r="D6" s="30" t="s">
        <v>47</v>
      </c>
      <c r="E6" s="31" t="s">
        <v>39</v>
      </c>
      <c r="F6" s="31" t="s">
        <v>39</v>
      </c>
      <c r="G6" s="487" t="s">
        <v>39</v>
      </c>
      <c r="H6" s="479" t="s">
        <v>40</v>
      </c>
      <c r="I6" s="480"/>
      <c r="J6" s="481" t="s">
        <v>41</v>
      </c>
      <c r="K6" s="482"/>
      <c r="L6" s="32" t="s">
        <v>6</v>
      </c>
      <c r="M6" s="477" t="s">
        <v>42</v>
      </c>
    </row>
    <row r="7" spans="1:13" s="25" customFormat="1" ht="20.100000000000001" customHeight="1" thickBot="1">
      <c r="A7" s="484"/>
      <c r="B7" s="486"/>
      <c r="C7" s="486"/>
      <c r="D7" s="33" t="s">
        <v>48</v>
      </c>
      <c r="E7" s="187"/>
      <c r="F7" s="187"/>
      <c r="G7" s="488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78"/>
    </row>
    <row r="8" spans="1:13" s="1" customFormat="1" ht="20.100000000000001" customHeight="1">
      <c r="A8" s="29" t="s">
        <v>158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47" t="s">
        <v>275</v>
      </c>
      <c r="B9" s="93" t="s">
        <v>276</v>
      </c>
      <c r="C9" s="94"/>
      <c r="D9" s="242">
        <v>0</v>
      </c>
      <c r="E9" s="243">
        <v>1</v>
      </c>
      <c r="F9" s="244"/>
      <c r="G9" s="244"/>
      <c r="H9" s="245"/>
      <c r="I9" s="246"/>
      <c r="J9" s="245"/>
      <c r="K9" s="246"/>
      <c r="L9" s="247"/>
      <c r="M9" s="248"/>
    </row>
    <row r="10" spans="1:13" ht="18" customHeight="1">
      <c r="A10" s="250"/>
      <c r="B10" s="213" t="s">
        <v>277</v>
      </c>
      <c r="C10" s="114" t="s">
        <v>124</v>
      </c>
      <c r="D10" s="115"/>
      <c r="E10" s="116"/>
      <c r="F10" s="116"/>
      <c r="G10" s="117">
        <v>1</v>
      </c>
      <c r="H10" s="244">
        <v>1465</v>
      </c>
      <c r="I10" s="118">
        <f t="shared" ref="I10:I16" si="0">G10*H10</f>
        <v>1465</v>
      </c>
      <c r="J10" s="118">
        <v>110</v>
      </c>
      <c r="K10" s="118">
        <f>G10*J10</f>
        <v>110</v>
      </c>
      <c r="L10" s="119">
        <f t="shared" ref="L10:L16" si="1">SUM(I10+K10)</f>
        <v>1575</v>
      </c>
      <c r="M10" s="85"/>
    </row>
    <row r="11" spans="1:13" ht="18" customHeight="1">
      <c r="A11" s="250"/>
      <c r="B11" s="213" t="s">
        <v>278</v>
      </c>
      <c r="C11" s="114" t="s">
        <v>124</v>
      </c>
      <c r="D11" s="115"/>
      <c r="E11" s="116"/>
      <c r="F11" s="116"/>
      <c r="G11" s="117">
        <v>1</v>
      </c>
      <c r="H11" s="244">
        <v>1100</v>
      </c>
      <c r="I11" s="118">
        <f t="shared" si="0"/>
        <v>1100</v>
      </c>
      <c r="J11" s="118">
        <v>110</v>
      </c>
      <c r="K11" s="118">
        <f t="shared" ref="K11:K16" si="2">G11*J11</f>
        <v>110</v>
      </c>
      <c r="L11" s="119">
        <f t="shared" si="1"/>
        <v>1210</v>
      </c>
      <c r="M11" s="85"/>
    </row>
    <row r="12" spans="1:13" ht="18" customHeight="1">
      <c r="A12" s="250"/>
      <c r="B12" s="213" t="s">
        <v>279</v>
      </c>
      <c r="C12" s="114" t="s">
        <v>124</v>
      </c>
      <c r="D12" s="115">
        <v>0</v>
      </c>
      <c r="E12" s="116">
        <v>12</v>
      </c>
      <c r="F12" s="117"/>
      <c r="G12" s="117">
        <v>5</v>
      </c>
      <c r="H12" s="244">
        <v>110</v>
      </c>
      <c r="I12" s="118">
        <f t="shared" si="0"/>
        <v>550</v>
      </c>
      <c r="J12" s="118">
        <v>110</v>
      </c>
      <c r="K12" s="118">
        <f t="shared" si="2"/>
        <v>550</v>
      </c>
      <c r="L12" s="119">
        <f t="shared" si="1"/>
        <v>1100</v>
      </c>
      <c r="M12" s="85"/>
    </row>
    <row r="13" spans="1:13" ht="18" customHeight="1">
      <c r="A13" s="250"/>
      <c r="B13" s="213" t="s">
        <v>280</v>
      </c>
      <c r="C13" s="114" t="s">
        <v>124</v>
      </c>
      <c r="D13" s="115">
        <v>0</v>
      </c>
      <c r="E13" s="116">
        <v>12</v>
      </c>
      <c r="F13" s="117"/>
      <c r="G13" s="117">
        <v>4</v>
      </c>
      <c r="H13" s="244">
        <v>1450</v>
      </c>
      <c r="I13" s="118">
        <f t="shared" si="0"/>
        <v>5800</v>
      </c>
      <c r="J13" s="118">
        <v>110</v>
      </c>
      <c r="K13" s="118">
        <f t="shared" si="2"/>
        <v>440</v>
      </c>
      <c r="L13" s="119">
        <f t="shared" si="1"/>
        <v>6240</v>
      </c>
      <c r="M13" s="85"/>
    </row>
    <row r="14" spans="1:13" ht="18" customHeight="1">
      <c r="A14" s="250"/>
      <c r="B14" s="213" t="s">
        <v>281</v>
      </c>
      <c r="C14" s="114" t="s">
        <v>124</v>
      </c>
      <c r="D14" s="115">
        <v>0</v>
      </c>
      <c r="E14" s="116">
        <v>12</v>
      </c>
      <c r="F14" s="117"/>
      <c r="G14" s="117">
        <v>2</v>
      </c>
      <c r="H14" s="244">
        <v>1450</v>
      </c>
      <c r="I14" s="118">
        <f t="shared" si="0"/>
        <v>2900</v>
      </c>
      <c r="J14" s="118">
        <v>110</v>
      </c>
      <c r="K14" s="118">
        <f t="shared" si="2"/>
        <v>220</v>
      </c>
      <c r="L14" s="119">
        <f t="shared" si="1"/>
        <v>3120</v>
      </c>
      <c r="M14" s="85"/>
    </row>
    <row r="15" spans="1:13" ht="18" customHeight="1">
      <c r="A15" s="250"/>
      <c r="B15" s="213" t="s">
        <v>282</v>
      </c>
      <c r="C15" s="114" t="s">
        <v>124</v>
      </c>
      <c r="D15" s="115">
        <v>0</v>
      </c>
      <c r="E15" s="116">
        <v>12</v>
      </c>
      <c r="F15" s="117"/>
      <c r="G15" s="117">
        <v>1</v>
      </c>
      <c r="H15" s="244">
        <v>800</v>
      </c>
      <c r="I15" s="348">
        <f t="shared" si="0"/>
        <v>800</v>
      </c>
      <c r="J15" s="348">
        <v>200</v>
      </c>
      <c r="K15" s="118">
        <f t="shared" si="2"/>
        <v>200</v>
      </c>
      <c r="L15" s="119">
        <f t="shared" si="1"/>
        <v>1000</v>
      </c>
      <c r="M15" s="85"/>
    </row>
    <row r="16" spans="1:13" ht="18" customHeight="1" thickBot="1">
      <c r="A16" s="250"/>
      <c r="B16" s="213" t="s">
        <v>283</v>
      </c>
      <c r="C16" s="114" t="s">
        <v>124</v>
      </c>
      <c r="D16" s="115">
        <v>0</v>
      </c>
      <c r="E16" s="116">
        <v>12</v>
      </c>
      <c r="F16" s="117"/>
      <c r="G16" s="117">
        <v>1</v>
      </c>
      <c r="H16" s="244">
        <v>1900</v>
      </c>
      <c r="I16" s="348">
        <f t="shared" si="0"/>
        <v>1900</v>
      </c>
      <c r="J16" s="348">
        <v>400</v>
      </c>
      <c r="K16" s="118">
        <f t="shared" si="2"/>
        <v>400</v>
      </c>
      <c r="L16" s="119">
        <f t="shared" si="1"/>
        <v>2300</v>
      </c>
      <c r="M16" s="85"/>
    </row>
    <row r="17" spans="1:13" s="7" customFormat="1" ht="15" thickTop="1" thickBot="1">
      <c r="A17" s="251"/>
      <c r="B17" s="44" t="s">
        <v>159</v>
      </c>
      <c r="C17" s="48"/>
      <c r="D17" s="49"/>
      <c r="E17" s="50"/>
      <c r="F17" s="50"/>
      <c r="G17" s="50"/>
      <c r="H17" s="51"/>
      <c r="I17" s="36">
        <f>SUM(I10:I16)</f>
        <v>14515</v>
      </c>
      <c r="J17" s="51"/>
      <c r="K17" s="36">
        <f>SUM(K10:K16)</f>
        <v>2030</v>
      </c>
      <c r="L17" s="36">
        <f>SUM(L10:L16)</f>
        <v>16545</v>
      </c>
      <c r="M17" s="37"/>
    </row>
    <row r="18" spans="1:13" ht="20.100000000000001" customHeight="1" thickTop="1">
      <c r="A18" s="98" t="s">
        <v>174</v>
      </c>
      <c r="B18" s="99" t="s">
        <v>284</v>
      </c>
      <c r="C18" s="73"/>
      <c r="D18" s="74"/>
      <c r="E18" s="249"/>
      <c r="F18" s="128"/>
      <c r="G18" s="75"/>
      <c r="H18" s="76"/>
      <c r="I18" s="76"/>
      <c r="J18" s="76"/>
      <c r="K18" s="76"/>
      <c r="L18" s="77"/>
      <c r="M18" s="78"/>
    </row>
    <row r="19" spans="1:13" ht="20.100000000000001" customHeight="1">
      <c r="A19" s="250"/>
      <c r="B19" s="189" t="s">
        <v>285</v>
      </c>
      <c r="C19" s="114" t="s">
        <v>286</v>
      </c>
      <c r="D19" s="115">
        <v>0</v>
      </c>
      <c r="E19" s="116"/>
      <c r="F19" s="116">
        <v>3</v>
      </c>
      <c r="G19" s="117">
        <f>30</f>
        <v>30</v>
      </c>
      <c r="H19" s="117">
        <v>112.31</v>
      </c>
      <c r="I19" s="118">
        <f>G19*H19</f>
        <v>3369.3</v>
      </c>
      <c r="J19" s="117">
        <v>30</v>
      </c>
      <c r="K19" s="118">
        <f>G19*J19</f>
        <v>900</v>
      </c>
      <c r="L19" s="119">
        <f>SUM(I19+K19)</f>
        <v>4269.3</v>
      </c>
      <c r="M19" s="85"/>
    </row>
    <row r="20" spans="1:13" ht="18" customHeight="1">
      <c r="A20" s="250"/>
      <c r="B20" s="213" t="s">
        <v>287</v>
      </c>
      <c r="C20" s="114" t="s">
        <v>286</v>
      </c>
      <c r="D20" s="115"/>
      <c r="E20" s="116"/>
      <c r="F20" s="116"/>
      <c r="G20" s="117">
        <f>13</f>
        <v>13</v>
      </c>
      <c r="H20" s="117">
        <v>34.76</v>
      </c>
      <c r="I20" s="118">
        <f t="shared" ref="I20:I33" si="3">G20*H20</f>
        <v>451.88</v>
      </c>
      <c r="J20" s="117">
        <v>16</v>
      </c>
      <c r="K20" s="118">
        <f t="shared" ref="K20:K33" si="4">G20*J20</f>
        <v>208</v>
      </c>
      <c r="L20" s="119">
        <f t="shared" ref="L20:L33" si="5">SUM(I20+K20)</f>
        <v>659.88</v>
      </c>
      <c r="M20" s="85"/>
    </row>
    <row r="21" spans="1:13" ht="18" customHeight="1">
      <c r="A21" s="250"/>
      <c r="B21" s="213" t="s">
        <v>288</v>
      </c>
      <c r="C21" s="114" t="s">
        <v>286</v>
      </c>
      <c r="D21" s="115"/>
      <c r="E21" s="116"/>
      <c r="F21" s="116"/>
      <c r="G21" s="117">
        <f>210+40+40</f>
        <v>290</v>
      </c>
      <c r="H21" s="117">
        <v>12.13</v>
      </c>
      <c r="I21" s="118">
        <f t="shared" si="3"/>
        <v>3517.7000000000003</v>
      </c>
      <c r="J21" s="117">
        <v>10</v>
      </c>
      <c r="K21" s="118">
        <f t="shared" si="4"/>
        <v>2900</v>
      </c>
      <c r="L21" s="119">
        <f t="shared" si="5"/>
        <v>6417.7000000000007</v>
      </c>
      <c r="M21" s="85"/>
    </row>
    <row r="22" spans="1:13" ht="18" customHeight="1">
      <c r="A22" s="250"/>
      <c r="B22" s="189" t="s">
        <v>289</v>
      </c>
      <c r="C22" s="114" t="s">
        <v>286</v>
      </c>
      <c r="D22" s="115"/>
      <c r="E22" s="116"/>
      <c r="F22" s="116"/>
      <c r="G22" s="117">
        <f>510+105+20+90+20+45</f>
        <v>790</v>
      </c>
      <c r="H22" s="117">
        <v>8.0399999999999991</v>
      </c>
      <c r="I22" s="118">
        <f t="shared" si="3"/>
        <v>6351.5999999999995</v>
      </c>
      <c r="J22" s="117">
        <v>7</v>
      </c>
      <c r="K22" s="118">
        <f t="shared" si="4"/>
        <v>5530</v>
      </c>
      <c r="L22" s="119">
        <f t="shared" si="5"/>
        <v>11881.599999999999</v>
      </c>
      <c r="M22" s="85"/>
    </row>
    <row r="23" spans="1:13" ht="18" customHeight="1">
      <c r="A23" s="250"/>
      <c r="B23" s="189" t="s">
        <v>290</v>
      </c>
      <c r="C23" s="114" t="s">
        <v>286</v>
      </c>
      <c r="D23" s="115">
        <v>0</v>
      </c>
      <c r="E23" s="116">
        <v>12</v>
      </c>
      <c r="F23" s="117"/>
      <c r="G23" s="117">
        <f>30</f>
        <v>30</v>
      </c>
      <c r="H23" s="117">
        <v>20.59</v>
      </c>
      <c r="I23" s="118">
        <f>G23*H23</f>
        <v>617.70000000000005</v>
      </c>
      <c r="J23" s="117">
        <v>12</v>
      </c>
      <c r="K23" s="118">
        <f>G23*J23</f>
        <v>360</v>
      </c>
      <c r="L23" s="119">
        <f>SUM(I23+K23)</f>
        <v>977.7</v>
      </c>
      <c r="M23" s="85"/>
    </row>
    <row r="24" spans="1:13" ht="18" customHeight="1">
      <c r="A24" s="250"/>
      <c r="B24" s="189" t="s">
        <v>291</v>
      </c>
      <c r="C24" s="114" t="s">
        <v>286</v>
      </c>
      <c r="D24" s="115">
        <v>0</v>
      </c>
      <c r="E24" s="116">
        <v>12</v>
      </c>
      <c r="F24" s="117"/>
      <c r="G24" s="117">
        <f>30</f>
        <v>30</v>
      </c>
      <c r="H24" s="117">
        <v>17.63</v>
      </c>
      <c r="I24" s="118">
        <f t="shared" si="3"/>
        <v>528.9</v>
      </c>
      <c r="J24" s="117">
        <v>10</v>
      </c>
      <c r="K24" s="118">
        <f t="shared" si="4"/>
        <v>300</v>
      </c>
      <c r="L24" s="119">
        <f t="shared" si="5"/>
        <v>828.9</v>
      </c>
      <c r="M24" s="85"/>
    </row>
    <row r="25" spans="1:13" ht="18" customHeight="1">
      <c r="A25" s="250"/>
      <c r="B25" s="189" t="s">
        <v>292</v>
      </c>
      <c r="C25" s="114" t="s">
        <v>286</v>
      </c>
      <c r="D25" s="115">
        <v>0</v>
      </c>
      <c r="E25" s="116">
        <v>12</v>
      </c>
      <c r="F25" s="117"/>
      <c r="G25" s="117">
        <f>35</f>
        <v>35</v>
      </c>
      <c r="H25" s="244">
        <v>4.8</v>
      </c>
      <c r="I25" s="348">
        <f t="shared" si="3"/>
        <v>168</v>
      </c>
      <c r="J25" s="244">
        <v>3</v>
      </c>
      <c r="K25" s="118">
        <f t="shared" si="4"/>
        <v>105</v>
      </c>
      <c r="L25" s="119">
        <f t="shared" si="5"/>
        <v>273</v>
      </c>
      <c r="M25" s="85"/>
    </row>
    <row r="26" spans="1:13" ht="18" customHeight="1">
      <c r="A26" s="250"/>
      <c r="B26" s="189" t="s">
        <v>293</v>
      </c>
      <c r="C26" s="114" t="s">
        <v>286</v>
      </c>
      <c r="D26" s="115">
        <v>0</v>
      </c>
      <c r="E26" s="116">
        <v>12</v>
      </c>
      <c r="F26" s="117"/>
      <c r="G26" s="117">
        <f>12</f>
        <v>12</v>
      </c>
      <c r="H26" s="244">
        <v>9.35</v>
      </c>
      <c r="I26" s="118">
        <f t="shared" si="3"/>
        <v>112.19999999999999</v>
      </c>
      <c r="J26" s="117">
        <v>6</v>
      </c>
      <c r="K26" s="118">
        <f t="shared" si="4"/>
        <v>72</v>
      </c>
      <c r="L26" s="119">
        <f t="shared" si="5"/>
        <v>184.2</v>
      </c>
      <c r="M26" s="85"/>
    </row>
    <row r="27" spans="1:13" ht="18" customHeight="1">
      <c r="A27" s="250"/>
      <c r="B27" s="189" t="s">
        <v>294</v>
      </c>
      <c r="C27" s="114" t="s">
        <v>286</v>
      </c>
      <c r="D27" s="115">
        <v>0</v>
      </c>
      <c r="E27" s="116">
        <v>12</v>
      </c>
      <c r="F27" s="117"/>
      <c r="G27" s="117">
        <f>50</f>
        <v>50</v>
      </c>
      <c r="H27" s="117">
        <v>39</v>
      </c>
      <c r="I27" s="118">
        <f t="shared" si="3"/>
        <v>1950</v>
      </c>
      <c r="J27" s="117">
        <v>12</v>
      </c>
      <c r="K27" s="118">
        <f t="shared" si="4"/>
        <v>600</v>
      </c>
      <c r="L27" s="119">
        <f t="shared" si="5"/>
        <v>2550</v>
      </c>
      <c r="M27" s="85"/>
    </row>
    <row r="28" spans="1:13" ht="18" customHeight="1">
      <c r="A28" s="250"/>
      <c r="B28" s="189" t="s">
        <v>296</v>
      </c>
      <c r="C28" s="114" t="s">
        <v>286</v>
      </c>
      <c r="D28" s="115">
        <v>0</v>
      </c>
      <c r="E28" s="116">
        <v>12</v>
      </c>
      <c r="F28" s="117"/>
      <c r="G28" s="117">
        <f>10</f>
        <v>10</v>
      </c>
      <c r="H28" s="117">
        <v>16</v>
      </c>
      <c r="I28" s="118">
        <f t="shared" si="3"/>
        <v>160</v>
      </c>
      <c r="J28" s="117">
        <v>19</v>
      </c>
      <c r="K28" s="118">
        <f t="shared" si="4"/>
        <v>190</v>
      </c>
      <c r="L28" s="119">
        <f t="shared" si="5"/>
        <v>350</v>
      </c>
      <c r="M28" s="85"/>
    </row>
    <row r="29" spans="1:13" ht="18" customHeight="1">
      <c r="A29" s="250"/>
      <c r="B29" s="189" t="s">
        <v>297</v>
      </c>
      <c r="C29" s="114" t="s">
        <v>286</v>
      </c>
      <c r="D29" s="115">
        <v>0</v>
      </c>
      <c r="E29" s="116">
        <v>12</v>
      </c>
      <c r="F29" s="117"/>
      <c r="G29" s="117">
        <f>15</f>
        <v>15</v>
      </c>
      <c r="H29" s="117">
        <v>22</v>
      </c>
      <c r="I29" s="118">
        <f t="shared" si="3"/>
        <v>330</v>
      </c>
      <c r="J29" s="117">
        <v>18</v>
      </c>
      <c r="K29" s="118">
        <f t="shared" si="4"/>
        <v>270</v>
      </c>
      <c r="L29" s="119">
        <f t="shared" si="5"/>
        <v>600</v>
      </c>
      <c r="M29" s="85"/>
    </row>
    <row r="30" spans="1:13" ht="18" customHeight="1">
      <c r="A30" s="250"/>
      <c r="B30" s="189" t="s">
        <v>298</v>
      </c>
      <c r="C30" s="114" t="s">
        <v>286</v>
      </c>
      <c r="D30" s="115">
        <v>0</v>
      </c>
      <c r="E30" s="116">
        <v>12</v>
      </c>
      <c r="F30" s="117"/>
      <c r="G30" s="117">
        <f>15</f>
        <v>15</v>
      </c>
      <c r="H30" s="117">
        <v>77.28</v>
      </c>
      <c r="I30" s="118">
        <f t="shared" si="3"/>
        <v>1159.2</v>
      </c>
      <c r="J30" s="117">
        <v>35</v>
      </c>
      <c r="K30" s="118">
        <f t="shared" si="4"/>
        <v>525</v>
      </c>
      <c r="L30" s="119">
        <f t="shared" si="5"/>
        <v>1684.2</v>
      </c>
      <c r="M30" s="85"/>
    </row>
    <row r="31" spans="1:13" ht="18" customHeight="1">
      <c r="A31" s="250"/>
      <c r="B31" s="189" t="s">
        <v>299</v>
      </c>
      <c r="C31" s="114" t="s">
        <v>286</v>
      </c>
      <c r="D31" s="115">
        <v>0</v>
      </c>
      <c r="E31" s="116">
        <v>12</v>
      </c>
      <c r="F31" s="117"/>
      <c r="G31" s="117">
        <f>12</f>
        <v>12</v>
      </c>
      <c r="H31" s="244">
        <v>18.149999999999999</v>
      </c>
      <c r="I31" s="118">
        <f t="shared" si="3"/>
        <v>217.79999999999998</v>
      </c>
      <c r="J31" s="117">
        <v>23</v>
      </c>
      <c r="K31" s="118">
        <f t="shared" si="4"/>
        <v>276</v>
      </c>
      <c r="L31" s="119">
        <f t="shared" si="5"/>
        <v>493.79999999999995</v>
      </c>
      <c r="M31" s="85"/>
    </row>
    <row r="32" spans="1:13" ht="18" customHeight="1">
      <c r="A32" s="250"/>
      <c r="B32" s="189" t="s">
        <v>300</v>
      </c>
      <c r="C32" s="114" t="s">
        <v>286</v>
      </c>
      <c r="D32" s="115">
        <v>0</v>
      </c>
      <c r="E32" s="116">
        <v>12</v>
      </c>
      <c r="F32" s="117"/>
      <c r="G32" s="117">
        <f>180+105+30+12+20+30+20+15</f>
        <v>412</v>
      </c>
      <c r="H32" s="244">
        <v>14.04</v>
      </c>
      <c r="I32" s="118">
        <f t="shared" si="3"/>
        <v>5784.48</v>
      </c>
      <c r="J32" s="117">
        <v>20</v>
      </c>
      <c r="K32" s="118">
        <f t="shared" si="4"/>
        <v>8240</v>
      </c>
      <c r="L32" s="119">
        <f t="shared" si="5"/>
        <v>14024.48</v>
      </c>
      <c r="M32" s="85"/>
    </row>
    <row r="33" spans="1:13" ht="18" customHeight="1">
      <c r="A33" s="250"/>
      <c r="B33" s="189" t="s">
        <v>301</v>
      </c>
      <c r="C33" s="114" t="s">
        <v>286</v>
      </c>
      <c r="D33" s="115">
        <v>0</v>
      </c>
      <c r="E33" s="116">
        <v>12</v>
      </c>
      <c r="F33" s="117"/>
      <c r="G33" s="117">
        <f>50</f>
        <v>50</v>
      </c>
      <c r="H33" s="244">
        <v>4.4000000000000004</v>
      </c>
      <c r="I33" s="118">
        <f t="shared" si="3"/>
        <v>220.00000000000003</v>
      </c>
      <c r="J33" s="117">
        <v>11</v>
      </c>
      <c r="K33" s="118">
        <f t="shared" si="4"/>
        <v>550</v>
      </c>
      <c r="L33" s="119">
        <f t="shared" si="5"/>
        <v>770</v>
      </c>
      <c r="M33" s="85"/>
    </row>
    <row r="34" spans="1:13" ht="18" customHeight="1" thickBot="1">
      <c r="A34" s="250"/>
      <c r="B34" s="189" t="s">
        <v>425</v>
      </c>
      <c r="C34" s="114" t="s">
        <v>295</v>
      </c>
      <c r="D34" s="115">
        <v>0</v>
      </c>
      <c r="E34" s="116">
        <v>12</v>
      </c>
      <c r="F34" s="117"/>
      <c r="G34" s="117">
        <v>1</v>
      </c>
      <c r="H34" s="244"/>
      <c r="I34" s="118"/>
      <c r="J34" s="117"/>
      <c r="K34" s="118"/>
      <c r="L34" s="244">
        <f>(SUM(I19:I33)+SUM(K19:K33))*0.1</f>
        <v>4596.4759999999997</v>
      </c>
      <c r="M34" s="85"/>
    </row>
    <row r="35" spans="1:13" ht="18" customHeight="1" thickTop="1" thickBot="1">
      <c r="A35" s="251"/>
      <c r="B35" s="44" t="s">
        <v>302</v>
      </c>
      <c r="C35" s="48"/>
      <c r="D35" s="49"/>
      <c r="E35" s="50"/>
      <c r="F35" s="50"/>
      <c r="G35" s="50"/>
      <c r="H35" s="51"/>
      <c r="I35" s="36">
        <f>SUM(I19:I33)</f>
        <v>24938.76</v>
      </c>
      <c r="J35" s="51"/>
      <c r="K35" s="36">
        <f>SUM(K19:K33)</f>
        <v>21026</v>
      </c>
      <c r="L35" s="36">
        <f>SUM(L19:L34)</f>
        <v>50561.236000000004</v>
      </c>
      <c r="M35" s="37" t="s">
        <v>34</v>
      </c>
    </row>
    <row r="36" spans="1:13" s="7" customFormat="1" ht="14.4" thickTop="1">
      <c r="A36" s="98" t="s">
        <v>303</v>
      </c>
      <c r="B36" s="99" t="s">
        <v>304</v>
      </c>
      <c r="C36" s="73"/>
      <c r="D36" s="74"/>
      <c r="E36" s="249"/>
      <c r="F36" s="128"/>
      <c r="G36" s="75"/>
      <c r="H36" s="76"/>
      <c r="I36" s="76"/>
      <c r="J36" s="76"/>
      <c r="K36" s="76"/>
      <c r="L36" s="77"/>
      <c r="M36" s="78"/>
    </row>
    <row r="37" spans="1:13" ht="20.100000000000001" customHeight="1">
      <c r="A37" s="250"/>
      <c r="B37" s="189" t="s">
        <v>305</v>
      </c>
      <c r="C37" s="114" t="s">
        <v>306</v>
      </c>
      <c r="D37" s="115">
        <v>0</v>
      </c>
      <c r="E37" s="116"/>
      <c r="F37" s="116">
        <v>3</v>
      </c>
      <c r="G37" s="117">
        <v>9</v>
      </c>
      <c r="H37" s="244">
        <v>420</v>
      </c>
      <c r="I37" s="118">
        <f t="shared" ref="I37:I43" si="6">G37*H37</f>
        <v>3780</v>
      </c>
      <c r="J37" s="118">
        <v>115</v>
      </c>
      <c r="K37" s="118">
        <f t="shared" ref="K37:K43" si="7">G37*J37</f>
        <v>1035</v>
      </c>
      <c r="L37" s="119">
        <f t="shared" ref="L37:L43" si="8">SUM(I37+K37)</f>
        <v>4815</v>
      </c>
      <c r="M37" s="85"/>
    </row>
    <row r="38" spans="1:13" ht="35.25" customHeight="1">
      <c r="A38" s="250"/>
      <c r="B38" s="189" t="s">
        <v>307</v>
      </c>
      <c r="C38" s="114" t="s">
        <v>308</v>
      </c>
      <c r="D38" s="115"/>
      <c r="E38" s="116"/>
      <c r="F38" s="116"/>
      <c r="G38" s="117">
        <v>10</v>
      </c>
      <c r="H38" s="244">
        <v>250</v>
      </c>
      <c r="I38" s="118">
        <f t="shared" si="6"/>
        <v>2500</v>
      </c>
      <c r="J38" s="118">
        <v>115</v>
      </c>
      <c r="K38" s="118">
        <f t="shared" si="7"/>
        <v>1150</v>
      </c>
      <c r="L38" s="119">
        <f t="shared" si="8"/>
        <v>3650</v>
      </c>
      <c r="M38" s="85"/>
    </row>
    <row r="39" spans="1:13" ht="35.25" customHeight="1">
      <c r="A39" s="250"/>
      <c r="B39" s="189" t="s">
        <v>309</v>
      </c>
      <c r="C39" s="114" t="s">
        <v>308</v>
      </c>
      <c r="D39" s="115"/>
      <c r="E39" s="116"/>
      <c r="F39" s="116"/>
      <c r="G39" s="117">
        <v>5</v>
      </c>
      <c r="H39" s="244">
        <v>250</v>
      </c>
      <c r="I39" s="118">
        <f t="shared" si="6"/>
        <v>1250</v>
      </c>
      <c r="J39" s="118">
        <v>115</v>
      </c>
      <c r="K39" s="118">
        <f t="shared" si="7"/>
        <v>575</v>
      </c>
      <c r="L39" s="119">
        <f t="shared" si="8"/>
        <v>1825</v>
      </c>
      <c r="M39" s="85"/>
    </row>
    <row r="40" spans="1:13" ht="35.25" customHeight="1">
      <c r="A40" s="250"/>
      <c r="B40" s="189" t="s">
        <v>310</v>
      </c>
      <c r="C40" s="114" t="s">
        <v>308</v>
      </c>
      <c r="D40" s="115"/>
      <c r="E40" s="116"/>
      <c r="F40" s="116"/>
      <c r="G40" s="117">
        <v>9</v>
      </c>
      <c r="H40" s="244">
        <v>320</v>
      </c>
      <c r="I40" s="118">
        <f t="shared" si="6"/>
        <v>2880</v>
      </c>
      <c r="J40" s="118">
        <v>115</v>
      </c>
      <c r="K40" s="118">
        <f t="shared" si="7"/>
        <v>1035</v>
      </c>
      <c r="L40" s="119">
        <f t="shared" si="8"/>
        <v>3915</v>
      </c>
      <c r="M40" s="85"/>
    </row>
    <row r="41" spans="1:13" ht="18" customHeight="1">
      <c r="A41" s="250"/>
      <c r="B41" s="189" t="s">
        <v>426</v>
      </c>
      <c r="C41" s="114" t="s">
        <v>308</v>
      </c>
      <c r="D41" s="115"/>
      <c r="E41" s="116"/>
      <c r="F41" s="116"/>
      <c r="G41" s="117">
        <v>0</v>
      </c>
      <c r="H41" s="244">
        <v>320</v>
      </c>
      <c r="I41" s="118">
        <f t="shared" si="6"/>
        <v>0</v>
      </c>
      <c r="J41" s="118">
        <v>115</v>
      </c>
      <c r="K41" s="118">
        <f t="shared" si="7"/>
        <v>0</v>
      </c>
      <c r="L41" s="119">
        <f t="shared" si="8"/>
        <v>0</v>
      </c>
      <c r="M41" s="85"/>
    </row>
    <row r="42" spans="1:13" ht="18" customHeight="1">
      <c r="A42" s="250"/>
      <c r="B42" s="189" t="s">
        <v>311</v>
      </c>
      <c r="C42" s="114" t="s">
        <v>306</v>
      </c>
      <c r="D42" s="115">
        <v>0</v>
      </c>
      <c r="E42" s="116"/>
      <c r="F42" s="116">
        <v>3</v>
      </c>
      <c r="G42" s="117">
        <f>(2*G37)+G38+G39</f>
        <v>33</v>
      </c>
      <c r="H42" s="244">
        <v>120</v>
      </c>
      <c r="I42" s="118">
        <f t="shared" si="6"/>
        <v>3960</v>
      </c>
      <c r="J42" s="348"/>
      <c r="K42" s="118">
        <f t="shared" si="7"/>
        <v>0</v>
      </c>
      <c r="L42" s="119">
        <f t="shared" si="8"/>
        <v>3960</v>
      </c>
      <c r="M42" s="85"/>
    </row>
    <row r="43" spans="1:13" ht="18" customHeight="1" thickBot="1">
      <c r="A43" s="250"/>
      <c r="B43" s="189" t="s">
        <v>312</v>
      </c>
      <c r="C43" s="114" t="s">
        <v>308</v>
      </c>
      <c r="D43" s="115"/>
      <c r="E43" s="116"/>
      <c r="F43" s="116"/>
      <c r="G43" s="117">
        <f>G40+G41</f>
        <v>9</v>
      </c>
      <c r="H43" s="244">
        <v>220</v>
      </c>
      <c r="I43" s="118">
        <f t="shared" si="6"/>
        <v>1980</v>
      </c>
      <c r="J43" s="348"/>
      <c r="K43" s="118">
        <f t="shared" si="7"/>
        <v>0</v>
      </c>
      <c r="L43" s="119">
        <f t="shared" si="8"/>
        <v>1980</v>
      </c>
      <c r="M43" s="85"/>
    </row>
    <row r="44" spans="1:13" s="7" customFormat="1" ht="15" thickTop="1" thickBot="1">
      <c r="A44" s="251"/>
      <c r="B44" s="44" t="s">
        <v>313</v>
      </c>
      <c r="C44" s="48"/>
      <c r="D44" s="49"/>
      <c r="E44" s="50"/>
      <c r="F44" s="50"/>
      <c r="G44" s="50"/>
      <c r="H44" s="51"/>
      <c r="I44" s="36">
        <f>SUM(I37:I43)</f>
        <v>16350</v>
      </c>
      <c r="J44" s="51"/>
      <c r="K44" s="36">
        <f>SUM(K37:K43)</f>
        <v>3795</v>
      </c>
      <c r="L44" s="36">
        <f>SUM(L37:L43)</f>
        <v>20145</v>
      </c>
      <c r="M44" s="37" t="s">
        <v>34</v>
      </c>
    </row>
    <row r="45" spans="1:13" ht="20.100000000000001" customHeight="1" thickTop="1">
      <c r="A45" s="98" t="s">
        <v>314</v>
      </c>
      <c r="B45" s="99" t="s">
        <v>315</v>
      </c>
      <c r="C45" s="73"/>
      <c r="D45" s="74"/>
      <c r="E45" s="249"/>
      <c r="F45" s="128"/>
      <c r="G45" s="75"/>
      <c r="H45" s="76"/>
      <c r="I45" s="76"/>
      <c r="J45" s="76"/>
      <c r="K45" s="76"/>
      <c r="L45" s="77"/>
      <c r="M45" s="78"/>
    </row>
    <row r="46" spans="1:13" ht="20.100000000000001" customHeight="1">
      <c r="A46" s="250"/>
      <c r="B46" s="189" t="s">
        <v>316</v>
      </c>
      <c r="C46" s="114" t="s">
        <v>306</v>
      </c>
      <c r="D46" s="115">
        <v>0</v>
      </c>
      <c r="E46" s="116"/>
      <c r="F46" s="116">
        <v>3</v>
      </c>
      <c r="G46" s="117">
        <f>8+8+4+3</f>
        <v>23</v>
      </c>
      <c r="H46" s="117">
        <v>30</v>
      </c>
      <c r="I46" s="118">
        <f t="shared" ref="I46:I55" si="9">G46*H46</f>
        <v>690</v>
      </c>
      <c r="J46" s="118">
        <v>80</v>
      </c>
      <c r="K46" s="118">
        <f t="shared" ref="K46:K55" si="10">G46*J46</f>
        <v>1840</v>
      </c>
      <c r="L46" s="119">
        <f>SUM(I46+K46)</f>
        <v>2530</v>
      </c>
      <c r="M46" s="85"/>
    </row>
    <row r="47" spans="1:13" ht="18" customHeight="1">
      <c r="A47" s="250"/>
      <c r="B47" s="189" t="s">
        <v>395</v>
      </c>
      <c r="C47" s="114" t="s">
        <v>308</v>
      </c>
      <c r="D47" s="115"/>
      <c r="E47" s="116"/>
      <c r="F47" s="116"/>
      <c r="G47" s="349">
        <v>2</v>
      </c>
      <c r="H47" s="117">
        <v>56</v>
      </c>
      <c r="I47" s="118">
        <f t="shared" si="9"/>
        <v>112</v>
      </c>
      <c r="J47" s="118">
        <v>85</v>
      </c>
      <c r="K47" s="118">
        <f t="shared" si="10"/>
        <v>170</v>
      </c>
      <c r="L47" s="119">
        <f>SUM(I47+K47)</f>
        <v>282</v>
      </c>
      <c r="M47" s="85"/>
    </row>
    <row r="48" spans="1:13" ht="18" customHeight="1">
      <c r="A48" s="250"/>
      <c r="B48" s="189" t="s">
        <v>317</v>
      </c>
      <c r="C48" s="114" t="s">
        <v>308</v>
      </c>
      <c r="D48" s="115"/>
      <c r="E48" s="116"/>
      <c r="F48" s="116"/>
      <c r="G48" s="117">
        <v>8</v>
      </c>
      <c r="H48" s="117">
        <v>22</v>
      </c>
      <c r="I48" s="118">
        <f t="shared" si="9"/>
        <v>176</v>
      </c>
      <c r="J48" s="348"/>
      <c r="K48" s="118">
        <f>G48*J48</f>
        <v>0</v>
      </c>
      <c r="L48" s="119">
        <f t="shared" ref="L48:L55" si="11">SUM(I48+K48)</f>
        <v>176</v>
      </c>
      <c r="M48" s="85"/>
    </row>
    <row r="49" spans="1:13" ht="18" customHeight="1">
      <c r="A49" s="250"/>
      <c r="B49" s="189" t="s">
        <v>318</v>
      </c>
      <c r="C49" s="114" t="s">
        <v>308</v>
      </c>
      <c r="D49" s="115"/>
      <c r="E49" s="116"/>
      <c r="F49" s="116"/>
      <c r="G49" s="117">
        <v>4</v>
      </c>
      <c r="H49" s="117">
        <v>22</v>
      </c>
      <c r="I49" s="118">
        <f t="shared" si="9"/>
        <v>88</v>
      </c>
      <c r="J49" s="348"/>
      <c r="K49" s="118">
        <f t="shared" si="10"/>
        <v>0</v>
      </c>
      <c r="L49" s="119">
        <f t="shared" si="11"/>
        <v>88</v>
      </c>
      <c r="M49" s="85"/>
    </row>
    <row r="50" spans="1:13" ht="18" customHeight="1">
      <c r="A50" s="250"/>
      <c r="B50" s="189" t="s">
        <v>375</v>
      </c>
      <c r="C50" s="114" t="s">
        <v>308</v>
      </c>
      <c r="D50" s="115">
        <v>0</v>
      </c>
      <c r="E50" s="116">
        <v>12</v>
      </c>
      <c r="F50" s="117"/>
      <c r="G50" s="349">
        <v>1</v>
      </c>
      <c r="H50" s="117">
        <v>22</v>
      </c>
      <c r="I50" s="118">
        <f t="shared" si="9"/>
        <v>22</v>
      </c>
      <c r="J50" s="348"/>
      <c r="K50" s="118">
        <f t="shared" si="10"/>
        <v>0</v>
      </c>
      <c r="L50" s="119">
        <f t="shared" si="11"/>
        <v>22</v>
      </c>
      <c r="M50" s="85"/>
    </row>
    <row r="51" spans="1:13" ht="18" customHeight="1">
      <c r="A51" s="250"/>
      <c r="B51" s="189" t="s">
        <v>319</v>
      </c>
      <c r="C51" s="114" t="s">
        <v>308</v>
      </c>
      <c r="D51" s="115">
        <v>0</v>
      </c>
      <c r="E51" s="116">
        <v>12</v>
      </c>
      <c r="F51" s="117"/>
      <c r="G51" s="117">
        <v>1</v>
      </c>
      <c r="H51" s="117">
        <v>22</v>
      </c>
      <c r="I51" s="118">
        <f t="shared" si="9"/>
        <v>22</v>
      </c>
      <c r="J51" s="348"/>
      <c r="K51" s="118">
        <f t="shared" si="10"/>
        <v>0</v>
      </c>
      <c r="L51" s="119">
        <f t="shared" si="11"/>
        <v>22</v>
      </c>
      <c r="M51" s="85"/>
    </row>
    <row r="52" spans="1:13" ht="18" customHeight="1">
      <c r="A52" s="250"/>
      <c r="B52" s="189" t="s">
        <v>320</v>
      </c>
      <c r="C52" s="114" t="s">
        <v>308</v>
      </c>
      <c r="D52" s="115">
        <v>0</v>
      </c>
      <c r="E52" s="116">
        <v>12</v>
      </c>
      <c r="F52" s="117"/>
      <c r="G52" s="117">
        <v>10</v>
      </c>
      <c r="H52" s="117">
        <v>130</v>
      </c>
      <c r="I52" s="118">
        <f t="shared" si="9"/>
        <v>1300</v>
      </c>
      <c r="J52" s="348">
        <v>90</v>
      </c>
      <c r="K52" s="118">
        <f t="shared" si="10"/>
        <v>900</v>
      </c>
      <c r="L52" s="119">
        <f t="shared" si="11"/>
        <v>2200</v>
      </c>
      <c r="M52" s="85"/>
    </row>
    <row r="53" spans="1:13" ht="18" customHeight="1">
      <c r="A53" s="250"/>
      <c r="B53" s="189" t="s">
        <v>321</v>
      </c>
      <c r="C53" s="114" t="s">
        <v>308</v>
      </c>
      <c r="D53" s="115">
        <v>0</v>
      </c>
      <c r="E53" s="116">
        <v>12</v>
      </c>
      <c r="F53" s="117"/>
      <c r="G53" s="117">
        <v>2</v>
      </c>
      <c r="H53" s="117">
        <v>130</v>
      </c>
      <c r="I53" s="118">
        <f t="shared" si="9"/>
        <v>260</v>
      </c>
      <c r="J53" s="348">
        <v>115</v>
      </c>
      <c r="K53" s="118">
        <f t="shared" si="10"/>
        <v>230</v>
      </c>
      <c r="L53" s="119">
        <f t="shared" si="11"/>
        <v>490</v>
      </c>
      <c r="M53" s="85"/>
    </row>
    <row r="54" spans="1:13" ht="18" customHeight="1">
      <c r="A54" s="250"/>
      <c r="B54" s="189" t="s">
        <v>322</v>
      </c>
      <c r="C54" s="114" t="s">
        <v>308</v>
      </c>
      <c r="D54" s="115">
        <v>0</v>
      </c>
      <c r="E54" s="116">
        <v>12</v>
      </c>
      <c r="F54" s="117"/>
      <c r="G54" s="117">
        <v>10</v>
      </c>
      <c r="H54" s="117">
        <v>22</v>
      </c>
      <c r="I54" s="118">
        <f t="shared" si="9"/>
        <v>220</v>
      </c>
      <c r="J54" s="348"/>
      <c r="K54" s="118">
        <f t="shared" si="10"/>
        <v>0</v>
      </c>
      <c r="L54" s="119">
        <f t="shared" si="11"/>
        <v>220</v>
      </c>
      <c r="M54" s="85"/>
    </row>
    <row r="55" spans="1:13" ht="18" customHeight="1" thickBot="1">
      <c r="A55" s="250"/>
      <c r="B55" s="189" t="s">
        <v>323</v>
      </c>
      <c r="C55" s="114" t="s">
        <v>308</v>
      </c>
      <c r="D55" s="115">
        <v>0</v>
      </c>
      <c r="E55" s="116">
        <v>12</v>
      </c>
      <c r="F55" s="117"/>
      <c r="G55" s="117">
        <v>2</v>
      </c>
      <c r="H55" s="117">
        <v>22</v>
      </c>
      <c r="I55" s="118">
        <f t="shared" si="9"/>
        <v>44</v>
      </c>
      <c r="J55" s="348"/>
      <c r="K55" s="118">
        <f t="shared" si="10"/>
        <v>0</v>
      </c>
      <c r="L55" s="119">
        <f t="shared" si="11"/>
        <v>44</v>
      </c>
      <c r="M55" s="85"/>
    </row>
    <row r="56" spans="1:13" s="7" customFormat="1" ht="15" thickTop="1" thickBot="1">
      <c r="A56" s="251"/>
      <c r="B56" s="44" t="s">
        <v>324</v>
      </c>
      <c r="C56" s="48"/>
      <c r="D56" s="49"/>
      <c r="E56" s="50"/>
      <c r="F56" s="50"/>
      <c r="G56" s="50"/>
      <c r="H56" s="51"/>
      <c r="I56" s="36">
        <f>SUM(I46:I55)</f>
        <v>2934</v>
      </c>
      <c r="J56" s="51"/>
      <c r="K56" s="36">
        <f>SUM(K46:K55)</f>
        <v>3140</v>
      </c>
      <c r="L56" s="36">
        <f>SUM(L46:L55)</f>
        <v>6074</v>
      </c>
      <c r="M56" s="37" t="s">
        <v>34</v>
      </c>
    </row>
    <row r="57" spans="1:13" ht="20.100000000000001" customHeight="1" thickTop="1">
      <c r="A57" s="98" t="s">
        <v>325</v>
      </c>
      <c r="B57" s="99" t="s">
        <v>326</v>
      </c>
      <c r="C57" s="73"/>
      <c r="D57" s="74"/>
      <c r="E57" s="249"/>
      <c r="F57" s="128"/>
      <c r="G57" s="75"/>
      <c r="H57" s="76"/>
      <c r="I57" s="76"/>
      <c r="J57" s="76"/>
      <c r="K57" s="76"/>
      <c r="L57" s="77"/>
      <c r="M57" s="78"/>
    </row>
    <row r="58" spans="1:13" ht="20.100000000000001" customHeight="1">
      <c r="A58" s="250"/>
      <c r="B58" s="189" t="s">
        <v>327</v>
      </c>
      <c r="C58" s="114" t="s">
        <v>306</v>
      </c>
      <c r="D58" s="115">
        <v>0</v>
      </c>
      <c r="E58" s="116"/>
      <c r="F58" s="116">
        <v>3</v>
      </c>
      <c r="G58" s="117">
        <v>3</v>
      </c>
      <c r="H58" s="117">
        <v>300</v>
      </c>
      <c r="I58" s="118">
        <f t="shared" ref="I58:I64" si="12">G58*H58</f>
        <v>900</v>
      </c>
      <c r="J58" s="118">
        <v>90</v>
      </c>
      <c r="K58" s="118">
        <f t="shared" ref="K58:K64" si="13">G58*J58</f>
        <v>270</v>
      </c>
      <c r="L58" s="119">
        <f t="shared" ref="L58:L64" si="14">SUM(I58+K58)</f>
        <v>1170</v>
      </c>
      <c r="M58" s="85"/>
    </row>
    <row r="59" spans="1:13" ht="18" customHeight="1">
      <c r="A59" s="250"/>
      <c r="B59" s="189" t="s">
        <v>328</v>
      </c>
      <c r="C59" s="114" t="s">
        <v>308</v>
      </c>
      <c r="D59" s="115"/>
      <c r="E59" s="116"/>
      <c r="F59" s="116"/>
      <c r="G59" s="349">
        <v>3</v>
      </c>
      <c r="H59" s="117">
        <v>330</v>
      </c>
      <c r="I59" s="118">
        <f t="shared" si="12"/>
        <v>990</v>
      </c>
      <c r="J59" s="118">
        <v>90</v>
      </c>
      <c r="K59" s="118">
        <f t="shared" si="13"/>
        <v>270</v>
      </c>
      <c r="L59" s="119">
        <f t="shared" si="14"/>
        <v>1260</v>
      </c>
      <c r="M59" s="85"/>
    </row>
    <row r="60" spans="1:13" ht="18" customHeight="1">
      <c r="A60" s="250"/>
      <c r="B60" s="189" t="s">
        <v>329</v>
      </c>
      <c r="C60" s="114" t="s">
        <v>308</v>
      </c>
      <c r="D60" s="115"/>
      <c r="E60" s="116"/>
      <c r="F60" s="116"/>
      <c r="G60" s="117">
        <v>1</v>
      </c>
      <c r="H60" s="117">
        <v>950</v>
      </c>
      <c r="I60" s="118">
        <f t="shared" si="12"/>
        <v>950</v>
      </c>
      <c r="J60" s="118">
        <v>115</v>
      </c>
      <c r="K60" s="118">
        <f t="shared" si="13"/>
        <v>115</v>
      </c>
      <c r="L60" s="119">
        <f t="shared" si="14"/>
        <v>1065</v>
      </c>
      <c r="M60" s="85"/>
    </row>
    <row r="61" spans="1:13" ht="18" customHeight="1">
      <c r="A61" s="250"/>
      <c r="B61" s="189" t="s">
        <v>330</v>
      </c>
      <c r="C61" s="114" t="s">
        <v>308</v>
      </c>
      <c r="D61" s="115"/>
      <c r="E61" s="116"/>
      <c r="F61" s="116"/>
      <c r="G61" s="117">
        <v>3</v>
      </c>
      <c r="H61" s="117">
        <v>140</v>
      </c>
      <c r="I61" s="118">
        <f t="shared" si="12"/>
        <v>420</v>
      </c>
      <c r="J61" s="118">
        <v>90</v>
      </c>
      <c r="K61" s="118">
        <f t="shared" si="13"/>
        <v>270</v>
      </c>
      <c r="L61" s="119">
        <f t="shared" si="14"/>
        <v>690</v>
      </c>
      <c r="M61" s="85"/>
    </row>
    <row r="62" spans="1:13" ht="18" customHeight="1">
      <c r="A62" s="250"/>
      <c r="B62" s="189" t="s">
        <v>331</v>
      </c>
      <c r="C62" s="114" t="s">
        <v>308</v>
      </c>
      <c r="D62" s="115">
        <v>0</v>
      </c>
      <c r="E62" s="116">
        <v>12</v>
      </c>
      <c r="F62" s="117"/>
      <c r="G62" s="349">
        <v>1</v>
      </c>
      <c r="H62" s="117">
        <v>200</v>
      </c>
      <c r="I62" s="118">
        <f t="shared" si="12"/>
        <v>200</v>
      </c>
      <c r="J62" s="118">
        <v>90</v>
      </c>
      <c r="K62" s="118">
        <f t="shared" si="13"/>
        <v>90</v>
      </c>
      <c r="L62" s="119">
        <f t="shared" si="14"/>
        <v>290</v>
      </c>
      <c r="M62" s="85"/>
    </row>
    <row r="63" spans="1:13" ht="18" customHeight="1">
      <c r="A63" s="250"/>
      <c r="B63" s="189" t="s">
        <v>332</v>
      </c>
      <c r="C63" s="114" t="s">
        <v>308</v>
      </c>
      <c r="D63" s="115">
        <v>0</v>
      </c>
      <c r="E63" s="116">
        <v>12</v>
      </c>
      <c r="F63" s="117"/>
      <c r="G63" s="117">
        <v>1</v>
      </c>
      <c r="H63" s="117">
        <v>300</v>
      </c>
      <c r="I63" s="118">
        <f t="shared" si="12"/>
        <v>300</v>
      </c>
      <c r="J63" s="118">
        <v>80</v>
      </c>
      <c r="K63" s="118">
        <f t="shared" si="13"/>
        <v>80</v>
      </c>
      <c r="L63" s="119">
        <f t="shared" si="14"/>
        <v>380</v>
      </c>
      <c r="M63" s="85"/>
    </row>
    <row r="64" spans="1:13" ht="18" customHeight="1" thickBot="1">
      <c r="A64" s="250"/>
      <c r="B64" s="189" t="s">
        <v>333</v>
      </c>
      <c r="C64" s="114" t="s">
        <v>308</v>
      </c>
      <c r="D64" s="115">
        <v>0</v>
      </c>
      <c r="E64" s="116">
        <v>12</v>
      </c>
      <c r="F64" s="117"/>
      <c r="G64" s="117">
        <v>1</v>
      </c>
      <c r="H64" s="117">
        <v>200</v>
      </c>
      <c r="I64" s="118">
        <f t="shared" si="12"/>
        <v>200</v>
      </c>
      <c r="J64" s="118">
        <v>80</v>
      </c>
      <c r="K64" s="118">
        <f t="shared" si="13"/>
        <v>80</v>
      </c>
      <c r="L64" s="119">
        <f t="shared" si="14"/>
        <v>280</v>
      </c>
      <c r="M64" s="85"/>
    </row>
    <row r="65" spans="1:13" s="7" customFormat="1" ht="15" thickTop="1" thickBot="1">
      <c r="A65" s="251"/>
      <c r="B65" s="44" t="s">
        <v>334</v>
      </c>
      <c r="C65" s="48"/>
      <c r="D65" s="49"/>
      <c r="E65" s="50"/>
      <c r="F65" s="50"/>
      <c r="G65" s="50"/>
      <c r="H65" s="51"/>
      <c r="I65" s="36">
        <f>SUM(I58:I64)</f>
        <v>3960</v>
      </c>
      <c r="J65" s="51"/>
      <c r="K65" s="36">
        <f>SUM(K58:K64)</f>
        <v>1175</v>
      </c>
      <c r="L65" s="36">
        <f>SUM(L58:L64)</f>
        <v>5135</v>
      </c>
      <c r="M65" s="37" t="s">
        <v>34</v>
      </c>
    </row>
    <row r="66" spans="1:13" ht="20.100000000000001" customHeight="1" thickTop="1">
      <c r="A66" s="98" t="s">
        <v>335</v>
      </c>
      <c r="B66" s="99" t="s">
        <v>26</v>
      </c>
      <c r="C66" s="73"/>
      <c r="D66" s="74"/>
      <c r="E66" s="249"/>
      <c r="F66" s="128"/>
      <c r="G66" s="75"/>
      <c r="H66" s="76"/>
      <c r="I66" s="76"/>
      <c r="J66" s="76"/>
      <c r="K66" s="76"/>
      <c r="L66" s="77"/>
      <c r="M66" s="78"/>
    </row>
    <row r="67" spans="1:13" ht="20.100000000000001" customHeight="1" thickBot="1">
      <c r="A67" s="250"/>
      <c r="B67" s="189" t="s">
        <v>427</v>
      </c>
      <c r="C67" s="114" t="s">
        <v>306</v>
      </c>
      <c r="D67" s="115">
        <v>0</v>
      </c>
      <c r="E67" s="116"/>
      <c r="F67" s="116">
        <v>3</v>
      </c>
      <c r="G67" s="117">
        <v>1</v>
      </c>
      <c r="H67" s="244"/>
      <c r="I67" s="348">
        <f>G67*H67</f>
        <v>0</v>
      </c>
      <c r="J67" s="348"/>
      <c r="K67" s="118">
        <f>G67*J67</f>
        <v>0</v>
      </c>
      <c r="L67" s="119">
        <f>SUM(I67+K67)</f>
        <v>0</v>
      </c>
      <c r="M67" s="350" t="s">
        <v>336</v>
      </c>
    </row>
    <row r="68" spans="1:13" s="7" customFormat="1" ht="15" thickTop="1" thickBot="1">
      <c r="A68" s="251"/>
      <c r="B68" s="44" t="s">
        <v>337</v>
      </c>
      <c r="C68" s="48"/>
      <c r="D68" s="49"/>
      <c r="E68" s="50"/>
      <c r="F68" s="50"/>
      <c r="G68" s="50"/>
      <c r="H68" s="51"/>
      <c r="I68" s="36">
        <f>SUM(I67:I67)</f>
        <v>0</v>
      </c>
      <c r="J68" s="51"/>
      <c r="K68" s="36">
        <f>SUM(K67:K67)</f>
        <v>0</v>
      </c>
      <c r="L68" s="36">
        <f>SUM(L67:L67)</f>
        <v>0</v>
      </c>
      <c r="M68" s="37" t="s">
        <v>34</v>
      </c>
    </row>
    <row r="69" spans="1:13" s="358" customFormat="1" ht="15" thickTop="1" thickBot="1">
      <c r="A69" s="351"/>
      <c r="B69" s="352" t="s">
        <v>160</v>
      </c>
      <c r="C69" s="352"/>
      <c r="D69" s="353"/>
      <c r="E69" s="354"/>
      <c r="F69" s="354"/>
      <c r="G69" s="354"/>
      <c r="H69" s="355"/>
      <c r="I69" s="356">
        <f>I17+I35+I44+I56+I65+I68</f>
        <v>62697.759999999995</v>
      </c>
      <c r="J69" s="355"/>
      <c r="K69" s="356">
        <f>K17+K35+K44+K56+K65+K68</f>
        <v>31166</v>
      </c>
      <c r="L69" s="356">
        <f>L17+L35+L44+L56+L65+L68</f>
        <v>98460.236000000004</v>
      </c>
      <c r="M69" s="357"/>
    </row>
    <row r="71" spans="1:13">
      <c r="M71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4"/>
  <sheetViews>
    <sheetView view="pageBreakPreview" zoomScale="80" zoomScaleNormal="75" workbookViewId="0">
      <pane xSplit="7" ySplit="8" topLeftCell="H78" activePane="bottomRight" state="frozen"/>
      <selection activeCell="P4" sqref="P4"/>
      <selection pane="topRight" activeCell="P4" sqref="P4"/>
      <selection pane="bottomLeft" activeCell="P4" sqref="P4"/>
      <selection pane="bottomRight" activeCell="B87" sqref="B87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3" t="s">
        <v>37</v>
      </c>
      <c r="B1" s="203"/>
      <c r="C1" s="203"/>
      <c r="D1" s="204"/>
      <c r="E1" s="205"/>
      <c r="F1" s="205"/>
      <c r="G1" s="205"/>
      <c r="H1" s="206"/>
      <c r="I1" s="205"/>
      <c r="J1" s="205"/>
      <c r="K1" s="205"/>
      <c r="L1" s="206"/>
      <c r="M1" s="207"/>
    </row>
    <row r="2" spans="1:13" s="1" customFormat="1" ht="20.100000000000001" customHeight="1">
      <c r="A2" s="184" t="s">
        <v>46</v>
      </c>
      <c r="B2" s="208"/>
      <c r="C2" s="208"/>
      <c r="D2" s="209"/>
      <c r="E2" s="210"/>
      <c r="F2" s="210"/>
      <c r="G2" s="210"/>
      <c r="H2" s="211"/>
      <c r="I2" s="210"/>
      <c r="J2" s="210"/>
      <c r="K2" s="210"/>
      <c r="L2" s="211"/>
      <c r="M2" s="212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3"/>
      <c r="E3" s="139"/>
      <c r="F3" s="139"/>
      <c r="G3" s="139"/>
      <c r="H3" s="140"/>
      <c r="I3" s="140"/>
      <c r="J3" s="164"/>
      <c r="K3" s="164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3"/>
      <c r="E4" s="139"/>
      <c r="F4" s="139"/>
      <c r="G4" s="139"/>
      <c r="H4" s="140"/>
      <c r="I4" s="140"/>
      <c r="J4" s="471" t="s">
        <v>259</v>
      </c>
      <c r="K4" s="471"/>
      <c r="L4" s="471"/>
      <c r="M4" s="472"/>
    </row>
    <row r="5" spans="1:13" s="1" customFormat="1" ht="20.100000000000001" customHeight="1" thickBot="1">
      <c r="A5" s="136" t="s">
        <v>424</v>
      </c>
      <c r="B5" s="138"/>
      <c r="C5" s="138"/>
      <c r="D5" s="163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83" t="s">
        <v>3</v>
      </c>
      <c r="B6" s="485" t="s">
        <v>4</v>
      </c>
      <c r="C6" s="485" t="s">
        <v>38</v>
      </c>
      <c r="D6" s="30" t="s">
        <v>47</v>
      </c>
      <c r="E6" s="31" t="s">
        <v>39</v>
      </c>
      <c r="F6" s="31" t="s">
        <v>39</v>
      </c>
      <c r="G6" s="487" t="s">
        <v>39</v>
      </c>
      <c r="H6" s="479" t="s">
        <v>40</v>
      </c>
      <c r="I6" s="480"/>
      <c r="J6" s="481" t="s">
        <v>41</v>
      </c>
      <c r="K6" s="482"/>
      <c r="L6" s="32" t="s">
        <v>6</v>
      </c>
      <c r="M6" s="477" t="s">
        <v>42</v>
      </c>
    </row>
    <row r="7" spans="1:13" s="25" customFormat="1" ht="20.100000000000001" customHeight="1" thickBot="1">
      <c r="A7" s="484"/>
      <c r="B7" s="486"/>
      <c r="C7" s="486"/>
      <c r="D7" s="33" t="s">
        <v>48</v>
      </c>
      <c r="E7" s="187"/>
      <c r="F7" s="187"/>
      <c r="G7" s="488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78"/>
    </row>
    <row r="8" spans="1:13" s="1" customFormat="1" ht="20.100000000000001" customHeight="1">
      <c r="A8" s="29" t="s">
        <v>161</v>
      </c>
      <c r="B8" s="26" t="s">
        <v>338</v>
      </c>
      <c r="C8" s="8"/>
      <c r="D8" s="489"/>
      <c r="E8" s="490"/>
      <c r="F8" s="491"/>
      <c r="G8" s="492"/>
      <c r="H8" s="493"/>
      <c r="I8" s="493"/>
      <c r="J8" s="493"/>
      <c r="K8" s="493"/>
      <c r="L8" s="494"/>
      <c r="M8" s="27"/>
    </row>
    <row r="9" spans="1:13">
      <c r="A9" s="359" t="str">
        <f>A18</f>
        <v>D1</v>
      </c>
      <c r="B9" s="360" t="str">
        <f>B18</f>
        <v>ระบบท่อน้ำประปา</v>
      </c>
      <c r="C9" s="94"/>
      <c r="D9" s="495"/>
      <c r="E9" s="496"/>
      <c r="F9" s="497"/>
      <c r="G9" s="497"/>
      <c r="H9" s="498"/>
      <c r="I9" s="499">
        <f>I41</f>
        <v>24716.431</v>
      </c>
      <c r="J9" s="498"/>
      <c r="K9" s="499">
        <f>K41</f>
        <v>12863.77385</v>
      </c>
      <c r="L9" s="500">
        <f>L41</f>
        <v>37580.204849999995</v>
      </c>
      <c r="M9" s="248"/>
    </row>
    <row r="10" spans="1:13" ht="18" customHeight="1">
      <c r="A10" s="250" t="str">
        <f>A42</f>
        <v>D2</v>
      </c>
      <c r="B10" s="213" t="str">
        <f>B42</f>
        <v>ระบบท่อระบายทิ้ง น้ำเสียและน้ำโสโครก</v>
      </c>
      <c r="C10" s="114"/>
      <c r="D10" s="501"/>
      <c r="E10" s="502"/>
      <c r="F10" s="502"/>
      <c r="G10" s="503"/>
      <c r="H10" s="497"/>
      <c r="I10" s="504">
        <f>I57</f>
        <v>12475.739</v>
      </c>
      <c r="J10" s="504"/>
      <c r="K10" s="504">
        <f>K57</f>
        <v>8936.2822499999984</v>
      </c>
      <c r="L10" s="505">
        <f>L57</f>
        <v>21412.021249999998</v>
      </c>
      <c r="M10" s="85"/>
    </row>
    <row r="11" spans="1:13" ht="18" customHeight="1">
      <c r="A11" s="250" t="str">
        <f>A58</f>
        <v>D3</v>
      </c>
      <c r="B11" s="213" t="str">
        <f>B58</f>
        <v>งานระบบท่ออากาศ</v>
      </c>
      <c r="C11" s="114"/>
      <c r="D11" s="501"/>
      <c r="E11" s="502"/>
      <c r="F11" s="502"/>
      <c r="G11" s="503"/>
      <c r="H11" s="497"/>
      <c r="I11" s="504">
        <f>I70</f>
        <v>517.27499999999998</v>
      </c>
      <c r="J11" s="504"/>
      <c r="K11" s="504">
        <f>K70</f>
        <v>454.10750000000002</v>
      </c>
      <c r="L11" s="505">
        <f>L70</f>
        <v>971.38250000000005</v>
      </c>
      <c r="M11" s="85"/>
    </row>
    <row r="12" spans="1:13" ht="18" customHeight="1">
      <c r="A12" s="250" t="str">
        <f>A71</f>
        <v>D4</v>
      </c>
      <c r="B12" s="213" t="str">
        <f>B71</f>
        <v>งานระบบท่อระบายน้ำฝนของอาคาร</v>
      </c>
      <c r="C12" s="114"/>
      <c r="D12" s="501"/>
      <c r="E12" s="502"/>
      <c r="F12" s="503"/>
      <c r="G12" s="503"/>
      <c r="H12" s="497"/>
      <c r="I12" s="504">
        <f>I77</f>
        <v>1218.375</v>
      </c>
      <c r="J12" s="504"/>
      <c r="K12" s="504">
        <f>K77</f>
        <v>2280</v>
      </c>
      <c r="L12" s="505">
        <f>L77</f>
        <v>3498.375</v>
      </c>
      <c r="M12" s="85"/>
    </row>
    <row r="13" spans="1:13" ht="18" customHeight="1">
      <c r="A13" s="250" t="str">
        <f>A78</f>
        <v>D5</v>
      </c>
      <c r="B13" s="213" t="str">
        <f>B78</f>
        <v>งานระบบระบายน้ำรอบพื้นที่</v>
      </c>
      <c r="C13" s="114"/>
      <c r="D13" s="501"/>
      <c r="E13" s="502"/>
      <c r="F13" s="503"/>
      <c r="G13" s="503"/>
      <c r="H13" s="497"/>
      <c r="I13" s="504">
        <f>I93</f>
        <v>24976.000000000004</v>
      </c>
      <c r="J13" s="504"/>
      <c r="K13" s="504">
        <f>K93</f>
        <v>5397.4</v>
      </c>
      <c r="L13" s="505">
        <f>L93</f>
        <v>30373.4</v>
      </c>
      <c r="M13" s="85"/>
    </row>
    <row r="14" spans="1:13" ht="18" customHeight="1">
      <c r="A14" s="250"/>
      <c r="B14" s="213"/>
      <c r="C14" s="114"/>
      <c r="D14" s="501"/>
      <c r="E14" s="502"/>
      <c r="F14" s="503"/>
      <c r="G14" s="503"/>
      <c r="H14" s="497"/>
      <c r="I14" s="504"/>
      <c r="J14" s="504"/>
      <c r="K14" s="504"/>
      <c r="L14" s="505"/>
      <c r="M14" s="85"/>
    </row>
    <row r="15" spans="1:13" ht="18" customHeight="1">
      <c r="A15" s="250"/>
      <c r="B15" s="213"/>
      <c r="C15" s="114"/>
      <c r="D15" s="501"/>
      <c r="E15" s="502"/>
      <c r="F15" s="503"/>
      <c r="G15" s="503"/>
      <c r="H15" s="497"/>
      <c r="I15" s="506"/>
      <c r="J15" s="506"/>
      <c r="K15" s="504"/>
      <c r="L15" s="505"/>
      <c r="M15" s="85"/>
    </row>
    <row r="16" spans="1:13" ht="18" customHeight="1" thickBot="1">
      <c r="A16" s="250"/>
      <c r="B16" s="213"/>
      <c r="C16" s="114"/>
      <c r="D16" s="501"/>
      <c r="E16" s="502"/>
      <c r="F16" s="503"/>
      <c r="G16" s="503"/>
      <c r="H16" s="497"/>
      <c r="I16" s="506"/>
      <c r="J16" s="506"/>
      <c r="K16" s="504"/>
      <c r="L16" s="505"/>
      <c r="M16" s="85"/>
    </row>
    <row r="17" spans="1:13" s="7" customFormat="1" ht="15" thickTop="1" thickBot="1">
      <c r="A17" s="251"/>
      <c r="B17" s="44" t="s">
        <v>162</v>
      </c>
      <c r="C17" s="48"/>
      <c r="D17" s="507"/>
      <c r="E17" s="508"/>
      <c r="F17" s="508"/>
      <c r="G17" s="508"/>
      <c r="H17" s="509"/>
      <c r="I17" s="510">
        <f>SUM(I9:I16)</f>
        <v>63903.820000000007</v>
      </c>
      <c r="J17" s="509"/>
      <c r="K17" s="510">
        <f>SUM(K9:K16)</f>
        <v>29931.563599999994</v>
      </c>
      <c r="L17" s="510">
        <f>SUM(L9:L16)</f>
        <v>93835.383600000001</v>
      </c>
      <c r="M17" s="37"/>
    </row>
    <row r="18" spans="1:13" ht="20.100000000000001" customHeight="1" thickTop="1">
      <c r="A18" s="98" t="s">
        <v>339</v>
      </c>
      <c r="B18" s="99" t="s">
        <v>340</v>
      </c>
      <c r="C18" s="73"/>
      <c r="D18" s="511"/>
      <c r="E18" s="512"/>
      <c r="F18" s="513"/>
      <c r="G18" s="514"/>
      <c r="H18" s="515"/>
      <c r="I18" s="515"/>
      <c r="J18" s="515"/>
      <c r="K18" s="515"/>
      <c r="L18" s="516"/>
      <c r="M18" s="78"/>
    </row>
    <row r="19" spans="1:13" ht="20.100000000000001" customHeight="1">
      <c r="A19" s="250"/>
      <c r="B19" s="189" t="s">
        <v>341</v>
      </c>
      <c r="C19" s="114"/>
      <c r="D19" s="501"/>
      <c r="E19" s="502"/>
      <c r="F19" s="502"/>
      <c r="G19" s="503"/>
      <c r="H19" s="503"/>
      <c r="I19" s="504"/>
      <c r="J19" s="503"/>
      <c r="K19" s="504"/>
      <c r="L19" s="505"/>
      <c r="M19" s="85"/>
    </row>
    <row r="20" spans="1:13" ht="18" customHeight="1">
      <c r="A20" s="250"/>
      <c r="B20" s="213" t="s">
        <v>342</v>
      </c>
      <c r="C20" s="94">
        <v>11.2</v>
      </c>
      <c r="D20" s="495"/>
      <c r="E20" s="496"/>
      <c r="F20" s="496"/>
      <c r="G20" s="497" t="s">
        <v>343</v>
      </c>
      <c r="H20" s="497">
        <f>39.9/4</f>
        <v>9.9749999999999996</v>
      </c>
      <c r="I20" s="506">
        <f>C20*H20</f>
        <v>111.71999999999998</v>
      </c>
      <c r="J20" s="497">
        <v>30</v>
      </c>
      <c r="K20" s="506">
        <f>C20*J20</f>
        <v>336</v>
      </c>
      <c r="L20" s="500">
        <f>I20+K20</f>
        <v>447.71999999999997</v>
      </c>
      <c r="M20" s="85"/>
    </row>
    <row r="21" spans="1:13" ht="18" customHeight="1">
      <c r="A21" s="250"/>
      <c r="B21" s="213" t="s">
        <v>344</v>
      </c>
      <c r="C21" s="94">
        <f>53+5</f>
        <v>58</v>
      </c>
      <c r="D21" s="495"/>
      <c r="E21" s="496"/>
      <c r="F21" s="496"/>
      <c r="G21" s="497" t="s">
        <v>343</v>
      </c>
      <c r="H21" s="497">
        <f>50.35/4</f>
        <v>12.5875</v>
      </c>
      <c r="I21" s="506">
        <f>C21*H21</f>
        <v>730.07500000000005</v>
      </c>
      <c r="J21" s="497">
        <v>30</v>
      </c>
      <c r="K21" s="506">
        <f>C21*J21</f>
        <v>1740</v>
      </c>
      <c r="L21" s="500">
        <f>I21+K21</f>
        <v>2470.0749999999998</v>
      </c>
      <c r="M21" s="85"/>
    </row>
    <row r="22" spans="1:13" ht="18" customHeight="1">
      <c r="A22" s="250"/>
      <c r="B22" s="213" t="s">
        <v>428</v>
      </c>
      <c r="C22" s="94">
        <v>0</v>
      </c>
      <c r="D22" s="495"/>
      <c r="E22" s="496"/>
      <c r="F22" s="496"/>
      <c r="G22" s="497" t="s">
        <v>343</v>
      </c>
      <c r="H22" s="497">
        <f>66.5/4</f>
        <v>16.625</v>
      </c>
      <c r="I22" s="506">
        <f>C22*H22</f>
        <v>0</v>
      </c>
      <c r="J22" s="497">
        <v>30</v>
      </c>
      <c r="K22" s="506">
        <f>C22*J22</f>
        <v>0</v>
      </c>
      <c r="L22" s="500">
        <f>I22+K22</f>
        <v>0</v>
      </c>
      <c r="M22" s="85"/>
    </row>
    <row r="23" spans="1:13" ht="18" customHeight="1">
      <c r="A23" s="250"/>
      <c r="B23" s="189" t="s">
        <v>345</v>
      </c>
      <c r="C23" s="94">
        <v>1</v>
      </c>
      <c r="D23" s="495"/>
      <c r="E23" s="496"/>
      <c r="F23" s="496"/>
      <c r="G23" s="497" t="s">
        <v>35</v>
      </c>
      <c r="H23" s="497">
        <f>SUM(I20:I22)*0.1</f>
        <v>84.179500000000019</v>
      </c>
      <c r="I23" s="506">
        <f>C23*H23</f>
        <v>84.179500000000019</v>
      </c>
      <c r="J23" s="497">
        <f>H23*0.3</f>
        <v>25.253850000000003</v>
      </c>
      <c r="K23" s="506">
        <f>C23*J23</f>
        <v>25.253850000000003</v>
      </c>
      <c r="L23" s="500">
        <f>I23+K23</f>
        <v>109.43335000000002</v>
      </c>
      <c r="M23" s="85"/>
    </row>
    <row r="24" spans="1:13" ht="18" customHeight="1">
      <c r="A24" s="250"/>
      <c r="B24" s="189" t="s">
        <v>346</v>
      </c>
      <c r="C24" s="94"/>
      <c r="D24" s="495"/>
      <c r="E24" s="496"/>
      <c r="F24" s="497"/>
      <c r="G24" s="497"/>
      <c r="H24" s="497"/>
      <c r="I24" s="506"/>
      <c r="J24" s="497"/>
      <c r="K24" s="506"/>
      <c r="L24" s="500"/>
      <c r="M24" s="85"/>
    </row>
    <row r="25" spans="1:13" ht="18" customHeight="1">
      <c r="A25" s="250"/>
      <c r="B25" s="189" t="s">
        <v>347</v>
      </c>
      <c r="C25" s="94">
        <v>3</v>
      </c>
      <c r="D25" s="495"/>
      <c r="E25" s="496"/>
      <c r="F25" s="497"/>
      <c r="G25" s="497" t="s">
        <v>124</v>
      </c>
      <c r="H25" s="497">
        <v>105</v>
      </c>
      <c r="I25" s="506">
        <f t="shared" ref="I25:I38" si="0">C25*H25</f>
        <v>315</v>
      </c>
      <c r="J25" s="497">
        <v>100</v>
      </c>
      <c r="K25" s="506">
        <f t="shared" ref="K25:K38" si="1">C25*J25</f>
        <v>300</v>
      </c>
      <c r="L25" s="500">
        <f t="shared" ref="L25:L38" si="2">I25+K25</f>
        <v>615</v>
      </c>
      <c r="M25" s="85"/>
    </row>
    <row r="26" spans="1:13" ht="18" customHeight="1">
      <c r="A26" s="250"/>
      <c r="B26" s="189" t="s">
        <v>348</v>
      </c>
      <c r="C26" s="94">
        <v>6</v>
      </c>
      <c r="D26" s="495"/>
      <c r="E26" s="496"/>
      <c r="F26" s="497"/>
      <c r="G26" s="497" t="s">
        <v>124</v>
      </c>
      <c r="H26" s="497">
        <v>264</v>
      </c>
      <c r="I26" s="506">
        <f t="shared" si="0"/>
        <v>1584</v>
      </c>
      <c r="J26" s="497">
        <v>150</v>
      </c>
      <c r="K26" s="506">
        <f t="shared" si="1"/>
        <v>900</v>
      </c>
      <c r="L26" s="500">
        <f t="shared" si="2"/>
        <v>2484</v>
      </c>
      <c r="M26" s="85"/>
    </row>
    <row r="27" spans="1:13" ht="18" customHeight="1">
      <c r="A27" s="250"/>
      <c r="B27" s="189" t="s">
        <v>349</v>
      </c>
      <c r="C27" s="94">
        <v>1</v>
      </c>
      <c r="D27" s="495"/>
      <c r="E27" s="496"/>
      <c r="F27" s="497"/>
      <c r="G27" s="497" t="s">
        <v>124</v>
      </c>
      <c r="H27" s="497">
        <v>1135</v>
      </c>
      <c r="I27" s="506">
        <f t="shared" si="0"/>
        <v>1135</v>
      </c>
      <c r="J27" s="497">
        <v>100</v>
      </c>
      <c r="K27" s="506">
        <f t="shared" si="1"/>
        <v>100</v>
      </c>
      <c r="L27" s="500">
        <f t="shared" si="2"/>
        <v>1235</v>
      </c>
      <c r="M27" s="85"/>
    </row>
    <row r="28" spans="1:13" ht="18" customHeight="1">
      <c r="A28" s="250"/>
      <c r="B28" s="189" t="s">
        <v>350</v>
      </c>
      <c r="C28" s="94">
        <v>3</v>
      </c>
      <c r="D28" s="495"/>
      <c r="E28" s="496"/>
      <c r="F28" s="497"/>
      <c r="G28" s="497" t="s">
        <v>124</v>
      </c>
      <c r="H28" s="497">
        <v>155</v>
      </c>
      <c r="I28" s="506">
        <f t="shared" si="0"/>
        <v>465</v>
      </c>
      <c r="J28" s="497">
        <v>50</v>
      </c>
      <c r="K28" s="506">
        <f t="shared" si="1"/>
        <v>150</v>
      </c>
      <c r="L28" s="500">
        <f t="shared" si="2"/>
        <v>615</v>
      </c>
      <c r="M28" s="85"/>
    </row>
    <row r="29" spans="1:13" ht="18" customHeight="1">
      <c r="A29" s="250"/>
      <c r="B29" s="189" t="s">
        <v>351</v>
      </c>
      <c r="C29" s="94">
        <v>1</v>
      </c>
      <c r="D29" s="495"/>
      <c r="E29" s="496"/>
      <c r="F29" s="497"/>
      <c r="G29" s="497" t="s">
        <v>124</v>
      </c>
      <c r="H29" s="497">
        <v>11600</v>
      </c>
      <c r="I29" s="506">
        <f t="shared" si="0"/>
        <v>11600</v>
      </c>
      <c r="J29" s="497">
        <f>H29*0.3</f>
        <v>3480</v>
      </c>
      <c r="K29" s="506">
        <f t="shared" si="1"/>
        <v>3480</v>
      </c>
      <c r="L29" s="500">
        <f t="shared" si="2"/>
        <v>15080</v>
      </c>
      <c r="M29" s="85"/>
    </row>
    <row r="30" spans="1:13" ht="18" customHeight="1">
      <c r="A30" s="250"/>
      <c r="B30" s="189" t="s">
        <v>352</v>
      </c>
      <c r="C30" s="94">
        <v>1</v>
      </c>
      <c r="D30" s="495"/>
      <c r="E30" s="496"/>
      <c r="F30" s="497"/>
      <c r="G30" s="497" t="s">
        <v>124</v>
      </c>
      <c r="H30" s="497">
        <v>4590</v>
      </c>
      <c r="I30" s="506">
        <f t="shared" si="0"/>
        <v>4590</v>
      </c>
      <c r="J30" s="497">
        <f>H30*0.3</f>
        <v>1377</v>
      </c>
      <c r="K30" s="506">
        <f t="shared" si="1"/>
        <v>1377</v>
      </c>
      <c r="L30" s="500">
        <f t="shared" si="2"/>
        <v>5967</v>
      </c>
      <c r="M30" s="85"/>
    </row>
    <row r="31" spans="1:13" ht="18" customHeight="1">
      <c r="A31" s="250"/>
      <c r="B31" s="189" t="s">
        <v>345</v>
      </c>
      <c r="C31" s="94">
        <v>1</v>
      </c>
      <c r="D31" s="495"/>
      <c r="E31" s="496"/>
      <c r="F31" s="497"/>
      <c r="G31" s="497" t="s">
        <v>35</v>
      </c>
      <c r="H31" s="497">
        <f>SUM(I25:I30)*0.1</f>
        <v>1968.9</v>
      </c>
      <c r="I31" s="506">
        <f t="shared" si="0"/>
        <v>1968.9</v>
      </c>
      <c r="J31" s="497">
        <f>H31*0.3</f>
        <v>590.66999999999996</v>
      </c>
      <c r="K31" s="506">
        <f t="shared" si="1"/>
        <v>590.66999999999996</v>
      </c>
      <c r="L31" s="500">
        <f t="shared" si="2"/>
        <v>2559.5700000000002</v>
      </c>
      <c r="M31" s="85"/>
    </row>
    <row r="32" spans="1:13" ht="18" customHeight="1">
      <c r="A32" s="250"/>
      <c r="B32" s="517" t="s">
        <v>429</v>
      </c>
      <c r="C32" s="94"/>
      <c r="D32" s="495"/>
      <c r="E32" s="496"/>
      <c r="F32" s="497"/>
      <c r="G32" s="497"/>
      <c r="H32" s="497"/>
      <c r="I32" s="506">
        <f t="shared" si="0"/>
        <v>0</v>
      </c>
      <c r="J32" s="497"/>
      <c r="K32" s="506">
        <f t="shared" si="1"/>
        <v>0</v>
      </c>
      <c r="L32" s="500">
        <f t="shared" si="2"/>
        <v>0</v>
      </c>
      <c r="M32" s="85"/>
    </row>
    <row r="33" spans="1:13" ht="18" customHeight="1">
      <c r="A33" s="250"/>
      <c r="B33" s="189" t="s">
        <v>430</v>
      </c>
      <c r="C33" s="94">
        <v>4</v>
      </c>
      <c r="D33" s="495"/>
      <c r="E33" s="496"/>
      <c r="F33" s="497"/>
      <c r="G33" s="497" t="s">
        <v>52</v>
      </c>
      <c r="H33" s="497">
        <f>150.82*6/2</f>
        <v>452.46</v>
      </c>
      <c r="I33" s="506">
        <f t="shared" si="0"/>
        <v>1809.84</v>
      </c>
      <c r="J33" s="497">
        <v>548</v>
      </c>
      <c r="K33" s="506">
        <f t="shared" si="1"/>
        <v>2192</v>
      </c>
      <c r="L33" s="500">
        <f t="shared" si="2"/>
        <v>4001.84</v>
      </c>
      <c r="M33" s="85"/>
    </row>
    <row r="34" spans="1:13" ht="18" customHeight="1">
      <c r="A34" s="250"/>
      <c r="B34" s="189" t="s">
        <v>431</v>
      </c>
      <c r="C34" s="94">
        <v>4</v>
      </c>
      <c r="D34" s="495"/>
      <c r="E34" s="496"/>
      <c r="F34" s="497"/>
      <c r="G34" s="497" t="s">
        <v>52</v>
      </c>
      <c r="H34" s="497"/>
      <c r="I34" s="506">
        <f t="shared" si="0"/>
        <v>0</v>
      </c>
      <c r="J34" s="497">
        <v>400</v>
      </c>
      <c r="K34" s="506">
        <f t="shared" si="1"/>
        <v>1600</v>
      </c>
      <c r="L34" s="500">
        <f t="shared" si="2"/>
        <v>1600</v>
      </c>
      <c r="M34" s="85"/>
    </row>
    <row r="35" spans="1:13" ht="18" customHeight="1">
      <c r="A35" s="250"/>
      <c r="B35" s="189" t="s">
        <v>432</v>
      </c>
      <c r="C35" s="94">
        <f>1*0.05</f>
        <v>0.05</v>
      </c>
      <c r="D35" s="495"/>
      <c r="E35" s="496"/>
      <c r="F35" s="497"/>
      <c r="G35" s="497" t="s">
        <v>433</v>
      </c>
      <c r="H35" s="497">
        <v>453.33</v>
      </c>
      <c r="I35" s="506">
        <f t="shared" si="0"/>
        <v>22.666499999999999</v>
      </c>
      <c r="J35" s="497">
        <v>91</v>
      </c>
      <c r="K35" s="506">
        <f t="shared" si="1"/>
        <v>4.55</v>
      </c>
      <c r="L35" s="500">
        <f t="shared" si="2"/>
        <v>27.2165</v>
      </c>
      <c r="M35" s="85"/>
    </row>
    <row r="36" spans="1:13" ht="18" customHeight="1">
      <c r="A36" s="250"/>
      <c r="B36" s="189" t="s">
        <v>434</v>
      </c>
      <c r="C36" s="94">
        <v>0.05</v>
      </c>
      <c r="D36" s="495"/>
      <c r="E36" s="496"/>
      <c r="F36" s="497"/>
      <c r="G36" s="497" t="s">
        <v>433</v>
      </c>
      <c r="H36" s="497">
        <v>2034</v>
      </c>
      <c r="I36" s="506">
        <f t="shared" si="0"/>
        <v>101.7</v>
      </c>
      <c r="J36" s="497">
        <v>398</v>
      </c>
      <c r="K36" s="506">
        <f t="shared" si="1"/>
        <v>19.900000000000002</v>
      </c>
      <c r="L36" s="500">
        <f t="shared" si="2"/>
        <v>121.60000000000001</v>
      </c>
      <c r="M36" s="85"/>
    </row>
    <row r="37" spans="1:13" s="7" customFormat="1">
      <c r="A37" s="250"/>
      <c r="B37" s="189" t="s">
        <v>435</v>
      </c>
      <c r="C37" s="94">
        <f>1*1*0.05</f>
        <v>0.05</v>
      </c>
      <c r="D37" s="495"/>
      <c r="E37" s="496"/>
      <c r="F37" s="497"/>
      <c r="G37" s="497" t="s">
        <v>433</v>
      </c>
      <c r="H37" s="497">
        <v>2367</v>
      </c>
      <c r="I37" s="506">
        <f t="shared" si="0"/>
        <v>118.35000000000001</v>
      </c>
      <c r="J37" s="497">
        <v>436</v>
      </c>
      <c r="K37" s="506">
        <f t="shared" si="1"/>
        <v>21.8</v>
      </c>
      <c r="L37" s="500">
        <f t="shared" si="2"/>
        <v>140.15</v>
      </c>
      <c r="M37" s="85"/>
    </row>
    <row r="38" spans="1:13" ht="20.100000000000001" customHeight="1">
      <c r="A38" s="250"/>
      <c r="B38" s="189" t="s">
        <v>436</v>
      </c>
      <c r="C38" s="94">
        <f>4*0.1*0.5</f>
        <v>0.2</v>
      </c>
      <c r="D38" s="495"/>
      <c r="E38" s="496"/>
      <c r="F38" s="497"/>
      <c r="G38" s="497" t="s">
        <v>36</v>
      </c>
      <c r="H38" s="497">
        <v>400</v>
      </c>
      <c r="I38" s="506">
        <f t="shared" si="0"/>
        <v>80</v>
      </c>
      <c r="J38" s="497">
        <v>133</v>
      </c>
      <c r="K38" s="506">
        <f t="shared" si="1"/>
        <v>26.6</v>
      </c>
      <c r="L38" s="500">
        <f t="shared" si="2"/>
        <v>106.6</v>
      </c>
      <c r="M38" s="85"/>
    </row>
    <row r="39" spans="1:13">
      <c r="A39" s="250"/>
      <c r="B39" s="189"/>
      <c r="C39" s="94"/>
      <c r="D39" s="495"/>
      <c r="E39" s="496"/>
      <c r="F39" s="497"/>
      <c r="G39" s="497"/>
      <c r="H39" s="497"/>
      <c r="I39" s="506"/>
      <c r="J39" s="497"/>
      <c r="K39" s="506"/>
      <c r="L39" s="500"/>
      <c r="M39" s="85"/>
    </row>
    <row r="40" spans="1:13" ht="14.4" thickBot="1">
      <c r="A40" s="250"/>
      <c r="B40" s="189"/>
      <c r="C40" s="94"/>
      <c r="D40" s="495"/>
      <c r="E40" s="496"/>
      <c r="F40" s="497"/>
      <c r="G40" s="497"/>
      <c r="H40" s="497"/>
      <c r="I40" s="506"/>
      <c r="J40" s="497"/>
      <c r="K40" s="506"/>
      <c r="L40" s="500"/>
      <c r="M40" s="85"/>
    </row>
    <row r="41" spans="1:13" ht="15" thickTop="1" thickBot="1">
      <c r="A41" s="251"/>
      <c r="B41" s="44" t="s">
        <v>353</v>
      </c>
      <c r="C41" s="48"/>
      <c r="D41" s="507"/>
      <c r="E41" s="508"/>
      <c r="F41" s="508"/>
      <c r="G41" s="508"/>
      <c r="H41" s="509"/>
      <c r="I41" s="510">
        <f>SUM(I19:I40)</f>
        <v>24716.431</v>
      </c>
      <c r="J41" s="509"/>
      <c r="K41" s="510">
        <f>SUM(K19:K40)</f>
        <v>12863.77385</v>
      </c>
      <c r="L41" s="510">
        <f>SUM(L19:L40)</f>
        <v>37580.204849999995</v>
      </c>
      <c r="M41" s="37" t="s">
        <v>34</v>
      </c>
    </row>
    <row r="42" spans="1:13" ht="14.4" thickTop="1">
      <c r="A42" s="98" t="s">
        <v>354</v>
      </c>
      <c r="B42" s="99" t="s">
        <v>355</v>
      </c>
      <c r="C42" s="518"/>
      <c r="D42" s="519"/>
      <c r="E42" s="520"/>
      <c r="F42" s="521"/>
      <c r="G42" s="522"/>
      <c r="H42" s="523"/>
      <c r="I42" s="523"/>
      <c r="J42" s="523"/>
      <c r="K42" s="523"/>
      <c r="L42" s="524"/>
      <c r="M42" s="78"/>
    </row>
    <row r="43" spans="1:13">
      <c r="A43" s="250"/>
      <c r="B43" s="189" t="s">
        <v>356</v>
      </c>
      <c r="C43" s="94"/>
      <c r="D43" s="495"/>
      <c r="E43" s="496"/>
      <c r="F43" s="496"/>
      <c r="G43" s="497"/>
      <c r="H43" s="497"/>
      <c r="I43" s="506"/>
      <c r="J43" s="506"/>
      <c r="K43" s="506"/>
      <c r="L43" s="500"/>
      <c r="M43" s="85"/>
    </row>
    <row r="44" spans="1:13" ht="18" customHeight="1">
      <c r="A44" s="250"/>
      <c r="B44" s="189" t="s">
        <v>357</v>
      </c>
      <c r="C44" s="94">
        <f>6.35+6.35+3.8+3.5+8.9</f>
        <v>28.9</v>
      </c>
      <c r="D44" s="495"/>
      <c r="E44" s="496"/>
      <c r="F44" s="496"/>
      <c r="G44" s="497" t="s">
        <v>343</v>
      </c>
      <c r="H44" s="497">
        <f>171/4</f>
        <v>42.75</v>
      </c>
      <c r="I44" s="506">
        <f>C44*H44</f>
        <v>1235.4749999999999</v>
      </c>
      <c r="J44" s="506">
        <v>40</v>
      </c>
      <c r="K44" s="506">
        <f>J44*C44</f>
        <v>1156</v>
      </c>
      <c r="L44" s="500">
        <f>K44+I44</f>
        <v>2391.4749999999999</v>
      </c>
      <c r="M44" s="85"/>
    </row>
    <row r="45" spans="1:13" ht="18" customHeight="1">
      <c r="A45" s="250"/>
      <c r="B45" s="189" t="s">
        <v>358</v>
      </c>
      <c r="C45" s="94">
        <f>7.4+4+8.9</f>
        <v>20.3</v>
      </c>
      <c r="D45" s="495"/>
      <c r="E45" s="496"/>
      <c r="F45" s="496"/>
      <c r="G45" s="497" t="s">
        <v>343</v>
      </c>
      <c r="H45" s="497">
        <f>608/4</f>
        <v>152</v>
      </c>
      <c r="I45" s="506">
        <f>C45*H45</f>
        <v>3085.6</v>
      </c>
      <c r="J45" s="506">
        <v>100</v>
      </c>
      <c r="K45" s="506">
        <f>J45*C45</f>
        <v>2030</v>
      </c>
      <c r="L45" s="500">
        <f>K45+I45</f>
        <v>5115.6000000000004</v>
      </c>
      <c r="M45" s="85"/>
    </row>
    <row r="46" spans="1:13" s="7" customFormat="1">
      <c r="A46" s="250"/>
      <c r="B46" s="189" t="s">
        <v>345</v>
      </c>
      <c r="C46" s="94">
        <v>1</v>
      </c>
      <c r="D46" s="495"/>
      <c r="E46" s="496"/>
      <c r="F46" s="496"/>
      <c r="G46" s="497" t="s">
        <v>35</v>
      </c>
      <c r="H46" s="497">
        <f>SUM(I44:I45)*0.1</f>
        <v>432.10750000000002</v>
      </c>
      <c r="I46" s="506">
        <f>C46*H46</f>
        <v>432.10750000000002</v>
      </c>
      <c r="J46" s="506">
        <f>H46*0.3</f>
        <v>129.63225</v>
      </c>
      <c r="K46" s="506">
        <f>J46*C46</f>
        <v>129.63225</v>
      </c>
      <c r="L46" s="500">
        <f>K46+I46</f>
        <v>561.73974999999996</v>
      </c>
      <c r="M46" s="85"/>
    </row>
    <row r="47" spans="1:13" ht="20.100000000000001" customHeight="1">
      <c r="A47" s="250"/>
      <c r="B47" s="189" t="s">
        <v>359</v>
      </c>
      <c r="C47" s="94">
        <v>1</v>
      </c>
      <c r="D47" s="495"/>
      <c r="E47" s="496"/>
      <c r="F47" s="496"/>
      <c r="G47" s="497" t="s">
        <v>124</v>
      </c>
      <c r="H47" s="497">
        <v>4790</v>
      </c>
      <c r="I47" s="506">
        <f>C47*H47</f>
        <v>4790</v>
      </c>
      <c r="J47" s="506">
        <f>H47*0.3</f>
        <v>1437</v>
      </c>
      <c r="K47" s="506">
        <f>J47*C47</f>
        <v>1437</v>
      </c>
      <c r="L47" s="500">
        <f>K47+I47</f>
        <v>6227</v>
      </c>
      <c r="M47" s="85"/>
    </row>
    <row r="48" spans="1:13" ht="20.100000000000001" customHeight="1">
      <c r="A48" s="250"/>
      <c r="B48" s="189" t="s">
        <v>437</v>
      </c>
      <c r="C48" s="94">
        <v>4</v>
      </c>
      <c r="D48" s="495"/>
      <c r="E48" s="496"/>
      <c r="F48" s="496"/>
      <c r="G48" s="497" t="s">
        <v>124</v>
      </c>
      <c r="H48" s="497">
        <v>200</v>
      </c>
      <c r="I48" s="506">
        <f>C48*H48</f>
        <v>800</v>
      </c>
      <c r="J48" s="506">
        <v>50</v>
      </c>
      <c r="K48" s="506">
        <f>J48*C48</f>
        <v>200</v>
      </c>
      <c r="L48" s="500">
        <f>K48+I48</f>
        <v>1000</v>
      </c>
      <c r="M48" s="85"/>
    </row>
    <row r="49" spans="1:13" ht="18" customHeight="1">
      <c r="A49" s="250"/>
      <c r="B49" s="189" t="s">
        <v>438</v>
      </c>
      <c r="C49" s="94"/>
      <c r="D49" s="495"/>
      <c r="E49" s="496"/>
      <c r="F49" s="496"/>
      <c r="G49" s="497"/>
      <c r="H49" s="497"/>
      <c r="I49" s="506"/>
      <c r="J49" s="506"/>
      <c r="K49" s="506"/>
      <c r="L49" s="500"/>
      <c r="M49" s="85"/>
    </row>
    <row r="50" spans="1:13" ht="18" customHeight="1">
      <c r="A50" s="250"/>
      <c r="B50" s="189" t="s">
        <v>430</v>
      </c>
      <c r="C50" s="94">
        <v>4</v>
      </c>
      <c r="D50" s="495"/>
      <c r="E50" s="496"/>
      <c r="F50" s="497"/>
      <c r="G50" s="497" t="s">
        <v>52</v>
      </c>
      <c r="H50" s="497">
        <f>150.82*6/2</f>
        <v>452.46</v>
      </c>
      <c r="I50" s="506">
        <f>C50*H50</f>
        <v>1809.84</v>
      </c>
      <c r="J50" s="497">
        <v>548</v>
      </c>
      <c r="K50" s="506">
        <f t="shared" ref="K50:K56" si="3">C50*J50</f>
        <v>2192</v>
      </c>
      <c r="L50" s="500">
        <f t="shared" ref="L50:L56" si="4">I50+K50</f>
        <v>4001.84</v>
      </c>
      <c r="M50" s="85"/>
    </row>
    <row r="51" spans="1:13" ht="18" customHeight="1">
      <c r="A51" s="250"/>
      <c r="B51" s="189" t="s">
        <v>431</v>
      </c>
      <c r="C51" s="94">
        <v>4</v>
      </c>
      <c r="D51" s="495"/>
      <c r="E51" s="496"/>
      <c r="F51" s="497"/>
      <c r="G51" s="497" t="s">
        <v>52</v>
      </c>
      <c r="H51" s="497"/>
      <c r="I51" s="506"/>
      <c r="J51" s="497">
        <v>400</v>
      </c>
      <c r="K51" s="506">
        <f t="shared" si="3"/>
        <v>1600</v>
      </c>
      <c r="L51" s="500">
        <f t="shared" si="4"/>
        <v>1600</v>
      </c>
      <c r="M51" s="85"/>
    </row>
    <row r="52" spans="1:13" ht="18" customHeight="1">
      <c r="A52" s="250"/>
      <c r="B52" s="189" t="s">
        <v>439</v>
      </c>
      <c r="C52" s="94">
        <v>1.2</v>
      </c>
      <c r="D52" s="495"/>
      <c r="E52" s="496"/>
      <c r="F52" s="497"/>
      <c r="G52" s="497" t="s">
        <v>433</v>
      </c>
      <c r="H52" s="497"/>
      <c r="I52" s="506"/>
      <c r="J52" s="497">
        <v>99</v>
      </c>
      <c r="K52" s="506">
        <f t="shared" si="3"/>
        <v>118.8</v>
      </c>
      <c r="L52" s="500">
        <f t="shared" si="4"/>
        <v>118.8</v>
      </c>
      <c r="M52" s="85"/>
    </row>
    <row r="53" spans="1:13" ht="18" customHeight="1">
      <c r="A53" s="250"/>
      <c r="B53" s="189" t="s">
        <v>432</v>
      </c>
      <c r="C53" s="94">
        <f>1*0.05</f>
        <v>0.05</v>
      </c>
      <c r="D53" s="495"/>
      <c r="E53" s="496"/>
      <c r="F53" s="497"/>
      <c r="G53" s="497" t="s">
        <v>433</v>
      </c>
      <c r="H53" s="497">
        <v>453.33</v>
      </c>
      <c r="I53" s="506">
        <f>C53*H53</f>
        <v>22.666499999999999</v>
      </c>
      <c r="J53" s="497">
        <v>91</v>
      </c>
      <c r="K53" s="506">
        <f t="shared" si="3"/>
        <v>4.55</v>
      </c>
      <c r="L53" s="500">
        <f t="shared" si="4"/>
        <v>27.2165</v>
      </c>
      <c r="M53" s="85"/>
    </row>
    <row r="54" spans="1:13" ht="18" customHeight="1">
      <c r="A54" s="250"/>
      <c r="B54" s="189" t="s">
        <v>434</v>
      </c>
      <c r="C54" s="94">
        <v>0.05</v>
      </c>
      <c r="D54" s="495"/>
      <c r="E54" s="496"/>
      <c r="F54" s="497"/>
      <c r="G54" s="497" t="s">
        <v>433</v>
      </c>
      <c r="H54" s="497">
        <v>2034</v>
      </c>
      <c r="I54" s="506">
        <f>C54*H54</f>
        <v>101.7</v>
      </c>
      <c r="J54" s="497">
        <v>398</v>
      </c>
      <c r="K54" s="506">
        <f t="shared" si="3"/>
        <v>19.900000000000002</v>
      </c>
      <c r="L54" s="500">
        <f t="shared" si="4"/>
        <v>121.60000000000001</v>
      </c>
      <c r="M54" s="85"/>
    </row>
    <row r="55" spans="1:13" ht="18" customHeight="1">
      <c r="A55" s="250"/>
      <c r="B55" s="189" t="s">
        <v>435</v>
      </c>
      <c r="C55" s="94">
        <f>1*1*0.05</f>
        <v>0.05</v>
      </c>
      <c r="D55" s="495"/>
      <c r="E55" s="496"/>
      <c r="F55" s="497"/>
      <c r="G55" s="497" t="s">
        <v>433</v>
      </c>
      <c r="H55" s="497">
        <v>2367</v>
      </c>
      <c r="I55" s="506">
        <f>C55*H55</f>
        <v>118.35000000000001</v>
      </c>
      <c r="J55" s="497">
        <v>436</v>
      </c>
      <c r="K55" s="506">
        <f t="shared" si="3"/>
        <v>21.8</v>
      </c>
      <c r="L55" s="500">
        <f t="shared" si="4"/>
        <v>140.15</v>
      </c>
      <c r="M55" s="85"/>
    </row>
    <row r="56" spans="1:13" ht="18" customHeight="1" thickBot="1">
      <c r="A56" s="250"/>
      <c r="B56" s="189" t="s">
        <v>436</v>
      </c>
      <c r="C56" s="94">
        <f>4*0.1*0.5</f>
        <v>0.2</v>
      </c>
      <c r="D56" s="495"/>
      <c r="E56" s="496"/>
      <c r="F56" s="497"/>
      <c r="G56" s="497" t="s">
        <v>36</v>
      </c>
      <c r="H56" s="497">
        <v>400</v>
      </c>
      <c r="I56" s="506">
        <f>C56*H56</f>
        <v>80</v>
      </c>
      <c r="J56" s="497">
        <v>133</v>
      </c>
      <c r="K56" s="506">
        <f t="shared" si="3"/>
        <v>26.6</v>
      </c>
      <c r="L56" s="500">
        <f t="shared" si="4"/>
        <v>106.6</v>
      </c>
      <c r="M56" s="85"/>
    </row>
    <row r="57" spans="1:13" ht="18" customHeight="1" thickTop="1" thickBot="1">
      <c r="A57" s="251"/>
      <c r="B57" s="44" t="s">
        <v>360</v>
      </c>
      <c r="C57" s="48"/>
      <c r="D57" s="507"/>
      <c r="E57" s="508"/>
      <c r="F57" s="508"/>
      <c r="G57" s="508"/>
      <c r="H57" s="509"/>
      <c r="I57" s="510">
        <f>SUM(I43:I56)</f>
        <v>12475.739</v>
      </c>
      <c r="J57" s="509"/>
      <c r="K57" s="510">
        <f>SUM(K43:K56)</f>
        <v>8936.2822499999984</v>
      </c>
      <c r="L57" s="510">
        <f>SUM(L43:L56)</f>
        <v>21412.021249999998</v>
      </c>
      <c r="M57" s="37" t="s">
        <v>34</v>
      </c>
    </row>
    <row r="58" spans="1:13" s="7" customFormat="1" ht="14.4" thickTop="1">
      <c r="A58" s="98" t="s">
        <v>361</v>
      </c>
      <c r="B58" s="99" t="s">
        <v>362</v>
      </c>
      <c r="C58" s="518"/>
      <c r="D58" s="519"/>
      <c r="E58" s="520"/>
      <c r="F58" s="521"/>
      <c r="G58" s="522"/>
      <c r="H58" s="523"/>
      <c r="I58" s="523"/>
      <c r="J58" s="523"/>
      <c r="K58" s="523"/>
      <c r="L58" s="524"/>
      <c r="M58" s="78"/>
    </row>
    <row r="59" spans="1:13" ht="20.100000000000001" customHeight="1">
      <c r="A59" s="250"/>
      <c r="B59" s="189" t="s">
        <v>363</v>
      </c>
      <c r="C59" s="94"/>
      <c r="D59" s="495"/>
      <c r="E59" s="496"/>
      <c r="F59" s="496"/>
      <c r="G59" s="497"/>
      <c r="H59" s="497"/>
      <c r="I59" s="506"/>
      <c r="J59" s="506"/>
      <c r="K59" s="506"/>
      <c r="L59" s="500"/>
      <c r="M59" s="85"/>
    </row>
    <row r="60" spans="1:13" ht="20.100000000000001" customHeight="1">
      <c r="A60" s="250"/>
      <c r="B60" s="189" t="s">
        <v>440</v>
      </c>
      <c r="C60" s="94">
        <v>0</v>
      </c>
      <c r="D60" s="495"/>
      <c r="E60" s="496"/>
      <c r="F60" s="496"/>
      <c r="G60" s="525" t="s">
        <v>343</v>
      </c>
      <c r="H60" s="497"/>
      <c r="I60" s="506">
        <f>C60*H60</f>
        <v>0</v>
      </c>
      <c r="J60" s="506">
        <v>30</v>
      </c>
      <c r="K60" s="506">
        <f>J60*C60</f>
        <v>0</v>
      </c>
      <c r="L60" s="500">
        <f>K60+I60</f>
        <v>0</v>
      </c>
      <c r="M60" s="85"/>
    </row>
    <row r="61" spans="1:13" ht="18" customHeight="1">
      <c r="A61" s="250"/>
      <c r="B61" s="189" t="s">
        <v>357</v>
      </c>
      <c r="C61" s="94">
        <f>6+5</f>
        <v>11</v>
      </c>
      <c r="D61" s="495"/>
      <c r="E61" s="496"/>
      <c r="F61" s="496"/>
      <c r="G61" s="525" t="s">
        <v>343</v>
      </c>
      <c r="H61" s="497">
        <v>42.75</v>
      </c>
      <c r="I61" s="506">
        <f>C61*H61</f>
        <v>470.25</v>
      </c>
      <c r="J61" s="506">
        <v>40</v>
      </c>
      <c r="K61" s="506">
        <f>J61*C61</f>
        <v>440</v>
      </c>
      <c r="L61" s="500">
        <f>K61+I61</f>
        <v>910.25</v>
      </c>
      <c r="M61" s="85"/>
    </row>
    <row r="62" spans="1:13" ht="18" customHeight="1">
      <c r="A62" s="250"/>
      <c r="B62" s="189" t="s">
        <v>345</v>
      </c>
      <c r="C62" s="94">
        <v>1</v>
      </c>
      <c r="D62" s="495"/>
      <c r="E62" s="496"/>
      <c r="F62" s="496"/>
      <c r="G62" s="497" t="s">
        <v>35</v>
      </c>
      <c r="H62" s="497">
        <f>SUM(I58:I61)*0.1</f>
        <v>47.025000000000006</v>
      </c>
      <c r="I62" s="506">
        <f>C62*H62</f>
        <v>47.025000000000006</v>
      </c>
      <c r="J62" s="497">
        <f>H62*0.3</f>
        <v>14.107500000000002</v>
      </c>
      <c r="K62" s="506">
        <f>C62*J62</f>
        <v>14.107500000000002</v>
      </c>
      <c r="L62" s="500">
        <f>I62+K62</f>
        <v>61.132500000000007</v>
      </c>
      <c r="M62" s="85"/>
    </row>
    <row r="63" spans="1:13" ht="18" customHeight="1">
      <c r="A63" s="250"/>
      <c r="B63" s="189"/>
      <c r="C63" s="94"/>
      <c r="D63" s="495"/>
      <c r="E63" s="496"/>
      <c r="F63" s="496"/>
      <c r="G63" s="497"/>
      <c r="H63" s="497"/>
      <c r="I63" s="506"/>
      <c r="J63" s="506"/>
      <c r="K63" s="506"/>
      <c r="L63" s="500"/>
      <c r="M63" s="85"/>
    </row>
    <row r="64" spans="1:13" ht="18" customHeight="1">
      <c r="A64" s="250"/>
      <c r="B64" s="189"/>
      <c r="C64" s="94"/>
      <c r="D64" s="495"/>
      <c r="E64" s="496"/>
      <c r="F64" s="497"/>
      <c r="G64" s="525"/>
      <c r="H64" s="497"/>
      <c r="I64" s="506"/>
      <c r="J64" s="506"/>
      <c r="K64" s="506"/>
      <c r="L64" s="500"/>
      <c r="M64" s="85"/>
    </row>
    <row r="65" spans="1:13" ht="18" customHeight="1">
      <c r="A65" s="250"/>
      <c r="B65" s="189"/>
      <c r="C65" s="94"/>
      <c r="D65" s="495"/>
      <c r="E65" s="496"/>
      <c r="F65" s="497"/>
      <c r="G65" s="497"/>
      <c r="H65" s="497"/>
      <c r="I65" s="506"/>
      <c r="J65" s="506"/>
      <c r="K65" s="506"/>
      <c r="L65" s="500"/>
      <c r="M65" s="85"/>
    </row>
    <row r="66" spans="1:13" ht="18" customHeight="1">
      <c r="A66" s="250"/>
      <c r="B66" s="189"/>
      <c r="C66" s="94"/>
      <c r="D66" s="495"/>
      <c r="E66" s="496"/>
      <c r="F66" s="497"/>
      <c r="G66" s="497"/>
      <c r="H66" s="497"/>
      <c r="I66" s="506"/>
      <c r="J66" s="506"/>
      <c r="K66" s="506"/>
      <c r="L66" s="500"/>
      <c r="M66" s="85"/>
    </row>
    <row r="67" spans="1:13" s="7" customFormat="1">
      <c r="A67" s="250"/>
      <c r="B67" s="189"/>
      <c r="C67" s="94"/>
      <c r="D67" s="495"/>
      <c r="E67" s="496"/>
      <c r="F67" s="497"/>
      <c r="G67" s="497"/>
      <c r="H67" s="497"/>
      <c r="I67" s="506"/>
      <c r="J67" s="506"/>
      <c r="K67" s="506"/>
      <c r="L67" s="500"/>
      <c r="M67" s="85"/>
    </row>
    <row r="68" spans="1:13" ht="20.100000000000001" customHeight="1">
      <c r="A68" s="250"/>
      <c r="B68" s="189"/>
      <c r="C68" s="94"/>
      <c r="D68" s="495"/>
      <c r="E68" s="496"/>
      <c r="F68" s="497"/>
      <c r="G68" s="497"/>
      <c r="H68" s="497"/>
      <c r="I68" s="506"/>
      <c r="J68" s="506"/>
      <c r="K68" s="506"/>
      <c r="L68" s="500"/>
      <c r="M68" s="85"/>
    </row>
    <row r="69" spans="1:13" ht="20.100000000000001" customHeight="1" thickBot="1">
      <c r="A69" s="250"/>
      <c r="B69" s="189"/>
      <c r="C69" s="94"/>
      <c r="D69" s="495"/>
      <c r="E69" s="496"/>
      <c r="F69" s="497"/>
      <c r="G69" s="497"/>
      <c r="H69" s="497"/>
      <c r="I69" s="506"/>
      <c r="J69" s="506"/>
      <c r="K69" s="506"/>
      <c r="L69" s="500"/>
      <c r="M69" s="85"/>
    </row>
    <row r="70" spans="1:13" ht="18" customHeight="1" thickTop="1" thickBot="1">
      <c r="A70" s="251"/>
      <c r="B70" s="44" t="s">
        <v>364</v>
      </c>
      <c r="C70" s="48"/>
      <c r="D70" s="507"/>
      <c r="E70" s="508"/>
      <c r="F70" s="508"/>
      <c r="G70" s="508"/>
      <c r="H70" s="509"/>
      <c r="I70" s="510">
        <f>SUM(I59:I69)</f>
        <v>517.27499999999998</v>
      </c>
      <c r="J70" s="509"/>
      <c r="K70" s="510">
        <f>SUM(K59:K69)</f>
        <v>454.10750000000002</v>
      </c>
      <c r="L70" s="510">
        <f>SUM(L59:L69)</f>
        <v>971.38250000000005</v>
      </c>
      <c r="M70" s="37" t="s">
        <v>34</v>
      </c>
    </row>
    <row r="71" spans="1:13" ht="18" customHeight="1" thickTop="1">
      <c r="A71" s="98" t="s">
        <v>365</v>
      </c>
      <c r="B71" s="99" t="s">
        <v>366</v>
      </c>
      <c r="C71" s="518"/>
      <c r="D71" s="519"/>
      <c r="E71" s="520"/>
      <c r="F71" s="521"/>
      <c r="G71" s="522"/>
      <c r="H71" s="523"/>
      <c r="I71" s="523"/>
      <c r="J71" s="523"/>
      <c r="K71" s="523"/>
      <c r="L71" s="524"/>
      <c r="M71" s="78"/>
    </row>
    <row r="72" spans="1:13" ht="18" customHeight="1">
      <c r="A72" s="250"/>
      <c r="B72" s="189" t="s">
        <v>356</v>
      </c>
      <c r="C72" s="94"/>
      <c r="D72" s="495">
        <v>0</v>
      </c>
      <c r="E72" s="496"/>
      <c r="F72" s="496">
        <v>3</v>
      </c>
      <c r="G72" s="497"/>
      <c r="H72" s="497"/>
      <c r="I72" s="506"/>
      <c r="J72" s="506"/>
      <c r="K72" s="506"/>
      <c r="L72" s="500"/>
      <c r="M72" s="85"/>
    </row>
    <row r="73" spans="1:13" ht="18" customHeight="1">
      <c r="A73" s="250"/>
      <c r="B73" s="517" t="s">
        <v>357</v>
      </c>
      <c r="C73" s="94">
        <f>9.5*3</f>
        <v>28.5</v>
      </c>
      <c r="D73" s="495"/>
      <c r="E73" s="496"/>
      <c r="F73" s="496"/>
      <c r="G73" s="525" t="s">
        <v>343</v>
      </c>
      <c r="H73" s="497">
        <v>42.75</v>
      </c>
      <c r="I73" s="506">
        <f>C73*H73</f>
        <v>1218.375</v>
      </c>
      <c r="J73" s="506">
        <v>80</v>
      </c>
      <c r="K73" s="506">
        <f>J73*C73</f>
        <v>2280</v>
      </c>
      <c r="L73" s="500">
        <f>K73+I73</f>
        <v>3498.375</v>
      </c>
      <c r="M73" s="85"/>
    </row>
    <row r="74" spans="1:13" ht="18" customHeight="1">
      <c r="A74" s="250"/>
      <c r="B74" s="189" t="s">
        <v>441</v>
      </c>
      <c r="C74" s="94">
        <v>0</v>
      </c>
      <c r="D74" s="495">
        <v>0</v>
      </c>
      <c r="E74" s="496">
        <v>12</v>
      </c>
      <c r="F74" s="497"/>
      <c r="G74" s="525" t="s">
        <v>124</v>
      </c>
      <c r="H74" s="497">
        <v>1475</v>
      </c>
      <c r="I74" s="506">
        <f>C74*H74</f>
        <v>0</v>
      </c>
      <c r="J74" s="506">
        <f>H74*0.3</f>
        <v>442.5</v>
      </c>
      <c r="K74" s="506">
        <f>J74*C74</f>
        <v>0</v>
      </c>
      <c r="L74" s="500">
        <f>K74+I74</f>
        <v>0</v>
      </c>
      <c r="M74" s="85"/>
    </row>
    <row r="75" spans="1:13" ht="18" customHeight="1">
      <c r="A75" s="250"/>
      <c r="B75" s="189"/>
      <c r="C75" s="94"/>
      <c r="D75" s="495">
        <v>0</v>
      </c>
      <c r="E75" s="496">
        <v>12</v>
      </c>
      <c r="F75" s="497"/>
      <c r="G75" s="497"/>
      <c r="H75" s="497"/>
      <c r="I75" s="506"/>
      <c r="J75" s="506"/>
      <c r="K75" s="506"/>
      <c r="L75" s="500"/>
      <c r="M75" s="85"/>
    </row>
    <row r="76" spans="1:13" s="7" customFormat="1" ht="14.4" thickBot="1">
      <c r="A76" s="250"/>
      <c r="B76" s="189"/>
      <c r="C76" s="94"/>
      <c r="D76" s="495">
        <v>0</v>
      </c>
      <c r="E76" s="496">
        <v>12</v>
      </c>
      <c r="F76" s="497"/>
      <c r="G76" s="497"/>
      <c r="H76" s="497"/>
      <c r="I76" s="506"/>
      <c r="J76" s="506"/>
      <c r="K76" s="506"/>
      <c r="L76" s="500"/>
      <c r="M76" s="85"/>
    </row>
    <row r="77" spans="1:13" s="358" customFormat="1" ht="15" thickTop="1" thickBot="1">
      <c r="A77" s="251"/>
      <c r="B77" s="44" t="s">
        <v>367</v>
      </c>
      <c r="C77" s="48"/>
      <c r="D77" s="507"/>
      <c r="E77" s="508"/>
      <c r="F77" s="508"/>
      <c r="G77" s="508"/>
      <c r="H77" s="509"/>
      <c r="I77" s="510">
        <f>SUM(I72:I76)</f>
        <v>1218.375</v>
      </c>
      <c r="J77" s="509"/>
      <c r="K77" s="510">
        <f>SUM(K72:K76)</f>
        <v>2280</v>
      </c>
      <c r="L77" s="510">
        <f>SUM(L72:L76)</f>
        <v>3498.375</v>
      </c>
      <c r="M77" s="37" t="s">
        <v>34</v>
      </c>
    </row>
    <row r="78" spans="1:13" ht="14.4" thickTop="1">
      <c r="A78" s="98" t="s">
        <v>368</v>
      </c>
      <c r="B78" s="99" t="s">
        <v>369</v>
      </c>
      <c r="C78" s="518"/>
      <c r="D78" s="519"/>
      <c r="E78" s="520"/>
      <c r="F78" s="521"/>
      <c r="G78" s="522"/>
      <c r="H78" s="523"/>
      <c r="I78" s="523"/>
      <c r="J78" s="523"/>
      <c r="K78" s="523"/>
      <c r="L78" s="524"/>
      <c r="M78" s="78"/>
    </row>
    <row r="79" spans="1:13">
      <c r="A79" s="250"/>
      <c r="B79" s="189" t="s">
        <v>370</v>
      </c>
      <c r="C79" s="94">
        <v>69.8</v>
      </c>
      <c r="D79" s="495">
        <v>0</v>
      </c>
      <c r="E79" s="496"/>
      <c r="F79" s="496">
        <v>3</v>
      </c>
      <c r="G79" s="497" t="s">
        <v>343</v>
      </c>
      <c r="H79" s="497">
        <v>120</v>
      </c>
      <c r="I79" s="506">
        <f t="shared" ref="I79:I85" si="5">H79*C79</f>
        <v>8376</v>
      </c>
      <c r="J79" s="506">
        <v>48</v>
      </c>
      <c r="K79" s="506">
        <f t="shared" ref="K79:K85" si="6">J79*C79</f>
        <v>3350.3999999999996</v>
      </c>
      <c r="L79" s="500">
        <f t="shared" ref="L79:L85" si="7">K79+I79</f>
        <v>11726.4</v>
      </c>
      <c r="M79" s="85"/>
    </row>
    <row r="80" spans="1:13">
      <c r="A80" s="250"/>
      <c r="B80" s="189" t="s">
        <v>371</v>
      </c>
      <c r="C80" s="94">
        <v>11</v>
      </c>
      <c r="D80" s="495"/>
      <c r="E80" s="496"/>
      <c r="F80" s="496"/>
      <c r="G80" s="497" t="s">
        <v>124</v>
      </c>
      <c r="H80" s="497">
        <f>200/3*4+500</f>
        <v>766.66666666666674</v>
      </c>
      <c r="I80" s="506">
        <f t="shared" si="5"/>
        <v>8433.3333333333339</v>
      </c>
      <c r="J80" s="506">
        <v>100</v>
      </c>
      <c r="K80" s="506">
        <f t="shared" si="6"/>
        <v>1100</v>
      </c>
      <c r="L80" s="500">
        <f t="shared" si="7"/>
        <v>9533.3333333333339</v>
      </c>
      <c r="M80" s="85"/>
    </row>
    <row r="81" spans="1:13">
      <c r="A81" s="250"/>
      <c r="B81" s="189" t="s">
        <v>372</v>
      </c>
      <c r="C81" s="94">
        <v>1</v>
      </c>
      <c r="D81" s="495"/>
      <c r="E81" s="496"/>
      <c r="F81" s="496"/>
      <c r="G81" s="497" t="s">
        <v>124</v>
      </c>
      <c r="H81" s="497">
        <f>300+500</f>
        <v>800</v>
      </c>
      <c r="I81" s="506">
        <f t="shared" si="5"/>
        <v>800</v>
      </c>
      <c r="J81" s="506">
        <v>150</v>
      </c>
      <c r="K81" s="506">
        <f t="shared" si="6"/>
        <v>150</v>
      </c>
      <c r="L81" s="500">
        <f t="shared" si="7"/>
        <v>950</v>
      </c>
      <c r="M81" s="85"/>
    </row>
    <row r="82" spans="1:13">
      <c r="A82" s="250"/>
      <c r="B82" s="189" t="s">
        <v>442</v>
      </c>
      <c r="C82" s="94">
        <v>1</v>
      </c>
      <c r="D82" s="495"/>
      <c r="E82" s="496"/>
      <c r="F82" s="496"/>
      <c r="G82" s="497" t="s">
        <v>124</v>
      </c>
      <c r="H82" s="497">
        <v>2900</v>
      </c>
      <c r="I82" s="506">
        <f t="shared" si="5"/>
        <v>2900</v>
      </c>
      <c r="J82" s="506">
        <v>200</v>
      </c>
      <c r="K82" s="506">
        <f t="shared" si="6"/>
        <v>200</v>
      </c>
      <c r="L82" s="500">
        <f t="shared" si="7"/>
        <v>3100</v>
      </c>
      <c r="M82" s="85"/>
    </row>
    <row r="83" spans="1:13">
      <c r="A83" s="250"/>
      <c r="B83" s="189" t="s">
        <v>373</v>
      </c>
      <c r="C83" s="94">
        <v>1</v>
      </c>
      <c r="D83" s="495">
        <v>0</v>
      </c>
      <c r="E83" s="496">
        <v>12</v>
      </c>
      <c r="F83" s="497"/>
      <c r="G83" s="497" t="s">
        <v>124</v>
      </c>
      <c r="H83" s="497">
        <v>3700</v>
      </c>
      <c r="I83" s="506">
        <f t="shared" si="5"/>
        <v>3700</v>
      </c>
      <c r="J83" s="506">
        <v>200</v>
      </c>
      <c r="K83" s="506">
        <f t="shared" si="6"/>
        <v>200</v>
      </c>
      <c r="L83" s="500">
        <f t="shared" si="7"/>
        <v>3900</v>
      </c>
      <c r="M83" s="85"/>
    </row>
    <row r="84" spans="1:13">
      <c r="A84" s="250"/>
      <c r="B84" s="189" t="s">
        <v>439</v>
      </c>
      <c r="C84" s="526">
        <v>3</v>
      </c>
      <c r="D84" s="495"/>
      <c r="E84" s="496"/>
      <c r="F84" s="497"/>
      <c r="G84" s="497" t="s">
        <v>433</v>
      </c>
      <c r="H84" s="497">
        <v>0</v>
      </c>
      <c r="I84" s="506">
        <f t="shared" si="5"/>
        <v>0</v>
      </c>
      <c r="J84" s="506">
        <v>99</v>
      </c>
      <c r="K84" s="506">
        <f t="shared" si="6"/>
        <v>297</v>
      </c>
      <c r="L84" s="500">
        <f t="shared" si="7"/>
        <v>297</v>
      </c>
      <c r="M84" s="85"/>
    </row>
    <row r="85" spans="1:13">
      <c r="A85" s="250"/>
      <c r="B85" s="189" t="s">
        <v>443</v>
      </c>
      <c r="C85" s="94">
        <v>1</v>
      </c>
      <c r="D85" s="495"/>
      <c r="E85" s="496"/>
      <c r="F85" s="497"/>
      <c r="G85" s="497" t="s">
        <v>124</v>
      </c>
      <c r="H85" s="497">
        <f>200/3*4+500</f>
        <v>766.66666666666674</v>
      </c>
      <c r="I85" s="506">
        <f t="shared" si="5"/>
        <v>766.66666666666674</v>
      </c>
      <c r="J85" s="506">
        <v>100</v>
      </c>
      <c r="K85" s="506">
        <f t="shared" si="6"/>
        <v>100</v>
      </c>
      <c r="L85" s="500">
        <f t="shared" si="7"/>
        <v>866.66666666666674</v>
      </c>
      <c r="M85" s="85"/>
    </row>
    <row r="86" spans="1:13">
      <c r="A86" s="250"/>
      <c r="B86" s="189"/>
      <c r="C86" s="94"/>
      <c r="D86" s="495"/>
      <c r="E86" s="496"/>
      <c r="F86" s="497"/>
      <c r="G86" s="497"/>
      <c r="H86" s="497"/>
      <c r="I86" s="506"/>
      <c r="J86" s="506"/>
      <c r="K86" s="506"/>
      <c r="L86" s="500"/>
      <c r="M86" s="85"/>
    </row>
    <row r="87" spans="1:13">
      <c r="A87" s="250"/>
      <c r="B87" s="189"/>
      <c r="C87" s="94"/>
      <c r="D87" s="495"/>
      <c r="E87" s="496"/>
      <c r="F87" s="497"/>
      <c r="G87" s="497"/>
      <c r="H87" s="497"/>
      <c r="I87" s="506"/>
      <c r="J87" s="506"/>
      <c r="K87" s="506"/>
      <c r="L87" s="500"/>
      <c r="M87" s="85"/>
    </row>
    <row r="88" spans="1:13">
      <c r="A88" s="250"/>
      <c r="B88" s="189"/>
      <c r="C88" s="94"/>
      <c r="D88" s="495"/>
      <c r="E88" s="496"/>
      <c r="F88" s="497"/>
      <c r="G88" s="497"/>
      <c r="H88" s="497"/>
      <c r="I88" s="506"/>
      <c r="J88" s="506"/>
      <c r="K88" s="506"/>
      <c r="L88" s="500"/>
      <c r="M88" s="85"/>
    </row>
    <row r="89" spans="1:13">
      <c r="A89" s="250"/>
      <c r="B89" s="189"/>
      <c r="C89" s="94"/>
      <c r="D89" s="495"/>
      <c r="E89" s="496"/>
      <c r="F89" s="497"/>
      <c r="G89" s="497"/>
      <c r="H89" s="497"/>
      <c r="I89" s="506"/>
      <c r="J89" s="506"/>
      <c r="K89" s="506"/>
      <c r="L89" s="500"/>
      <c r="M89" s="85"/>
    </row>
    <row r="90" spans="1:13">
      <c r="A90" s="250"/>
      <c r="B90" s="189"/>
      <c r="C90" s="94"/>
      <c r="D90" s="495"/>
      <c r="E90" s="496"/>
      <c r="F90" s="497"/>
      <c r="G90" s="497"/>
      <c r="H90" s="497"/>
      <c r="I90" s="506"/>
      <c r="J90" s="506"/>
      <c r="K90" s="506"/>
      <c r="L90" s="500"/>
      <c r="M90" s="85"/>
    </row>
    <row r="91" spans="1:13">
      <c r="A91" s="250"/>
      <c r="B91" s="189"/>
      <c r="C91" s="94"/>
      <c r="D91" s="495">
        <v>0</v>
      </c>
      <c r="E91" s="496">
        <v>12</v>
      </c>
      <c r="F91" s="497"/>
      <c r="G91" s="497"/>
      <c r="H91" s="497"/>
      <c r="I91" s="506"/>
      <c r="J91" s="506"/>
      <c r="K91" s="506"/>
      <c r="L91" s="500"/>
      <c r="M91" s="85"/>
    </row>
    <row r="92" spans="1:13" ht="14.4" thickBot="1">
      <c r="A92" s="250"/>
      <c r="B92" s="189"/>
      <c r="C92" s="94"/>
      <c r="D92" s="495">
        <v>0</v>
      </c>
      <c r="E92" s="496">
        <v>12</v>
      </c>
      <c r="F92" s="497"/>
      <c r="G92" s="497"/>
      <c r="H92" s="497"/>
      <c r="I92" s="506"/>
      <c r="J92" s="506"/>
      <c r="K92" s="506"/>
      <c r="L92" s="500"/>
      <c r="M92" s="85"/>
    </row>
    <row r="93" spans="1:13" ht="15" thickTop="1" thickBot="1">
      <c r="A93" s="251"/>
      <c r="B93" s="44" t="s">
        <v>374</v>
      </c>
      <c r="C93" s="48"/>
      <c r="D93" s="507"/>
      <c r="E93" s="508"/>
      <c r="F93" s="508"/>
      <c r="G93" s="508"/>
      <c r="H93" s="509"/>
      <c r="I93" s="510">
        <f>SUM(I79:I92)</f>
        <v>24976.000000000004</v>
      </c>
      <c r="J93" s="509"/>
      <c r="K93" s="510">
        <f>SUM(K79:K92)</f>
        <v>5397.4</v>
      </c>
      <c r="L93" s="510">
        <f>SUM(L79:L92)</f>
        <v>30373.4</v>
      </c>
      <c r="M93" s="37" t="s">
        <v>34</v>
      </c>
    </row>
    <row r="94" spans="1:13" ht="15" thickTop="1" thickBot="1">
      <c r="A94" s="351"/>
      <c r="B94" s="352" t="s">
        <v>162</v>
      </c>
      <c r="C94" s="352"/>
      <c r="D94" s="527"/>
      <c r="E94" s="528"/>
      <c r="F94" s="528"/>
      <c r="G94" s="528"/>
      <c r="H94" s="529"/>
      <c r="I94" s="530">
        <f>I93+I77+I70+I57+I41</f>
        <v>63903.820000000007</v>
      </c>
      <c r="J94" s="529"/>
      <c r="K94" s="530">
        <f>K93+K77+K70+K57+K41</f>
        <v>29931.563599999994</v>
      </c>
      <c r="L94" s="530">
        <f>L93+L77+L70+L57+L41</f>
        <v>93835.383600000001</v>
      </c>
      <c r="M94" s="357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2016-12-18T07:14:21Z</cp:lastPrinted>
  <dcterms:created xsi:type="dcterms:W3CDTF">2009-11-05T09:30:11Z</dcterms:created>
  <dcterms:modified xsi:type="dcterms:W3CDTF">2017-03-09T06:18:13Z</dcterms:modified>
</cp:coreProperties>
</file>