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Luke\Documents\OIL SYSTEM INFO\"/>
    </mc:Choice>
  </mc:AlternateContent>
  <bookViews>
    <workbookView xWindow="0" yWindow="0" windowWidth="18285" windowHeight="8655" activeTab="3" xr2:uid="{00000000-000D-0000-FFFF-FFFF00000000}"/>
  </bookViews>
  <sheets>
    <sheet name="Offering" sheetId="1" r:id="rId1"/>
    <sheet name="Key Assumptions" sheetId="2" r:id="rId2"/>
    <sheet name="Investment Plan" sheetId="4" r:id="rId3"/>
    <sheet name="P&amp;L and Cash Flow" sheetId="8" r:id="rId4"/>
    <sheet name="Summary CF " sheetId="9" r:id="rId5"/>
    <sheet name="Ops Cost " sheetId="16" r:id="rId6"/>
    <sheet name="Org-Salary Structure" sheetId="21" r:id="rId7"/>
    <sheet name="Sensitivity" sheetId="12" r:id="rId8"/>
    <sheet name="Sr Debt Service 2019 " sheetId="14" r:id="rId9"/>
    <sheet name="Margins" sheetId="20" r:id="rId10"/>
    <sheet name="Graphs" sheetId="11" r:id="rId11"/>
    <sheet name=" Crude Oil-Base Oil" sheetId="3" r:id="rId12"/>
  </sheets>
  <calcPr calcId="171027"/>
  <fileRecoveryPr autoRecover="0"/>
</workbook>
</file>

<file path=xl/calcChain.xml><?xml version="1.0" encoding="utf-8"?>
<calcChain xmlns="http://schemas.openxmlformats.org/spreadsheetml/2006/main">
  <c r="C19" i="1" l="1"/>
  <c r="F60" i="8"/>
  <c r="E60" i="8"/>
  <c r="F4" i="16"/>
  <c r="F7" i="4" l="1"/>
  <c r="D17" i="1"/>
  <c r="E17" i="1"/>
  <c r="F14" i="1"/>
  <c r="O21" i="2" l="1"/>
  <c r="E92" i="12"/>
  <c r="F92" i="12"/>
  <c r="G92" i="12"/>
  <c r="H92" i="12"/>
  <c r="I92" i="12"/>
  <c r="J92" i="12"/>
  <c r="K92" i="12"/>
  <c r="L92" i="12"/>
  <c r="M92" i="12"/>
  <c r="N92" i="12"/>
  <c r="D92" i="12"/>
  <c r="E70" i="12"/>
  <c r="E93" i="12" s="1"/>
  <c r="D50" i="12"/>
  <c r="N52" i="12"/>
  <c r="N51" i="8"/>
  <c r="D30" i="12"/>
  <c r="D24" i="12"/>
  <c r="F17" i="2"/>
  <c r="D14" i="2"/>
  <c r="D17" i="2" s="1"/>
  <c r="E14" i="2"/>
  <c r="E17" i="2" s="1"/>
  <c r="F14" i="2"/>
  <c r="D15" i="2"/>
  <c r="E15" i="2"/>
  <c r="F15" i="2"/>
  <c r="D16" i="2"/>
  <c r="E16" i="2"/>
  <c r="F16" i="2"/>
  <c r="C15" i="2"/>
  <c r="C16" i="2"/>
  <c r="C14" i="2"/>
  <c r="C17" i="2" s="1"/>
  <c r="D32" i="9"/>
  <c r="D20" i="9"/>
  <c r="D5" i="8"/>
  <c r="D6" i="8"/>
  <c r="D18" i="12" s="1"/>
  <c r="D80" i="12" s="1"/>
  <c r="D7" i="8"/>
  <c r="D19" i="12" s="1"/>
  <c r="D81" i="12" s="1"/>
  <c r="D11" i="8"/>
  <c r="D13" i="8" s="1"/>
  <c r="D30" i="8"/>
  <c r="D31" i="8" s="1"/>
  <c r="F6" i="4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D8" i="8" l="1"/>
  <c r="D14" i="8" s="1"/>
  <c r="E29" i="8"/>
  <c r="E28" i="8"/>
  <c r="F28" i="8" s="1"/>
  <c r="G28" i="8" s="1"/>
  <c r="H28" i="8" s="1"/>
  <c r="I28" i="8" s="1"/>
  <c r="J28" i="8" s="1"/>
  <c r="K28" i="8" s="1"/>
  <c r="L28" i="8" s="1"/>
  <c r="M28" i="8" s="1"/>
  <c r="N28" i="8" s="1"/>
  <c r="E17" i="8"/>
  <c r="F17" i="8" s="1"/>
  <c r="G17" i="8" s="1"/>
  <c r="H17" i="8" s="1"/>
  <c r="I17" i="8" s="1"/>
  <c r="J17" i="8" s="1"/>
  <c r="K17" i="8" s="1"/>
  <c r="L17" i="8" s="1"/>
  <c r="M17" i="8" s="1"/>
  <c r="N17" i="8" s="1"/>
  <c r="Q5" i="16"/>
  <c r="P4" i="16"/>
  <c r="Q4" i="16" s="1"/>
  <c r="P3" i="16"/>
  <c r="Q3" i="16" s="1"/>
  <c r="P21" i="16" s="1"/>
  <c r="N3" i="16"/>
  <c r="O3" i="16" s="1"/>
  <c r="N21" i="16" s="1"/>
  <c r="N4" i="16"/>
  <c r="O4" i="16" s="1"/>
  <c r="E12" i="8"/>
  <c r="F12" i="8" s="1"/>
  <c r="G12" i="8" s="1"/>
  <c r="H12" i="8" s="1"/>
  <c r="I12" i="8" s="1"/>
  <c r="J12" i="8" s="1"/>
  <c r="K12" i="8" s="1"/>
  <c r="L12" i="8" s="1"/>
  <c r="M12" i="8" s="1"/>
  <c r="N12" i="8" s="1"/>
  <c r="E11" i="8"/>
  <c r="F11" i="8"/>
  <c r="G11" i="8"/>
  <c r="K5" i="16"/>
  <c r="L4" i="16"/>
  <c r="M4" i="16" s="1"/>
  <c r="L3" i="16"/>
  <c r="M3" i="16" s="1"/>
  <c r="L17" i="16" s="1"/>
  <c r="J3" i="16"/>
  <c r="K3" i="16" s="1"/>
  <c r="J4" i="16"/>
  <c r="O5" i="16"/>
  <c r="M5" i="16"/>
  <c r="H7" i="16"/>
  <c r="D22" i="2"/>
  <c r="E22" i="2" s="1"/>
  <c r="F22" i="2" s="1"/>
  <c r="G6" i="8" s="1"/>
  <c r="D23" i="2"/>
  <c r="E7" i="8" s="1"/>
  <c r="D21" i="2"/>
  <c r="E21" i="2" s="1"/>
  <c r="F21" i="2" s="1"/>
  <c r="G21" i="2" s="1"/>
  <c r="H21" i="2" s="1"/>
  <c r="I21" i="2" s="1"/>
  <c r="J21" i="2" s="1"/>
  <c r="K21" i="2" s="1"/>
  <c r="L21" i="2" s="1"/>
  <c r="M21" i="2" s="1"/>
  <c r="G5" i="2"/>
  <c r="K4" i="16" l="1"/>
  <c r="G7" i="2"/>
  <c r="K7" i="2"/>
  <c r="D7" i="2"/>
  <c r="H7" i="2"/>
  <c r="L7" i="2"/>
  <c r="E7" i="2"/>
  <c r="I7" i="2"/>
  <c r="M7" i="2"/>
  <c r="F7" i="2"/>
  <c r="J7" i="2"/>
  <c r="C7" i="2"/>
  <c r="H5" i="2"/>
  <c r="G15" i="2"/>
  <c r="G14" i="2"/>
  <c r="G17" i="2" s="1"/>
  <c r="G16" i="2"/>
  <c r="E23" i="2"/>
  <c r="F23" i="2" s="1"/>
  <c r="G23" i="2"/>
  <c r="H23" i="2" s="1"/>
  <c r="I23" i="2" s="1"/>
  <c r="J23" i="2" s="1"/>
  <c r="G7" i="8"/>
  <c r="F7" i="8"/>
  <c r="D32" i="8"/>
  <c r="G5" i="8"/>
  <c r="F5" i="8"/>
  <c r="I5" i="8"/>
  <c r="E5" i="8"/>
  <c r="H5" i="8"/>
  <c r="J21" i="16"/>
  <c r="J17" i="16"/>
  <c r="J14" i="16"/>
  <c r="J24" i="16"/>
  <c r="L21" i="16"/>
  <c r="L24" i="16"/>
  <c r="J7" i="16"/>
  <c r="N7" i="16" s="1"/>
  <c r="F6" i="8"/>
  <c r="E6" i="8"/>
  <c r="H7" i="8"/>
  <c r="G22" i="2"/>
  <c r="I11" i="8"/>
  <c r="H11" i="8"/>
  <c r="P14" i="16"/>
  <c r="P24" i="16"/>
  <c r="P17" i="16"/>
  <c r="N17" i="16"/>
  <c r="N24" i="16"/>
  <c r="N14" i="16"/>
  <c r="L14" i="16"/>
  <c r="I7" i="8" l="1"/>
  <c r="I5" i="2"/>
  <c r="H14" i="2"/>
  <c r="H17" i="2" s="1"/>
  <c r="H16" i="2"/>
  <c r="H15" i="2"/>
  <c r="K23" i="2"/>
  <c r="L7" i="16"/>
  <c r="P7" i="16" s="1"/>
  <c r="H22" i="2"/>
  <c r="H6" i="8"/>
  <c r="J5" i="2" l="1"/>
  <c r="I14" i="2"/>
  <c r="I17" i="2" s="1"/>
  <c r="I16" i="2"/>
  <c r="I15" i="2"/>
  <c r="J5" i="8"/>
  <c r="J11" i="8"/>
  <c r="J7" i="8"/>
  <c r="L23" i="2"/>
  <c r="I22" i="2"/>
  <c r="I6" i="8"/>
  <c r="C35" i="1"/>
  <c r="N37" i="9"/>
  <c r="F25" i="4"/>
  <c r="G12" i="21"/>
  <c r="C11" i="21"/>
  <c r="D11" i="21"/>
  <c r="E11" i="21" s="1"/>
  <c r="E10" i="21"/>
  <c r="C10" i="21"/>
  <c r="D10" i="21"/>
  <c r="G10" i="21"/>
  <c r="C9" i="21"/>
  <c r="D9" i="21" s="1"/>
  <c r="C8" i="21"/>
  <c r="D8" i="21" s="1"/>
  <c r="C7" i="21"/>
  <c r="D7" i="21" s="1"/>
  <c r="C6" i="21"/>
  <c r="D6" i="21" s="1"/>
  <c r="G5" i="21"/>
  <c r="C5" i="21"/>
  <c r="D5" i="21"/>
  <c r="E5" i="21"/>
  <c r="G4" i="21"/>
  <c r="C4" i="21"/>
  <c r="D4" i="21"/>
  <c r="E4" i="21" s="1"/>
  <c r="F11" i="16"/>
  <c r="H11" i="16" s="1"/>
  <c r="E10" i="16"/>
  <c r="C9" i="14"/>
  <c r="D60" i="12"/>
  <c r="D9" i="12"/>
  <c r="E6" i="12"/>
  <c r="E5" i="12"/>
  <c r="E4" i="12"/>
  <c r="E17" i="12" s="1"/>
  <c r="E79" i="12" s="1"/>
  <c r="D73" i="11"/>
  <c r="D72" i="11"/>
  <c r="D71" i="11"/>
  <c r="H70" i="11"/>
  <c r="I70" i="11"/>
  <c r="J70" i="11"/>
  <c r="K70" i="11"/>
  <c r="L70" i="11"/>
  <c r="M70" i="11"/>
  <c r="N70" i="11"/>
  <c r="E70" i="11"/>
  <c r="F70" i="11"/>
  <c r="G70" i="11"/>
  <c r="D69" i="11"/>
  <c r="E61" i="11"/>
  <c r="D61" i="11"/>
  <c r="D59" i="11"/>
  <c r="F58" i="11"/>
  <c r="E58" i="11"/>
  <c r="D58" i="11"/>
  <c r="E32" i="9"/>
  <c r="E20" i="9"/>
  <c r="F8" i="9"/>
  <c r="E8" i="9"/>
  <c r="D8" i="9"/>
  <c r="D7" i="9"/>
  <c r="F29" i="8"/>
  <c r="D23" i="12"/>
  <c r="R40" i="4"/>
  <c r="Q40" i="4"/>
  <c r="P40" i="4"/>
  <c r="O40" i="4"/>
  <c r="N40" i="4"/>
  <c r="M40" i="4"/>
  <c r="L40" i="4"/>
  <c r="I39" i="4"/>
  <c r="J39" i="4" s="1"/>
  <c r="K39" i="4" s="1"/>
  <c r="I38" i="4"/>
  <c r="J38" i="4" s="1"/>
  <c r="K38" i="4" s="1"/>
  <c r="I36" i="4"/>
  <c r="J36" i="4" s="1"/>
  <c r="K36" i="4" s="1"/>
  <c r="I35" i="4"/>
  <c r="J35" i="4" s="1"/>
  <c r="K35" i="4" s="1"/>
  <c r="I33" i="4"/>
  <c r="J33" i="4" s="1"/>
  <c r="K33" i="4" s="1"/>
  <c r="F29" i="4"/>
  <c r="F28" i="4"/>
  <c r="F27" i="4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F26" i="4"/>
  <c r="F24" i="4"/>
  <c r="I23" i="4"/>
  <c r="J23" i="4" s="1"/>
  <c r="K23" i="4" s="1"/>
  <c r="L23" i="4" s="1"/>
  <c r="M23" i="4" s="1"/>
  <c r="N23" i="4" s="1"/>
  <c r="O23" i="4" s="1"/>
  <c r="P23" i="4" s="1"/>
  <c r="Q23" i="4" s="1"/>
  <c r="R23" i="4" s="1"/>
  <c r="F23" i="4"/>
  <c r="H19" i="4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F19" i="4"/>
  <c r="F15" i="4"/>
  <c r="H15" i="4" s="1"/>
  <c r="F14" i="4"/>
  <c r="F13" i="4"/>
  <c r="H13" i="4" s="1"/>
  <c r="F9" i="4"/>
  <c r="F8" i="4"/>
  <c r="H8" i="4" s="1"/>
  <c r="F5" i="4"/>
  <c r="E34" i="3"/>
  <c r="D29" i="3"/>
  <c r="M23" i="3"/>
  <c r="L23" i="3"/>
  <c r="I23" i="3"/>
  <c r="H23" i="3"/>
  <c r="E23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L17" i="3"/>
  <c r="K17" i="3"/>
  <c r="J17" i="3"/>
  <c r="I17" i="3"/>
  <c r="H17" i="3"/>
  <c r="G17" i="3"/>
  <c r="H16" i="3"/>
  <c r="F17" i="3"/>
  <c r="E17" i="3"/>
  <c r="D17" i="3"/>
  <c r="M16" i="3"/>
  <c r="L16" i="3"/>
  <c r="I16" i="3"/>
  <c r="E16" i="3"/>
  <c r="M5" i="3"/>
  <c r="N5" i="3"/>
  <c r="O5" i="3"/>
  <c r="P5" i="3"/>
  <c r="Q5" i="3"/>
  <c r="R5" i="3"/>
  <c r="S5" i="3"/>
  <c r="T5" i="3"/>
  <c r="U5" i="3"/>
  <c r="L5" i="3"/>
  <c r="K5" i="3"/>
  <c r="J5" i="3"/>
  <c r="I5" i="3"/>
  <c r="H5" i="3"/>
  <c r="G5" i="3"/>
  <c r="F5" i="3"/>
  <c r="E5" i="3"/>
  <c r="N4" i="3"/>
  <c r="O4" i="3"/>
  <c r="M4" i="3"/>
  <c r="M17" i="3"/>
  <c r="U3" i="3"/>
  <c r="C33" i="2"/>
  <c r="C31" i="2"/>
  <c r="C30" i="2"/>
  <c r="G73" i="11"/>
  <c r="E72" i="11"/>
  <c r="F71" i="11"/>
  <c r="E69" i="11"/>
  <c r="D62" i="11"/>
  <c r="H59" i="11"/>
  <c r="G59" i="11"/>
  <c r="E59" i="11"/>
  <c r="G58" i="11"/>
  <c r="E60" i="11"/>
  <c r="D57" i="11"/>
  <c r="P4" i="3"/>
  <c r="O17" i="3"/>
  <c r="I59" i="11"/>
  <c r="N17" i="3"/>
  <c r="F61" i="11"/>
  <c r="F72" i="11"/>
  <c r="F23" i="3"/>
  <c r="F16" i="3"/>
  <c r="F33" i="3"/>
  <c r="J23" i="3"/>
  <c r="J16" i="3"/>
  <c r="F59" i="11"/>
  <c r="E26" i="3"/>
  <c r="E32" i="3"/>
  <c r="F32" i="3"/>
  <c r="G32" i="3"/>
  <c r="H32" i="3"/>
  <c r="I32" i="3"/>
  <c r="J32" i="3"/>
  <c r="K32" i="3"/>
  <c r="L32" i="3"/>
  <c r="M32" i="3"/>
  <c r="E27" i="3"/>
  <c r="G23" i="3"/>
  <c r="G16" i="3"/>
  <c r="K23" i="3"/>
  <c r="K16" i="3"/>
  <c r="E28" i="3"/>
  <c r="F34" i="3"/>
  <c r="G33" i="3"/>
  <c r="K54" i="21"/>
  <c r="G54" i="21"/>
  <c r="E54" i="21"/>
  <c r="F54" i="21"/>
  <c r="D54" i="21"/>
  <c r="H54" i="21"/>
  <c r="I54" i="21"/>
  <c r="F27" i="3"/>
  <c r="G27" i="3"/>
  <c r="H27" i="3"/>
  <c r="I27" i="3"/>
  <c r="J27" i="3"/>
  <c r="K27" i="3"/>
  <c r="L27" i="3"/>
  <c r="M27" i="3"/>
  <c r="N23" i="3"/>
  <c r="N16" i="3"/>
  <c r="N32" i="3"/>
  <c r="O32" i="3"/>
  <c r="E30" i="8"/>
  <c r="F30" i="8" s="1"/>
  <c r="E29" i="3"/>
  <c r="E37" i="3"/>
  <c r="E38" i="3"/>
  <c r="F26" i="3"/>
  <c r="F73" i="11"/>
  <c r="O23" i="3"/>
  <c r="O16" i="3"/>
  <c r="F28" i="3"/>
  <c r="G28" i="3"/>
  <c r="H28" i="3"/>
  <c r="I28" i="3"/>
  <c r="J28" i="3"/>
  <c r="K28" i="3"/>
  <c r="L28" i="3"/>
  <c r="M28" i="3"/>
  <c r="J58" i="11"/>
  <c r="P17" i="3"/>
  <c r="Q4" i="3"/>
  <c r="P32" i="3"/>
  <c r="G71" i="11"/>
  <c r="P23" i="3"/>
  <c r="P16" i="3"/>
  <c r="F29" i="3"/>
  <c r="F37" i="3"/>
  <c r="F38" i="3"/>
  <c r="G26" i="3"/>
  <c r="Q17" i="3"/>
  <c r="R4" i="3"/>
  <c r="N28" i="3"/>
  <c r="O28" i="3"/>
  <c r="P28" i="3"/>
  <c r="G34" i="3"/>
  <c r="H33" i="3"/>
  <c r="K59" i="11"/>
  <c r="N27" i="3"/>
  <c r="O27" i="3"/>
  <c r="P27" i="3"/>
  <c r="H34" i="3"/>
  <c r="I33" i="3"/>
  <c r="R17" i="3"/>
  <c r="S4" i="3"/>
  <c r="Q32" i="3"/>
  <c r="Q23" i="3"/>
  <c r="Q16" i="3"/>
  <c r="Q28" i="3"/>
  <c r="G29" i="3"/>
  <c r="G37" i="3"/>
  <c r="G38" i="3"/>
  <c r="H26" i="3"/>
  <c r="I34" i="3"/>
  <c r="J33" i="3"/>
  <c r="Q27" i="3"/>
  <c r="R23" i="3"/>
  <c r="R16" i="3"/>
  <c r="R32" i="3"/>
  <c r="L59" i="11"/>
  <c r="T4" i="3"/>
  <c r="S17" i="3"/>
  <c r="M59" i="11"/>
  <c r="I26" i="3"/>
  <c r="H29" i="3"/>
  <c r="H37" i="3"/>
  <c r="H38" i="3"/>
  <c r="S32" i="3"/>
  <c r="S23" i="3"/>
  <c r="S16" i="3"/>
  <c r="J34" i="3"/>
  <c r="K33" i="3"/>
  <c r="R28" i="3"/>
  <c r="S28" i="3"/>
  <c r="I29" i="3"/>
  <c r="I37" i="3"/>
  <c r="I38" i="3"/>
  <c r="J26" i="3"/>
  <c r="T17" i="3"/>
  <c r="U4" i="3"/>
  <c r="U17" i="3"/>
  <c r="R27" i="3"/>
  <c r="S27" i="3"/>
  <c r="K34" i="3"/>
  <c r="L33" i="3"/>
  <c r="U16" i="3"/>
  <c r="U23" i="3"/>
  <c r="J29" i="3"/>
  <c r="J37" i="3"/>
  <c r="J38" i="3"/>
  <c r="K26" i="3"/>
  <c r="T16" i="3"/>
  <c r="T27" i="3"/>
  <c r="U27" i="3"/>
  <c r="T23" i="3"/>
  <c r="T32" i="3"/>
  <c r="U32" i="3"/>
  <c r="L34" i="3"/>
  <c r="M33" i="3"/>
  <c r="T28" i="3"/>
  <c r="U28" i="3"/>
  <c r="K29" i="3"/>
  <c r="K37" i="3"/>
  <c r="K38" i="3"/>
  <c r="L26" i="3"/>
  <c r="M26" i="3"/>
  <c r="L29" i="3"/>
  <c r="L37" i="3"/>
  <c r="L38" i="3"/>
  <c r="N33" i="3"/>
  <c r="M34" i="3"/>
  <c r="N34" i="3"/>
  <c r="O33" i="3"/>
  <c r="M29" i="3"/>
  <c r="M37" i="3"/>
  <c r="M38" i="3"/>
  <c r="N26" i="3"/>
  <c r="N29" i="3"/>
  <c r="N37" i="3"/>
  <c r="N38" i="3"/>
  <c r="O26" i="3"/>
  <c r="O34" i="3"/>
  <c r="P33" i="3"/>
  <c r="P34" i="3"/>
  <c r="Q33" i="3"/>
  <c r="P26" i="3"/>
  <c r="O29" i="3"/>
  <c r="O37" i="3"/>
  <c r="O38" i="3"/>
  <c r="Q26" i="3"/>
  <c r="P29" i="3"/>
  <c r="P37" i="3"/>
  <c r="P38" i="3"/>
  <c r="Q34" i="3"/>
  <c r="R33" i="3"/>
  <c r="R34" i="3"/>
  <c r="S33" i="3"/>
  <c r="Q29" i="3"/>
  <c r="Q37" i="3"/>
  <c r="Q38" i="3"/>
  <c r="R26" i="3"/>
  <c r="R29" i="3"/>
  <c r="R37" i="3"/>
  <c r="R38" i="3"/>
  <c r="S26" i="3"/>
  <c r="S34" i="3"/>
  <c r="T33" i="3"/>
  <c r="T34" i="3"/>
  <c r="U33" i="3"/>
  <c r="U34" i="3"/>
  <c r="S29" i="3"/>
  <c r="S37" i="3"/>
  <c r="S38" i="3"/>
  <c r="T26" i="3"/>
  <c r="U26" i="3"/>
  <c r="U29" i="3"/>
  <c r="U37" i="3"/>
  <c r="U38" i="3"/>
  <c r="T29" i="3"/>
  <c r="T37" i="3"/>
  <c r="T38" i="3"/>
  <c r="F70" i="12" l="1"/>
  <c r="F93" i="12" s="1"/>
  <c r="F20" i="9"/>
  <c r="K5" i="2"/>
  <c r="J15" i="2"/>
  <c r="J14" i="2"/>
  <c r="J17" i="2" s="1"/>
  <c r="J16" i="2"/>
  <c r="K11" i="8"/>
  <c r="K5" i="8"/>
  <c r="K7" i="8"/>
  <c r="G6" i="21"/>
  <c r="E6" i="21"/>
  <c r="E9" i="12"/>
  <c r="F9" i="12" s="1"/>
  <c r="D41" i="12"/>
  <c r="D42" i="12"/>
  <c r="D43" i="12"/>
  <c r="E30" i="12"/>
  <c r="F6" i="12"/>
  <c r="F24" i="12" s="1"/>
  <c r="F4" i="12"/>
  <c r="E18" i="12"/>
  <c r="E80" i="12" s="1"/>
  <c r="E23" i="12"/>
  <c r="E24" i="12"/>
  <c r="E19" i="12"/>
  <c r="E81" i="12" s="1"/>
  <c r="F5" i="12"/>
  <c r="M23" i="2"/>
  <c r="J22" i="2"/>
  <c r="J6" i="8"/>
  <c r="L11" i="16"/>
  <c r="J11" i="16"/>
  <c r="N11" i="16"/>
  <c r="P11" i="16"/>
  <c r="E9" i="21"/>
  <c r="G9" i="21"/>
  <c r="H38" i="21"/>
  <c r="H61" i="21" s="1"/>
  <c r="E38" i="21"/>
  <c r="E61" i="21" s="1"/>
  <c r="F38" i="21"/>
  <c r="D38" i="21"/>
  <c r="I38" i="21"/>
  <c r="J39" i="21" s="1"/>
  <c r="G38" i="21"/>
  <c r="G61" i="21" s="1"/>
  <c r="G7" i="21"/>
  <c r="E7" i="21"/>
  <c r="G8" i="21"/>
  <c r="E8" i="21"/>
  <c r="F61" i="21"/>
  <c r="J54" i="21"/>
  <c r="G11" i="21"/>
  <c r="D61" i="21"/>
  <c r="J55" i="21"/>
  <c r="D17" i="16"/>
  <c r="F32" i="9"/>
  <c r="G29" i="8"/>
  <c r="G30" i="8"/>
  <c r="F16" i="4"/>
  <c r="C6" i="1" s="1"/>
  <c r="H5" i="4"/>
  <c r="I5" i="4" s="1"/>
  <c r="H29" i="4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F69" i="11"/>
  <c r="E6" i="9"/>
  <c r="E71" i="11"/>
  <c r="E73" i="11"/>
  <c r="F6" i="9"/>
  <c r="D16" i="20"/>
  <c r="D17" i="20" s="1"/>
  <c r="G61" i="11"/>
  <c r="I61" i="11"/>
  <c r="D17" i="12"/>
  <c r="D79" i="12" s="1"/>
  <c r="D82" i="12" s="1"/>
  <c r="D60" i="11"/>
  <c r="D6" i="9"/>
  <c r="N59" i="11"/>
  <c r="G57" i="11"/>
  <c r="D25" i="12"/>
  <c r="D22" i="20"/>
  <c r="D14" i="9"/>
  <c r="H73" i="11"/>
  <c r="D19" i="20"/>
  <c r="H71" i="11"/>
  <c r="E57" i="11"/>
  <c r="C7" i="14"/>
  <c r="H28" i="4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H24" i="4"/>
  <c r="I24" i="4" s="1"/>
  <c r="J24" i="4" s="1"/>
  <c r="K24" i="4" s="1"/>
  <c r="L24" i="4" s="1"/>
  <c r="I13" i="4"/>
  <c r="F20" i="4"/>
  <c r="C7" i="1" s="1"/>
  <c r="F10" i="4"/>
  <c r="C5" i="1" s="1"/>
  <c r="I14" i="4"/>
  <c r="J14" i="4" s="1"/>
  <c r="K14" i="4" s="1"/>
  <c r="L14" i="4" s="1"/>
  <c r="M14" i="4" s="1"/>
  <c r="N14" i="4" s="1"/>
  <c r="O14" i="4" s="1"/>
  <c r="P14" i="4" s="1"/>
  <c r="Q14" i="4" s="1"/>
  <c r="R14" i="4" s="1"/>
  <c r="H9" i="4"/>
  <c r="I9" i="4" s="1"/>
  <c r="J9" i="4" s="1"/>
  <c r="K9" i="4" s="1"/>
  <c r="L9" i="4" s="1"/>
  <c r="M9" i="4" s="1"/>
  <c r="N9" i="4" s="1"/>
  <c r="O9" i="4" s="1"/>
  <c r="P9" i="4" s="1"/>
  <c r="Q9" i="4" s="1"/>
  <c r="R9" i="4" s="1"/>
  <c r="H25" i="4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I15" i="4"/>
  <c r="J15" i="4" s="1"/>
  <c r="K15" i="4" s="1"/>
  <c r="L15" i="4" s="1"/>
  <c r="M15" i="4" s="1"/>
  <c r="N15" i="4" s="1"/>
  <c r="O15" i="4" s="1"/>
  <c r="P15" i="4" s="1"/>
  <c r="Q15" i="4" s="1"/>
  <c r="R15" i="4" s="1"/>
  <c r="H26" i="4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F30" i="4"/>
  <c r="C8" i="1" s="1"/>
  <c r="I8" i="4"/>
  <c r="J8" i="4" s="1"/>
  <c r="K8" i="4" s="1"/>
  <c r="L8" i="4" s="1"/>
  <c r="M8" i="4" s="1"/>
  <c r="N8" i="4" s="1"/>
  <c r="O8" i="4" s="1"/>
  <c r="P8" i="4" s="1"/>
  <c r="Q8" i="4" s="1"/>
  <c r="R8" i="4" s="1"/>
  <c r="G20" i="9" l="1"/>
  <c r="G70" i="12"/>
  <c r="G93" i="12" s="1"/>
  <c r="L5" i="2"/>
  <c r="K15" i="2"/>
  <c r="K14" i="2"/>
  <c r="K17" i="2" s="1"/>
  <c r="K16" i="2"/>
  <c r="L5" i="8"/>
  <c r="L11" i="8"/>
  <c r="L7" i="8"/>
  <c r="K38" i="21"/>
  <c r="K61" i="21" s="1"/>
  <c r="H12" i="21"/>
  <c r="H27" i="16" s="1"/>
  <c r="N27" i="16" s="1"/>
  <c r="N30" i="16" s="1"/>
  <c r="E26" i="2" s="1"/>
  <c r="F16" i="8" s="1"/>
  <c r="I61" i="21"/>
  <c r="D85" i="12"/>
  <c r="F41" i="12"/>
  <c r="F43" i="12"/>
  <c r="F42" i="12"/>
  <c r="F19" i="12"/>
  <c r="F81" i="12" s="1"/>
  <c r="E41" i="12"/>
  <c r="E43" i="12"/>
  <c r="E42" i="12"/>
  <c r="F30" i="12"/>
  <c r="G6" i="12"/>
  <c r="G19" i="12" s="1"/>
  <c r="G81" i="12" s="1"/>
  <c r="F23" i="12"/>
  <c r="F18" i="12"/>
  <c r="F80" i="12" s="1"/>
  <c r="F17" i="12"/>
  <c r="F79" i="12" s="1"/>
  <c r="G4" i="12"/>
  <c r="G5" i="12"/>
  <c r="H60" i="8"/>
  <c r="G32" i="9"/>
  <c r="K22" i="2"/>
  <c r="K6" i="8"/>
  <c r="J38" i="21"/>
  <c r="J61" i="21" s="1"/>
  <c r="D44" i="12"/>
  <c r="D87" i="12" s="1"/>
  <c r="H30" i="8"/>
  <c r="G9" i="12"/>
  <c r="H29" i="8"/>
  <c r="E7" i="20"/>
  <c r="D20" i="12"/>
  <c r="E16" i="20"/>
  <c r="E17" i="20" s="1"/>
  <c r="E19" i="20"/>
  <c r="E7" i="9"/>
  <c r="G69" i="11"/>
  <c r="D9" i="9"/>
  <c r="H61" i="11"/>
  <c r="G72" i="11"/>
  <c r="G16" i="20"/>
  <c r="G17" i="20" s="1"/>
  <c r="F19" i="20"/>
  <c r="F60" i="11"/>
  <c r="E62" i="11"/>
  <c r="I58" i="11"/>
  <c r="J59" i="11"/>
  <c r="H58" i="11"/>
  <c r="G6" i="9"/>
  <c r="I73" i="11"/>
  <c r="G7" i="9"/>
  <c r="G7" i="20"/>
  <c r="G19" i="20"/>
  <c r="F62" i="11"/>
  <c r="I71" i="11"/>
  <c r="D23" i="20"/>
  <c r="D20" i="20"/>
  <c r="K58" i="11"/>
  <c r="G60" i="11"/>
  <c r="F57" i="11"/>
  <c r="F16" i="20"/>
  <c r="F17" i="20" s="1"/>
  <c r="J57" i="11"/>
  <c r="E35" i="1"/>
  <c r="F34" i="4"/>
  <c r="F40" i="4" s="1"/>
  <c r="I16" i="4"/>
  <c r="J13" i="4"/>
  <c r="H16" i="4"/>
  <c r="H20" i="4"/>
  <c r="M24" i="4"/>
  <c r="H30" i="4"/>
  <c r="J5" i="4"/>
  <c r="I10" i="4"/>
  <c r="H10" i="4"/>
  <c r="H32" i="9" l="1"/>
  <c r="H70" i="12"/>
  <c r="H93" i="12" s="1"/>
  <c r="I60" i="8"/>
  <c r="I70" i="12" s="1"/>
  <c r="I93" i="12" s="1"/>
  <c r="H20" i="9"/>
  <c r="M5" i="2"/>
  <c r="L14" i="2"/>
  <c r="L17" i="2" s="1"/>
  <c r="L16" i="2"/>
  <c r="L15" i="2"/>
  <c r="M11" i="8"/>
  <c r="M5" i="8"/>
  <c r="M7" i="8"/>
  <c r="L27" i="16"/>
  <c r="L30" i="16" s="1"/>
  <c r="D26" i="2" s="1"/>
  <c r="E16" i="8" s="1"/>
  <c r="F18" i="8"/>
  <c r="F29" i="12"/>
  <c r="P27" i="16"/>
  <c r="P30" i="16" s="1"/>
  <c r="F26" i="2" s="1"/>
  <c r="G16" i="8" s="1"/>
  <c r="G18" i="8" s="1"/>
  <c r="J27" i="16"/>
  <c r="J30" i="16" s="1"/>
  <c r="C26" i="2" s="1"/>
  <c r="D16" i="8" s="1"/>
  <c r="G42" i="12"/>
  <c r="G41" i="12"/>
  <c r="G43" i="12"/>
  <c r="G30" i="12"/>
  <c r="H6" i="12"/>
  <c r="G24" i="12"/>
  <c r="G18" i="12"/>
  <c r="G80" i="12" s="1"/>
  <c r="G23" i="12"/>
  <c r="H4" i="12"/>
  <c r="G17" i="12"/>
  <c r="G79" i="12" s="1"/>
  <c r="H5" i="12"/>
  <c r="C9" i="1"/>
  <c r="F43" i="4"/>
  <c r="F45" i="4" s="1"/>
  <c r="L22" i="2"/>
  <c r="L6" i="8"/>
  <c r="E4" i="20"/>
  <c r="E5" i="20" s="1"/>
  <c r="E8" i="20" s="1"/>
  <c r="I30" i="8"/>
  <c r="I20" i="9"/>
  <c r="J60" i="8"/>
  <c r="J70" i="12" s="1"/>
  <c r="J93" i="12" s="1"/>
  <c r="I29" i="8"/>
  <c r="I16" i="20"/>
  <c r="I17" i="20" s="1"/>
  <c r="H9" i="12"/>
  <c r="E20" i="20"/>
  <c r="D26" i="12"/>
  <c r="D45" i="12"/>
  <c r="H16" i="20"/>
  <c r="H17" i="20" s="1"/>
  <c r="H69" i="11"/>
  <c r="J61" i="11"/>
  <c r="H72" i="11"/>
  <c r="D12" i="9"/>
  <c r="H8" i="9"/>
  <c r="F7" i="9"/>
  <c r="F7" i="20"/>
  <c r="H19" i="20"/>
  <c r="J73" i="11"/>
  <c r="J16" i="20"/>
  <c r="J17" i="20" s="1"/>
  <c r="J7" i="9"/>
  <c r="J7" i="20"/>
  <c r="F20" i="20"/>
  <c r="K61" i="11"/>
  <c r="J60" i="11"/>
  <c r="J71" i="11"/>
  <c r="G20" i="20"/>
  <c r="H57" i="11"/>
  <c r="G8" i="9"/>
  <c r="F4" i="20"/>
  <c r="F5" i="20" s="1"/>
  <c r="L58" i="11"/>
  <c r="I57" i="11"/>
  <c r="K57" i="11"/>
  <c r="H6" i="9"/>
  <c r="I34" i="4"/>
  <c r="K13" i="4"/>
  <c r="J16" i="4"/>
  <c r="N24" i="4"/>
  <c r="J10" i="4"/>
  <c r="K5" i="4"/>
  <c r="I30" i="4"/>
  <c r="I20" i="4"/>
  <c r="I32" i="9" l="1"/>
  <c r="N11" i="8"/>
  <c r="M14" i="2"/>
  <c r="M17" i="2" s="1"/>
  <c r="M16" i="2"/>
  <c r="M15" i="2"/>
  <c r="N5" i="8"/>
  <c r="N7" i="8"/>
  <c r="G29" i="12"/>
  <c r="G26" i="2"/>
  <c r="H16" i="8" s="1"/>
  <c r="H18" i="8" s="1"/>
  <c r="D18" i="8"/>
  <c r="D21" i="8" s="1"/>
  <c r="D23" i="8" s="1"/>
  <c r="D29" i="12"/>
  <c r="E18" i="8"/>
  <c r="E29" i="12"/>
  <c r="H43" i="12"/>
  <c r="H42" i="12"/>
  <c r="H41" i="12"/>
  <c r="H29" i="12"/>
  <c r="H30" i="12"/>
  <c r="H19" i="12"/>
  <c r="H81" i="12" s="1"/>
  <c r="I6" i="12"/>
  <c r="H24" i="12"/>
  <c r="I4" i="12"/>
  <c r="H17" i="12"/>
  <c r="H79" i="12" s="1"/>
  <c r="H18" i="12"/>
  <c r="H80" i="12" s="1"/>
  <c r="H23" i="12"/>
  <c r="I5" i="12"/>
  <c r="M22" i="2"/>
  <c r="N6" i="8" s="1"/>
  <c r="M6" i="8"/>
  <c r="G4" i="20"/>
  <c r="G5" i="20" s="1"/>
  <c r="G8" i="20" s="1"/>
  <c r="J29" i="8"/>
  <c r="I9" i="12"/>
  <c r="J20" i="9"/>
  <c r="J32" i="9"/>
  <c r="K60" i="8"/>
  <c r="K70" i="12" s="1"/>
  <c r="K93" i="12" s="1"/>
  <c r="J30" i="8"/>
  <c r="I69" i="11"/>
  <c r="I72" i="11"/>
  <c r="I8" i="9"/>
  <c r="E31" i="8"/>
  <c r="E44" i="12"/>
  <c r="E87" i="12" s="1"/>
  <c r="H7" i="9"/>
  <c r="H7" i="20"/>
  <c r="M58" i="11"/>
  <c r="I19" i="20"/>
  <c r="I6" i="9"/>
  <c r="H62" i="11"/>
  <c r="J8" i="9"/>
  <c r="K7" i="9"/>
  <c r="K7" i="20"/>
  <c r="I60" i="11"/>
  <c r="E9" i="9"/>
  <c r="E30" i="20"/>
  <c r="E8" i="8"/>
  <c r="E10" i="8" s="1"/>
  <c r="H4" i="20"/>
  <c r="H5" i="20" s="1"/>
  <c r="N58" i="11"/>
  <c r="I7" i="9"/>
  <c r="I7" i="20"/>
  <c r="K60" i="11"/>
  <c r="K73" i="11"/>
  <c r="G62" i="11"/>
  <c r="L57" i="11"/>
  <c r="H60" i="11"/>
  <c r="K71" i="11"/>
  <c r="L61" i="11"/>
  <c r="H20" i="20"/>
  <c r="F8" i="20"/>
  <c r="H40" i="4"/>
  <c r="H44" i="4" s="1"/>
  <c r="L13" i="4"/>
  <c r="K16" i="4"/>
  <c r="O24" i="4"/>
  <c r="J20" i="4"/>
  <c r="J30" i="4"/>
  <c r="C11" i="1"/>
  <c r="C16" i="1" s="1"/>
  <c r="F16" i="1" s="1"/>
  <c r="F17" i="1" s="1"/>
  <c r="J34" i="4"/>
  <c r="I40" i="4"/>
  <c r="K10" i="4"/>
  <c r="L5" i="4"/>
  <c r="I44" i="4" l="1"/>
  <c r="E37" i="8" s="1"/>
  <c r="E49" i="8" s="1"/>
  <c r="H26" i="2"/>
  <c r="I16" i="8" s="1"/>
  <c r="I18" i="8" s="1"/>
  <c r="D19" i="8"/>
  <c r="I41" i="12"/>
  <c r="I43" i="12"/>
  <c r="I42" i="12"/>
  <c r="I30" i="12"/>
  <c r="J6" i="12"/>
  <c r="I19" i="12"/>
  <c r="I81" i="12" s="1"/>
  <c r="I24" i="12"/>
  <c r="I23" i="12"/>
  <c r="I18" i="12"/>
  <c r="I80" i="12" s="1"/>
  <c r="J4" i="12"/>
  <c r="I17" i="12"/>
  <c r="I79" i="12" s="1"/>
  <c r="J5" i="12"/>
  <c r="C4" i="14"/>
  <c r="C17" i="1"/>
  <c r="D60" i="8" s="1"/>
  <c r="D70" i="12" s="1"/>
  <c r="D93" i="12" s="1"/>
  <c r="D24" i="8"/>
  <c r="D34" i="8"/>
  <c r="D13" i="9"/>
  <c r="D15" i="9" s="1"/>
  <c r="D17" i="9" s="1"/>
  <c r="K30" i="8"/>
  <c r="J9" i="12"/>
  <c r="K20" i="9"/>
  <c r="L60" i="8"/>
  <c r="L70" i="12" s="1"/>
  <c r="L93" i="12" s="1"/>
  <c r="K32" i="9"/>
  <c r="K29" i="8"/>
  <c r="J69" i="11"/>
  <c r="J72" i="11"/>
  <c r="K16" i="20"/>
  <c r="K17" i="20" s="1"/>
  <c r="M61" i="11"/>
  <c r="J6" i="9"/>
  <c r="L73" i="11"/>
  <c r="F30" i="20"/>
  <c r="F9" i="9"/>
  <c r="F8" i="8"/>
  <c r="E27" i="20"/>
  <c r="E28" i="20" s="1"/>
  <c r="E31" i="20" s="1"/>
  <c r="I20" i="20"/>
  <c r="E33" i="20"/>
  <c r="E32" i="8"/>
  <c r="E22" i="20"/>
  <c r="E23" i="20" s="1"/>
  <c r="E14" i="9"/>
  <c r="E10" i="20"/>
  <c r="E11" i="20" s="1"/>
  <c r="L60" i="11"/>
  <c r="E13" i="8"/>
  <c r="E25" i="12"/>
  <c r="E85" i="12" s="1"/>
  <c r="M57" i="11"/>
  <c r="H8" i="20"/>
  <c r="L16" i="20"/>
  <c r="L17" i="20" s="1"/>
  <c r="L71" i="11"/>
  <c r="L7" i="20"/>
  <c r="L7" i="9"/>
  <c r="F31" i="8"/>
  <c r="F44" i="12"/>
  <c r="F87" i="12" s="1"/>
  <c r="K8" i="9"/>
  <c r="E82" i="12"/>
  <c r="E20" i="12"/>
  <c r="G35" i="1"/>
  <c r="M13" i="4"/>
  <c r="L16" i="4"/>
  <c r="K20" i="4"/>
  <c r="L10" i="4"/>
  <c r="M5" i="4"/>
  <c r="K30" i="4"/>
  <c r="P24" i="4"/>
  <c r="K34" i="4"/>
  <c r="K40" i="4" s="1"/>
  <c r="J40" i="4"/>
  <c r="I26" i="2" l="1"/>
  <c r="J16" i="8" s="1"/>
  <c r="J18" i="8" s="1"/>
  <c r="K44" i="4"/>
  <c r="J44" i="4"/>
  <c r="F37" i="8" s="1"/>
  <c r="F49" i="8" s="1"/>
  <c r="I29" i="12"/>
  <c r="J42" i="12"/>
  <c r="J41" i="12"/>
  <c r="J43" i="12"/>
  <c r="J30" i="12"/>
  <c r="J19" i="12"/>
  <c r="J81" i="12" s="1"/>
  <c r="K6" i="12"/>
  <c r="J24" i="12"/>
  <c r="J23" i="12"/>
  <c r="J18" i="12"/>
  <c r="J80" i="12" s="1"/>
  <c r="K4" i="12"/>
  <c r="J17" i="12"/>
  <c r="J79" i="12" s="1"/>
  <c r="K5" i="12"/>
  <c r="G5" i="14"/>
  <c r="G17" i="14"/>
  <c r="C8" i="14"/>
  <c r="D35" i="8"/>
  <c r="D38" i="8"/>
  <c r="I4" i="20"/>
  <c r="I5" i="20" s="1"/>
  <c r="I8" i="20" s="1"/>
  <c r="L30" i="8"/>
  <c r="L32" i="9"/>
  <c r="L20" i="9"/>
  <c r="M60" i="8"/>
  <c r="M70" i="12" s="1"/>
  <c r="M93" i="12" s="1"/>
  <c r="L29" i="8"/>
  <c r="K9" i="12"/>
  <c r="E34" i="20"/>
  <c r="J19" i="20"/>
  <c r="J20" i="20" s="1"/>
  <c r="K69" i="11"/>
  <c r="K72" i="11"/>
  <c r="M7" i="9"/>
  <c r="E26" i="12"/>
  <c r="F27" i="20"/>
  <c r="F28" i="20" s="1"/>
  <c r="F31" i="20" s="1"/>
  <c r="G44" i="12"/>
  <c r="G87" i="12" s="1"/>
  <c r="G31" i="8"/>
  <c r="K19" i="20"/>
  <c r="E19" i="8"/>
  <c r="E13" i="9"/>
  <c r="E14" i="8"/>
  <c r="E12" i="9"/>
  <c r="E21" i="8"/>
  <c r="E23" i="8" s="1"/>
  <c r="F25" i="12"/>
  <c r="F85" i="12" s="1"/>
  <c r="F13" i="8"/>
  <c r="E37" i="20"/>
  <c r="E38" i="20"/>
  <c r="H9" i="9"/>
  <c r="H30" i="20"/>
  <c r="H8" i="8"/>
  <c r="M71" i="11"/>
  <c r="N71" i="11"/>
  <c r="I62" i="11"/>
  <c r="M60" i="11"/>
  <c r="F13" i="9"/>
  <c r="F19" i="8"/>
  <c r="G9" i="9"/>
  <c r="G30" i="20"/>
  <c r="G8" i="8"/>
  <c r="K6" i="9"/>
  <c r="F10" i="8"/>
  <c r="F82" i="12"/>
  <c r="F20" i="12"/>
  <c r="E45" i="12"/>
  <c r="L8" i="9"/>
  <c r="H44" i="12"/>
  <c r="H87" i="12" s="1"/>
  <c r="H31" i="8"/>
  <c r="N57" i="11"/>
  <c r="F10" i="20"/>
  <c r="F11" i="20" s="1"/>
  <c r="F22" i="20"/>
  <c r="F23" i="20" s="1"/>
  <c r="F14" i="9"/>
  <c r="F33" i="20"/>
  <c r="F32" i="8"/>
  <c r="N73" i="11"/>
  <c r="M73" i="11"/>
  <c r="N61" i="11"/>
  <c r="N13" i="4"/>
  <c r="M16" i="4"/>
  <c r="G37" i="8"/>
  <c r="Q24" i="4"/>
  <c r="L30" i="4"/>
  <c r="L20" i="4"/>
  <c r="N5" i="4"/>
  <c r="M10" i="4"/>
  <c r="J26" i="2" l="1"/>
  <c r="K16" i="8" s="1"/>
  <c r="K18" i="8" s="1"/>
  <c r="J29" i="12"/>
  <c r="L44" i="4"/>
  <c r="H37" i="8" s="1"/>
  <c r="H49" i="8" s="1"/>
  <c r="K42" i="12"/>
  <c r="K41" i="12"/>
  <c r="K43" i="12"/>
  <c r="K30" i="12"/>
  <c r="K19" i="12"/>
  <c r="K81" i="12" s="1"/>
  <c r="L6" i="12"/>
  <c r="K24" i="12"/>
  <c r="L4" i="12"/>
  <c r="K17" i="12"/>
  <c r="K79" i="12" s="1"/>
  <c r="K18" i="12"/>
  <c r="K80" i="12" s="1"/>
  <c r="K23" i="12"/>
  <c r="L5" i="12"/>
  <c r="H17" i="14"/>
  <c r="I17" i="14" s="1"/>
  <c r="H5" i="14"/>
  <c r="J5" i="14"/>
  <c r="G6" i="14" s="1"/>
  <c r="J4" i="20"/>
  <c r="J5" i="20" s="1"/>
  <c r="J8" i="20" s="1"/>
  <c r="L9" i="12"/>
  <c r="M20" i="9"/>
  <c r="M32" i="9"/>
  <c r="N60" i="8"/>
  <c r="N70" i="12" s="1"/>
  <c r="N93" i="12" s="1"/>
  <c r="M29" i="8"/>
  <c r="M30" i="8"/>
  <c r="L69" i="11"/>
  <c r="E15" i="9"/>
  <c r="E17" i="9" s="1"/>
  <c r="L72" i="11"/>
  <c r="H13" i="9"/>
  <c r="H19" i="8"/>
  <c r="G82" i="12"/>
  <c r="G20" i="12"/>
  <c r="F14" i="8"/>
  <c r="F12" i="9"/>
  <c r="F15" i="9" s="1"/>
  <c r="F17" i="9" s="1"/>
  <c r="F21" i="8"/>
  <c r="F23" i="8" s="1"/>
  <c r="H27" i="20"/>
  <c r="H28" i="20" s="1"/>
  <c r="H31" i="20" s="1"/>
  <c r="J62" i="11"/>
  <c r="N60" i="11"/>
  <c r="G10" i="8"/>
  <c r="G27" i="20"/>
  <c r="G28" i="20" s="1"/>
  <c r="G31" i="20" s="1"/>
  <c r="F26" i="12"/>
  <c r="K20" i="20"/>
  <c r="G10" i="20"/>
  <c r="G11" i="20" s="1"/>
  <c r="G33" i="20"/>
  <c r="G32" i="8"/>
  <c r="G22" i="20"/>
  <c r="G23" i="20" s="1"/>
  <c r="G14" i="9"/>
  <c r="F37" i="20"/>
  <c r="F38" i="20"/>
  <c r="M8" i="9"/>
  <c r="L6" i="9"/>
  <c r="H10" i="20"/>
  <c r="H11" i="20" s="1"/>
  <c r="H22" i="20"/>
  <c r="H23" i="20" s="1"/>
  <c r="H14" i="9"/>
  <c r="H33" i="20"/>
  <c r="H32" i="8"/>
  <c r="F45" i="12"/>
  <c r="H10" i="8"/>
  <c r="H82" i="12"/>
  <c r="H20" i="12"/>
  <c r="H45" i="12" s="1"/>
  <c r="F34" i="20"/>
  <c r="G25" i="12"/>
  <c r="G85" i="12" s="1"/>
  <c r="G13" i="8"/>
  <c r="E24" i="8"/>
  <c r="E34" i="8"/>
  <c r="H13" i="8"/>
  <c r="N8" i="9"/>
  <c r="N7" i="9"/>
  <c r="L19" i="20"/>
  <c r="G49" i="8"/>
  <c r="N16" i="4"/>
  <c r="O13" i="4"/>
  <c r="O5" i="4"/>
  <c r="N10" i="4"/>
  <c r="M20" i="4"/>
  <c r="R24" i="4"/>
  <c r="M30" i="4"/>
  <c r="K26" i="2" l="1"/>
  <c r="L16" i="8" s="1"/>
  <c r="L18" i="8" s="1"/>
  <c r="K29" i="12"/>
  <c r="M44" i="4"/>
  <c r="I37" i="8" s="1"/>
  <c r="I49" i="8" s="1"/>
  <c r="J17" i="14"/>
  <c r="G18" i="14" s="1"/>
  <c r="H18" i="14" s="1"/>
  <c r="L41" i="12"/>
  <c r="L43" i="12"/>
  <c r="L42" i="12"/>
  <c r="L30" i="12"/>
  <c r="L24" i="12"/>
  <c r="M6" i="12"/>
  <c r="L19" i="12"/>
  <c r="L81" i="12" s="1"/>
  <c r="L18" i="12"/>
  <c r="L80" i="12" s="1"/>
  <c r="L23" i="12"/>
  <c r="M4" i="12"/>
  <c r="L17" i="12"/>
  <c r="L79" i="12" s="1"/>
  <c r="M5" i="12"/>
  <c r="H6" i="14"/>
  <c r="J6" i="14"/>
  <c r="G7" i="14" s="1"/>
  <c r="K4" i="20"/>
  <c r="K5" i="20" s="1"/>
  <c r="K8" i="20" s="1"/>
  <c r="N32" i="9"/>
  <c r="N20" i="9"/>
  <c r="N30" i="8"/>
  <c r="N29" i="8"/>
  <c r="M9" i="12"/>
  <c r="G34" i="20"/>
  <c r="M69" i="11"/>
  <c r="N69" i="11"/>
  <c r="G45" i="12"/>
  <c r="M72" i="11"/>
  <c r="N72" i="11"/>
  <c r="M6" i="9"/>
  <c r="G12" i="9"/>
  <c r="G14" i="8"/>
  <c r="G21" i="8"/>
  <c r="G23" i="8" s="1"/>
  <c r="I9" i="9"/>
  <c r="I30" i="20"/>
  <c r="I8" i="8"/>
  <c r="N6" i="9"/>
  <c r="G26" i="12"/>
  <c r="I44" i="12"/>
  <c r="I87" i="12" s="1"/>
  <c r="I31" i="8"/>
  <c r="H38" i="20"/>
  <c r="H37" i="20"/>
  <c r="K62" i="11"/>
  <c r="G19" i="8"/>
  <c r="G13" i="9"/>
  <c r="H14" i="8"/>
  <c r="H21" i="8"/>
  <c r="H23" i="8" s="1"/>
  <c r="H12" i="9"/>
  <c r="H15" i="9" s="1"/>
  <c r="H17" i="9" s="1"/>
  <c r="E35" i="8"/>
  <c r="E38" i="8"/>
  <c r="G38" i="20"/>
  <c r="G37" i="20"/>
  <c r="L20" i="20"/>
  <c r="H25" i="12"/>
  <c r="H85" i="12" s="1"/>
  <c r="F34" i="8"/>
  <c r="F24" i="8"/>
  <c r="H34" i="20"/>
  <c r="O16" i="4"/>
  <c r="P13" i="4"/>
  <c r="N30" i="4"/>
  <c r="O10" i="4"/>
  <c r="P5" i="4"/>
  <c r="N20" i="4"/>
  <c r="L26" i="2" l="1"/>
  <c r="M16" i="8" s="1"/>
  <c r="M18" i="8" s="1"/>
  <c r="L29" i="12"/>
  <c r="N44" i="4"/>
  <c r="I18" i="14"/>
  <c r="M41" i="12"/>
  <c r="M43" i="12"/>
  <c r="M42" i="12"/>
  <c r="M30" i="12"/>
  <c r="M24" i="12"/>
  <c r="M19" i="12"/>
  <c r="M81" i="12" s="1"/>
  <c r="N6" i="12"/>
  <c r="M23" i="12"/>
  <c r="M18" i="12"/>
  <c r="M80" i="12" s="1"/>
  <c r="N4" i="12"/>
  <c r="N17" i="12" s="1"/>
  <c r="N79" i="12" s="1"/>
  <c r="M17" i="12"/>
  <c r="M79" i="12" s="1"/>
  <c r="N5" i="12"/>
  <c r="J7" i="14"/>
  <c r="G8" i="14" s="1"/>
  <c r="H7" i="14"/>
  <c r="L4" i="20"/>
  <c r="L5" i="20" s="1"/>
  <c r="L8" i="20" s="1"/>
  <c r="N9" i="12"/>
  <c r="J37" i="8"/>
  <c r="J49" i="8" s="1"/>
  <c r="G15" i="9"/>
  <c r="G17" i="9" s="1"/>
  <c r="I32" i="8"/>
  <c r="I33" i="20"/>
  <c r="I14" i="9"/>
  <c r="I22" i="20"/>
  <c r="I23" i="20" s="1"/>
  <c r="I10" i="20"/>
  <c r="I11" i="20" s="1"/>
  <c r="H34" i="8"/>
  <c r="H24" i="8"/>
  <c r="L62" i="11"/>
  <c r="I82" i="12"/>
  <c r="I20" i="12"/>
  <c r="I25" i="12"/>
  <c r="I85" i="12" s="1"/>
  <c r="I13" i="8"/>
  <c r="H26" i="12"/>
  <c r="J31" i="8"/>
  <c r="J44" i="12"/>
  <c r="J87" i="12" s="1"/>
  <c r="I10" i="8"/>
  <c r="F35" i="8"/>
  <c r="F38" i="8"/>
  <c r="I27" i="20"/>
  <c r="I28" i="20" s="1"/>
  <c r="I31" i="20" s="1"/>
  <c r="J30" i="20"/>
  <c r="J9" i="9"/>
  <c r="J8" i="8"/>
  <c r="G34" i="8"/>
  <c r="G24" i="8"/>
  <c r="P16" i="4"/>
  <c r="Q13" i="4"/>
  <c r="O20" i="4"/>
  <c r="Q5" i="4"/>
  <c r="P10" i="4"/>
  <c r="O30" i="4"/>
  <c r="M29" i="12" l="1"/>
  <c r="M26" i="2"/>
  <c r="N16" i="8" s="1"/>
  <c r="N18" i="8" s="1"/>
  <c r="O44" i="4"/>
  <c r="J18" i="14"/>
  <c r="G19" i="14" s="1"/>
  <c r="H19" i="14" s="1"/>
  <c r="I19" i="14" s="1"/>
  <c r="J19" i="14" s="1"/>
  <c r="G20" i="14" s="1"/>
  <c r="H20" i="14" s="1"/>
  <c r="N41" i="12"/>
  <c r="N43" i="12"/>
  <c r="N42" i="12"/>
  <c r="N29" i="12"/>
  <c r="N30" i="12"/>
  <c r="N19" i="12"/>
  <c r="N81" i="12" s="1"/>
  <c r="N24" i="12"/>
  <c r="N23" i="12"/>
  <c r="N18" i="12"/>
  <c r="N80" i="12" s="1"/>
  <c r="J8" i="14"/>
  <c r="G9" i="14" s="1"/>
  <c r="H8" i="14"/>
  <c r="I45" i="12"/>
  <c r="J33" i="20"/>
  <c r="J22" i="20"/>
  <c r="J23" i="20" s="1"/>
  <c r="J14" i="9"/>
  <c r="J10" i="20"/>
  <c r="J11" i="20" s="1"/>
  <c r="J32" i="8"/>
  <c r="J19" i="8"/>
  <c r="J13" i="9"/>
  <c r="H35" i="8"/>
  <c r="H38" i="8"/>
  <c r="J10" i="8"/>
  <c r="I26" i="12"/>
  <c r="G35" i="8"/>
  <c r="G38" i="8"/>
  <c r="I38" i="20"/>
  <c r="I37" i="20"/>
  <c r="I19" i="8"/>
  <c r="I13" i="9"/>
  <c r="J27" i="20"/>
  <c r="J28" i="20" s="1"/>
  <c r="I34" i="20"/>
  <c r="K30" i="20"/>
  <c r="K9" i="9"/>
  <c r="K8" i="8"/>
  <c r="I14" i="8"/>
  <c r="I12" i="9"/>
  <c r="I21" i="8"/>
  <c r="I23" i="8" s="1"/>
  <c r="K31" i="8"/>
  <c r="K44" i="12"/>
  <c r="K87" i="12" s="1"/>
  <c r="J82" i="12"/>
  <c r="J20" i="12"/>
  <c r="J25" i="12"/>
  <c r="J85" i="12" s="1"/>
  <c r="J13" i="8"/>
  <c r="M62" i="11"/>
  <c r="R13" i="4"/>
  <c r="R16" i="4" s="1"/>
  <c r="Q16" i="4"/>
  <c r="K37" i="8"/>
  <c r="K49" i="8" s="1"/>
  <c r="P20" i="4"/>
  <c r="P30" i="4"/>
  <c r="P44" i="4" s="1"/>
  <c r="Q10" i="4"/>
  <c r="R5" i="4"/>
  <c r="R10" i="4" s="1"/>
  <c r="I20" i="14" l="1"/>
  <c r="J20" i="14" s="1"/>
  <c r="G21" i="14" s="1"/>
  <c r="H21" i="14" s="1"/>
  <c r="J9" i="14"/>
  <c r="G10" i="14" s="1"/>
  <c r="H9" i="14"/>
  <c r="I15" i="9"/>
  <c r="I17" i="9" s="1"/>
  <c r="J34" i="20"/>
  <c r="I34" i="8"/>
  <c r="I24" i="8"/>
  <c r="K10" i="8"/>
  <c r="K13" i="8"/>
  <c r="L30" i="20"/>
  <c r="L9" i="9"/>
  <c r="L8" i="8"/>
  <c r="K27" i="20"/>
  <c r="K28" i="20" s="1"/>
  <c r="L31" i="8"/>
  <c r="L44" i="12"/>
  <c r="L87" i="12" s="1"/>
  <c r="J21" i="8"/>
  <c r="J23" i="8" s="1"/>
  <c r="J14" i="8"/>
  <c r="J12" i="9"/>
  <c r="J15" i="9" s="1"/>
  <c r="J17" i="9" s="1"/>
  <c r="J26" i="12"/>
  <c r="K33" i="20"/>
  <c r="K32" i="8"/>
  <c r="K14" i="9"/>
  <c r="K10" i="20"/>
  <c r="K11" i="20" s="1"/>
  <c r="K22" i="20"/>
  <c r="K23" i="20" s="1"/>
  <c r="J45" i="12"/>
  <c r="K82" i="12"/>
  <c r="K20" i="12"/>
  <c r="K45" i="12" s="1"/>
  <c r="J38" i="20"/>
  <c r="J37" i="20"/>
  <c r="J31" i="20"/>
  <c r="N62" i="11"/>
  <c r="L37" i="8"/>
  <c r="Q20" i="4"/>
  <c r="R20" i="4"/>
  <c r="R30" i="4"/>
  <c r="R44" i="4" s="1"/>
  <c r="Q30" i="4"/>
  <c r="Q44" i="4" s="1"/>
  <c r="I21" i="14" l="1"/>
  <c r="J21" i="14" s="1"/>
  <c r="G22" i="14" s="1"/>
  <c r="H22" i="14" s="1"/>
  <c r="H10" i="14"/>
  <c r="J10" i="14"/>
  <c r="G11" i="14" s="1"/>
  <c r="K37" i="20"/>
  <c r="K38" i="20"/>
  <c r="L19" i="8"/>
  <c r="L13" i="9"/>
  <c r="K31" i="20"/>
  <c r="M44" i="12"/>
  <c r="M87" i="12" s="1"/>
  <c r="M31" i="8"/>
  <c r="L13" i="8"/>
  <c r="L27" i="20"/>
  <c r="L28" i="20" s="1"/>
  <c r="L31" i="20" s="1"/>
  <c r="L10" i="8"/>
  <c r="K25" i="12"/>
  <c r="K85" i="12" s="1"/>
  <c r="I35" i="8"/>
  <c r="I38" i="8"/>
  <c r="J34" i="8"/>
  <c r="J24" i="8"/>
  <c r="K13" i="9"/>
  <c r="K19" i="8"/>
  <c r="K34" i="20"/>
  <c r="M9" i="9"/>
  <c r="M8" i="8"/>
  <c r="L14" i="9"/>
  <c r="L33" i="20"/>
  <c r="L32" i="8"/>
  <c r="L22" i="20"/>
  <c r="L23" i="20" s="1"/>
  <c r="L10" i="20"/>
  <c r="L11" i="20" s="1"/>
  <c r="L82" i="12"/>
  <c r="L20" i="12"/>
  <c r="L45" i="12" s="1"/>
  <c r="K14" i="8"/>
  <c r="K12" i="9"/>
  <c r="K21" i="8"/>
  <c r="K23" i="8" s="1"/>
  <c r="N37" i="8"/>
  <c r="N49" i="8" s="1"/>
  <c r="M37" i="8"/>
  <c r="M49" i="8" s="1"/>
  <c r="L49" i="8"/>
  <c r="I22" i="14" l="1"/>
  <c r="J22" i="14" s="1"/>
  <c r="G23" i="14" s="1"/>
  <c r="H23" i="14" s="1"/>
  <c r="J11" i="14"/>
  <c r="G12" i="14" s="1"/>
  <c r="H11" i="14"/>
  <c r="L34" i="20"/>
  <c r="K24" i="8"/>
  <c r="K34" i="8"/>
  <c r="M19" i="8"/>
  <c r="M13" i="9"/>
  <c r="K15" i="9"/>
  <c r="K17" i="9" s="1"/>
  <c r="K26" i="12"/>
  <c r="L25" i="12"/>
  <c r="L85" i="12" s="1"/>
  <c r="N9" i="9"/>
  <c r="N8" i="8"/>
  <c r="M82" i="12"/>
  <c r="M20" i="12"/>
  <c r="M45" i="12" s="1"/>
  <c r="M25" i="12"/>
  <c r="M85" i="12" s="1"/>
  <c r="M13" i="8"/>
  <c r="N44" i="12"/>
  <c r="N87" i="12" s="1"/>
  <c r="N31" i="8"/>
  <c r="M10" i="8"/>
  <c r="L21" i="8"/>
  <c r="L23" i="8" s="1"/>
  <c r="L12" i="9"/>
  <c r="L15" i="9" s="1"/>
  <c r="L17" i="9" s="1"/>
  <c r="L14" i="8"/>
  <c r="J35" i="8"/>
  <c r="J38" i="8"/>
  <c r="M14" i="9"/>
  <c r="M32" i="8"/>
  <c r="L37" i="20"/>
  <c r="L38" i="20"/>
  <c r="I23" i="14" l="1"/>
  <c r="J23" i="14" s="1"/>
  <c r="G24" i="14" s="1"/>
  <c r="H24" i="14" s="1"/>
  <c r="H12" i="14"/>
  <c r="J12" i="14"/>
  <c r="G13" i="14" s="1"/>
  <c r="N25" i="12"/>
  <c r="N85" i="12" s="1"/>
  <c r="N13" i="8"/>
  <c r="M26" i="12"/>
  <c r="L26" i="12"/>
  <c r="L24" i="8"/>
  <c r="L34" i="8"/>
  <c r="N14" i="9"/>
  <c r="N32" i="8"/>
  <c r="K35" i="8"/>
  <c r="K38" i="8"/>
  <c r="M21" i="8"/>
  <c r="M23" i="8" s="1"/>
  <c r="M12" i="9"/>
  <c r="M15" i="9" s="1"/>
  <c r="M17" i="9" s="1"/>
  <c r="M14" i="8"/>
  <c r="N82" i="12"/>
  <c r="N20" i="12"/>
  <c r="N10" i="8"/>
  <c r="N13" i="9"/>
  <c r="N19" i="8"/>
  <c r="I24" i="14" l="1"/>
  <c r="J24" i="14" s="1"/>
  <c r="G25" i="14" s="1"/>
  <c r="H25" i="14" s="1"/>
  <c r="H13" i="14"/>
  <c r="J13" i="14"/>
  <c r="G14" i="14" s="1"/>
  <c r="L35" i="8"/>
  <c r="L38" i="8"/>
  <c r="N14" i="8"/>
  <c r="N12" i="9"/>
  <c r="N15" i="9" s="1"/>
  <c r="N17" i="9" s="1"/>
  <c r="N21" i="8"/>
  <c r="N23" i="8" s="1"/>
  <c r="N26" i="12"/>
  <c r="N45" i="12"/>
  <c r="M24" i="8"/>
  <c r="M34" i="8"/>
  <c r="I25" i="14" l="1"/>
  <c r="J25" i="14" s="1"/>
  <c r="G26" i="14" s="1"/>
  <c r="H26" i="14" s="1"/>
  <c r="J14" i="14"/>
  <c r="G15" i="14" s="1"/>
  <c r="H14" i="14"/>
  <c r="M35" i="8"/>
  <c r="M38" i="8"/>
  <c r="N34" i="8"/>
  <c r="N24" i="8"/>
  <c r="I26" i="14" l="1"/>
  <c r="J26" i="14" s="1"/>
  <c r="G27" i="14" s="1"/>
  <c r="H27" i="14" s="1"/>
  <c r="J15" i="14"/>
  <c r="G16" i="14" s="1"/>
  <c r="H15" i="14"/>
  <c r="N35" i="8"/>
  <c r="N38" i="8"/>
  <c r="N40" i="8" s="1"/>
  <c r="I27" i="14" l="1"/>
  <c r="J27" i="14" s="1"/>
  <c r="G28" i="14" s="1"/>
  <c r="H28" i="14" s="1"/>
  <c r="I28" i="14" s="1"/>
  <c r="E43" i="8" s="1"/>
  <c r="E50" i="12" s="1"/>
  <c r="J16" i="14"/>
  <c r="H16" i="14"/>
  <c r="D39" i="8" s="1"/>
  <c r="D51" i="8" l="1"/>
  <c r="D40" i="8"/>
  <c r="D41" i="8" s="1"/>
  <c r="E39" i="8"/>
  <c r="E40" i="8" s="1"/>
  <c r="E41" i="8" s="1"/>
  <c r="J28" i="14"/>
  <c r="G29" i="14" s="1"/>
  <c r="H29" i="14" s="1"/>
  <c r="I29" i="14" s="1"/>
  <c r="D42" i="8" l="1"/>
  <c r="D19" i="9"/>
  <c r="D21" i="9" s="1"/>
  <c r="D24" i="9" s="1"/>
  <c r="D52" i="12"/>
  <c r="D61" i="12" s="1"/>
  <c r="D54" i="8"/>
  <c r="E51" i="8"/>
  <c r="E52" i="12" s="1"/>
  <c r="E61" i="12" s="1"/>
  <c r="J29" i="14"/>
  <c r="G30" i="14" s="1"/>
  <c r="H30" i="14" s="1"/>
  <c r="E42" i="8"/>
  <c r="E19" i="9"/>
  <c r="E21" i="9" s="1"/>
  <c r="E24" i="9" s="1"/>
  <c r="D45" i="8" l="1"/>
  <c r="D44" i="8"/>
  <c r="D48" i="8" s="1"/>
  <c r="D52" i="8" s="1"/>
  <c r="D59" i="8"/>
  <c r="D31" i="9" s="1"/>
  <c r="D64" i="12"/>
  <c r="D69" i="12" s="1"/>
  <c r="D104" i="12" s="1"/>
  <c r="E45" i="8"/>
  <c r="I30" i="14"/>
  <c r="D56" i="8" l="1"/>
  <c r="D58" i="8"/>
  <c r="J30" i="14"/>
  <c r="G31" i="14" s="1"/>
  <c r="H31" i="14" s="1"/>
  <c r="D61" i="8" l="1"/>
  <c r="D63" i="8" s="1"/>
  <c r="D30" i="9"/>
  <c r="D33" i="9" s="1"/>
  <c r="D35" i="9" s="1"/>
  <c r="D40" i="9" s="1"/>
  <c r="I31" i="14"/>
  <c r="J31" i="14" l="1"/>
  <c r="G32" i="14" s="1"/>
  <c r="H32" i="14" s="1"/>
  <c r="I32" i="14" l="1"/>
  <c r="J32" i="14" l="1"/>
  <c r="G33" i="14" s="1"/>
  <c r="H33" i="14" s="1"/>
  <c r="I33" i="14" l="1"/>
  <c r="J33" i="14" l="1"/>
  <c r="G34" i="14" s="1"/>
  <c r="H34" i="14" s="1"/>
  <c r="I34" i="14" l="1"/>
  <c r="J34" i="14" s="1"/>
  <c r="G35" i="14" s="1"/>
  <c r="H35" i="14" s="1"/>
  <c r="I35" i="14" s="1"/>
  <c r="J35" i="14" s="1"/>
  <c r="G36" i="14" s="1"/>
  <c r="H36" i="14" s="1"/>
  <c r="I36" i="14" s="1"/>
  <c r="J36" i="14" s="1"/>
  <c r="G37" i="14" s="1"/>
  <c r="H37" i="14" s="1"/>
  <c r="I37" i="14" s="1"/>
  <c r="J37" i="14" s="1"/>
  <c r="G38" i="14" s="1"/>
  <c r="H38" i="14" s="1"/>
  <c r="I38" i="14" s="1"/>
  <c r="J38" i="14" s="1"/>
  <c r="G39" i="14" s="1"/>
  <c r="H39" i="14" s="1"/>
  <c r="L23" i="14"/>
  <c r="I39" i="14" l="1"/>
  <c r="J39" i="14" s="1"/>
  <c r="G40" i="14" s="1"/>
  <c r="H40" i="14" l="1"/>
  <c r="I40" i="14" l="1"/>
  <c r="F43" i="8" s="1"/>
  <c r="F50" i="12" s="1"/>
  <c r="F39" i="8"/>
  <c r="F51" i="8" l="1"/>
  <c r="F52" i="12" s="1"/>
  <c r="F61" i="12" s="1"/>
  <c r="F40" i="8"/>
  <c r="F41" i="8" s="1"/>
  <c r="J40" i="14"/>
  <c r="G41" i="14" s="1"/>
  <c r="H41" i="14" s="1"/>
  <c r="E50" i="8" l="1"/>
  <c r="E44" i="8"/>
  <c r="E48" i="8" s="1"/>
  <c r="I41" i="14"/>
  <c r="F42" i="8"/>
  <c r="F19" i="9"/>
  <c r="F21" i="9" s="1"/>
  <c r="F24" i="9" s="1"/>
  <c r="E60" i="12" l="1"/>
  <c r="E54" i="8"/>
  <c r="E52" i="8"/>
  <c r="J41" i="14"/>
  <c r="G42" i="14" s="1"/>
  <c r="H42" i="14" s="1"/>
  <c r="F45" i="8"/>
  <c r="E56" i="8" l="1"/>
  <c r="E37" i="9" s="1"/>
  <c r="E58" i="8"/>
  <c r="E64" i="12"/>
  <c r="E69" i="12" s="1"/>
  <c r="E104" i="12" s="1"/>
  <c r="E59" i="8"/>
  <c r="E31" i="9" s="1"/>
  <c r="I42" i="14"/>
  <c r="E61" i="8" l="1"/>
  <c r="E63" i="8" s="1"/>
  <c r="E30" i="9"/>
  <c r="E33" i="9" s="1"/>
  <c r="E35" i="9" s="1"/>
  <c r="E40" i="9" s="1"/>
  <c r="J42" i="14"/>
  <c r="G43" i="14" s="1"/>
  <c r="H43" i="14" s="1"/>
  <c r="I43" i="14" l="1"/>
  <c r="J43" i="14" l="1"/>
  <c r="G44" i="14" s="1"/>
  <c r="H44" i="14" s="1"/>
  <c r="I44" i="14" l="1"/>
  <c r="J44" i="14" l="1"/>
  <c r="G45" i="14" s="1"/>
  <c r="H45" i="14" s="1"/>
  <c r="I45" i="14" l="1"/>
  <c r="J45" i="14" l="1"/>
  <c r="G46" i="14" s="1"/>
  <c r="H46" i="14" s="1"/>
  <c r="I46" i="14" l="1"/>
  <c r="J46" i="14" s="1"/>
  <c r="G47" i="14" s="1"/>
  <c r="H47" i="14" s="1"/>
  <c r="I47" i="14" s="1"/>
  <c r="J47" i="14" s="1"/>
  <c r="G48" i="14" s="1"/>
  <c r="H48" i="14" s="1"/>
  <c r="I48" i="14" s="1"/>
  <c r="J48" i="14" s="1"/>
  <c r="G49" i="14" s="1"/>
  <c r="H49" i="14" s="1"/>
  <c r="I49" i="14" s="1"/>
  <c r="J49" i="14" s="1"/>
  <c r="G50" i="14" s="1"/>
  <c r="H50" i="14" s="1"/>
  <c r="I50" i="14" s="1"/>
  <c r="J50" i="14" s="1"/>
  <c r="G51" i="14" s="1"/>
  <c r="H51" i="14" s="1"/>
  <c r="I51" i="14" s="1"/>
  <c r="J51" i="14" s="1"/>
  <c r="G52" i="14" s="1"/>
  <c r="H52" i="14" s="1"/>
  <c r="L35" i="14" l="1"/>
  <c r="I52" i="14"/>
  <c r="G43" i="8" s="1"/>
  <c r="G50" i="12" s="1"/>
  <c r="G39" i="8"/>
  <c r="G51" i="8" l="1"/>
  <c r="G52" i="12" s="1"/>
  <c r="G61" i="12" s="1"/>
  <c r="G40" i="8"/>
  <c r="J52" i="14"/>
  <c r="G53" i="14" s="1"/>
  <c r="H53" i="14" s="1"/>
  <c r="F50" i="8" l="1"/>
  <c r="F44" i="8"/>
  <c r="F48" i="8" s="1"/>
  <c r="I53" i="14"/>
  <c r="F54" i="8" l="1"/>
  <c r="F59" i="8" s="1"/>
  <c r="F60" i="12"/>
  <c r="F52" i="8"/>
  <c r="J53" i="14"/>
  <c r="G54" i="14" s="1"/>
  <c r="H54" i="14" s="1"/>
  <c r="F64" i="12" l="1"/>
  <c r="F69" i="12" s="1"/>
  <c r="F104" i="12" s="1"/>
  <c r="F31" i="9"/>
  <c r="F58" i="8"/>
  <c r="F56" i="8"/>
  <c r="F37" i="9" s="1"/>
  <c r="I54" i="14"/>
  <c r="F61" i="8" l="1"/>
  <c r="F63" i="8" s="1"/>
  <c r="F30" i="9"/>
  <c r="F33" i="9" s="1"/>
  <c r="F35" i="9" s="1"/>
  <c r="F40" i="9" s="1"/>
  <c r="J54" i="14"/>
  <c r="G55" i="14" s="1"/>
  <c r="H55" i="14" s="1"/>
  <c r="I55" i="14" l="1"/>
  <c r="J55" i="14" l="1"/>
  <c r="G56" i="14" s="1"/>
  <c r="H56" i="14" s="1"/>
  <c r="I56" i="14" l="1"/>
  <c r="J56" i="14" l="1"/>
  <c r="G57" i="14" s="1"/>
  <c r="H57" i="14" s="1"/>
  <c r="I57" i="14" l="1"/>
  <c r="J57" i="14" l="1"/>
  <c r="G58" i="14" s="1"/>
  <c r="H58" i="14" s="1"/>
  <c r="I58" i="14" s="1"/>
  <c r="J58" i="14" s="1"/>
  <c r="G59" i="14" s="1"/>
  <c r="H59" i="14" s="1"/>
  <c r="I59" i="14" s="1"/>
  <c r="J59" i="14" s="1"/>
  <c r="G60" i="14" s="1"/>
  <c r="H60" i="14" s="1"/>
  <c r="I60" i="14" s="1"/>
  <c r="J60" i="14" s="1"/>
  <c r="G61" i="14" s="1"/>
  <c r="H61" i="14" s="1"/>
  <c r="I61" i="14" s="1"/>
  <c r="J61" i="14" s="1"/>
  <c r="G62" i="14" s="1"/>
  <c r="H62" i="14" s="1"/>
  <c r="I62" i="14" s="1"/>
  <c r="J62" i="14" s="1"/>
  <c r="G63" i="14" s="1"/>
  <c r="H63" i="14" s="1"/>
  <c r="I63" i="14" s="1"/>
  <c r="J63" i="14" s="1"/>
  <c r="G64" i="14" s="1"/>
  <c r="H64" i="14" s="1"/>
  <c r="G41" i="8"/>
  <c r="G42" i="8" s="1"/>
  <c r="I64" i="14" l="1"/>
  <c r="H43" i="8" s="1"/>
  <c r="H50" i="12" s="1"/>
  <c r="H39" i="8"/>
  <c r="G45" i="8"/>
  <c r="G19" i="9"/>
  <c r="G21" i="9" s="1"/>
  <c r="G24" i="9" s="1"/>
  <c r="H51" i="8" l="1"/>
  <c r="H52" i="12" s="1"/>
  <c r="H61" i="12" s="1"/>
  <c r="H40" i="8"/>
  <c r="J64" i="14"/>
  <c r="G65" i="14" s="1"/>
  <c r="H65" i="14" s="1"/>
  <c r="G50" i="8" l="1"/>
  <c r="G44" i="8"/>
  <c r="G48" i="8" s="1"/>
  <c r="I65" i="14"/>
  <c r="G60" i="12" l="1"/>
  <c r="G54" i="8"/>
  <c r="G59" i="8" s="1"/>
  <c r="G52" i="8"/>
  <c r="J65" i="14"/>
  <c r="G66" i="14" s="1"/>
  <c r="H66" i="14" s="1"/>
  <c r="G56" i="8" l="1"/>
  <c r="G37" i="9" s="1"/>
  <c r="G58" i="8"/>
  <c r="G31" i="9"/>
  <c r="G64" i="12"/>
  <c r="G69" i="12" s="1"/>
  <c r="G104" i="12" s="1"/>
  <c r="I66" i="14"/>
  <c r="G61" i="8" l="1"/>
  <c r="G63" i="8" s="1"/>
  <c r="G30" i="9"/>
  <c r="G33" i="9" s="1"/>
  <c r="G35" i="9" s="1"/>
  <c r="G40" i="9" s="1"/>
  <c r="J66" i="14"/>
  <c r="G67" i="14" s="1"/>
  <c r="H67" i="14" s="1"/>
  <c r="I67" i="14" l="1"/>
  <c r="J67" i="14" l="1"/>
  <c r="G68" i="14" s="1"/>
  <c r="H68" i="14" s="1"/>
  <c r="I68" i="14" l="1"/>
  <c r="J68" i="14" l="1"/>
  <c r="G69" i="14" s="1"/>
  <c r="H69" i="14" s="1"/>
  <c r="I69" i="14" l="1"/>
  <c r="J69" i="14" l="1"/>
  <c r="G70" i="14" s="1"/>
  <c r="H70" i="14" s="1"/>
  <c r="I70" i="14" s="1"/>
  <c r="J70" i="14" s="1"/>
  <c r="G71" i="14" s="1"/>
  <c r="H71" i="14" s="1"/>
  <c r="I71" i="14" s="1"/>
  <c r="J71" i="14" s="1"/>
  <c r="G72" i="14" s="1"/>
  <c r="H72" i="14" s="1"/>
  <c r="I72" i="14" s="1"/>
  <c r="J72" i="14" s="1"/>
  <c r="G73" i="14" s="1"/>
  <c r="H73" i="14" s="1"/>
  <c r="I73" i="14" s="1"/>
  <c r="J73" i="14" s="1"/>
  <c r="G74" i="14" s="1"/>
  <c r="H74" i="14" s="1"/>
  <c r="I74" i="14" s="1"/>
  <c r="J74" i="14" s="1"/>
  <c r="G75" i="14" s="1"/>
  <c r="H75" i="14" s="1"/>
  <c r="I75" i="14" s="1"/>
  <c r="J75" i="14" s="1"/>
  <c r="G76" i="14" s="1"/>
  <c r="H76" i="14" s="1"/>
  <c r="I76" i="14" l="1"/>
  <c r="I43" i="8" s="1"/>
  <c r="I50" i="12" s="1"/>
  <c r="I39" i="8"/>
  <c r="I51" i="8" l="1"/>
  <c r="I52" i="12" s="1"/>
  <c r="I40" i="8"/>
  <c r="J76" i="14"/>
  <c r="G77" i="14" s="1"/>
  <c r="H77" i="14" s="1"/>
  <c r="H50" i="8"/>
  <c r="I77" i="14" l="1"/>
  <c r="J77" i="14" l="1"/>
  <c r="G78" i="14" s="1"/>
  <c r="H78" i="14" s="1"/>
  <c r="I78" i="14" l="1"/>
  <c r="J78" i="14" l="1"/>
  <c r="G79" i="14" s="1"/>
  <c r="H79" i="14" s="1"/>
  <c r="I79" i="14" l="1"/>
  <c r="J79" i="14" l="1"/>
  <c r="G80" i="14" s="1"/>
  <c r="H80" i="14" s="1"/>
  <c r="I80" i="14" l="1"/>
  <c r="J80" i="14" l="1"/>
  <c r="G81" i="14" s="1"/>
  <c r="H81" i="14" s="1"/>
  <c r="I61" i="12"/>
  <c r="H41" i="8"/>
  <c r="I81" i="14" l="1"/>
  <c r="H42" i="8"/>
  <c r="H44" i="8" s="1"/>
  <c r="H19" i="9"/>
  <c r="H21" i="9" s="1"/>
  <c r="H24" i="9" s="1"/>
  <c r="J81" i="14" l="1"/>
  <c r="G82" i="14" s="1"/>
  <c r="H82" i="14" s="1"/>
  <c r="I82" i="14" s="1"/>
  <c r="J82" i="14" s="1"/>
  <c r="G83" i="14" s="1"/>
  <c r="H83" i="14" s="1"/>
  <c r="I83" i="14" s="1"/>
  <c r="J83" i="14" s="1"/>
  <c r="G84" i="14" s="1"/>
  <c r="H84" i="14" s="1"/>
  <c r="I84" i="14" s="1"/>
  <c r="J84" i="14" s="1"/>
  <c r="G85" i="14" s="1"/>
  <c r="H85" i="14" s="1"/>
  <c r="I85" i="14" s="1"/>
  <c r="J85" i="14" s="1"/>
  <c r="G86" i="14" s="1"/>
  <c r="H86" i="14" s="1"/>
  <c r="I86" i="14" s="1"/>
  <c r="J86" i="14" s="1"/>
  <c r="G87" i="14" s="1"/>
  <c r="H87" i="14" s="1"/>
  <c r="I87" i="14" s="1"/>
  <c r="J87" i="14" s="1"/>
  <c r="G88" i="14" s="1"/>
  <c r="H88" i="14" s="1"/>
  <c r="H45" i="8"/>
  <c r="I88" i="14" l="1"/>
  <c r="J43" i="8" s="1"/>
  <c r="J50" i="12" s="1"/>
  <c r="J39" i="8"/>
  <c r="H54" i="8"/>
  <c r="H59" i="8" s="1"/>
  <c r="J51" i="8" l="1"/>
  <c r="J52" i="12" s="1"/>
  <c r="J40" i="8"/>
  <c r="J88" i="14"/>
  <c r="G89" i="14" s="1"/>
  <c r="H89" i="14" s="1"/>
  <c r="I50" i="8"/>
  <c r="H48" i="8"/>
  <c r="H52" i="8" s="1"/>
  <c r="H64" i="12"/>
  <c r="H69" i="12" s="1"/>
  <c r="H104" i="12" s="1"/>
  <c r="H60" i="12"/>
  <c r="I89" i="14" l="1"/>
  <c r="H58" i="8"/>
  <c r="H61" i="8" s="1"/>
  <c r="H56" i="8"/>
  <c r="H31" i="9"/>
  <c r="J89" i="14" l="1"/>
  <c r="G90" i="14" s="1"/>
  <c r="H90" i="14" s="1"/>
  <c r="H63" i="8"/>
  <c r="H37" i="9"/>
  <c r="H30" i="9"/>
  <c r="H33" i="9" s="1"/>
  <c r="H35" i="9" s="1"/>
  <c r="H40" i="9" s="1"/>
  <c r="I90" i="14" l="1"/>
  <c r="J90" i="14" l="1"/>
  <c r="G91" i="14" s="1"/>
  <c r="H91" i="14" s="1"/>
  <c r="I91" i="14" l="1"/>
  <c r="J91" i="14" l="1"/>
  <c r="G92" i="14" s="1"/>
  <c r="H92" i="14" s="1"/>
  <c r="I92" i="14" l="1"/>
  <c r="J92" i="14" l="1"/>
  <c r="G93" i="14" s="1"/>
  <c r="H93" i="14" s="1"/>
  <c r="I93" i="14" l="1"/>
  <c r="J93" i="14" l="1"/>
  <c r="G94" i="14" s="1"/>
  <c r="H94" i="14" s="1"/>
  <c r="I94" i="14" s="1"/>
  <c r="J94" i="14" s="1"/>
  <c r="G95" i="14" s="1"/>
  <c r="H95" i="14" s="1"/>
  <c r="I95" i="14" s="1"/>
  <c r="J95" i="14" s="1"/>
  <c r="G96" i="14" s="1"/>
  <c r="H96" i="14" s="1"/>
  <c r="I96" i="14" s="1"/>
  <c r="J96" i="14" s="1"/>
  <c r="G97" i="14" s="1"/>
  <c r="H97" i="14" s="1"/>
  <c r="I97" i="14" s="1"/>
  <c r="J97" i="14" s="1"/>
  <c r="G98" i="14" s="1"/>
  <c r="H98" i="14" s="1"/>
  <c r="I98" i="14" s="1"/>
  <c r="J98" i="14" s="1"/>
  <c r="G99" i="14" s="1"/>
  <c r="H99" i="14" s="1"/>
  <c r="I99" i="14" s="1"/>
  <c r="J99" i="14" s="1"/>
  <c r="G100" i="14" s="1"/>
  <c r="H100" i="14" s="1"/>
  <c r="I100" i="14" l="1"/>
  <c r="K43" i="8" s="1"/>
  <c r="K50" i="12" s="1"/>
  <c r="K39" i="8"/>
  <c r="K51" i="8" l="1"/>
  <c r="K52" i="12" s="1"/>
  <c r="K40" i="8"/>
  <c r="J100" i="14"/>
  <c r="G101" i="14" s="1"/>
  <c r="H101" i="14" s="1"/>
  <c r="J50" i="8"/>
  <c r="I101" i="14" l="1"/>
  <c r="J101" i="14" l="1"/>
  <c r="G102" i="14" s="1"/>
  <c r="H102" i="14" s="1"/>
  <c r="I102" i="14" l="1"/>
  <c r="J102" i="14" l="1"/>
  <c r="G103" i="14" s="1"/>
  <c r="H103" i="14" s="1"/>
  <c r="I103" i="14" l="1"/>
  <c r="J103" i="14" l="1"/>
  <c r="G104" i="14" s="1"/>
  <c r="H104" i="14" s="1"/>
  <c r="I104" i="14" l="1"/>
  <c r="J61" i="12"/>
  <c r="I41" i="8"/>
  <c r="J104" i="14" l="1"/>
  <c r="G105" i="14" s="1"/>
  <c r="H105" i="14" s="1"/>
  <c r="I42" i="8"/>
  <c r="I44" i="8" s="1"/>
  <c r="I19" i="9"/>
  <c r="I21" i="9" s="1"/>
  <c r="I24" i="9" s="1"/>
  <c r="I105" i="14" l="1"/>
  <c r="I45" i="8"/>
  <c r="J105" i="14" l="1"/>
  <c r="G106" i="14" s="1"/>
  <c r="H106" i="14" s="1"/>
  <c r="I106" i="14" s="1"/>
  <c r="J106" i="14" s="1"/>
  <c r="G107" i="14" s="1"/>
  <c r="H107" i="14" s="1"/>
  <c r="I107" i="14" s="1"/>
  <c r="J107" i="14" s="1"/>
  <c r="G108" i="14" s="1"/>
  <c r="H108" i="14" s="1"/>
  <c r="I108" i="14" s="1"/>
  <c r="J108" i="14" s="1"/>
  <c r="G109" i="14" s="1"/>
  <c r="H109" i="14" s="1"/>
  <c r="I109" i="14" s="1"/>
  <c r="J109" i="14" s="1"/>
  <c r="G110" i="14" s="1"/>
  <c r="H110" i="14" s="1"/>
  <c r="I110" i="14" s="1"/>
  <c r="J110" i="14" s="1"/>
  <c r="G111" i="14" s="1"/>
  <c r="H111" i="14" s="1"/>
  <c r="I111" i="14" s="1"/>
  <c r="I48" i="8"/>
  <c r="I52" i="8" s="1"/>
  <c r="I54" i="8"/>
  <c r="I59" i="8" s="1"/>
  <c r="J111" i="14" l="1"/>
  <c r="G112" i="14" s="1"/>
  <c r="H112" i="14" s="1"/>
  <c r="I112" i="14" s="1"/>
  <c r="L43" i="8"/>
  <c r="L50" i="12" s="1"/>
  <c r="I58" i="8"/>
  <c r="I56" i="8"/>
  <c r="I64" i="12"/>
  <c r="I69" i="12" s="1"/>
  <c r="I104" i="12" s="1"/>
  <c r="I60" i="12"/>
  <c r="L39" i="8" l="1"/>
  <c r="L40" i="8" s="1"/>
  <c r="L51" i="8"/>
  <c r="L52" i="12" s="1"/>
  <c r="I61" i="8"/>
  <c r="I63" i="8" s="1"/>
  <c r="J112" i="14"/>
  <c r="G113" i="14" s="1"/>
  <c r="H113" i="14" s="1"/>
  <c r="K50" i="8"/>
  <c r="I37" i="9"/>
  <c r="I31" i="9"/>
  <c r="I30" i="9"/>
  <c r="I33" i="9" l="1"/>
  <c r="I35" i="9" s="1"/>
  <c r="I40" i="9" s="1"/>
  <c r="I113" i="14"/>
  <c r="J113" i="14" l="1"/>
  <c r="G114" i="14" s="1"/>
  <c r="H114" i="14" s="1"/>
  <c r="I114" i="14" l="1"/>
  <c r="J114" i="14" l="1"/>
  <c r="G115" i="14" s="1"/>
  <c r="H115" i="14" s="1"/>
  <c r="I115" i="14" l="1"/>
  <c r="J115" i="14" l="1"/>
  <c r="G116" i="14" s="1"/>
  <c r="H116" i="14" s="1"/>
  <c r="I116" i="14" l="1"/>
  <c r="J116" i="14" l="1"/>
  <c r="G117" i="14" s="1"/>
  <c r="H117" i="14" s="1"/>
  <c r="I117" i="14" l="1"/>
  <c r="J117" i="14" l="1"/>
  <c r="G118" i="14" s="1"/>
  <c r="H118" i="14" s="1"/>
  <c r="I118" i="14" s="1"/>
  <c r="J118" i="14" s="1"/>
  <c r="G119" i="14" s="1"/>
  <c r="H119" i="14" s="1"/>
  <c r="I119" i="14" s="1"/>
  <c r="J119" i="14" s="1"/>
  <c r="G120" i="14" s="1"/>
  <c r="H120" i="14" s="1"/>
  <c r="I120" i="14" s="1"/>
  <c r="J120" i="14" s="1"/>
  <c r="G121" i="14" s="1"/>
  <c r="H121" i="14" s="1"/>
  <c r="I121" i="14" s="1"/>
  <c r="J121" i="14" s="1"/>
  <c r="G122" i="14" s="1"/>
  <c r="H122" i="14" s="1"/>
  <c r="I122" i="14" s="1"/>
  <c r="J122" i="14" s="1"/>
  <c r="G123" i="14" s="1"/>
  <c r="H123" i="14" s="1"/>
  <c r="I123" i="14" s="1"/>
  <c r="J123" i="14" s="1"/>
  <c r="G124" i="14" s="1"/>
  <c r="H124" i="14" s="1"/>
  <c r="I124" i="14" l="1"/>
  <c r="M43" i="8" s="1"/>
  <c r="M50" i="12" s="1"/>
  <c r="M39" i="8"/>
  <c r="M51" i="8" l="1"/>
  <c r="M52" i="12" s="1"/>
  <c r="M40" i="8"/>
  <c r="J124" i="14"/>
  <c r="G125" i="14" s="1"/>
  <c r="H125" i="14" s="1"/>
  <c r="I125" i="14" s="1"/>
  <c r="L50" i="8"/>
  <c r="J125" i="14" l="1"/>
  <c r="G126" i="14" s="1"/>
  <c r="H126" i="14" s="1"/>
  <c r="I126" i="14" s="1"/>
  <c r="J126" i="14" s="1"/>
  <c r="G127" i="14" s="1"/>
  <c r="H127" i="14" s="1"/>
  <c r="I127" i="14" s="1"/>
  <c r="J127" i="14" l="1"/>
  <c r="G128" i="14" s="1"/>
  <c r="H128" i="14" s="1"/>
  <c r="I128" i="14" s="1"/>
  <c r="J128" i="14" s="1"/>
  <c r="G129" i="14" s="1"/>
  <c r="H129" i="14" l="1"/>
  <c r="I129" i="14" s="1"/>
  <c r="J129" i="14" s="1"/>
  <c r="G130" i="14" s="1"/>
  <c r="H130" i="14" l="1"/>
  <c r="I130" i="14" s="1"/>
  <c r="J130" i="14" s="1"/>
  <c r="G131" i="14" s="1"/>
  <c r="H131" i="14" l="1"/>
  <c r="I131" i="14" s="1"/>
  <c r="J131" i="14" s="1"/>
  <c r="G132" i="14" s="1"/>
  <c r="H132" i="14" l="1"/>
  <c r="I132" i="14" s="1"/>
  <c r="J132" i="14" s="1"/>
  <c r="G133" i="14" s="1"/>
  <c r="K61" i="12"/>
  <c r="J41" i="8"/>
  <c r="H133" i="14" l="1"/>
  <c r="I133" i="14" s="1"/>
  <c r="J133" i="14" s="1"/>
  <c r="G134" i="14" s="1"/>
  <c r="J42" i="8"/>
  <c r="J44" i="8" s="1"/>
  <c r="J19" i="9"/>
  <c r="J21" i="9" s="1"/>
  <c r="J24" i="9" s="1"/>
  <c r="H134" i="14" l="1"/>
  <c r="I134" i="14" s="1"/>
  <c r="J134" i="14" s="1"/>
  <c r="G135" i="14" s="1"/>
  <c r="J45" i="8"/>
  <c r="H135" i="14" l="1"/>
  <c r="I135" i="14" s="1"/>
  <c r="J135" i="14" s="1"/>
  <c r="G136" i="14" s="1"/>
  <c r="J48" i="8"/>
  <c r="J52" i="8" s="1"/>
  <c r="J54" i="8"/>
  <c r="J59" i="8" s="1"/>
  <c r="H136" i="14" l="1"/>
  <c r="I136" i="14" s="1"/>
  <c r="N43" i="8" s="1"/>
  <c r="N50" i="12" s="1"/>
  <c r="J60" i="12"/>
  <c r="J58" i="8"/>
  <c r="J56" i="8"/>
  <c r="J64" i="12"/>
  <c r="J69" i="12" s="1"/>
  <c r="J104" i="12" s="1"/>
  <c r="J61" i="8" l="1"/>
  <c r="J63" i="8" s="1"/>
  <c r="J136" i="14"/>
  <c r="G137" i="14" s="1"/>
  <c r="H137" i="14" s="1"/>
  <c r="I137" i="14" s="1"/>
  <c r="J137" i="14" s="1"/>
  <c r="G138" i="14" s="1"/>
  <c r="M50" i="8"/>
  <c r="O50" i="8" s="1"/>
  <c r="J30" i="9"/>
  <c r="J31" i="9"/>
  <c r="J37" i="9"/>
  <c r="J33" i="9" l="1"/>
  <c r="J35" i="9" s="1"/>
  <c r="J40" i="9" s="1"/>
  <c r="H138" i="14"/>
  <c r="I138" i="14" s="1"/>
  <c r="J138" i="14" s="1"/>
  <c r="G139" i="14" s="1"/>
  <c r="H139" i="14" l="1"/>
  <c r="I139" i="14" s="1"/>
  <c r="J139" i="14" s="1"/>
  <c r="G140" i="14" s="1"/>
  <c r="H140" i="14" l="1"/>
  <c r="I140" i="14" s="1"/>
  <c r="J140" i="14" s="1"/>
  <c r="G141" i="14" s="1"/>
  <c r="H141" i="14" l="1"/>
  <c r="I141" i="14" s="1"/>
  <c r="J141" i="14" s="1"/>
  <c r="G142" i="14" s="1"/>
  <c r="H142" i="14" l="1"/>
  <c r="I142" i="14" s="1"/>
  <c r="J142" i="14" s="1"/>
  <c r="G143" i="14" s="1"/>
  <c r="H143" i="14" l="1"/>
  <c r="I143" i="14" s="1"/>
  <c r="J143" i="14" s="1"/>
  <c r="G144" i="14" s="1"/>
  <c r="H144" i="14" l="1"/>
  <c r="I144" i="14" s="1"/>
  <c r="J144" i="14" s="1"/>
  <c r="G145" i="14" s="1"/>
  <c r="H145" i="14" l="1"/>
  <c r="I145" i="14" s="1"/>
  <c r="J145" i="14" s="1"/>
  <c r="G146" i="14" s="1"/>
  <c r="H146" i="14" l="1"/>
  <c r="I146" i="14" s="1"/>
  <c r="J146" i="14" s="1"/>
  <c r="G147" i="14" s="1"/>
  <c r="H147" i="14" l="1"/>
  <c r="I147" i="14" s="1"/>
  <c r="J147" i="14" s="1"/>
  <c r="G148" i="14" s="1"/>
  <c r="H148" i="14" l="1"/>
  <c r="I148" i="14" s="1"/>
  <c r="J148" i="14" s="1"/>
  <c r="L61" i="12" l="1"/>
  <c r="K41" i="8" l="1"/>
  <c r="K42" i="8" s="1"/>
  <c r="K44" i="8" s="1"/>
  <c r="K45" i="8" l="1"/>
  <c r="K19" i="9"/>
  <c r="K21" i="9" s="1"/>
  <c r="K24" i="9" s="1"/>
  <c r="K48" i="8" l="1"/>
  <c r="K52" i="8" s="1"/>
  <c r="K54" i="8"/>
  <c r="K59" i="8" s="1"/>
  <c r="K64" i="12" l="1"/>
  <c r="K69" i="12" s="1"/>
  <c r="K104" i="12" s="1"/>
  <c r="K56" i="8"/>
  <c r="K58" i="8"/>
  <c r="K60" i="12"/>
  <c r="K61" i="8" l="1"/>
  <c r="K30" i="9"/>
  <c r="K31" i="9"/>
  <c r="K37" i="9"/>
  <c r="K33" i="9" l="1"/>
  <c r="K35" i="9" s="1"/>
  <c r="K40" i="9" s="1"/>
  <c r="K63" i="8"/>
  <c r="M61" i="12" l="1"/>
  <c r="L41" i="8"/>
  <c r="L42" i="8" l="1"/>
  <c r="L44" i="8" s="1"/>
  <c r="L19" i="9"/>
  <c r="L21" i="9" s="1"/>
  <c r="L24" i="9" s="1"/>
  <c r="L45" i="8" l="1"/>
  <c r="L48" i="8" l="1"/>
  <c r="L52" i="8" s="1"/>
  <c r="L54" i="8"/>
  <c r="L59" i="8" s="1"/>
  <c r="L60" i="12" l="1"/>
  <c r="L58" i="8"/>
  <c r="L56" i="8"/>
  <c r="L64" i="12"/>
  <c r="L69" i="12" s="1"/>
  <c r="L104" i="12" s="1"/>
  <c r="L61" i="8" l="1"/>
  <c r="L63" i="8" s="1"/>
  <c r="L37" i="9"/>
  <c r="L30" i="9"/>
  <c r="L31" i="9"/>
  <c r="L33" i="9" l="1"/>
  <c r="L35" i="9" s="1"/>
  <c r="L40" i="9" s="1"/>
  <c r="N61" i="12" l="1"/>
  <c r="M41" i="8"/>
  <c r="M42" i="8" l="1"/>
  <c r="M44" i="8" s="1"/>
  <c r="M19" i="9"/>
  <c r="M21" i="9" s="1"/>
  <c r="M24" i="9" s="1"/>
  <c r="M45" i="8" l="1"/>
  <c r="M48" i="8" l="1"/>
  <c r="M52" i="8" s="1"/>
  <c r="M54" i="8"/>
  <c r="M59" i="8" s="1"/>
  <c r="M56" i="8" l="1"/>
  <c r="M58" i="8"/>
  <c r="M60" i="12"/>
  <c r="M64" i="12"/>
  <c r="M69" i="12" s="1"/>
  <c r="M104" i="12" s="1"/>
  <c r="M61" i="8" l="1"/>
  <c r="M37" i="9"/>
  <c r="O37" i="9" s="1"/>
  <c r="M31" i="9"/>
  <c r="M30" i="9"/>
  <c r="M33" i="9" l="1"/>
  <c r="M35" i="9" s="1"/>
  <c r="M40" i="9" s="1"/>
  <c r="M63" i="8"/>
  <c r="N41" i="8" l="1"/>
  <c r="N42" i="8" l="1"/>
  <c r="N44" i="8" s="1"/>
  <c r="N19" i="9"/>
  <c r="N21" i="9" s="1"/>
  <c r="N24" i="9" s="1"/>
  <c r="D26" i="9" l="1"/>
  <c r="D25" i="9"/>
  <c r="N45" i="8"/>
  <c r="N54" i="8" l="1"/>
  <c r="N59" i="8" s="1"/>
  <c r="N64" i="12" l="1"/>
  <c r="N69" i="12" s="1"/>
  <c r="N104" i="12" s="1"/>
  <c r="O42" i="8"/>
  <c r="N48" i="8"/>
  <c r="N52" i="8" s="1"/>
  <c r="N58" i="8" s="1"/>
  <c r="N60" i="12"/>
  <c r="N61" i="8" l="1"/>
  <c r="N63" i="8" s="1"/>
  <c r="D65" i="8" s="1"/>
  <c r="C25" i="1" s="1"/>
  <c r="N30" i="9"/>
  <c r="N31" i="9"/>
  <c r="N33" i="9" l="1"/>
  <c r="N35" i="9" s="1"/>
  <c r="N40" i="9" s="1"/>
  <c r="D42" i="9" l="1"/>
  <c r="D41" i="9"/>
  <c r="C26" i="1" s="1"/>
  <c r="D31" i="12"/>
  <c r="D32" i="12" l="1"/>
  <c r="D86" i="12"/>
  <c r="D88" i="12" s="1"/>
  <c r="D90" i="12" s="1"/>
  <c r="D94" i="12" s="1"/>
  <c r="D34" i="12"/>
  <c r="D36" i="12" s="1"/>
  <c r="D37" i="12" s="1"/>
  <c r="D97" i="12" l="1"/>
  <c r="D103" i="12"/>
  <c r="D105" i="12" s="1"/>
  <c r="D110" i="12" s="1"/>
  <c r="D47" i="12"/>
  <c r="D48" i="12" s="1"/>
  <c r="D7" i="12" s="1"/>
  <c r="D8" i="12" s="1"/>
  <c r="D51" i="12" l="1"/>
  <c r="D53" i="12" s="1"/>
  <c r="D55" i="12" s="1"/>
  <c r="D56" i="12" s="1"/>
  <c r="D59" i="12" l="1"/>
  <c r="D62" i="12" s="1"/>
  <c r="D66" i="12" s="1"/>
  <c r="D12" i="12" s="1"/>
  <c r="D10" i="12"/>
  <c r="D11" i="12"/>
  <c r="F31" i="12"/>
  <c r="M31" i="12"/>
  <c r="M86" i="12" s="1"/>
  <c r="M88" i="12" s="1"/>
  <c r="G31" i="12"/>
  <c r="G86" i="12" s="1"/>
  <c r="G88" i="12" s="1"/>
  <c r="J31" i="12"/>
  <c r="N31" i="12"/>
  <c r="N86" i="12" s="1"/>
  <c r="N88" i="12" s="1"/>
  <c r="K31" i="12"/>
  <c r="I31" i="12"/>
  <c r="I86" i="12" s="1"/>
  <c r="I88" i="12" s="1"/>
  <c r="H31" i="12"/>
  <c r="L31" i="12"/>
  <c r="L86" i="12" s="1"/>
  <c r="L88" i="12" s="1"/>
  <c r="E31" i="12"/>
  <c r="F86" i="12" l="1"/>
  <c r="F88" i="12" s="1"/>
  <c r="F90" i="12" s="1"/>
  <c r="F94" i="12" s="1"/>
  <c r="H32" i="12"/>
  <c r="H86" i="12"/>
  <c r="H88" i="12" s="1"/>
  <c r="H90" i="12" s="1"/>
  <c r="H94" i="12" s="1"/>
  <c r="H97" i="12" s="1"/>
  <c r="J32" i="12"/>
  <c r="J86" i="12"/>
  <c r="J88" i="12" s="1"/>
  <c r="J90" i="12" s="1"/>
  <c r="J94" i="12" s="1"/>
  <c r="J103" i="12" s="1"/>
  <c r="E32" i="12"/>
  <c r="E86" i="12"/>
  <c r="E88" i="12" s="1"/>
  <c r="E90" i="12" s="1"/>
  <c r="E94" i="12" s="1"/>
  <c r="K32" i="12"/>
  <c r="K86" i="12"/>
  <c r="K88" i="12" s="1"/>
  <c r="K90" i="12" s="1"/>
  <c r="K94" i="12" s="1"/>
  <c r="D68" i="12"/>
  <c r="D71" i="12" s="1"/>
  <c r="D73" i="12" s="1"/>
  <c r="H34" i="12"/>
  <c r="H36" i="12" s="1"/>
  <c r="H47" i="12" s="1"/>
  <c r="H48" i="12" s="1"/>
  <c r="H7" i="12" s="1"/>
  <c r="H8" i="12" s="1"/>
  <c r="J34" i="12"/>
  <c r="J36" i="12" s="1"/>
  <c r="J47" i="12" s="1"/>
  <c r="J51" i="12" s="1"/>
  <c r="J53" i="12" s="1"/>
  <c r="J55" i="12" s="1"/>
  <c r="G32" i="12"/>
  <c r="G34" i="12"/>
  <c r="G36" i="12" s="1"/>
  <c r="G90" i="12"/>
  <c r="G94" i="12" s="1"/>
  <c r="M90" i="12"/>
  <c r="M94" i="12" s="1"/>
  <c r="M34" i="12"/>
  <c r="M36" i="12" s="1"/>
  <c r="M32" i="12"/>
  <c r="E34" i="12"/>
  <c r="E36" i="12" s="1"/>
  <c r="I34" i="12"/>
  <c r="I36" i="12" s="1"/>
  <c r="I90" i="12"/>
  <c r="I94" i="12" s="1"/>
  <c r="L90" i="12"/>
  <c r="L94" i="12" s="1"/>
  <c r="L32" i="12"/>
  <c r="L34" i="12"/>
  <c r="L36" i="12" s="1"/>
  <c r="K34" i="12"/>
  <c r="K36" i="12" s="1"/>
  <c r="N34" i="12"/>
  <c r="N36" i="12" s="1"/>
  <c r="N32" i="12"/>
  <c r="N90" i="12"/>
  <c r="N94" i="12" s="1"/>
  <c r="F32" i="12"/>
  <c r="F34" i="12"/>
  <c r="F36" i="12" s="1"/>
  <c r="I32" i="12"/>
  <c r="J105" i="12" l="1"/>
  <c r="J110" i="12" s="1"/>
  <c r="J107" i="12"/>
  <c r="F103" i="12"/>
  <c r="F97" i="12"/>
  <c r="H51" i="12"/>
  <c r="H53" i="12" s="1"/>
  <c r="H55" i="12" s="1"/>
  <c r="H56" i="12" s="1"/>
  <c r="H37" i="12"/>
  <c r="J97" i="12"/>
  <c r="H103" i="12"/>
  <c r="J48" i="12"/>
  <c r="J7" i="12" s="1"/>
  <c r="J8" i="12" s="1"/>
  <c r="J37" i="12"/>
  <c r="K47" i="12"/>
  <c r="K37" i="12"/>
  <c r="E37" i="12"/>
  <c r="E47" i="12"/>
  <c r="G47" i="12"/>
  <c r="G37" i="12"/>
  <c r="J56" i="12"/>
  <c r="J59" i="12"/>
  <c r="J62" i="12" s="1"/>
  <c r="L47" i="12"/>
  <c r="L37" i="12"/>
  <c r="I97" i="12"/>
  <c r="I103" i="12"/>
  <c r="M97" i="12"/>
  <c r="M103" i="12"/>
  <c r="F37" i="12"/>
  <c r="F47" i="12"/>
  <c r="N47" i="12"/>
  <c r="N37" i="12"/>
  <c r="I47" i="12"/>
  <c r="I37" i="12"/>
  <c r="G97" i="12"/>
  <c r="G103" i="12"/>
  <c r="L97" i="12"/>
  <c r="L103" i="12"/>
  <c r="N97" i="12"/>
  <c r="N103" i="12"/>
  <c r="K97" i="12"/>
  <c r="K103" i="12"/>
  <c r="E97" i="12"/>
  <c r="E103" i="12"/>
  <c r="M37" i="12"/>
  <c r="M47" i="12"/>
  <c r="E105" i="12" l="1"/>
  <c r="E110" i="12" s="1"/>
  <c r="E107" i="12"/>
  <c r="N105" i="12"/>
  <c r="N110" i="12" s="1"/>
  <c r="N107" i="12"/>
  <c r="G107" i="12"/>
  <c r="G105" i="12"/>
  <c r="G110" i="12" s="1"/>
  <c r="M105" i="12"/>
  <c r="M110" i="12" s="1"/>
  <c r="M107" i="12"/>
  <c r="H105" i="12"/>
  <c r="H110" i="12" s="1"/>
  <c r="H107" i="12"/>
  <c r="F107" i="12"/>
  <c r="F105" i="12"/>
  <c r="F110" i="12" s="1"/>
  <c r="K107" i="12"/>
  <c r="K105" i="12"/>
  <c r="K110" i="12" s="1"/>
  <c r="L105" i="12"/>
  <c r="L110" i="12" s="1"/>
  <c r="L107" i="12"/>
  <c r="I107" i="12"/>
  <c r="I105" i="12"/>
  <c r="I110" i="12" s="1"/>
  <c r="D98" i="12"/>
  <c r="H59" i="12"/>
  <c r="H62" i="12" s="1"/>
  <c r="H68" i="12" s="1"/>
  <c r="F48" i="12"/>
  <c r="F7" i="12" s="1"/>
  <c r="F8" i="12" s="1"/>
  <c r="F51" i="12"/>
  <c r="F53" i="12" s="1"/>
  <c r="F55" i="12" s="1"/>
  <c r="J66" i="12"/>
  <c r="J12" i="12" s="1"/>
  <c r="J68" i="12"/>
  <c r="E51" i="12"/>
  <c r="E53" i="12" s="1"/>
  <c r="E55" i="12" s="1"/>
  <c r="E48" i="12"/>
  <c r="E7" i="12" s="1"/>
  <c r="E8" i="12" s="1"/>
  <c r="H11" i="12"/>
  <c r="H10" i="12"/>
  <c r="I51" i="12"/>
  <c r="I53" i="12" s="1"/>
  <c r="I55" i="12" s="1"/>
  <c r="I48" i="12"/>
  <c r="I7" i="12" s="1"/>
  <c r="I8" i="12" s="1"/>
  <c r="J10" i="12"/>
  <c r="J11" i="12"/>
  <c r="M51" i="12"/>
  <c r="M53" i="12" s="1"/>
  <c r="M55" i="12" s="1"/>
  <c r="M48" i="12"/>
  <c r="M7" i="12" s="1"/>
  <c r="M8" i="12" s="1"/>
  <c r="N48" i="12"/>
  <c r="N7" i="12" s="1"/>
  <c r="N8" i="12" s="1"/>
  <c r="N51" i="12"/>
  <c r="N53" i="12" s="1"/>
  <c r="N55" i="12" s="1"/>
  <c r="L48" i="12"/>
  <c r="L7" i="12" s="1"/>
  <c r="L8" i="12" s="1"/>
  <c r="L51" i="12"/>
  <c r="L53" i="12" s="1"/>
  <c r="L55" i="12" s="1"/>
  <c r="G51" i="12"/>
  <c r="G53" i="12" s="1"/>
  <c r="G55" i="12" s="1"/>
  <c r="G48" i="12"/>
  <c r="G7" i="12" s="1"/>
  <c r="G8" i="12" s="1"/>
  <c r="K51" i="12"/>
  <c r="K53" i="12" s="1"/>
  <c r="K55" i="12" s="1"/>
  <c r="K48" i="12"/>
  <c r="K7" i="12" s="1"/>
  <c r="K8" i="12" s="1"/>
  <c r="D111" i="12" l="1"/>
  <c r="C27" i="1" s="1"/>
  <c r="H66" i="12"/>
  <c r="H12" i="12" s="1"/>
  <c r="J71" i="12"/>
  <c r="J73" i="12" s="1"/>
  <c r="H71" i="12"/>
  <c r="H73" i="12" s="1"/>
  <c r="L56" i="12"/>
  <c r="L59" i="12"/>
  <c r="L62" i="12" s="1"/>
  <c r="N59" i="12"/>
  <c r="N62" i="12" s="1"/>
  <c r="N56" i="12"/>
  <c r="G59" i="12"/>
  <c r="G62" i="12" s="1"/>
  <c r="G56" i="12"/>
  <c r="F59" i="12"/>
  <c r="F62" i="12" s="1"/>
  <c r="F56" i="12"/>
  <c r="K56" i="12"/>
  <c r="K59" i="12"/>
  <c r="K62" i="12" s="1"/>
  <c r="M56" i="12"/>
  <c r="M59" i="12"/>
  <c r="M62" i="12" s="1"/>
  <c r="I56" i="12"/>
  <c r="I59" i="12"/>
  <c r="I62" i="12" s="1"/>
  <c r="E59" i="12"/>
  <c r="E62" i="12" s="1"/>
  <c r="E56" i="12"/>
  <c r="M68" i="12" l="1"/>
  <c r="M66" i="12"/>
  <c r="M12" i="12" s="1"/>
  <c r="F10" i="12"/>
  <c r="F11" i="12"/>
  <c r="N10" i="12"/>
  <c r="N11" i="12"/>
  <c r="E66" i="12"/>
  <c r="E12" i="12" s="1"/>
  <c r="E68" i="12"/>
  <c r="M10" i="12"/>
  <c r="M11" i="12"/>
  <c r="F66" i="12"/>
  <c r="F12" i="12" s="1"/>
  <c r="F68" i="12"/>
  <c r="N68" i="12"/>
  <c r="N66" i="12"/>
  <c r="N12" i="12" s="1"/>
  <c r="E11" i="12"/>
  <c r="E10" i="12"/>
  <c r="I66" i="12"/>
  <c r="I12" i="12" s="1"/>
  <c r="I68" i="12"/>
  <c r="K68" i="12"/>
  <c r="K66" i="12"/>
  <c r="K12" i="12" s="1"/>
  <c r="G10" i="12"/>
  <c r="G11" i="12"/>
  <c r="L66" i="12"/>
  <c r="L12" i="12" s="1"/>
  <c r="L68" i="12"/>
  <c r="I10" i="12"/>
  <c r="I11" i="12"/>
  <c r="K11" i="12"/>
  <c r="K10" i="12"/>
  <c r="G66" i="12"/>
  <c r="G12" i="12" s="1"/>
  <c r="G68" i="12"/>
  <c r="L10" i="12"/>
  <c r="L11" i="12"/>
  <c r="F71" i="12" l="1"/>
  <c r="F73" i="12" s="1"/>
  <c r="E71" i="12"/>
  <c r="E73" i="12" s="1"/>
  <c r="K71" i="12"/>
  <c r="K73" i="12" s="1"/>
  <c r="L71" i="12"/>
  <c r="L73" i="12" s="1"/>
  <c r="G71" i="12"/>
  <c r="G73" i="12" s="1"/>
  <c r="I71" i="12"/>
  <c r="I73" i="12" s="1"/>
  <c r="N71" i="12"/>
  <c r="N73" i="12" s="1"/>
  <c r="M71" i="12"/>
  <c r="M73" i="12" s="1"/>
</calcChain>
</file>

<file path=xl/sharedStrings.xml><?xml version="1.0" encoding="utf-8"?>
<sst xmlns="http://schemas.openxmlformats.org/spreadsheetml/2006/main" count="876" uniqueCount="501">
  <si>
    <t>Amount</t>
  </si>
  <si>
    <t>Land/Buildings/Civil Infrastructure</t>
  </si>
  <si>
    <t>Lube Centers</t>
  </si>
  <si>
    <t>Interest during construction &amp; Comissions</t>
  </si>
  <si>
    <t>Total METALUB Investment Plan</t>
  </si>
  <si>
    <t>Total</t>
  </si>
  <si>
    <t>New Capital Investment</t>
  </si>
  <si>
    <t>Shareholders Loan</t>
  </si>
  <si>
    <t>New Debt</t>
  </si>
  <si>
    <t>Total Investment</t>
  </si>
  <si>
    <t>Indebtedness Ratio (Total Debt/Total Assets)</t>
  </si>
  <si>
    <t>Debt Interest rate (fixed)</t>
  </si>
  <si>
    <t>Debt Term - years</t>
  </si>
  <si>
    <t>Grace period- months</t>
  </si>
  <si>
    <t>10-year Project IRR</t>
  </si>
  <si>
    <t>10-year Leveraged IRR</t>
  </si>
  <si>
    <t>Sensitivty Scenario (leveraged)</t>
  </si>
  <si>
    <t>Investment Tranches</t>
  </si>
  <si>
    <t>Share price</t>
  </si>
  <si>
    <t>Shares Outstanding</t>
  </si>
  <si>
    <t>Total Metalub Shares Issued Cumulative</t>
  </si>
  <si>
    <t>%</t>
  </si>
  <si>
    <t>Project Developers</t>
  </si>
  <si>
    <t>Angels</t>
  </si>
  <si>
    <t>Reserved</t>
  </si>
  <si>
    <t>New Investors</t>
  </si>
  <si>
    <t>METALUB - Key Assumptions</t>
  </si>
  <si>
    <t>Used Oil Volumes/costs</t>
  </si>
  <si>
    <t>Key Sales Volumes and Product Split  Assumptions</t>
  </si>
  <si>
    <t>Ag Oil</t>
  </si>
  <si>
    <t>TOTAL</t>
  </si>
  <si>
    <t>Sales Price Assumptions</t>
  </si>
  <si>
    <t>Other Assumptions</t>
  </si>
  <si>
    <t>Cost of Drums</t>
  </si>
  <si>
    <t>Liters of used oil per container</t>
  </si>
  <si>
    <t>Quarts of lube product per container</t>
  </si>
  <si>
    <t>Container shipping costs per container</t>
  </si>
  <si>
    <t>Importation costs per container (avg)</t>
  </si>
  <si>
    <t>Liters per gallon</t>
  </si>
  <si>
    <t xml:space="preserve">Corp Tax - Costa Rica first 6 years </t>
  </si>
  <si>
    <t>Corp Tax - Costa Rica year 7-12</t>
  </si>
  <si>
    <t>2018 Plant Production %</t>
  </si>
  <si>
    <t>Crude Oil Assumption options</t>
  </si>
  <si>
    <t>EIA 2017 Long Range Outlook - published Jan 2017</t>
  </si>
  <si>
    <t>INO NYMEX Futures  2017 to Dec 20025 Nov 3</t>
  </si>
  <si>
    <t>Average</t>
  </si>
  <si>
    <t>Set Crude Oil Price forecaste and Base Oil Calc method</t>
  </si>
  <si>
    <t>Extrapolation at 1.5% increase per year from 2026 on</t>
  </si>
  <si>
    <t>Enter 1, 2 or 3 for Crude Oil assumption</t>
  </si>
  <si>
    <t>Enter A or R for Base Oil Calc Method</t>
  </si>
  <si>
    <t>r</t>
  </si>
  <si>
    <t>Base Oil to Crude Oil Spread per gallon (for method A)</t>
  </si>
  <si>
    <t>A</t>
  </si>
  <si>
    <t>Abraham method to calculate Base Oil Group III pricing uses Historical (2004-2017) Base Oil to Crude Oil Spread:  $1.48 per gal</t>
  </si>
  <si>
    <t>R</t>
  </si>
  <si>
    <t>Ruiz method to calculate Base Oil pricing uses current Base Oil pricing with Crude Oil Index</t>
  </si>
  <si>
    <t>Crude Oil Forecast</t>
  </si>
  <si>
    <t>Crude % Change (index)</t>
  </si>
  <si>
    <t>Crude Oil (bbl)</t>
  </si>
  <si>
    <t>VGO (bbl) WTI+Spread</t>
  </si>
  <si>
    <t>VGO Price (gal)</t>
  </si>
  <si>
    <t>Base Oil GIII price (gal) based on "A" method</t>
  </si>
  <si>
    <t>ICIS Base Oil Basket "R" method:</t>
  </si>
  <si>
    <t>4cSt</t>
  </si>
  <si>
    <t>6cSt</t>
  </si>
  <si>
    <t>8cSt</t>
  </si>
  <si>
    <t>Avg Base Oil Group III price (gal) based on "R" method</t>
  </si>
  <si>
    <t>By Products Final</t>
  </si>
  <si>
    <t>Kerosene (gal)</t>
  </si>
  <si>
    <t>Naptha (metric ton)</t>
  </si>
  <si>
    <t>Naptha (gal)</t>
  </si>
  <si>
    <t>Base Oil Group II Final</t>
  </si>
  <si>
    <t>Base Oil Group II Final FOB Costa Rica</t>
  </si>
  <si>
    <t>Plant Equipment/Installation</t>
  </si>
  <si>
    <t>Instalación Equipo de la Planta</t>
  </si>
  <si>
    <t>Quantity</t>
  </si>
  <si>
    <t>Value</t>
  </si>
  <si>
    <t>Depreciation</t>
  </si>
  <si>
    <t>Planta 200 GPH Recuperación Aceite Usado</t>
  </si>
  <si>
    <t>Tank Farm</t>
  </si>
  <si>
    <t>Tanques de Almacenamiento</t>
  </si>
  <si>
    <t>Mech./Elec. Infrastructure Erection</t>
  </si>
  <si>
    <t>Infraestructura Eléctrica y Mecánica</t>
  </si>
  <si>
    <t>Logistics Resources for Operations</t>
  </si>
  <si>
    <t>Recursos Logísticos para Operaciones</t>
  </si>
  <si>
    <t>Camiones Recolectores para Aceite Usado</t>
  </si>
  <si>
    <t>Delivery Trucks</t>
  </si>
  <si>
    <t>Camiones Repartidores</t>
  </si>
  <si>
    <t>Montacargas</t>
  </si>
  <si>
    <t>Capital de Trabajo Permanente para Crecimiento</t>
  </si>
  <si>
    <t>Capital de Trabajo Compra de Inventario Producto Terminado</t>
  </si>
  <si>
    <t>Land/Warehouse/Infrastructure Civil</t>
  </si>
  <si>
    <t>Terreno/Bodega/Infraestructura</t>
  </si>
  <si>
    <t>Land sqm</t>
  </si>
  <si>
    <t>Terreno en metros cuadrados</t>
  </si>
  <si>
    <t>Warehouse Shell 9m</t>
  </si>
  <si>
    <t>Bodega con Altura 9 metros</t>
  </si>
  <si>
    <t>Grading/Dirt movement</t>
  </si>
  <si>
    <t>Movimiento de Tierra</t>
  </si>
  <si>
    <t>Civil Systems (Pads/Containment dykes, etc. - tank farm)</t>
  </si>
  <si>
    <t>Sistemas Mecánicos (Diques de Contención, etc)</t>
  </si>
  <si>
    <t>Electrical base build</t>
  </si>
  <si>
    <t>Instalación Eléctrica de Bodega</t>
  </si>
  <si>
    <t>Civil Systems (Storm drainage, pot. water, waste water)</t>
  </si>
  <si>
    <t>Sistemas Mecánicos (Drenajes, Aguas Residuales, Aguas Negras)</t>
  </si>
  <si>
    <t>Roads, walkways, allies</t>
  </si>
  <si>
    <t>Calles, Aceras, Pasillos</t>
  </si>
  <si>
    <t xml:space="preserve">Project Development Costs </t>
  </si>
  <si>
    <t>Costos Proyecto de Desarrollo</t>
  </si>
  <si>
    <t>Amortization</t>
  </si>
  <si>
    <t xml:space="preserve">Project Management </t>
  </si>
  <si>
    <t>Administración de Proyecto</t>
  </si>
  <si>
    <t>Arch/Eng</t>
  </si>
  <si>
    <t>Arquitectura e Ingeniería</t>
  </si>
  <si>
    <t>Training and Travel</t>
  </si>
  <si>
    <t>Entrenamiento y Viajes</t>
  </si>
  <si>
    <t>Legal Costs</t>
  </si>
  <si>
    <t>Costos Legales</t>
  </si>
  <si>
    <t>Permitting Costs</t>
  </si>
  <si>
    <t>Costos Permisos</t>
  </si>
  <si>
    <t>Procomer fee</t>
  </si>
  <si>
    <t>Procomer</t>
  </si>
  <si>
    <t>Land Option</t>
  </si>
  <si>
    <t>Opción de Compra</t>
  </si>
  <si>
    <t>PR and Marketing</t>
  </si>
  <si>
    <t>Relaciones Públicas y Mercadeo</t>
  </si>
  <si>
    <t>SUB - TOTAL</t>
  </si>
  <si>
    <t>Plus Interest during construction and bank/legal fees/Founder loan</t>
  </si>
  <si>
    <t>Intereses durante Construcción, Comisiones bancarias, costos legales, préstamo fundador)</t>
  </si>
  <si>
    <t>METALUB - Estado de Resultados y Flujo de Caja</t>
  </si>
  <si>
    <t>PROFIT &amp; LOSS</t>
  </si>
  <si>
    <t>ESTADO DE RESULTADOS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</si>
  <si>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</si>
  <si>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</si>
  <si>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</si>
  <si>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</si>
  <si>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</si>
  <si>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</si>
  <si>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</si>
  <si>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</si>
  <si>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</si>
  <si>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</si>
  <si>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</si>
  <si>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REVENUES</t>
  </si>
  <si>
    <t>INGRESOS</t>
  </si>
  <si>
    <t>Aceite Usado</t>
  </si>
  <si>
    <t>Base Oil</t>
  </si>
  <si>
    <t>Aceite Base</t>
  </si>
  <si>
    <t>Aceite Agrícola</t>
  </si>
  <si>
    <t>Total Revenues</t>
  </si>
  <si>
    <t>Total Ingresos</t>
  </si>
  <si>
    <t>RAW MATERIALS</t>
  </si>
  <si>
    <t>MATERIA PRIMA</t>
  </si>
  <si>
    <t>Compra Productos Lubricantes</t>
  </si>
  <si>
    <t>Costo Aceite Usado</t>
  </si>
  <si>
    <t>Flexible tanks</t>
  </si>
  <si>
    <t>Tanques Flexibles</t>
  </si>
  <si>
    <t>Total Raw Materials</t>
  </si>
  <si>
    <t>Total Materia Prima</t>
  </si>
  <si>
    <t>OPERATING COSTS</t>
  </si>
  <si>
    <t>COSTOS OPERATIVOS</t>
  </si>
  <si>
    <t>General building/grounds Maintenance</t>
  </si>
  <si>
    <t>Mantenimiento General</t>
  </si>
  <si>
    <t>Total Operating Costs</t>
  </si>
  <si>
    <t>Total Costos Operativos</t>
  </si>
  <si>
    <t>Total Production Costs</t>
  </si>
  <si>
    <t>Total Costo Producción</t>
  </si>
  <si>
    <t>GROSS MARGIN</t>
  </si>
  <si>
    <t>UTILIDAD BRUTA</t>
  </si>
  <si>
    <t>SALES AND ADMINISTRATIVE EXPENSES</t>
  </si>
  <si>
    <t>GASTOS ADMINISTRATIVOS Y DE VENTAS</t>
  </si>
  <si>
    <t>Literatura</t>
  </si>
  <si>
    <t>Misc. Business Expenses</t>
  </si>
  <si>
    <t>Gastos Miscelaneos</t>
  </si>
  <si>
    <t>Overhead (Adm, Sales, Drivers)</t>
  </si>
  <si>
    <t>Salarios y Cargas Sociales (Adm, Ventas, Choferes)</t>
  </si>
  <si>
    <t>Total Sales and Administrative Expenses</t>
  </si>
  <si>
    <t>Total Gastos Administrativos y de Ventas</t>
  </si>
  <si>
    <t>EBITDA</t>
  </si>
  <si>
    <t>Depreciación</t>
  </si>
  <si>
    <t>EBITA</t>
  </si>
  <si>
    <t>Interest Expenses</t>
  </si>
  <si>
    <t>Intereses</t>
  </si>
  <si>
    <t>EBTA</t>
  </si>
  <si>
    <t xml:space="preserve">EBTA </t>
  </si>
  <si>
    <t>Income Tax (assumes Free Zone status)</t>
  </si>
  <si>
    <t>Impuesto de Renta (se asume status Zona Franca)</t>
  </si>
  <si>
    <t>EBA</t>
  </si>
  <si>
    <t>Amortización</t>
  </si>
  <si>
    <t>Net Income</t>
  </si>
  <si>
    <t>UTILIDAD NETA</t>
  </si>
  <si>
    <t>CASH FLOW</t>
  </si>
  <si>
    <t>FLUJO CAJA</t>
  </si>
  <si>
    <t>Ingreso Neto</t>
  </si>
  <si>
    <t>Plus Depreciation</t>
  </si>
  <si>
    <t>Más Depreciación</t>
  </si>
  <si>
    <t>Plus Amortization</t>
  </si>
  <si>
    <t>Más Amortización</t>
  </si>
  <si>
    <t>Plus Interest</t>
  </si>
  <si>
    <t>Más Intereses</t>
  </si>
  <si>
    <t>Operating Cash Flow</t>
  </si>
  <si>
    <t>Flujo Caja Operación</t>
  </si>
  <si>
    <t>Sr. Debt Service</t>
  </si>
  <si>
    <t>Pagos Deuda Primaria</t>
  </si>
  <si>
    <t>Senior DSCR</t>
  </si>
  <si>
    <t>DSCR Deuda Primaria</t>
  </si>
  <si>
    <t>Flujo de Caja Operación</t>
  </si>
  <si>
    <t>Minus Debt Service</t>
  </si>
  <si>
    <t>Menos Pagos Deuda Primaria</t>
  </si>
  <si>
    <t>Minus CAPEX</t>
  </si>
  <si>
    <t>Menos CAPEX</t>
  </si>
  <si>
    <t>Cash Balance EOY</t>
  </si>
  <si>
    <t>Saldo Efectivo Cierre Anual</t>
  </si>
  <si>
    <t>Net Cash Flow for Investors</t>
  </si>
  <si>
    <t>Flujo Caja Neto</t>
  </si>
  <si>
    <t>Investors' Cash flows</t>
  </si>
  <si>
    <t>Flujo de Caja para Inversionistas</t>
  </si>
  <si>
    <t>IRR (10 year)</t>
  </si>
  <si>
    <t>IRR (10 años)</t>
  </si>
  <si>
    <t>Summary of Cash Flow - No financing</t>
  </si>
  <si>
    <t>Resumen Flujo Caja - Sin Financiamiento</t>
  </si>
  <si>
    <t xml:space="preserve">All numbers in 1000 $USD </t>
  </si>
  <si>
    <t>En Miles de Dólares</t>
  </si>
  <si>
    <t>Revenues</t>
  </si>
  <si>
    <t>Ingresos</t>
  </si>
  <si>
    <t>Asphalt Extender</t>
  </si>
  <si>
    <t>Emulsión Asfáltica</t>
  </si>
  <si>
    <t>Blended Lubes CR Plant</t>
  </si>
  <si>
    <t>Lubricantes Planta CR</t>
  </si>
  <si>
    <t>Blended Lubes from US</t>
  </si>
  <si>
    <t>Ingresos Totales</t>
  </si>
  <si>
    <t>Expenditures</t>
  </si>
  <si>
    <t>Gastos</t>
  </si>
  <si>
    <t>Raw Materials</t>
  </si>
  <si>
    <t>Materia Prima</t>
  </si>
  <si>
    <t>Operating Costs</t>
  </si>
  <si>
    <t>Costos Operativos</t>
  </si>
  <si>
    <t>S&amp;A Expenses</t>
  </si>
  <si>
    <t>Gastos Administrativos y Ventas</t>
  </si>
  <si>
    <t>Total Expenditures</t>
  </si>
  <si>
    <t>Total Gastos</t>
  </si>
  <si>
    <t>- Income Tax</t>
  </si>
  <si>
    <t>- Impuesto de Renta</t>
  </si>
  <si>
    <t>- CAPEX</t>
  </si>
  <si>
    <t>Net Project Cash Flow</t>
  </si>
  <si>
    <t>Flujo de Caja Neto del Proyecto</t>
  </si>
  <si>
    <t>Project IRR</t>
  </si>
  <si>
    <t>IRR</t>
  </si>
  <si>
    <t>IRR 10 years</t>
  </si>
  <si>
    <t>IRR 10 años</t>
  </si>
  <si>
    <t>NPV 10 years</t>
  </si>
  <si>
    <t>NPV 10 años</t>
  </si>
  <si>
    <t>Summary of Cash Flow - with Financing</t>
  </si>
  <si>
    <t>Resumen Flujo de Caja - Con Financiamiento</t>
  </si>
  <si>
    <t>Flujo de Caja Neto</t>
  </si>
  <si>
    <t>Menos Pagos a Deuda</t>
  </si>
  <si>
    <t>Efectivo Cierre Anual</t>
  </si>
  <si>
    <t>Free Cash Flow</t>
  </si>
  <si>
    <t>Flujo de Caja</t>
  </si>
  <si>
    <t>Senior Debt Service Coverage Ratio</t>
  </si>
  <si>
    <t>DSCR Deuda Principal</t>
  </si>
  <si>
    <t>Leveraged IRR</t>
  </si>
  <si>
    <t>IRR Apalancado</t>
  </si>
  <si>
    <t>Investors Cash</t>
  </si>
  <si>
    <t>Flujo de Caja Inversionistas</t>
  </si>
  <si>
    <t>NPV 10 Years</t>
  </si>
  <si>
    <t>Volumes</t>
  </si>
  <si>
    <t>Lubricantes Precios de Ventas</t>
  </si>
  <si>
    <t xml:space="preserve">Modelo de negocias </t>
  </si>
  <si>
    <t>Metalub precios actual</t>
  </si>
  <si>
    <t>PCMO</t>
  </si>
  <si>
    <t>Hydraulic</t>
  </si>
  <si>
    <t>Gear Oil</t>
  </si>
  <si>
    <t>METALUB - Análisis de Sensibilidad</t>
  </si>
  <si>
    <t>Sensitivity Parameters</t>
  </si>
  <si>
    <t>Parámetros de Sensitividad</t>
  </si>
  <si>
    <t>Drop in Revenues</t>
  </si>
  <si>
    <t>Disminución de Ventas</t>
  </si>
  <si>
    <t>Increase in Overall Cost of Raw Materials</t>
  </si>
  <si>
    <t>Incremento General de Costos en Materia Prima</t>
  </si>
  <si>
    <t>Increase in Overall Plant Operating Cost</t>
  </si>
  <si>
    <t>Inremento General de Costos Operativos</t>
  </si>
  <si>
    <t>Resulting EBITDA %</t>
  </si>
  <si>
    <t>Impacto en EBITDA %</t>
  </si>
  <si>
    <t>Resulting reduction in EBITDA (%)</t>
  </si>
  <si>
    <t>Impacto en Reducción de EBITDA (%)</t>
  </si>
  <si>
    <t>Increase in Sales &amp; Admin. Cost</t>
  </si>
  <si>
    <t>Incremento en Gastos Administrativos y Ventas</t>
  </si>
  <si>
    <t>Resulting Net Income %</t>
  </si>
  <si>
    <t>Impacto en Utilidad Neta %</t>
  </si>
  <si>
    <t>Resulting reduction in Net Income (%)</t>
  </si>
  <si>
    <t>Impacto en Reducción en Utilidad Neta (%)</t>
  </si>
  <si>
    <t>Resulting Senior DSCR</t>
  </si>
  <si>
    <t>Impacto en DSCR Deuda Principal</t>
  </si>
  <si>
    <t>Resulting 10-year Levered IRR</t>
  </si>
  <si>
    <t>Impacto IRR Apalancardo a 10 años</t>
  </si>
  <si>
    <t>Emulsión Asfáltica (Mezclador USA)</t>
  </si>
  <si>
    <t>Orden de Productos Lubricantes</t>
  </si>
  <si>
    <t>Costo Operación Aceite Base para Exportación</t>
  </si>
  <si>
    <t>Costo Operación Aceite Base para Producto Terminado Lubricantes</t>
  </si>
  <si>
    <t>Total Costos Producción</t>
  </si>
  <si>
    <t>GASTOS ADMINISTRATIVOS Y VENTAS</t>
  </si>
  <si>
    <t>Certificaciones API</t>
  </si>
  <si>
    <t>Total Gastos Administrativos y Ventas</t>
  </si>
  <si>
    <t>Depreciation and Amortization</t>
  </si>
  <si>
    <t>Depreciación y Amortización</t>
  </si>
  <si>
    <t>EBIT</t>
  </si>
  <si>
    <t>EBT</t>
  </si>
  <si>
    <t>Impuesto Renta (Asumiendo Status Zona Franca)</t>
  </si>
  <si>
    <t>Utilidad Neta</t>
  </si>
  <si>
    <t>FLUJO DE CAJA</t>
  </si>
  <si>
    <t>Plus Depreciation and amortization</t>
  </si>
  <si>
    <t>Más Depreciación y Amortización</t>
  </si>
  <si>
    <t>Flujo de Caja Operativo</t>
  </si>
  <si>
    <t>Senior Debt Service</t>
  </si>
  <si>
    <t>Pago Deuda Principal</t>
  </si>
  <si>
    <t>Menos Pago a Deuda</t>
  </si>
  <si>
    <t>Resumen Flujo de Caja - Sin Financiamiento</t>
  </si>
  <si>
    <t>Materiales</t>
  </si>
  <si>
    <t>Costos Operativos de Planta</t>
  </si>
  <si>
    <t>Minus income tax</t>
  </si>
  <si>
    <t>Menos Impuesto de Renta</t>
  </si>
  <si>
    <t>IRR del Proyecto</t>
  </si>
  <si>
    <t>IRR 8 years</t>
  </si>
  <si>
    <t>IRR 10 Years</t>
  </si>
  <si>
    <t>Net Cash for Equity Investors</t>
  </si>
  <si>
    <t>Efectivo Neto para Inversionistas</t>
  </si>
  <si>
    <t>Total Debt Service Coverage Ratio</t>
  </si>
  <si>
    <t>DSCR Total</t>
  </si>
  <si>
    <t>#</t>
  </si>
  <si>
    <t>Month</t>
  </si>
  <si>
    <t>Op. Balance</t>
  </si>
  <si>
    <t>Interest</t>
  </si>
  <si>
    <t>Amortit.</t>
  </si>
  <si>
    <t>Cl. Balance</t>
  </si>
  <si>
    <t>Total Term (months)</t>
  </si>
  <si>
    <t>Grace (months)</t>
  </si>
  <si>
    <t>Amort. Term (months)</t>
  </si>
  <si>
    <t>PMT</t>
  </si>
  <si>
    <t>Interest Rate</t>
  </si>
  <si>
    <t>Phase Two  Loan Amount</t>
  </si>
  <si>
    <t>Cost per Gallon</t>
  </si>
  <si>
    <t>Electricity</t>
  </si>
  <si>
    <t>per kWh</t>
  </si>
  <si>
    <t>Operating hours</t>
  </si>
  <si>
    <t>Annual</t>
  </si>
  <si>
    <t>Cooling water</t>
  </si>
  <si>
    <t>per 1,000 Liters</t>
  </si>
  <si>
    <t>Litters per year</t>
  </si>
  <si>
    <t>Sewage - Site specific</t>
  </si>
  <si>
    <t>per 1,000 gallons (billed in the water supply)</t>
  </si>
  <si>
    <t>Disposal of oily waters</t>
  </si>
  <si>
    <t>Site specific</t>
  </si>
  <si>
    <t>Gallons</t>
  </si>
  <si>
    <t>Cost of Supplies and maintenance</t>
  </si>
  <si>
    <t>Lab Supplies and service</t>
  </si>
  <si>
    <t>Plan Labor Cost</t>
  </si>
  <si>
    <t>METALUB - Margins</t>
  </si>
  <si>
    <t>Cost of Goods</t>
  </si>
  <si>
    <t>Costo de Producto</t>
  </si>
  <si>
    <t>Revenue</t>
  </si>
  <si>
    <t>Gross Margin</t>
  </si>
  <si>
    <t>Utilidad Bruta</t>
  </si>
  <si>
    <t>Cost of Sales</t>
  </si>
  <si>
    <t>Costo de Ventas</t>
  </si>
  <si>
    <t>Cash Cost Margin</t>
  </si>
  <si>
    <t>Margen Neto</t>
  </si>
  <si>
    <t>Imported Lubes</t>
  </si>
  <si>
    <t>Lubricantes Importados</t>
  </si>
  <si>
    <t>Net Margin</t>
  </si>
  <si>
    <t>LNG Wholesale (Drums)</t>
  </si>
  <si>
    <t>Mayoreo LNG (Estañones)</t>
  </si>
  <si>
    <t>Costo Promedio Total por Estañón Metalub</t>
  </si>
  <si>
    <t>Costo Promedio Total por Estañón Metalub + Costo Ventas</t>
  </si>
  <si>
    <t>METALUB - Staff and Salaries</t>
  </si>
  <si>
    <t>METALUB - Staff y Salarios</t>
  </si>
  <si>
    <t>Plant Personnel</t>
  </si>
  <si>
    <t>Base Salary</t>
  </si>
  <si>
    <t>Benefits</t>
  </si>
  <si>
    <t>Total Salary</t>
  </si>
  <si>
    <t>Monthly</t>
  </si>
  <si>
    <t>No.</t>
  </si>
  <si>
    <t>Plant Operations Manager</t>
  </si>
  <si>
    <t>Gerente Operaciones de Planta</t>
  </si>
  <si>
    <t>Main Operators (supervisors)</t>
  </si>
  <si>
    <t>Operarios Principales (Supervisores)</t>
  </si>
  <si>
    <t>Assistant Operators</t>
  </si>
  <si>
    <t>Operarios Asistentes</t>
  </si>
  <si>
    <t>Quality Engineer</t>
  </si>
  <si>
    <t>Ingeniero de Calidad</t>
  </si>
  <si>
    <t>Lab. Technicians</t>
  </si>
  <si>
    <t>Técnico de Laboratorio</t>
  </si>
  <si>
    <t>Maintenance</t>
  </si>
  <si>
    <t>Mantenimiento</t>
  </si>
  <si>
    <t>Electrician</t>
  </si>
  <si>
    <t>Electricista</t>
  </si>
  <si>
    <t>Drivers of used oil collection trucks</t>
  </si>
  <si>
    <t>Choferes de Camiones Recolectores Aceite Usado</t>
  </si>
  <si>
    <t>Administration Sales Company</t>
  </si>
  <si>
    <t>CEO</t>
  </si>
  <si>
    <t>GM/CFO</t>
  </si>
  <si>
    <t>Gerente Generla/CFO</t>
  </si>
  <si>
    <t>Marketing Manager</t>
  </si>
  <si>
    <t>Gerente Mercadeo</t>
  </si>
  <si>
    <t>Sales Manager</t>
  </si>
  <si>
    <t>Gerente Ventas</t>
  </si>
  <si>
    <t>Commercial Director</t>
  </si>
  <si>
    <t>Director Comercial</t>
  </si>
  <si>
    <t>Mercadeo Digital</t>
  </si>
  <si>
    <t>Sales Reps</t>
  </si>
  <si>
    <t>Asesores de Ventas</t>
  </si>
  <si>
    <t>Warehouse chief</t>
  </si>
  <si>
    <t>Jefe de Bodega</t>
  </si>
  <si>
    <t>Cleaning</t>
  </si>
  <si>
    <t>Limpieza</t>
  </si>
  <si>
    <t>Logistics Manager</t>
  </si>
  <si>
    <t>Gerente Logística</t>
  </si>
  <si>
    <t>Administrative</t>
  </si>
  <si>
    <t>Administrativo</t>
  </si>
  <si>
    <t>Drivers for new oil delivery</t>
  </si>
  <si>
    <t>Choferes Repartidores</t>
  </si>
  <si>
    <t>Plant Personnel Hired</t>
  </si>
  <si>
    <t>Personal de Planta Contratado</t>
  </si>
  <si>
    <t>Who</t>
  </si>
  <si>
    <t>Current</t>
  </si>
  <si>
    <t>Q4 2017</t>
  </si>
  <si>
    <t>Q1 2018</t>
  </si>
  <si>
    <t>Q2 2018</t>
  </si>
  <si>
    <t>Q3 2018</t>
  </si>
  <si>
    <t>Q4 2018</t>
  </si>
  <si>
    <t>Jonathon</t>
  </si>
  <si>
    <t>Total Monhtly Salary</t>
  </si>
  <si>
    <t>Bill Abraham</t>
  </si>
  <si>
    <t>Jorge Jimenez</t>
  </si>
  <si>
    <t>Francis?</t>
  </si>
  <si>
    <t>Digital/Brand Marketing</t>
  </si>
  <si>
    <t>Paulina?</t>
  </si>
  <si>
    <t>Michael</t>
  </si>
  <si>
    <t>Isabel</t>
  </si>
  <si>
    <t>Kimberly</t>
  </si>
  <si>
    <t>Temporary  Positions</t>
  </si>
  <si>
    <t>Posiciones Temporales</t>
  </si>
  <si>
    <t>Project Management (Plant/Site)</t>
  </si>
  <si>
    <t>Gerente de Proyectos (Planta)</t>
  </si>
  <si>
    <t>Richard</t>
  </si>
  <si>
    <t>Total MonthlySalaries</t>
  </si>
  <si>
    <t>Total Salarios Mensuales</t>
  </si>
  <si>
    <t>New Investment</t>
  </si>
  <si>
    <t>MTONs of Tires/Month</t>
  </si>
  <si>
    <t>Fuel Oil</t>
  </si>
  <si>
    <t>Scrap Metal</t>
  </si>
  <si>
    <t>RS-2 10</t>
  </si>
  <si>
    <t>Collection trucks for Tires</t>
  </si>
  <si>
    <t>W/K for Startup</t>
  </si>
  <si>
    <t>Tire Shredders</t>
  </si>
  <si>
    <t>Carbon Black</t>
  </si>
  <si>
    <t>Tires</t>
  </si>
  <si>
    <t>Cost of collection/acquisition (per MTON)</t>
  </si>
  <si>
    <t>Yield of Fuel Oil</t>
  </si>
  <si>
    <t>Yield of Scrap Metal</t>
  </si>
  <si>
    <t>Yield of Carbon Black</t>
  </si>
  <si>
    <t>Fuel Oil per MTON</t>
  </si>
  <si>
    <t>Scrap Metal per MTON</t>
  </si>
  <si>
    <t>Black Carbon per MTON</t>
  </si>
  <si>
    <t>Annual pice inflation</t>
  </si>
  <si>
    <t>META RS-2 10 - Plant Operating Costs</t>
  </si>
  <si>
    <t>Total Tons (annual)</t>
  </si>
  <si>
    <t>Tire Input</t>
  </si>
  <si>
    <t>Fuel Oil Output</t>
  </si>
  <si>
    <t>Annual Operating Days</t>
  </si>
  <si>
    <t>Cost per Ton</t>
  </si>
  <si>
    <t>Total Tons (month)</t>
  </si>
  <si>
    <t>Total Tons (Day)</t>
  </si>
  <si>
    <t>Total annual Plan Operating Costs per Ton</t>
  </si>
  <si>
    <t>Drivers collection trucks</t>
  </si>
  <si>
    <t>Montly operating Days</t>
  </si>
  <si>
    <t>Product yield</t>
  </si>
  <si>
    <t>Total Plant Operating Cost per MTON - PRODUCT</t>
  </si>
  <si>
    <t>Key Product Cost Assumptions</t>
  </si>
  <si>
    <t>Ops Costs of Products</t>
  </si>
  <si>
    <t>Meta Tires</t>
  </si>
  <si>
    <t>Fuel Oil Produced MTONS per month</t>
  </si>
  <si>
    <t>Scrap Metal Produced MTONS per month</t>
  </si>
  <si>
    <t>Black Carbon produced MTONS per month</t>
  </si>
  <si>
    <t>Fuel Oil Tankers (6000 gals) per month</t>
  </si>
  <si>
    <t>Fuel Oil yield</t>
  </si>
  <si>
    <t>Scrap Metal yield</t>
  </si>
  <si>
    <t>Black Carbon yield</t>
  </si>
  <si>
    <t>2029</t>
  </si>
  <si>
    <t>META Tires - Profit and Loss and Cash Flow</t>
  </si>
  <si>
    <t>META Tires - Summary</t>
  </si>
  <si>
    <t>META Tires- Sensitivity Analysis</t>
  </si>
  <si>
    <t>META Tires - Debt Service Schedule</t>
  </si>
  <si>
    <t>Forklifts/front loaders</t>
  </si>
  <si>
    <t>Working Capital</t>
  </si>
  <si>
    <t>PER Gallon</t>
  </si>
  <si>
    <t>Fuel Price</t>
  </si>
  <si>
    <t>RS-2 10 Units needed</t>
  </si>
  <si>
    <t>META Tires Investment Plan 2018</t>
  </si>
  <si>
    <t>Total META Tires Investment Plan 2018:</t>
  </si>
  <si>
    <t>Generator/Solar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</si>
</sst>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$&quot;#,##0.00_);\(&quot;$&quot;#,##0.00\)"/>
    <numFmt numFmtId="164" formatCode="&quot;$&quot;#,##0&quot; &quot;;\(&quot;$&quot;#,##0\)"/>
    <numFmt numFmtId="165" formatCode="&quot;$&quot;#,##0.00&quot; &quot;;\(&quot;$&quot;#,##0.00\)"/>
    <numFmt numFmtId="166" formatCode="&quot;$&quot;#,##0.0&quot; &quot;;\(&quot;$&quot;#,##0.0\)"/>
    <numFmt numFmtId="167" formatCode="&quot; &quot;&quot;$&quot;* #,##0&quot; &quot;;&quot; &quot;&quot;$&quot;* \(#,##0\);&quot; &quot;&quot;$&quot;* &quot;-&quot;??&quot; &quot;"/>
    <numFmt numFmtId="168" formatCode="&quot;$&quot;#,##0"/>
    <numFmt numFmtId="169" formatCode="0.0%"/>
    <numFmt numFmtId="170" formatCode="0.0"/>
    <numFmt numFmtId="171" formatCode="&quot; &quot;* #,##0&quot; &quot;;&quot; &quot;* \(#,##0\);&quot; &quot;* &quot;-&quot;??&quot; &quot;"/>
    <numFmt numFmtId="172" formatCode="&quot; &quot;&quot;$&quot;* #,##0.00&quot; &quot;;&quot; &quot;&quot;$&quot;* \(#,##0.00\);&quot; &quot;&quot;$&quot;* &quot;-&quot;??&quot; &quot;"/>
    <numFmt numFmtId="173" formatCode="#,##0&quot; &quot;;\(#,##0\)"/>
    <numFmt numFmtId="174" formatCode="&quot; &quot;[$€-2]* #,##0.00&quot; &quot;;&quot; &quot;[$€-2]* \(#,##0.00\);&quot; &quot;[$€-2]* &quot;-&quot;??&quot; &quot;"/>
    <numFmt numFmtId="175" formatCode="#,##0.00&quot; &quot;;\(#,##0.00\)"/>
    <numFmt numFmtId="176" formatCode="0,"/>
    <numFmt numFmtId="177" formatCode="&quot; &quot;* #,##0.00&quot; &quot;;&quot; &quot;* \(#,##0.00\);&quot; &quot;* &quot;-&quot;??&quot; &quot;"/>
    <numFmt numFmtId="178" formatCode="d&quot;-&quot;mmm&quot;-&quot;yy"/>
    <numFmt numFmtId="179" formatCode="&quot;$&quot;#,##0.000"/>
    <numFmt numFmtId="180" formatCode="&quot; &quot;&quot;$&quot;* #,##0.000&quot; &quot;;&quot; &quot;&quot;$&quot;* \(#,##0.000\);&quot; &quot;&quot;$&quot;* &quot;-&quot;??&quot; &quot;"/>
    <numFmt numFmtId="181" formatCode="&quot;$&quot;#,##0.00"/>
  </numFmts>
  <fonts count="20" x14ac:knownFonts="1">
    <font>
      <sz val="11"/>
      <color indexed="8"/>
      <name val="Calibri"/>
    </font>
    <font>
      <b/>
      <sz val="12"/>
      <color indexed="8"/>
      <name val="Calibri"/>
    </font>
    <font>
      <b/>
      <sz val="11"/>
      <color indexed="9"/>
      <name val="Calibri"/>
    </font>
    <font>
      <b/>
      <sz val="11"/>
      <color indexed="8"/>
      <name val="Calibri"/>
    </font>
    <font>
      <b/>
      <sz val="10"/>
      <color indexed="9"/>
      <name val="Calibri"/>
    </font>
    <font>
      <sz val="10"/>
      <color indexed="8"/>
      <name val="Calibri"/>
    </font>
    <font>
      <b/>
      <sz val="10"/>
      <color indexed="9"/>
      <name val="Arial"/>
    </font>
    <font>
      <sz val="10"/>
      <color indexed="9"/>
      <name val="Calibri"/>
    </font>
    <font>
      <b/>
      <sz val="10"/>
      <color indexed="8"/>
      <name val="Calibri"/>
    </font>
    <font>
      <b/>
      <sz val="10"/>
      <color indexed="8"/>
      <name val="Arial"/>
    </font>
    <font>
      <b/>
      <i/>
      <sz val="9"/>
      <color indexed="8"/>
      <name val="Calibri"/>
    </font>
    <font>
      <b/>
      <u/>
      <sz val="11"/>
      <color indexed="8"/>
      <name val="Calibri"/>
    </font>
    <font>
      <i/>
      <sz val="11"/>
      <color indexed="8"/>
      <name val="Calibri"/>
    </font>
    <font>
      <sz val="12"/>
      <color indexed="8"/>
      <name val="Calibri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7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7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17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17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17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9"/>
      </bottom>
      <diagonal/>
    </border>
    <border>
      <left/>
      <right style="thin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16" fillId="0" borderId="0" applyFont="0" applyFill="0" applyBorder="0" applyAlignment="0" applyProtection="0"/>
  </cellStyleXfs>
  <cellXfs count="57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4" xfId="0" applyNumberFormat="1" applyFont="1" applyFill="1" applyBorder="1" applyAlignment="1"/>
    <xf numFmtId="49" fontId="2" fillId="3" borderId="7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wrapText="1"/>
    </xf>
    <xf numFmtId="49" fontId="0" fillId="2" borderId="5" xfId="0" applyNumberFormat="1" applyFont="1" applyFill="1" applyBorder="1" applyAlignment="1">
      <alignment wrapText="1"/>
    </xf>
    <xf numFmtId="164" fontId="0" fillId="2" borderId="5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7" xfId="0" applyNumberFormat="1" applyFont="1" applyFill="1" applyBorder="1" applyAlignment="1">
      <alignment wrapText="1"/>
    </xf>
    <xf numFmtId="164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/>
    <xf numFmtId="164" fontId="3" fillId="2" borderId="8" xfId="0" applyNumberFormat="1" applyFont="1" applyFill="1" applyBorder="1" applyAlignment="1"/>
    <xf numFmtId="49" fontId="3" fillId="2" borderId="8" xfId="0" applyNumberFormat="1" applyFont="1" applyFill="1" applyBorder="1" applyAlignment="1">
      <alignment horizontal="left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49" fontId="0" fillId="2" borderId="13" xfId="0" applyNumberFormat="1" applyFont="1" applyFill="1" applyBorder="1" applyAlignment="1"/>
    <xf numFmtId="0" fontId="0" fillId="2" borderId="15" xfId="0" applyNumberFormat="1" applyFont="1" applyFill="1" applyBorder="1" applyAlignment="1"/>
    <xf numFmtId="49" fontId="0" fillId="4" borderId="15" xfId="0" applyNumberFormat="1" applyFont="1" applyFill="1" applyBorder="1" applyAlignment="1"/>
    <xf numFmtId="49" fontId="0" fillId="2" borderId="8" xfId="0" applyNumberFormat="1" applyFont="1" applyFill="1" applyBorder="1" applyAlignment="1"/>
    <xf numFmtId="168" fontId="0" fillId="2" borderId="8" xfId="0" applyNumberFormat="1" applyFont="1" applyFill="1" applyBorder="1" applyAlignment="1"/>
    <xf numFmtId="0" fontId="0" fillId="2" borderId="8" xfId="0" applyNumberFormat="1" applyFont="1" applyFill="1" applyBorder="1" applyAlignment="1"/>
    <xf numFmtId="49" fontId="0" fillId="2" borderId="15" xfId="0" applyNumberFormat="1" applyFont="1" applyFill="1" applyBorder="1" applyAlignment="1"/>
    <xf numFmtId="168" fontId="0" fillId="2" borderId="5" xfId="0" applyNumberFormat="1" applyFont="1" applyFill="1" applyBorder="1" applyAlignment="1"/>
    <xf numFmtId="49" fontId="0" fillId="2" borderId="18" xfId="0" applyNumberFormat="1" applyFont="1" applyFill="1" applyBorder="1" applyAlignment="1"/>
    <xf numFmtId="168" fontId="3" fillId="2" borderId="8" xfId="0" applyNumberFormat="1" applyFont="1" applyFill="1" applyBorder="1" applyAlignment="1"/>
    <xf numFmtId="49" fontId="3" fillId="2" borderId="17" xfId="0" applyNumberFormat="1" applyFont="1" applyFill="1" applyBorder="1" applyAlignment="1">
      <alignment horizontal="right"/>
    </xf>
    <xf numFmtId="9" fontId="3" fillId="5" borderId="17" xfId="0" applyNumberFormat="1" applyFont="1" applyFill="1" applyBorder="1" applyAlignment="1">
      <alignment horizontal="center"/>
    </xf>
    <xf numFmtId="0" fontId="0" fillId="2" borderId="20" xfId="0" applyNumberFormat="1" applyFont="1" applyFill="1" applyBorder="1" applyAlignment="1"/>
    <xf numFmtId="10" fontId="0" fillId="2" borderId="14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>
      <alignment horizontal="center"/>
    </xf>
    <xf numFmtId="0" fontId="0" fillId="2" borderId="23" xfId="0" applyNumberFormat="1" applyFont="1" applyFill="1" applyBorder="1" applyAlignment="1"/>
    <xf numFmtId="9" fontId="0" fillId="2" borderId="5" xfId="0" applyNumberFormat="1" applyFont="1" applyFill="1" applyBorder="1" applyAlignment="1">
      <alignment horizontal="center"/>
    </xf>
    <xf numFmtId="9" fontId="0" fillId="5" borderId="14" xfId="0" applyNumberFormat="1" applyFont="1" applyFill="1" applyBorder="1" applyAlignment="1">
      <alignment horizontal="center"/>
    </xf>
    <xf numFmtId="9" fontId="0" fillId="2" borderId="15" xfId="0" applyNumberFormat="1" applyFont="1" applyFill="1" applyBorder="1" applyAlignment="1">
      <alignment horizontal="center"/>
    </xf>
    <xf numFmtId="9" fontId="0" fillId="5" borderId="16" xfId="0" applyNumberFormat="1" applyFont="1" applyFill="1" applyBorder="1" applyAlignment="1">
      <alignment horizontal="center"/>
    </xf>
    <xf numFmtId="9" fontId="0" fillId="5" borderId="19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wrapText="1"/>
    </xf>
    <xf numFmtId="0" fontId="0" fillId="0" borderId="6" xfId="0" applyFont="1" applyBorder="1" applyAlignment="1"/>
    <xf numFmtId="0" fontId="0" fillId="2" borderId="8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169" fontId="0" fillId="2" borderId="8" xfId="0" applyNumberFormat="1" applyFont="1" applyFill="1" applyBorder="1" applyAlignment="1"/>
    <xf numFmtId="0" fontId="0" fillId="2" borderId="5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/>
    </xf>
    <xf numFmtId="169" fontId="0" fillId="2" borderId="5" xfId="0" applyNumberFormat="1" applyFont="1" applyFill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0" fontId="0" fillId="2" borderId="31" xfId="0" applyNumberFormat="1" applyFont="1" applyFill="1" applyBorder="1" applyAlignment="1"/>
    <xf numFmtId="0" fontId="0" fillId="0" borderId="0" xfId="0" applyNumberFormat="1" applyFont="1" applyAlignment="1"/>
    <xf numFmtId="49" fontId="1" fillId="2" borderId="28" xfId="0" applyNumberFormat="1" applyFont="1" applyFill="1" applyBorder="1" applyAlignment="1"/>
    <xf numFmtId="0" fontId="0" fillId="0" borderId="33" xfId="0" applyFont="1" applyBorder="1" applyAlignment="1"/>
    <xf numFmtId="49" fontId="4" fillId="3" borderId="34" xfId="0" applyNumberFormat="1" applyFont="1" applyFill="1" applyBorder="1" applyAlignment="1">
      <alignment wrapText="1"/>
    </xf>
    <xf numFmtId="170" fontId="5" fillId="5" borderId="17" xfId="0" applyNumberFormat="1" applyFont="1" applyFill="1" applyBorder="1" applyAlignment="1">
      <alignment horizontal="center"/>
    </xf>
    <xf numFmtId="165" fontId="5" fillId="4" borderId="17" xfId="0" applyNumberFormat="1" applyFont="1" applyFill="1" applyBorder="1" applyAlignment="1"/>
    <xf numFmtId="165" fontId="5" fillId="5" borderId="17" xfId="0" applyNumberFormat="1" applyFont="1" applyFill="1" applyBorder="1" applyAlignment="1"/>
    <xf numFmtId="0" fontId="0" fillId="0" borderId="38" xfId="0" applyFont="1" applyBorder="1" applyAlignment="1"/>
    <xf numFmtId="0" fontId="0" fillId="2" borderId="39" xfId="0" applyNumberFormat="1" applyFont="1" applyFill="1" applyBorder="1" applyAlignment="1"/>
    <xf numFmtId="0" fontId="5" fillId="2" borderId="39" xfId="0" applyNumberFormat="1" applyFont="1" applyFill="1" applyBorder="1" applyAlignment="1"/>
    <xf numFmtId="0" fontId="5" fillId="2" borderId="23" xfId="0" applyNumberFormat="1" applyFont="1" applyFill="1" applyBorder="1" applyAlignment="1"/>
    <xf numFmtId="172" fontId="5" fillId="2" borderId="5" xfId="0" applyNumberFormat="1" applyFont="1" applyFill="1" applyBorder="1" applyAlignment="1"/>
    <xf numFmtId="0" fontId="5" fillId="2" borderId="5" xfId="0" applyNumberFormat="1" applyFont="1" applyFill="1" applyBorder="1" applyAlignment="1"/>
    <xf numFmtId="165" fontId="5" fillId="2" borderId="5" xfId="0" applyNumberFormat="1" applyFont="1" applyFill="1" applyBorder="1" applyAlignment="1"/>
    <xf numFmtId="49" fontId="5" fillId="2" borderId="36" xfId="0" applyNumberFormat="1" applyFont="1" applyFill="1" applyBorder="1" applyAlignment="1">
      <alignment vertical="center" wrapText="1"/>
    </xf>
    <xf numFmtId="0" fontId="0" fillId="0" borderId="0" xfId="0" applyNumberFormat="1" applyFont="1" applyAlignment="1"/>
    <xf numFmtId="49" fontId="3" fillId="2" borderId="44" xfId="0" applyNumberFormat="1" applyFont="1" applyFill="1" applyBorder="1" applyAlignment="1"/>
    <xf numFmtId="0" fontId="0" fillId="2" borderId="44" xfId="0" applyNumberFormat="1" applyFont="1" applyFill="1" applyBorder="1" applyAlignment="1"/>
    <xf numFmtId="0" fontId="0" fillId="4" borderId="5" xfId="0" applyNumberFormat="1" applyFont="1" applyFill="1" applyBorder="1" applyAlignment="1">
      <alignment horizontal="center"/>
    </xf>
    <xf numFmtId="49" fontId="3" fillId="2" borderId="40" xfId="0" applyNumberFormat="1" applyFont="1" applyFill="1" applyBorder="1" applyAlignment="1"/>
    <xf numFmtId="172" fontId="0" fillId="2" borderId="45" xfId="0" applyNumberFormat="1" applyFont="1" applyFill="1" applyBorder="1" applyAlignment="1"/>
    <xf numFmtId="165" fontId="0" fillId="2" borderId="45" xfId="0" applyNumberFormat="1" applyFont="1" applyFill="1" applyBorder="1" applyAlignment="1"/>
    <xf numFmtId="165" fontId="0" fillId="2" borderId="46" xfId="0" applyNumberFormat="1" applyFont="1" applyFill="1" applyBorder="1" applyAlignment="1"/>
    <xf numFmtId="49" fontId="3" fillId="2" borderId="26" xfId="0" applyNumberFormat="1" applyFont="1" applyFill="1" applyBorder="1" applyAlignment="1"/>
    <xf numFmtId="172" fontId="0" fillId="2" borderId="28" xfId="0" applyNumberFormat="1" applyFont="1" applyFill="1" applyBorder="1" applyAlignment="1"/>
    <xf numFmtId="172" fontId="0" fillId="2" borderId="47" xfId="0" applyNumberFormat="1" applyFont="1" applyFill="1" applyBorder="1" applyAlignment="1"/>
    <xf numFmtId="172" fontId="0" fillId="6" borderId="15" xfId="0" applyNumberFormat="1" applyFont="1" applyFill="1" applyBorder="1" applyAlignment="1"/>
    <xf numFmtId="172" fontId="0" fillId="6" borderId="5" xfId="0" applyNumberFormat="1" applyFont="1" applyFill="1" applyBorder="1" applyAlignment="1"/>
    <xf numFmtId="172" fontId="0" fillId="6" borderId="6" xfId="0" applyNumberFormat="1" applyFont="1" applyFill="1" applyBorder="1" applyAlignment="1"/>
    <xf numFmtId="174" fontId="3" fillId="2" borderId="26" xfId="0" applyNumberFormat="1" applyFont="1" applyFill="1" applyBorder="1" applyAlignment="1"/>
    <xf numFmtId="0" fontId="0" fillId="0" borderId="47" xfId="0" applyFont="1" applyBorder="1" applyAlignment="1"/>
    <xf numFmtId="172" fontId="0" fillId="2" borderId="48" xfId="0" applyNumberFormat="1" applyFont="1" applyFill="1" applyBorder="1" applyAlignment="1"/>
    <xf numFmtId="172" fontId="0" fillId="2" borderId="25" xfId="0" applyNumberFormat="1" applyFont="1" applyFill="1" applyBorder="1" applyAlignment="1"/>
    <xf numFmtId="49" fontId="3" fillId="2" borderId="32" xfId="0" applyNumberFormat="1" applyFont="1" applyFill="1" applyBorder="1" applyAlignment="1"/>
    <xf numFmtId="0" fontId="0" fillId="0" borderId="44" xfId="0" applyFont="1" applyBorder="1" applyAlignment="1"/>
    <xf numFmtId="49" fontId="0" fillId="2" borderId="49" xfId="0" applyNumberFormat="1" applyFont="1" applyFill="1" applyBorder="1" applyAlignment="1"/>
    <xf numFmtId="172" fontId="0" fillId="2" borderId="44" xfId="0" applyNumberFormat="1" applyFont="1" applyFill="1" applyBorder="1" applyAlignment="1"/>
    <xf numFmtId="49" fontId="3" fillId="2" borderId="50" xfId="0" applyNumberFormat="1" applyFont="1" applyFill="1" applyBorder="1" applyAlignment="1"/>
    <xf numFmtId="0" fontId="0" fillId="4" borderId="17" xfId="0" applyNumberFormat="1" applyFont="1" applyFill="1" applyBorder="1" applyAlignment="1">
      <alignment horizontal="center"/>
    </xf>
    <xf numFmtId="172" fontId="0" fillId="2" borderId="51" xfId="0" applyNumberFormat="1" applyFont="1" applyFill="1" applyBorder="1" applyAlignment="1"/>
    <xf numFmtId="49" fontId="3" fillId="2" borderId="47" xfId="0" applyNumberFormat="1" applyFont="1" applyFill="1" applyBorder="1" applyAlignment="1"/>
    <xf numFmtId="49" fontId="0" fillId="4" borderId="17" xfId="0" applyNumberFormat="1" applyFont="1" applyFill="1" applyBorder="1" applyAlignment="1">
      <alignment horizontal="center"/>
    </xf>
    <xf numFmtId="172" fontId="0" fillId="4" borderId="17" xfId="0" applyNumberFormat="1" applyFont="1" applyFill="1" applyBorder="1" applyAlignment="1">
      <alignment horizontal="center"/>
    </xf>
    <xf numFmtId="174" fontId="3" fillId="2" borderId="28" xfId="0" applyNumberFormat="1" applyFont="1" applyFill="1" applyBorder="1" applyAlignment="1"/>
    <xf numFmtId="0" fontId="0" fillId="0" borderId="45" xfId="0" applyFont="1" applyBorder="1" applyAlignment="1"/>
    <xf numFmtId="49" fontId="0" fillId="4" borderId="5" xfId="0" applyNumberFormat="1" applyFont="1" applyFill="1" applyBorder="1" applyAlignment="1">
      <alignment horizontal="center"/>
    </xf>
    <xf numFmtId="49" fontId="0" fillId="2" borderId="45" xfId="0" applyNumberFormat="1" applyFont="1" applyFill="1" applyBorder="1" applyAlignment="1"/>
    <xf numFmtId="174" fontId="3" fillId="2" borderId="45" xfId="0" applyNumberFormat="1" applyFont="1" applyFill="1" applyBorder="1" applyAlignment="1"/>
    <xf numFmtId="10" fontId="0" fillId="2" borderId="45" xfId="0" applyNumberFormat="1" applyFont="1" applyFill="1" applyBorder="1" applyAlignment="1"/>
    <xf numFmtId="49" fontId="9" fillId="2" borderId="28" xfId="0" applyNumberFormat="1" applyFont="1" applyFill="1" applyBorder="1" applyAlignment="1"/>
    <xf numFmtId="165" fontId="0" fillId="2" borderId="28" xfId="0" applyNumberFormat="1" applyFont="1" applyFill="1" applyBorder="1" applyAlignment="1"/>
    <xf numFmtId="174" fontId="9" fillId="2" borderId="28" xfId="0" applyNumberFormat="1" applyFont="1" applyFill="1" applyBorder="1" applyAlignment="1"/>
    <xf numFmtId="49" fontId="3" fillId="2" borderId="28" xfId="0" applyNumberFormat="1" applyFont="1" applyFill="1" applyBorder="1" applyAlignment="1"/>
    <xf numFmtId="49" fontId="3" fillId="2" borderId="45" xfId="0" applyNumberFormat="1" applyFont="1" applyFill="1" applyBorder="1" applyAlignment="1"/>
    <xf numFmtId="174" fontId="3" fillId="2" borderId="32" xfId="0" applyNumberFormat="1" applyFont="1" applyFill="1" applyBorder="1" applyAlignment="1"/>
    <xf numFmtId="0" fontId="0" fillId="2" borderId="32" xfId="0" applyNumberFormat="1" applyFont="1" applyFill="1" applyBorder="1" applyAlignment="1"/>
    <xf numFmtId="49" fontId="3" fillId="2" borderId="52" xfId="0" applyNumberFormat="1" applyFont="1" applyFill="1" applyBorder="1" applyAlignment="1"/>
    <xf numFmtId="0" fontId="0" fillId="2" borderId="37" xfId="0" applyNumberFormat="1" applyFont="1" applyFill="1" applyBorder="1" applyAlignment="1"/>
    <xf numFmtId="172" fontId="0" fillId="2" borderId="37" xfId="0" applyNumberFormat="1" applyFont="1" applyFill="1" applyBorder="1" applyAlignment="1"/>
    <xf numFmtId="172" fontId="0" fillId="2" borderId="53" xfId="0" applyNumberFormat="1" applyFont="1" applyFill="1" applyBorder="1" applyAlignment="1"/>
    <xf numFmtId="49" fontId="3" fillId="2" borderId="54" xfId="0" applyNumberFormat="1" applyFont="1" applyFill="1" applyBorder="1" applyAlignment="1"/>
    <xf numFmtId="0" fontId="0" fillId="2" borderId="52" xfId="0" applyNumberFormat="1" applyFont="1" applyFill="1" applyBorder="1" applyAlignment="1"/>
    <xf numFmtId="0" fontId="0" fillId="0" borderId="0" xfId="0" applyNumberFormat="1" applyFont="1" applyAlignment="1"/>
    <xf numFmtId="0" fontId="0" fillId="2" borderId="28" xfId="0" applyFont="1" applyFill="1" applyBorder="1" applyAlignment="1"/>
    <xf numFmtId="0" fontId="0" fillId="2" borderId="55" xfId="0" applyFont="1" applyFill="1" applyBorder="1" applyAlignment="1"/>
    <xf numFmtId="0" fontId="0" fillId="2" borderId="32" xfId="0" applyFont="1" applyFill="1" applyBorder="1" applyAlignment="1"/>
    <xf numFmtId="0" fontId="0" fillId="2" borderId="38" xfId="0" applyFont="1" applyFill="1" applyBorder="1" applyAlignment="1"/>
    <xf numFmtId="0" fontId="0" fillId="2" borderId="44" xfId="0" applyFont="1" applyFill="1" applyBorder="1" applyAlignment="1"/>
    <xf numFmtId="0" fontId="4" fillId="7" borderId="56" xfId="0" applyNumberFormat="1" applyFont="1" applyFill="1" applyBorder="1" applyAlignment="1">
      <alignment horizontal="center"/>
    </xf>
    <xf numFmtId="49" fontId="4" fillId="7" borderId="57" xfId="0" applyNumberFormat="1" applyFont="1" applyFill="1" applyBorder="1" applyAlignment="1"/>
    <xf numFmtId="49" fontId="4" fillId="7" borderId="58" xfId="0" applyNumberFormat="1" applyFont="1" applyFill="1" applyBorder="1" applyAlignment="1"/>
    <xf numFmtId="49" fontId="4" fillId="7" borderId="58" xfId="0" applyNumberFormat="1" applyFont="1" applyFill="1" applyBorder="1" applyAlignment="1">
      <alignment horizontal="center"/>
    </xf>
    <xf numFmtId="49" fontId="4" fillId="7" borderId="59" xfId="0" applyNumberFormat="1" applyFont="1" applyFill="1" applyBorder="1" applyAlignment="1">
      <alignment horizontal="center"/>
    </xf>
    <xf numFmtId="0" fontId="5" fillId="2" borderId="60" xfId="0" applyNumberFormat="1" applyFont="1" applyFill="1" applyBorder="1" applyAlignment="1"/>
    <xf numFmtId="49" fontId="4" fillId="7" borderId="17" xfId="0" applyNumberFormat="1" applyFont="1" applyFill="1" applyBorder="1" applyAlignment="1">
      <alignment horizontal="center"/>
    </xf>
    <xf numFmtId="0" fontId="4" fillId="3" borderId="18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0" fontId="5" fillId="2" borderId="61" xfId="0" applyNumberFormat="1" applyFont="1" applyFill="1" applyBorder="1" applyAlignment="1"/>
    <xf numFmtId="49" fontId="5" fillId="2" borderId="62" xfId="0" applyNumberFormat="1" applyFont="1" applyFill="1" applyBorder="1" applyAlignment="1"/>
    <xf numFmtId="49" fontId="5" fillId="2" borderId="63" xfId="0" applyNumberFormat="1" applyFont="1" applyFill="1" applyBorder="1" applyAlignment="1"/>
    <xf numFmtId="0" fontId="5" fillId="2" borderId="64" xfId="0" applyNumberFormat="1" applyFont="1" applyFill="1" applyBorder="1" applyAlignment="1">
      <alignment horizontal="center"/>
    </xf>
    <xf numFmtId="164" fontId="5" fillId="2" borderId="65" xfId="0" applyNumberFormat="1" applyFont="1" applyFill="1" applyBorder="1" applyAlignment="1"/>
    <xf numFmtId="164" fontId="5" fillId="2" borderId="66" xfId="0" applyNumberFormat="1" applyFont="1" applyFill="1" applyBorder="1" applyAlignment="1"/>
    <xf numFmtId="164" fontId="5" fillId="2" borderId="67" xfId="0" applyNumberFormat="1" applyFont="1" applyFill="1" applyBorder="1" applyAlignment="1"/>
    <xf numFmtId="164" fontId="5" fillId="2" borderId="13" xfId="0" applyNumberFormat="1" applyFont="1" applyFill="1" applyBorder="1" applyAlignment="1"/>
    <xf numFmtId="164" fontId="5" fillId="2" borderId="8" xfId="0" applyNumberFormat="1" applyFont="1" applyFill="1" applyBorder="1" applyAlignment="1"/>
    <xf numFmtId="164" fontId="5" fillId="2" borderId="14" xfId="0" applyNumberFormat="1" applyFont="1" applyFill="1" applyBorder="1" applyAlignment="1"/>
    <xf numFmtId="164" fontId="5" fillId="2" borderId="68" xfId="0" applyNumberFormat="1" applyFont="1" applyFill="1" applyBorder="1" applyAlignment="1"/>
    <xf numFmtId="164" fontId="5" fillId="2" borderId="15" xfId="0" applyNumberFormat="1" applyFont="1" applyFill="1" applyBorder="1" applyAlignment="1"/>
    <xf numFmtId="164" fontId="5" fillId="2" borderId="5" xfId="0" applyNumberFormat="1" applyFont="1" applyFill="1" applyBorder="1" applyAlignment="1"/>
    <xf numFmtId="164" fontId="5" fillId="2" borderId="16" xfId="0" applyNumberFormat="1" applyFont="1" applyFill="1" applyBorder="1" applyAlignment="1"/>
    <xf numFmtId="49" fontId="5" fillId="2" borderId="69" xfId="0" applyNumberFormat="1" applyFont="1" applyFill="1" applyBorder="1" applyAlignment="1"/>
    <xf numFmtId="0" fontId="5" fillId="2" borderId="70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0" fontId="5" fillId="2" borderId="71" xfId="0" applyNumberFormat="1" applyFont="1" applyFill="1" applyBorder="1" applyAlignment="1">
      <alignment horizontal="center"/>
    </xf>
    <xf numFmtId="164" fontId="5" fillId="2" borderId="72" xfId="0" applyNumberFormat="1" applyFont="1" applyFill="1" applyBorder="1" applyAlignment="1"/>
    <xf numFmtId="164" fontId="5" fillId="2" borderId="65" xfId="0" applyNumberFormat="1" applyFont="1" applyFill="1" applyBorder="1" applyAlignment="1">
      <alignment horizontal="right"/>
    </xf>
    <xf numFmtId="164" fontId="5" fillId="2" borderId="77" xfId="0" applyNumberFormat="1" applyFont="1" applyFill="1" applyBorder="1" applyAlignment="1"/>
    <xf numFmtId="164" fontId="5" fillId="2" borderId="18" xfId="0" applyNumberFormat="1" applyFont="1" applyFill="1" applyBorder="1" applyAlignment="1"/>
    <xf numFmtId="164" fontId="5" fillId="2" borderId="7" xfId="0" applyNumberFormat="1" applyFont="1" applyFill="1" applyBorder="1" applyAlignment="1"/>
    <xf numFmtId="164" fontId="5" fillId="2" borderId="19" xfId="0" applyNumberFormat="1" applyFont="1" applyFill="1" applyBorder="1" applyAlignment="1"/>
    <xf numFmtId="49" fontId="8" fillId="2" borderId="78" xfId="0" applyNumberFormat="1" applyFont="1" applyFill="1" applyBorder="1" applyAlignment="1"/>
    <xf numFmtId="0" fontId="8" fillId="2" borderId="79" xfId="0" applyNumberFormat="1" applyFont="1" applyFill="1" applyBorder="1" applyAlignment="1"/>
    <xf numFmtId="164" fontId="8" fillId="2" borderId="79" xfId="0" applyNumberFormat="1" applyFont="1" applyFill="1" applyBorder="1" applyAlignment="1"/>
    <xf numFmtId="164" fontId="8" fillId="2" borderId="80" xfId="0" applyNumberFormat="1" applyFont="1" applyFill="1" applyBorder="1" applyAlignment="1"/>
    <xf numFmtId="167" fontId="8" fillId="2" borderId="60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/>
    <xf numFmtId="0" fontId="5" fillId="2" borderId="11" xfId="0" applyNumberFormat="1" applyFont="1" applyFill="1" applyBorder="1" applyAlignment="1"/>
    <xf numFmtId="0" fontId="0" fillId="2" borderId="81" xfId="0" applyFont="1" applyFill="1" applyBorder="1" applyAlignment="1"/>
    <xf numFmtId="0" fontId="0" fillId="2" borderId="37" xfId="0" applyFont="1" applyFill="1" applyBorder="1" applyAlignment="1"/>
    <xf numFmtId="0" fontId="0" fillId="2" borderId="82" xfId="0" applyFont="1" applyFill="1" applyBorder="1" applyAlignment="1"/>
    <xf numFmtId="0" fontId="0" fillId="2" borderId="83" xfId="0" applyFont="1" applyFill="1" applyBorder="1" applyAlignment="1"/>
    <xf numFmtId="0" fontId="0" fillId="2" borderId="46" xfId="0" applyFont="1" applyFill="1" applyBorder="1" applyAlignment="1"/>
    <xf numFmtId="0" fontId="4" fillId="7" borderId="84" xfId="0" applyNumberFormat="1" applyFont="1" applyFill="1" applyBorder="1" applyAlignment="1">
      <alignment horizontal="center"/>
    </xf>
    <xf numFmtId="49" fontId="5" fillId="2" borderId="85" xfId="0" applyNumberFormat="1" applyFont="1" applyFill="1" applyBorder="1" applyAlignment="1"/>
    <xf numFmtId="49" fontId="5" fillId="2" borderId="65" xfId="0" applyNumberFormat="1" applyFont="1" applyFill="1" applyBorder="1" applyAlignment="1"/>
    <xf numFmtId="0" fontId="5" fillId="2" borderId="65" xfId="0" applyNumberFormat="1" applyFont="1" applyFill="1" applyBorder="1" applyAlignment="1">
      <alignment horizontal="center"/>
    </xf>
    <xf numFmtId="164" fontId="5" fillId="2" borderId="66" xfId="0" applyNumberFormat="1" applyFont="1" applyFill="1" applyBorder="1" applyAlignment="1">
      <alignment horizontal="right"/>
    </xf>
    <xf numFmtId="49" fontId="5" fillId="2" borderId="87" xfId="0" applyNumberFormat="1" applyFont="1" applyFill="1" applyBorder="1" applyAlignment="1"/>
    <xf numFmtId="0" fontId="5" fillId="2" borderId="87" xfId="0" applyNumberFormat="1" applyFont="1" applyFill="1" applyBorder="1" applyAlignment="1">
      <alignment horizontal="center"/>
    </xf>
    <xf numFmtId="164" fontId="5" fillId="2" borderId="87" xfId="0" applyNumberFormat="1" applyFont="1" applyFill="1" applyBorder="1" applyAlignment="1">
      <alignment horizontal="right"/>
    </xf>
    <xf numFmtId="164" fontId="5" fillId="2" borderId="88" xfId="0" applyNumberFormat="1" applyFont="1" applyFill="1" applyBorder="1" applyAlignment="1">
      <alignment horizontal="right"/>
    </xf>
    <xf numFmtId="49" fontId="8" fillId="2" borderId="89" xfId="0" applyNumberFormat="1" applyFont="1" applyFill="1" applyBorder="1" applyAlignment="1"/>
    <xf numFmtId="0" fontId="8" fillId="2" borderId="90" xfId="0" applyNumberFormat="1" applyFont="1" applyFill="1" applyBorder="1" applyAlignment="1"/>
    <xf numFmtId="0" fontId="8" fillId="2" borderId="90" xfId="0" applyNumberFormat="1" applyFont="1" applyFill="1" applyBorder="1" applyAlignment="1">
      <alignment horizontal="center"/>
    </xf>
    <xf numFmtId="164" fontId="8" fillId="2" borderId="90" xfId="0" applyNumberFormat="1" applyFont="1" applyFill="1" applyBorder="1" applyAlignment="1">
      <alignment horizontal="right"/>
    </xf>
    <xf numFmtId="164" fontId="8" fillId="2" borderId="91" xfId="0" applyNumberFormat="1" applyFont="1" applyFill="1" applyBorder="1" applyAlignment="1">
      <alignment horizontal="right"/>
    </xf>
    <xf numFmtId="49" fontId="4" fillId="7" borderId="92" xfId="0" applyNumberFormat="1" applyFont="1" applyFill="1" applyBorder="1" applyAlignment="1"/>
    <xf numFmtId="49" fontId="4" fillId="7" borderId="93" xfId="0" applyNumberFormat="1" applyFont="1" applyFill="1" applyBorder="1" applyAlignment="1"/>
    <xf numFmtId="0" fontId="5" fillId="2" borderId="94" xfId="0" applyNumberFormat="1" applyFont="1" applyFill="1" applyBorder="1" applyAlignment="1"/>
    <xf numFmtId="0" fontId="5" fillId="2" borderId="95" xfId="0" applyNumberFormat="1" applyFont="1" applyFill="1" applyBorder="1" applyAlignment="1"/>
    <xf numFmtId="0" fontId="5" fillId="2" borderId="95" xfId="0" applyNumberFormat="1" applyFont="1" applyFill="1" applyBorder="1" applyAlignment="1">
      <alignment horizontal="center"/>
    </xf>
    <xf numFmtId="0" fontId="5" fillId="2" borderId="96" xfId="0" applyNumberFormat="1" applyFont="1" applyFill="1" applyBorder="1" applyAlignment="1">
      <alignment horizontal="center"/>
    </xf>
    <xf numFmtId="1" fontId="5" fillId="2" borderId="6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/>
    <xf numFmtId="49" fontId="5" fillId="2" borderId="97" xfId="0" applyNumberFormat="1" applyFont="1" applyFill="1" applyBorder="1" applyAlignment="1"/>
    <xf numFmtId="49" fontId="5" fillId="2" borderId="98" xfId="0" applyNumberFormat="1" applyFont="1" applyFill="1" applyBorder="1" applyAlignment="1"/>
    <xf numFmtId="1" fontId="5" fillId="2" borderId="98" xfId="0" applyNumberFormat="1" applyFont="1" applyFill="1" applyBorder="1" applyAlignment="1">
      <alignment horizontal="center"/>
    </xf>
    <xf numFmtId="164" fontId="5" fillId="2" borderId="98" xfId="0" applyNumberFormat="1" applyFont="1" applyFill="1" applyBorder="1" applyAlignment="1">
      <alignment horizontal="right"/>
    </xf>
    <xf numFmtId="164" fontId="5" fillId="2" borderId="99" xfId="0" applyNumberFormat="1" applyFont="1" applyFill="1" applyBorder="1" applyAlignment="1">
      <alignment horizontal="right"/>
    </xf>
    <xf numFmtId="164" fontId="5" fillId="2" borderId="100" xfId="0" applyNumberFormat="1" applyFont="1" applyFill="1" applyBorder="1" applyAlignment="1"/>
    <xf numFmtId="164" fontId="5" fillId="2" borderId="101" xfId="0" applyNumberFormat="1" applyFont="1" applyFill="1" applyBorder="1" applyAlignment="1"/>
    <xf numFmtId="164" fontId="5" fillId="2" borderId="102" xfId="0" applyNumberFormat="1" applyFont="1" applyFill="1" applyBorder="1" applyAlignment="1"/>
    <xf numFmtId="164" fontId="5" fillId="2" borderId="103" xfId="0" applyNumberFormat="1" applyFont="1" applyFill="1" applyBorder="1" applyAlignment="1"/>
    <xf numFmtId="0" fontId="5" fillId="2" borderId="12" xfId="0" applyNumberFormat="1" applyFont="1" applyFill="1" applyBorder="1" applyAlignment="1"/>
    <xf numFmtId="49" fontId="8" fillId="2" borderId="104" xfId="0" applyNumberFormat="1" applyFont="1" applyFill="1" applyBorder="1" applyAlignment="1"/>
    <xf numFmtId="0" fontId="8" fillId="2" borderId="105" xfId="0" applyNumberFormat="1" applyFont="1" applyFill="1" applyBorder="1" applyAlignment="1"/>
    <xf numFmtId="0" fontId="8" fillId="2" borderId="105" xfId="0" applyNumberFormat="1" applyFont="1" applyFill="1" applyBorder="1" applyAlignment="1">
      <alignment horizontal="center"/>
    </xf>
    <xf numFmtId="164" fontId="8" fillId="2" borderId="105" xfId="0" applyNumberFormat="1" applyFont="1" applyFill="1" applyBorder="1" applyAlignment="1">
      <alignment horizontal="right"/>
    </xf>
    <xf numFmtId="164" fontId="8" fillId="2" borderId="106" xfId="0" applyNumberFormat="1" applyFont="1" applyFill="1" applyBorder="1" applyAlignment="1">
      <alignment horizontal="right"/>
    </xf>
    <xf numFmtId="0" fontId="5" fillId="2" borderId="68" xfId="0" applyNumberFormat="1" applyFont="1" applyFill="1" applyBorder="1" applyAlignment="1"/>
    <xf numFmtId="164" fontId="8" fillId="2" borderId="35" xfId="0" applyNumberFormat="1" applyFont="1" applyFill="1" applyBorder="1" applyAlignment="1"/>
    <xf numFmtId="0" fontId="0" fillId="2" borderId="10" xfId="0" applyFont="1" applyFill="1" applyBorder="1" applyAlignment="1"/>
    <xf numFmtId="0" fontId="5" fillId="2" borderId="107" xfId="0" applyNumberFormat="1" applyFont="1" applyFill="1" applyBorder="1" applyAlignment="1"/>
    <xf numFmtId="0" fontId="0" fillId="2" borderId="107" xfId="0" applyFont="1" applyFill="1" applyBorder="1" applyAlignment="1"/>
    <xf numFmtId="0" fontId="0" fillId="2" borderId="108" xfId="0" applyFont="1" applyFill="1" applyBorder="1" applyAlignment="1"/>
    <xf numFmtId="0" fontId="8" fillId="2" borderId="73" xfId="0" applyNumberFormat="1" applyFont="1" applyFill="1" applyBorder="1" applyAlignment="1"/>
    <xf numFmtId="164" fontId="8" fillId="2" borderId="20" xfId="0" applyNumberFormat="1" applyFont="1" applyFill="1" applyBorder="1" applyAlignment="1"/>
    <xf numFmtId="164" fontId="8" fillId="2" borderId="109" xfId="0" applyNumberFormat="1" applyFont="1" applyFill="1" applyBorder="1" applyAlignment="1"/>
    <xf numFmtId="164" fontId="8" fillId="2" borderId="46" xfId="0" applyNumberFormat="1" applyFont="1" applyFill="1" applyBorder="1" applyAlignment="1"/>
    <xf numFmtId="49" fontId="4" fillId="7" borderId="110" xfId="0" applyNumberFormat="1" applyFont="1" applyFill="1" applyBorder="1" applyAlignment="1"/>
    <xf numFmtId="49" fontId="4" fillId="7" borderId="111" xfId="0" applyNumberFormat="1" applyFont="1" applyFill="1" applyBorder="1" applyAlignment="1"/>
    <xf numFmtId="0" fontId="5" fillId="2" borderId="112" xfId="0" applyNumberFormat="1" applyFont="1" applyFill="1" applyBorder="1" applyAlignment="1"/>
    <xf numFmtId="49" fontId="5" fillId="2" borderId="113" xfId="0" applyNumberFormat="1" applyFont="1" applyFill="1" applyBorder="1" applyAlignment="1"/>
    <xf numFmtId="49" fontId="5" fillId="2" borderId="72" xfId="0" applyNumberFormat="1" applyFont="1" applyFill="1" applyBorder="1" applyAlignment="1"/>
    <xf numFmtId="0" fontId="5" fillId="2" borderId="65" xfId="0" applyNumberFormat="1" applyFont="1" applyFill="1" applyBorder="1" applyAlignment="1"/>
    <xf numFmtId="164" fontId="5" fillId="2" borderId="114" xfId="0" applyNumberFormat="1" applyFont="1" applyFill="1" applyBorder="1" applyAlignment="1"/>
    <xf numFmtId="49" fontId="5" fillId="2" borderId="115" xfId="0" applyNumberFormat="1" applyFont="1" applyFill="1" applyBorder="1" applyAlignment="1"/>
    <xf numFmtId="49" fontId="5" fillId="2" borderId="74" xfId="0" applyNumberFormat="1" applyFont="1" applyFill="1" applyBorder="1" applyAlignment="1"/>
    <xf numFmtId="164" fontId="5" fillId="2" borderId="116" xfId="0" applyNumberFormat="1" applyFont="1" applyFill="1" applyBorder="1" applyAlignment="1"/>
    <xf numFmtId="49" fontId="5" fillId="2" borderId="117" xfId="0" applyNumberFormat="1" applyFont="1" applyFill="1" applyBorder="1" applyAlignment="1"/>
    <xf numFmtId="49" fontId="5" fillId="2" borderId="75" xfId="0" applyNumberFormat="1" applyFont="1" applyFill="1" applyBorder="1" applyAlignment="1"/>
    <xf numFmtId="0" fontId="5" fillId="2" borderId="75" xfId="0" applyNumberFormat="1" applyFont="1" applyFill="1" applyBorder="1" applyAlignment="1"/>
    <xf numFmtId="164" fontId="5" fillId="2" borderId="76" xfId="0" applyNumberFormat="1" applyFont="1" applyFill="1" applyBorder="1" applyAlignment="1">
      <alignment horizontal="right"/>
    </xf>
    <xf numFmtId="164" fontId="5" fillId="2" borderId="118" xfId="0" applyNumberFormat="1" applyFont="1" applyFill="1" applyBorder="1" applyAlignment="1"/>
    <xf numFmtId="164" fontId="8" fillId="2" borderId="80" xfId="0" applyNumberFormat="1" applyFont="1" applyFill="1" applyBorder="1" applyAlignment="1">
      <alignment horizontal="right"/>
    </xf>
    <xf numFmtId="0" fontId="5" fillId="2" borderId="119" xfId="0" applyNumberFormat="1" applyFont="1" applyFill="1" applyBorder="1" applyAlignment="1"/>
    <xf numFmtId="0" fontId="5" fillId="2" borderId="4" xfId="0" applyNumberFormat="1" applyFont="1" applyFill="1" applyBorder="1" applyAlignment="1"/>
    <xf numFmtId="0" fontId="5" fillId="2" borderId="22" xfId="0" applyNumberFormat="1" applyFont="1" applyFill="1" applyBorder="1" applyAlignment="1"/>
    <xf numFmtId="49" fontId="8" fillId="2" borderId="120" xfId="0" applyNumberFormat="1" applyFont="1" applyFill="1" applyBorder="1" applyAlignment="1"/>
    <xf numFmtId="0" fontId="8" fillId="2" borderId="23" xfId="0" applyNumberFormat="1" applyFont="1" applyFill="1" applyBorder="1" applyAlignment="1"/>
    <xf numFmtId="164" fontId="8" fillId="2" borderId="121" xfId="0" applyNumberFormat="1" applyFont="1" applyFill="1" applyBorder="1" applyAlignment="1"/>
    <xf numFmtId="49" fontId="8" fillId="2" borderId="5" xfId="0" applyNumberFormat="1" applyFont="1" applyFill="1" applyBorder="1" applyAlignment="1"/>
    <xf numFmtId="164" fontId="5" fillId="2" borderId="122" xfId="0" applyNumberFormat="1" applyFont="1" applyFill="1" applyBorder="1" applyAlignment="1"/>
    <xf numFmtId="0" fontId="0" fillId="2" borderId="42" xfId="0" applyFont="1" applyFill="1" applyBorder="1" applyAlignment="1"/>
    <xf numFmtId="49" fontId="8" fillId="2" borderId="123" xfId="0" applyNumberFormat="1" applyFont="1" applyFill="1" applyBorder="1" applyAlignment="1">
      <alignment horizontal="right"/>
    </xf>
    <xf numFmtId="0" fontId="8" fillId="2" borderId="102" xfId="0" applyNumberFormat="1" applyFont="1" applyFill="1" applyBorder="1" applyAlignment="1">
      <alignment horizontal="right"/>
    </xf>
    <xf numFmtId="0" fontId="5" fillId="2" borderId="102" xfId="0" applyNumberFormat="1" applyFont="1" applyFill="1" applyBorder="1" applyAlignment="1"/>
    <xf numFmtId="164" fontId="8" fillId="2" borderId="124" xfId="0" applyNumberFormat="1" applyFont="1" applyFill="1" applyBorder="1" applyAlignment="1"/>
    <xf numFmtId="0" fontId="0" fillId="2" borderId="43" xfId="0" applyFont="1" applyFill="1" applyBorder="1" applyAlignment="1"/>
    <xf numFmtId="0" fontId="0" fillId="2" borderId="45" xfId="0" applyFont="1" applyFill="1" applyBorder="1" applyAlignment="1"/>
    <xf numFmtId="0" fontId="0" fillId="2" borderId="125" xfId="0" applyFont="1" applyFill="1" applyBorder="1" applyAlignment="1"/>
    <xf numFmtId="164" fontId="5" fillId="2" borderId="28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0" fillId="2" borderId="26" xfId="0" applyNumberFormat="1" applyFont="1" applyFill="1" applyBorder="1" applyAlignment="1"/>
    <xf numFmtId="0" fontId="0" fillId="2" borderId="26" xfId="0" applyFont="1" applyFill="1" applyBorder="1" applyAlignment="1"/>
    <xf numFmtId="49" fontId="2" fillId="3" borderId="5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/>
    <xf numFmtId="49" fontId="8" fillId="2" borderId="8" xfId="0" applyNumberFormat="1" applyFont="1" applyFill="1" applyBorder="1" applyAlignment="1">
      <alignment horizontal="right"/>
    </xf>
    <xf numFmtId="0" fontId="8" fillId="2" borderId="5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/>
    <xf numFmtId="167" fontId="5" fillId="2" borderId="5" xfId="0" applyNumberFormat="1" applyFont="1" applyFill="1" applyBorder="1" applyAlignment="1"/>
    <xf numFmtId="167" fontId="5" fillId="2" borderId="6" xfId="0" applyNumberFormat="1" applyFont="1" applyFill="1" applyBorder="1" applyAlignment="1"/>
    <xf numFmtId="0" fontId="0" fillId="2" borderId="4" xfId="0" applyFont="1" applyFill="1" applyBorder="1" applyAlignment="1"/>
    <xf numFmtId="49" fontId="8" fillId="2" borderId="5" xfId="0" applyNumberFormat="1" applyFont="1" applyFill="1" applyBorder="1" applyAlignment="1">
      <alignment horizontal="right"/>
    </xf>
    <xf numFmtId="164" fontId="8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right"/>
    </xf>
    <xf numFmtId="49" fontId="5" fillId="2" borderId="7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/>
    <xf numFmtId="49" fontId="5" fillId="2" borderId="31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49" fontId="0" fillId="2" borderId="2" xfId="0" applyNumberFormat="1" applyFont="1" applyFill="1" applyBorder="1" applyAlignment="1"/>
    <xf numFmtId="0" fontId="0" fillId="0" borderId="3" xfId="0" applyFont="1" applyBorder="1" applyAlignment="1"/>
    <xf numFmtId="49" fontId="4" fillId="3" borderId="5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horizontal="left"/>
    </xf>
    <xf numFmtId="164" fontId="5" fillId="2" borderId="9" xfId="0" applyNumberFormat="1" applyFont="1" applyFill="1" applyBorder="1" applyAlignment="1"/>
    <xf numFmtId="17" fontId="5" fillId="2" borderId="5" xfId="0" applyNumberFormat="1" applyFont="1" applyFill="1" applyBorder="1" applyAlignment="1">
      <alignment horizontal="center"/>
    </xf>
    <xf numFmtId="17" fontId="5" fillId="2" borderId="6" xfId="0" applyNumberFormat="1" applyFont="1" applyFill="1" applyBorder="1" applyAlignment="1">
      <alignment horizontal="center"/>
    </xf>
    <xf numFmtId="169" fontId="5" fillId="2" borderId="5" xfId="0" applyNumberFormat="1" applyFont="1" applyFill="1" applyBorder="1" applyAlignment="1"/>
    <xf numFmtId="169" fontId="5" fillId="2" borderId="6" xfId="0" applyNumberFormat="1" applyFont="1" applyFill="1" applyBorder="1" applyAlignment="1"/>
    <xf numFmtId="10" fontId="10" fillId="2" borderId="5" xfId="0" applyNumberFormat="1" applyFont="1" applyFill="1" applyBorder="1" applyAlignment="1">
      <alignment horizontal="center"/>
    </xf>
    <xf numFmtId="10" fontId="10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0" fillId="2" borderId="11" xfId="0" applyNumberFormat="1" applyFont="1" applyFill="1" applyBorder="1" applyAlignment="1"/>
    <xf numFmtId="49" fontId="8" fillId="2" borderId="7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/>
    <xf numFmtId="164" fontId="8" fillId="2" borderId="9" xfId="0" applyNumberFormat="1" applyFont="1" applyFill="1" applyBorder="1" applyAlignment="1"/>
    <xf numFmtId="0" fontId="0" fillId="2" borderId="128" xfId="0" applyNumberFormat="1" applyFont="1" applyFill="1" applyBorder="1" applyAlignment="1"/>
    <xf numFmtId="0" fontId="5" fillId="2" borderId="8" xfId="0" applyNumberFormat="1" applyFont="1" applyFill="1" applyBorder="1" applyAlignment="1"/>
    <xf numFmtId="17" fontId="5" fillId="2" borderId="8" xfId="0" applyNumberFormat="1" applyFont="1" applyFill="1" applyBorder="1" applyAlignment="1">
      <alignment horizontal="center"/>
    </xf>
    <xf numFmtId="17" fontId="5" fillId="2" borderId="109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right"/>
    </xf>
    <xf numFmtId="164" fontId="8" fillId="2" borderId="6" xfId="0" applyNumberFormat="1" applyFont="1" applyFill="1" applyBorder="1" applyAlignment="1">
      <alignment horizontal="right"/>
    </xf>
    <xf numFmtId="49" fontId="4" fillId="3" borderId="7" xfId="0" applyNumberFormat="1" applyFont="1" applyFill="1" applyBorder="1" applyAlignment="1">
      <alignment horizontal="center"/>
    </xf>
    <xf numFmtId="0" fontId="5" fillId="2" borderId="109" xfId="0" applyNumberFormat="1" applyFont="1" applyFill="1" applyBorder="1" applyAlignment="1"/>
    <xf numFmtId="164" fontId="8" fillId="2" borderId="6" xfId="0" applyNumberFormat="1" applyFont="1" applyFill="1" applyBorder="1" applyAlignment="1"/>
    <xf numFmtId="0" fontId="5" fillId="2" borderId="6" xfId="0" applyNumberFormat="1" applyFont="1" applyFill="1" applyBorder="1" applyAlignment="1"/>
    <xf numFmtId="164" fontId="0" fillId="2" borderId="9" xfId="0" applyNumberFormat="1" applyFont="1" applyFill="1" applyBorder="1" applyAlignment="1"/>
    <xf numFmtId="164" fontId="5" fillId="2" borderId="109" xfId="0" applyNumberFormat="1" applyFont="1" applyFill="1" applyBorder="1" applyAlignment="1"/>
    <xf numFmtId="0" fontId="3" fillId="2" borderId="4" xfId="0" applyNumberFormat="1" applyFont="1" applyFill="1" applyBorder="1" applyAlignment="1"/>
    <xf numFmtId="49" fontId="3" fillId="2" borderId="6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0" fillId="2" borderId="4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164" fontId="5" fillId="2" borderId="109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0" fontId="8" fillId="2" borderId="5" xfId="0" applyNumberFormat="1" applyFont="1" applyFill="1" applyBorder="1" applyAlignment="1"/>
    <xf numFmtId="175" fontId="8" fillId="5" borderId="5" xfId="0" applyNumberFormat="1" applyFont="1" applyFill="1" applyBorder="1" applyAlignment="1">
      <alignment horizontal="center"/>
    </xf>
    <xf numFmtId="175" fontId="8" fillId="5" borderId="5" xfId="0" applyNumberFormat="1" applyFont="1" applyFill="1" applyBorder="1" applyAlignment="1">
      <alignment horizontal="right"/>
    </xf>
    <xf numFmtId="175" fontId="8" fillId="5" borderId="6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5" xfId="0" applyFont="1" applyBorder="1" applyAlignment="1"/>
    <xf numFmtId="0" fontId="0" fillId="0" borderId="4" xfId="0" applyFont="1" applyBorder="1" applyAlignment="1"/>
    <xf numFmtId="49" fontId="11" fillId="2" borderId="5" xfId="0" applyNumberFormat="1" applyFont="1" applyFill="1" applyBorder="1" applyAlignment="1"/>
    <xf numFmtId="49" fontId="12" fillId="2" borderId="5" xfId="0" applyNumberFormat="1" applyFont="1" applyFill="1" applyBorder="1" applyAlignment="1"/>
    <xf numFmtId="49" fontId="8" fillId="2" borderId="7" xfId="0" applyNumberFormat="1" applyFont="1" applyFill="1" applyBorder="1" applyAlignment="1"/>
    <xf numFmtId="49" fontId="5" fillId="2" borderId="8" xfId="0" applyNumberFormat="1" applyFont="1" applyFill="1" applyBorder="1" applyAlignment="1">
      <alignment horizontal="right"/>
    </xf>
    <xf numFmtId="176" fontId="5" fillId="2" borderId="8" xfId="0" applyNumberFormat="1" applyFont="1" applyFill="1" applyBorder="1" applyAlignment="1"/>
    <xf numFmtId="176" fontId="5" fillId="2" borderId="5" xfId="0" applyNumberFormat="1" applyFont="1" applyFill="1" applyBorder="1" applyAlignment="1"/>
    <xf numFmtId="176" fontId="5" fillId="2" borderId="7" xfId="0" applyNumberFormat="1" applyFont="1" applyFill="1" applyBorder="1" applyAlignment="1"/>
    <xf numFmtId="176" fontId="5" fillId="2" borderId="6" xfId="0" applyNumberFormat="1" applyFont="1" applyFill="1" applyBorder="1" applyAlignment="1"/>
    <xf numFmtId="49" fontId="8" fillId="2" borderId="8" xfId="0" applyNumberFormat="1" applyFont="1" applyFill="1" applyBorder="1" applyAlignment="1"/>
    <xf numFmtId="176" fontId="8" fillId="2" borderId="8" xfId="0" applyNumberFormat="1" applyFont="1" applyFill="1" applyBorder="1" applyAlignment="1"/>
    <xf numFmtId="9" fontId="5" fillId="2" borderId="5" xfId="0" applyNumberFormat="1" applyFont="1" applyFill="1" applyBorder="1" applyAlignment="1"/>
    <xf numFmtId="0" fontId="3" fillId="2" borderId="5" xfId="0" applyNumberFormat="1" applyFont="1" applyFill="1" applyBorder="1" applyAlignment="1"/>
    <xf numFmtId="176" fontId="5" fillId="2" borderId="8" xfId="0" applyNumberFormat="1" applyFont="1" applyFill="1" applyBorder="1" applyAlignment="1">
      <alignment horizontal="right"/>
    </xf>
    <xf numFmtId="176" fontId="5" fillId="2" borderId="5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wrapText="1"/>
    </xf>
    <xf numFmtId="171" fontId="0" fillId="2" borderId="5" xfId="0" applyNumberFormat="1" applyFont="1" applyFill="1" applyBorder="1" applyAlignment="1"/>
    <xf numFmtId="177" fontId="0" fillId="2" borderId="5" xfId="0" applyNumberFormat="1" applyFont="1" applyFill="1" applyBorder="1" applyAlignment="1"/>
    <xf numFmtId="177" fontId="0" fillId="5" borderId="5" xfId="0" applyNumberFormat="1" applyFont="1" applyFill="1" applyBorder="1" applyAlignment="1"/>
    <xf numFmtId="49" fontId="0" fillId="2" borderId="5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0" fontId="0" fillId="0" borderId="31" xfId="0" applyFont="1" applyBorder="1" applyAlignment="1"/>
    <xf numFmtId="176" fontId="5" fillId="2" borderId="31" xfId="0" applyNumberFormat="1" applyFont="1" applyFill="1" applyBorder="1" applyAlignment="1"/>
    <xf numFmtId="171" fontId="0" fillId="2" borderId="28" xfId="0" applyNumberFormat="1" applyFont="1" applyFill="1" applyBorder="1" applyAlignment="1"/>
    <xf numFmtId="164" fontId="0" fillId="2" borderId="28" xfId="0" applyNumberFormat="1" applyFont="1" applyFill="1" applyBorder="1" applyAlignment="1"/>
    <xf numFmtId="0" fontId="0" fillId="0" borderId="0" xfId="0" applyNumberFormat="1" applyFont="1" applyAlignment="1"/>
    <xf numFmtId="49" fontId="0" fillId="2" borderId="30" xfId="0" applyNumberFormat="1" applyFont="1" applyFill="1" applyBorder="1" applyAlignment="1"/>
    <xf numFmtId="49" fontId="5" fillId="2" borderId="28" xfId="0" applyNumberFormat="1" applyFont="1" applyFill="1" applyBorder="1" applyAlignment="1">
      <alignment horizontal="right"/>
    </xf>
    <xf numFmtId="171" fontId="0" fillId="2" borderId="45" xfId="0" applyNumberFormat="1" applyFont="1" applyFill="1" applyBorder="1" applyAlignment="1"/>
    <xf numFmtId="49" fontId="5" fillId="2" borderId="44" xfId="0" applyNumberFormat="1" applyFont="1" applyFill="1" applyBorder="1" applyAlignment="1">
      <alignment horizontal="right"/>
    </xf>
    <xf numFmtId="49" fontId="4" fillId="3" borderId="7" xfId="0" applyNumberFormat="1" applyFont="1" applyFill="1" applyBorder="1" applyAlignment="1">
      <alignment horizontal="right"/>
    </xf>
    <xf numFmtId="49" fontId="0" fillId="2" borderId="45" xfId="0" applyNumberFormat="1" applyFont="1" applyFill="1" applyBorder="1" applyAlignment="1">
      <alignment horizontal="right"/>
    </xf>
    <xf numFmtId="164" fontId="0" fillId="2" borderId="45" xfId="0" applyNumberFormat="1" applyFont="1" applyFill="1" applyBorder="1" applyAlignment="1"/>
    <xf numFmtId="49" fontId="0" fillId="2" borderId="28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9" fontId="0" fillId="4" borderId="5" xfId="0" applyNumberFormat="1" applyFont="1" applyFill="1" applyBorder="1" applyAlignment="1">
      <alignment horizontal="center"/>
    </xf>
    <xf numFmtId="9" fontId="0" fillId="4" borderId="6" xfId="0" applyNumberFormat="1" applyFont="1" applyFill="1" applyBorder="1" applyAlignment="1">
      <alignment horizontal="center"/>
    </xf>
    <xf numFmtId="10" fontId="12" fillId="5" borderId="5" xfId="0" applyNumberFormat="1" applyFont="1" applyFill="1" applyBorder="1" applyAlignment="1">
      <alignment horizontal="center"/>
    </xf>
    <xf numFmtId="10" fontId="12" fillId="5" borderId="6" xfId="0" applyNumberFormat="1" applyFont="1" applyFill="1" applyBorder="1" applyAlignment="1">
      <alignment horizontal="center"/>
    </xf>
    <xf numFmtId="175" fontId="12" fillId="5" borderId="5" xfId="0" applyNumberFormat="1" applyFont="1" applyFill="1" applyBorder="1" applyAlignment="1">
      <alignment horizontal="center"/>
    </xf>
    <xf numFmtId="175" fontId="12" fillId="5" borderId="6" xfId="0" applyNumberFormat="1" applyFont="1" applyFill="1" applyBorder="1" applyAlignment="1">
      <alignment horizontal="center"/>
    </xf>
    <xf numFmtId="17" fontId="5" fillId="2" borderId="5" xfId="0" applyNumberFormat="1" applyFont="1" applyFill="1" applyBorder="1" applyAlignment="1"/>
    <xf numFmtId="17" fontId="5" fillId="2" borderId="6" xfId="0" applyNumberFormat="1" applyFont="1" applyFill="1" applyBorder="1" applyAlignment="1"/>
    <xf numFmtId="167" fontId="8" fillId="2" borderId="8" xfId="0" applyNumberFormat="1" applyFont="1" applyFill="1" applyBorder="1" applyAlignment="1"/>
    <xf numFmtId="49" fontId="8" fillId="2" borderId="6" xfId="0" applyNumberFormat="1" applyFont="1" applyFill="1" applyBorder="1" applyAlignment="1"/>
    <xf numFmtId="49" fontId="8" fillId="2" borderId="4" xfId="0" applyNumberFormat="1" applyFont="1" applyFill="1" applyBorder="1" applyAlignment="1"/>
    <xf numFmtId="175" fontId="8" fillId="5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/>
    <xf numFmtId="9" fontId="5" fillId="2" borderId="5" xfId="0" applyNumberFormat="1" applyFont="1" applyFill="1" applyBorder="1" applyAlignment="1">
      <alignment horizontal="right"/>
    </xf>
    <xf numFmtId="0" fontId="11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0" fontId="5" fillId="2" borderId="5" xfId="0" applyNumberFormat="1" applyFont="1" applyFill="1" applyBorder="1" applyAlignment="1">
      <alignment wrapText="1"/>
    </xf>
    <xf numFmtId="171" fontId="5" fillId="2" borderId="5" xfId="0" applyNumberFormat="1" applyFont="1" applyFill="1" applyBorder="1" applyAlignment="1"/>
    <xf numFmtId="171" fontId="5" fillId="2" borderId="6" xfId="0" applyNumberFormat="1" applyFont="1" applyFill="1" applyBorder="1" applyAlignment="1"/>
    <xf numFmtId="175" fontId="5" fillId="5" borderId="5" xfId="0" applyNumberFormat="1" applyFont="1" applyFill="1" applyBorder="1" applyAlignment="1"/>
    <xf numFmtId="177" fontId="5" fillId="2" borderId="5" xfId="0" applyNumberFormat="1" applyFont="1" applyFill="1" applyBorder="1" applyAlignment="1"/>
    <xf numFmtId="177" fontId="5" fillId="2" borderId="6" xfId="0" applyNumberFormat="1" applyFont="1" applyFill="1" applyBorder="1" applyAlignment="1"/>
    <xf numFmtId="0" fontId="0" fillId="2" borderId="29" xfId="0" applyNumberFormat="1" applyFont="1" applyFill="1" applyBorder="1" applyAlignment="1"/>
    <xf numFmtId="49" fontId="0" fillId="2" borderId="31" xfId="0" applyNumberFormat="1" applyFont="1" applyFill="1" applyBorder="1" applyAlignment="1">
      <alignment horizontal="right"/>
    </xf>
    <xf numFmtId="0" fontId="0" fillId="2" borderId="31" xfId="0" applyNumberFormat="1" applyFont="1" applyFill="1" applyBorder="1" applyAlignment="1">
      <alignment horizontal="right"/>
    </xf>
    <xf numFmtId="0" fontId="1" fillId="2" borderId="130" xfId="0" applyNumberFormat="1" applyFont="1" applyFill="1" applyBorder="1" applyAlignment="1"/>
    <xf numFmtId="0" fontId="0" fillId="2" borderId="102" xfId="0" applyNumberFormat="1" applyFont="1" applyFill="1" applyBorder="1" applyAlignment="1"/>
    <xf numFmtId="49" fontId="13" fillId="2" borderId="120" xfId="0" applyNumberFormat="1" applyFont="1" applyFill="1" applyBorder="1" applyAlignment="1"/>
    <xf numFmtId="164" fontId="0" fillId="2" borderId="121" xfId="0" applyNumberFormat="1" applyFont="1" applyFill="1" applyBorder="1" applyAlignment="1"/>
    <xf numFmtId="0" fontId="0" fillId="2" borderId="41" xfId="0" applyNumberFormat="1" applyFont="1" applyFill="1" applyBorder="1" applyAlignment="1"/>
    <xf numFmtId="49" fontId="0" fillId="2" borderId="41" xfId="0" applyNumberFormat="1" applyFont="1" applyFill="1" applyBorder="1" applyAlignment="1"/>
    <xf numFmtId="0" fontId="0" fillId="2" borderId="21" xfId="0" applyNumberFormat="1" applyFont="1" applyFill="1" applyBorder="1" applyAlignment="1">
      <alignment horizontal="center"/>
    </xf>
    <xf numFmtId="0" fontId="0" fillId="5" borderId="5" xfId="0" applyNumberFormat="1" applyFont="1" applyFill="1" applyBorder="1" applyAlignment="1">
      <alignment horizontal="center"/>
    </xf>
    <xf numFmtId="164" fontId="0" fillId="2" borderId="29" xfId="0" applyNumberFormat="1" applyFont="1" applyFill="1" applyBorder="1" applyAlignment="1"/>
    <xf numFmtId="0" fontId="0" fillId="5" borderId="5" xfId="0" applyNumberFormat="1" applyFont="1" applyFill="1" applyBorder="1" applyAlignment="1">
      <alignment horizontal="center" vertical="center" wrapText="1"/>
    </xf>
    <xf numFmtId="164" fontId="0" fillId="5" borderId="5" xfId="0" applyNumberFormat="1" applyFont="1" applyFill="1" applyBorder="1" applyAlignment="1">
      <alignment horizontal="center" vertical="center" wrapText="1"/>
    </xf>
    <xf numFmtId="49" fontId="13" fillId="2" borderId="41" xfId="0" applyNumberFormat="1" applyFont="1" applyFill="1" applyBorder="1" applyAlignment="1"/>
    <xf numFmtId="164" fontId="0" fillId="2" borderId="127" xfId="0" applyNumberFormat="1" applyFont="1" applyFill="1" applyBorder="1" applyAlignment="1"/>
    <xf numFmtId="164" fontId="0" fillId="2" borderId="21" xfId="0" applyNumberFormat="1" applyFont="1" applyFill="1" applyBorder="1" applyAlignment="1"/>
    <xf numFmtId="49" fontId="13" fillId="2" borderId="123" xfId="0" applyNumberFormat="1" applyFont="1" applyFill="1" applyBorder="1" applyAlignment="1"/>
    <xf numFmtId="10" fontId="0" fillId="2" borderId="131" xfId="0" applyNumberFormat="1" applyFont="1" applyFill="1" applyBorder="1" applyAlignment="1">
      <alignment horizontal="center"/>
    </xf>
    <xf numFmtId="0" fontId="1" fillId="2" borderId="132" xfId="0" applyNumberFormat="1" applyFont="1" applyFill="1" applyBorder="1" applyAlignment="1"/>
    <xf numFmtId="164" fontId="0" fillId="2" borderId="25" xfId="0" applyNumberFormat="1" applyFont="1" applyFill="1" applyBorder="1" applyAlignment="1"/>
    <xf numFmtId="0" fontId="0" fillId="2" borderId="26" xfId="0" applyNumberFormat="1" applyFont="1" applyFill="1" applyBorder="1" applyAlignment="1">
      <alignment horizontal="center"/>
    </xf>
    <xf numFmtId="0" fontId="0" fillId="2" borderId="126" xfId="0" applyNumberFormat="1" applyFont="1" applyFill="1" applyBorder="1" applyAlignment="1">
      <alignment horizontal="center"/>
    </xf>
    <xf numFmtId="164" fontId="0" fillId="2" borderId="44" xfId="0" applyNumberFormat="1" applyFont="1" applyFill="1" applyBorder="1" applyAlignment="1"/>
    <xf numFmtId="0" fontId="0" fillId="2" borderId="40" xfId="0" applyNumberFormat="1" applyFont="1" applyFill="1" applyBorder="1" applyAlignment="1">
      <alignment horizontal="center"/>
    </xf>
    <xf numFmtId="164" fontId="0" fillId="2" borderId="133" xfId="0" applyNumberFormat="1" applyFont="1" applyFill="1" applyBorder="1" applyAlignment="1"/>
    <xf numFmtId="164" fontId="0" fillId="4" borderId="8" xfId="0" applyNumberFormat="1" applyFont="1" applyFill="1" applyBorder="1" applyAlignment="1"/>
    <xf numFmtId="0" fontId="0" fillId="0" borderId="0" xfId="0" applyNumberFormat="1" applyFont="1" applyAlignment="1"/>
    <xf numFmtId="178" fontId="0" fillId="2" borderId="5" xfId="0" applyNumberFormat="1" applyFont="1" applyFill="1" applyBorder="1" applyAlignment="1">
      <alignment horizontal="center"/>
    </xf>
    <xf numFmtId="178" fontId="0" fillId="2" borderId="27" xfId="0" applyNumberFormat="1" applyFont="1" applyFill="1" applyBorder="1" applyAlignment="1">
      <alignment horizontal="center"/>
    </xf>
    <xf numFmtId="164" fontId="0" fillId="2" borderId="24" xfId="0" applyNumberFormat="1" applyFont="1" applyFill="1" applyBorder="1" applyAlignment="1"/>
    <xf numFmtId="178" fontId="0" fillId="2" borderId="127" xfId="0" applyNumberFormat="1" applyFont="1" applyFill="1" applyBorder="1" applyAlignment="1">
      <alignment horizontal="center"/>
    </xf>
    <xf numFmtId="0" fontId="0" fillId="5" borderId="7" xfId="0" applyNumberFormat="1" applyFont="1" applyFill="1" applyBorder="1" applyAlignment="1">
      <alignment horizontal="center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2" borderId="134" xfId="0" applyNumberFormat="1" applyFont="1" applyFill="1" applyBorder="1" applyAlignment="1"/>
    <xf numFmtId="0" fontId="0" fillId="5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5" fillId="2" borderId="2" xfId="0" applyNumberFormat="1" applyFont="1" applyFill="1" applyBorder="1" applyAlignment="1"/>
    <xf numFmtId="0" fontId="5" fillId="2" borderId="134" xfId="0" applyNumberFormat="1" applyFont="1" applyFill="1" applyBorder="1" applyAlignment="1"/>
    <xf numFmtId="0" fontId="5" fillId="2" borderId="20" xfId="0" applyNumberFormat="1" applyFont="1" applyFill="1" applyBorder="1" applyAlignment="1"/>
    <xf numFmtId="0" fontId="8" fillId="2" borderId="4" xfId="0" applyNumberFormat="1" applyFont="1" applyFill="1" applyBorder="1" applyAlignment="1"/>
    <xf numFmtId="171" fontId="5" fillId="2" borderId="8" xfId="0" applyNumberFormat="1" applyFont="1" applyFill="1" applyBorder="1" applyAlignment="1"/>
    <xf numFmtId="165" fontId="5" fillId="2" borderId="8" xfId="0" applyNumberFormat="1" applyFont="1" applyFill="1" applyBorder="1" applyAlignment="1"/>
    <xf numFmtId="49" fontId="5" fillId="2" borderId="4" xfId="0" applyNumberFormat="1" applyFont="1" applyFill="1" applyBorder="1" applyAlignment="1"/>
    <xf numFmtId="0" fontId="8" fillId="4" borderId="5" xfId="0" applyNumberFormat="1" applyFont="1" applyFill="1" applyBorder="1" applyAlignment="1">
      <alignment horizontal="left"/>
    </xf>
    <xf numFmtId="179" fontId="8" fillId="4" borderId="5" xfId="0" applyNumberFormat="1" applyFont="1" applyFill="1" applyBorder="1" applyAlignment="1"/>
    <xf numFmtId="171" fontId="5" fillId="5" borderId="5" xfId="0" applyNumberFormat="1" applyFont="1" applyFill="1" applyBorder="1" applyAlignment="1"/>
    <xf numFmtId="168" fontId="5" fillId="5" borderId="5" xfId="0" applyNumberFormat="1" applyFont="1" applyFill="1" applyBorder="1" applyAlignment="1"/>
    <xf numFmtId="179" fontId="5" fillId="2" borderId="7" xfId="0" applyNumberFormat="1" applyFont="1" applyFill="1" applyBorder="1" applyAlignment="1"/>
    <xf numFmtId="171" fontId="5" fillId="2" borderId="7" xfId="0" applyNumberFormat="1" applyFont="1" applyFill="1" applyBorder="1" applyAlignment="1"/>
    <xf numFmtId="168" fontId="5" fillId="2" borderId="7" xfId="0" applyNumberFormat="1" applyFont="1" applyFill="1" applyBorder="1" applyAlignment="1"/>
    <xf numFmtId="0" fontId="5" fillId="2" borderId="128" xfId="0" applyNumberFormat="1" applyFont="1" applyFill="1" applyBorder="1" applyAlignment="1"/>
    <xf numFmtId="179" fontId="5" fillId="2" borderId="8" xfId="0" applyNumberFormat="1" applyFont="1" applyFill="1" applyBorder="1" applyAlignment="1"/>
    <xf numFmtId="168" fontId="5" fillId="2" borderId="8" xfId="0" applyNumberFormat="1" applyFont="1" applyFill="1" applyBorder="1" applyAlignment="1"/>
    <xf numFmtId="181" fontId="5" fillId="2" borderId="5" xfId="0" applyNumberFormat="1" applyFont="1" applyFill="1" applyBorder="1" applyAlignment="1"/>
    <xf numFmtId="164" fontId="5" fillId="5" borderId="5" xfId="0" applyNumberFormat="1" applyFont="1" applyFill="1" applyBorder="1" applyAlignment="1"/>
    <xf numFmtId="181" fontId="5" fillId="2" borderId="7" xfId="0" applyNumberFormat="1" applyFont="1" applyFill="1" applyBorder="1" applyAlignment="1"/>
    <xf numFmtId="181" fontId="5" fillId="2" borderId="8" xfId="0" applyNumberFormat="1" applyFont="1" applyFill="1" applyBorder="1" applyAlignment="1"/>
    <xf numFmtId="181" fontId="5" fillId="4" borderId="5" xfId="0" applyNumberFormat="1" applyFont="1" applyFill="1" applyBorder="1" applyAlignment="1"/>
    <xf numFmtId="181" fontId="5" fillId="5" borderId="5" xfId="0" applyNumberFormat="1" applyFont="1" applyFill="1" applyBorder="1" applyAlignment="1"/>
    <xf numFmtId="0" fontId="5" fillId="2" borderId="130" xfId="0" applyNumberFormat="1" applyFont="1" applyFill="1" applyBorder="1" applyAlignment="1"/>
    <xf numFmtId="49" fontId="5" fillId="2" borderId="132" xfId="0" applyNumberFormat="1" applyFont="1" applyFill="1" applyBorder="1" applyAlignment="1"/>
    <xf numFmtId="181" fontId="5" fillId="5" borderId="23" xfId="0" applyNumberFormat="1" applyFont="1" applyFill="1" applyBorder="1" applyAlignment="1"/>
    <xf numFmtId="168" fontId="5" fillId="2" borderId="5" xfId="0" applyNumberFormat="1" applyFont="1" applyFill="1" applyBorder="1" applyAlignment="1"/>
    <xf numFmtId="49" fontId="5" fillId="2" borderId="128" xfId="0" applyNumberFormat="1" applyFont="1" applyFill="1" applyBorder="1" applyAlignment="1"/>
    <xf numFmtId="0" fontId="0" fillId="0" borderId="0" xfId="0" applyNumberFormat="1" applyFont="1" applyAlignment="1"/>
    <xf numFmtId="49" fontId="4" fillId="3" borderId="5" xfId="0" applyNumberFormat="1" applyFont="1" applyFill="1" applyBorder="1" applyAlignment="1"/>
    <xf numFmtId="0" fontId="4" fillId="3" borderId="5" xfId="0" applyNumberFormat="1" applyFont="1" applyFill="1" applyBorder="1" applyAlignment="1">
      <alignment horizontal="center"/>
    </xf>
    <xf numFmtId="10" fontId="5" fillId="2" borderId="5" xfId="0" applyNumberFormat="1" applyFont="1" applyFill="1" applyBorder="1" applyAlignment="1">
      <alignment horizontal="center"/>
    </xf>
    <xf numFmtId="10" fontId="5" fillId="2" borderId="6" xfId="0" applyNumberFormat="1" applyFont="1" applyFill="1" applyBorder="1" applyAlignment="1">
      <alignment horizontal="center"/>
    </xf>
    <xf numFmtId="9" fontId="5" fillId="2" borderId="6" xfId="0" applyNumberFormat="1" applyFont="1" applyFill="1" applyBorder="1" applyAlignment="1"/>
    <xf numFmtId="0" fontId="5" fillId="2" borderId="27" xfId="0" applyNumberFormat="1" applyFont="1" applyFill="1" applyBorder="1" applyAlignment="1"/>
    <xf numFmtId="0" fontId="5" fillId="2" borderId="26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5" fillId="2" borderId="31" xfId="0" applyNumberFormat="1" applyFont="1" applyFill="1" applyBorder="1" applyAlignment="1"/>
    <xf numFmtId="0" fontId="5" fillId="2" borderId="31" xfId="0" applyNumberFormat="1" applyFont="1" applyFill="1" applyBorder="1" applyAlignment="1"/>
    <xf numFmtId="167" fontId="5" fillId="2" borderId="31" xfId="0" applyNumberFormat="1" applyFont="1" applyFill="1" applyBorder="1" applyAlignment="1"/>
    <xf numFmtId="167" fontId="5" fillId="2" borderId="27" xfId="0" applyNumberFormat="1" applyFont="1" applyFill="1" applyBorder="1" applyAlignment="1"/>
    <xf numFmtId="0" fontId="0" fillId="0" borderId="0" xfId="0" applyNumberFormat="1" applyFont="1" applyAlignment="1"/>
    <xf numFmtId="49" fontId="4" fillId="3" borderId="11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wrapText="1"/>
    </xf>
    <xf numFmtId="49" fontId="5" fillId="2" borderId="7" xfId="0" applyNumberFormat="1" applyFont="1" applyFill="1" applyBorder="1" applyAlignment="1">
      <alignment wrapText="1"/>
    </xf>
    <xf numFmtId="0" fontId="8" fillId="2" borderId="8" xfId="0" applyNumberFormat="1" applyFont="1" applyFill="1" applyBorder="1" applyAlignment="1"/>
    <xf numFmtId="168" fontId="8" fillId="2" borderId="8" xfId="0" applyNumberFormat="1" applyFont="1" applyFill="1" applyBorder="1" applyAlignment="1"/>
    <xf numFmtId="0" fontId="0" fillId="2" borderId="24" xfId="0" applyFont="1" applyFill="1" applyBorder="1" applyAlignment="1"/>
    <xf numFmtId="0" fontId="5" fillId="2" borderId="7" xfId="0" applyNumberFormat="1" applyFont="1" applyFill="1" applyBorder="1" applyAlignment="1">
      <alignment wrapText="1"/>
    </xf>
    <xf numFmtId="49" fontId="4" fillId="3" borderId="11" xfId="0" applyNumberFormat="1" applyFont="1" applyFill="1" applyBorder="1" applyAlignment="1">
      <alignment horizontal="left"/>
    </xf>
    <xf numFmtId="49" fontId="4" fillId="3" borderId="7" xfId="0" applyNumberFormat="1" applyFont="1" applyFill="1" applyBorder="1" applyAlignment="1">
      <alignment horizontal="left"/>
    </xf>
    <xf numFmtId="49" fontId="5" fillId="2" borderId="135" xfId="0" applyNumberFormat="1" applyFont="1" applyFill="1" applyBorder="1" applyAlignment="1"/>
    <xf numFmtId="49" fontId="5" fillId="2" borderId="20" xfId="0" applyNumberFormat="1" applyFont="1" applyFill="1" applyBorder="1" applyAlignment="1"/>
    <xf numFmtId="0" fontId="5" fillId="2" borderId="29" xfId="0" applyNumberFormat="1" applyFont="1" applyFill="1" applyBorder="1" applyAlignment="1"/>
    <xf numFmtId="0" fontId="0" fillId="0" borderId="0" xfId="0" applyNumberFormat="1" applyFont="1" applyAlignment="1"/>
    <xf numFmtId="164" fontId="0" fillId="0" borderId="0" xfId="0" applyNumberFormat="1" applyFont="1" applyAlignment="1"/>
    <xf numFmtId="9" fontId="0" fillId="2" borderId="31" xfId="0" applyNumberFormat="1" applyFont="1" applyFill="1" applyBorder="1" applyAlignment="1"/>
    <xf numFmtId="168" fontId="0" fillId="8" borderId="7" xfId="0" applyNumberFormat="1" applyFont="1" applyFill="1" applyBorder="1" applyAlignment="1"/>
    <xf numFmtId="0" fontId="0" fillId="8" borderId="7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/>
    <xf numFmtId="49" fontId="14" fillId="2" borderId="5" xfId="0" applyNumberFormat="1" applyFont="1" applyFill="1" applyBorder="1" applyAlignment="1"/>
    <xf numFmtId="168" fontId="0" fillId="9" borderId="5" xfId="0" applyNumberFormat="1" applyFont="1" applyFill="1" applyBorder="1" applyAlignment="1"/>
    <xf numFmtId="0" fontId="0" fillId="8" borderId="5" xfId="0" applyNumberFormat="1" applyFont="1" applyFill="1" applyBorder="1" applyAlignment="1"/>
    <xf numFmtId="169" fontId="0" fillId="9" borderId="5" xfId="0" applyNumberFormat="1" applyFont="1" applyFill="1" applyBorder="1" applyAlignment="1"/>
    <xf numFmtId="49" fontId="0" fillId="9" borderId="5" xfId="0" applyNumberFormat="1" applyFont="1" applyFill="1" applyBorder="1" applyAlignment="1"/>
    <xf numFmtId="168" fontId="0" fillId="9" borderId="5" xfId="0" applyNumberFormat="1" applyFont="1" applyFill="1" applyBorder="1" applyAlignment="1">
      <alignment horizontal="center"/>
    </xf>
    <xf numFmtId="3" fontId="0" fillId="9" borderId="5" xfId="0" applyNumberFormat="1" applyFont="1" applyFill="1" applyBorder="1" applyAlignment="1">
      <alignment horizontal="center"/>
    </xf>
    <xf numFmtId="166" fontId="5" fillId="2" borderId="65" xfId="0" applyNumberFormat="1" applyFont="1" applyFill="1" applyBorder="1" applyAlignment="1">
      <alignment horizontal="right"/>
    </xf>
    <xf numFmtId="49" fontId="0" fillId="9" borderId="18" xfId="0" applyNumberFormat="1" applyFont="1" applyFill="1" applyBorder="1" applyAlignment="1"/>
    <xf numFmtId="0" fontId="15" fillId="2" borderId="7" xfId="0" applyNumberFormat="1" applyFont="1" applyFill="1" applyBorder="1" applyAlignment="1"/>
    <xf numFmtId="0" fontId="1" fillId="8" borderId="4" xfId="0" applyNumberFormat="1" applyFont="1" applyFill="1" applyBorder="1" applyAlignment="1"/>
    <xf numFmtId="0" fontId="0" fillId="8" borderId="4" xfId="0" applyNumberFormat="1" applyFont="1" applyFill="1" applyBorder="1" applyAlignment="1"/>
    <xf numFmtId="0" fontId="0" fillId="8" borderId="0" xfId="0" applyNumberFormat="1" applyFont="1" applyFill="1" applyAlignment="1"/>
    <xf numFmtId="0" fontId="0" fillId="8" borderId="12" xfId="0" applyNumberFormat="1" applyFont="1" applyFill="1" applyBorder="1" applyAlignment="1"/>
    <xf numFmtId="168" fontId="0" fillId="8" borderId="5" xfId="0" applyNumberFormat="1" applyFont="1" applyFill="1" applyBorder="1" applyAlignment="1"/>
    <xf numFmtId="0" fontId="0" fillId="8" borderId="2" xfId="0" applyNumberFormat="1" applyFont="1" applyFill="1" applyBorder="1" applyAlignment="1"/>
    <xf numFmtId="49" fontId="1" fillId="8" borderId="5" xfId="0" applyNumberFormat="1" applyFont="1" applyFill="1" applyBorder="1" applyAlignment="1"/>
    <xf numFmtId="0" fontId="0" fillId="8" borderId="5" xfId="0" applyFont="1" applyFill="1" applyBorder="1" applyAlignment="1"/>
    <xf numFmtId="0" fontId="0" fillId="0" borderId="5" xfId="0" applyNumberFormat="1" applyFont="1" applyBorder="1" applyAlignment="1"/>
    <xf numFmtId="0" fontId="0" fillId="8" borderId="5" xfId="0" applyFont="1" applyFill="1" applyBorder="1" applyAlignment="1">
      <alignment wrapText="1"/>
    </xf>
    <xf numFmtId="0" fontId="7" fillId="3" borderId="139" xfId="0" applyNumberFormat="1" applyFont="1" applyFill="1" applyBorder="1" applyAlignment="1"/>
    <xf numFmtId="164" fontId="5" fillId="4" borderId="129" xfId="0" applyNumberFormat="1" applyFont="1" applyFill="1" applyBorder="1" applyAlignment="1">
      <alignment vertical="center"/>
    </xf>
    <xf numFmtId="173" fontId="5" fillId="4" borderId="129" xfId="0" applyNumberFormat="1" applyFont="1" applyFill="1" applyBorder="1" applyAlignment="1">
      <alignment vertical="center"/>
    </xf>
    <xf numFmtId="0" fontId="5" fillId="2" borderId="129" xfId="0" applyNumberFormat="1" applyFont="1" applyFill="1" applyBorder="1" applyAlignment="1">
      <alignment vertical="center"/>
    </xf>
    <xf numFmtId="9" fontId="8" fillId="4" borderId="129" xfId="0" applyNumberFormat="1" applyFont="1" applyFill="1" applyBorder="1" applyAlignment="1">
      <alignment horizontal="center" vertical="center"/>
    </xf>
    <xf numFmtId="49" fontId="4" fillId="3" borderId="140" xfId="0" applyNumberFormat="1" applyFont="1" applyFill="1" applyBorder="1" applyAlignment="1">
      <alignment wrapText="1"/>
    </xf>
    <xf numFmtId="0" fontId="4" fillId="3" borderId="141" xfId="0" applyNumberFormat="1" applyFont="1" applyFill="1" applyBorder="1" applyAlignment="1">
      <alignment horizontal="center"/>
    </xf>
    <xf numFmtId="49" fontId="5" fillId="2" borderId="142" xfId="0" applyNumberFormat="1" applyFont="1" applyFill="1" applyBorder="1" applyAlignment="1">
      <alignment wrapText="1"/>
    </xf>
    <xf numFmtId="49" fontId="5" fillId="2" borderId="143" xfId="0" applyNumberFormat="1" applyFont="1" applyFill="1" applyBorder="1" applyAlignment="1">
      <alignment wrapText="1"/>
    </xf>
    <xf numFmtId="0" fontId="0" fillId="2" borderId="24" xfId="0" applyFont="1" applyFill="1" applyBorder="1" applyAlignment="1">
      <alignment wrapText="1"/>
    </xf>
    <xf numFmtId="49" fontId="6" fillId="3" borderId="140" xfId="0" applyNumberFormat="1" applyFont="1" applyFill="1" applyBorder="1" applyAlignment="1">
      <alignment vertical="center" wrapText="1"/>
    </xf>
    <xf numFmtId="0" fontId="5" fillId="2" borderId="102" xfId="0" applyNumberFormat="1" applyFont="1" applyFill="1" applyBorder="1" applyAlignment="1">
      <alignment wrapText="1"/>
    </xf>
    <xf numFmtId="171" fontId="5" fillId="2" borderId="102" xfId="0" applyNumberFormat="1" applyFont="1" applyFill="1" applyBorder="1" applyAlignment="1"/>
    <xf numFmtId="172" fontId="5" fillId="5" borderId="144" xfId="0" applyNumberFormat="1" applyFont="1" applyFill="1" applyBorder="1" applyAlignment="1"/>
    <xf numFmtId="170" fontId="5" fillId="9" borderId="17" xfId="0" applyNumberFormat="1" applyFont="1" applyFill="1" applyBorder="1" applyAlignment="1">
      <alignment horizontal="center"/>
    </xf>
    <xf numFmtId="165" fontId="5" fillId="9" borderId="17" xfId="0" applyNumberFormat="1" applyFont="1" applyFill="1" applyBorder="1" applyAlignment="1"/>
    <xf numFmtId="177" fontId="5" fillId="2" borderId="137" xfId="0" applyNumberFormat="1" applyFont="1" applyFill="1" applyBorder="1" applyAlignment="1"/>
    <xf numFmtId="180" fontId="5" fillId="2" borderId="148" xfId="0" applyNumberFormat="1" applyFont="1" applyFill="1" applyBorder="1" applyAlignment="1"/>
    <xf numFmtId="177" fontId="5" fillId="2" borderId="138" xfId="0" applyNumberFormat="1" applyFont="1" applyFill="1" applyBorder="1" applyAlignment="1"/>
    <xf numFmtId="180" fontId="5" fillId="2" borderId="149" xfId="0" applyNumberFormat="1" applyFont="1" applyFill="1" applyBorder="1" applyAlignment="1"/>
    <xf numFmtId="180" fontId="5" fillId="2" borderId="150" xfId="0" applyNumberFormat="1" applyFont="1" applyFill="1" applyBorder="1" applyAlignment="1"/>
    <xf numFmtId="0" fontId="5" fillId="2" borderId="147" xfId="0" applyNumberFormat="1" applyFont="1" applyFill="1" applyBorder="1" applyAlignment="1"/>
    <xf numFmtId="180" fontId="8" fillId="5" borderId="150" xfId="0" applyNumberFormat="1" applyFont="1" applyFill="1" applyBorder="1" applyAlignment="1"/>
    <xf numFmtId="0" fontId="5" fillId="2" borderId="138" xfId="0" applyNumberFormat="1" applyFont="1" applyFill="1" applyBorder="1" applyAlignment="1"/>
    <xf numFmtId="0" fontId="5" fillId="2" borderId="137" xfId="0" applyNumberFormat="1" applyFont="1" applyFill="1" applyBorder="1" applyAlignment="1"/>
    <xf numFmtId="0" fontId="5" fillId="2" borderId="151" xfId="0" applyNumberFormat="1" applyFont="1" applyFill="1" applyBorder="1" applyAlignment="1"/>
    <xf numFmtId="0" fontId="5" fillId="2" borderId="152" xfId="0" applyNumberFormat="1" applyFont="1" applyFill="1" applyBorder="1" applyAlignment="1"/>
    <xf numFmtId="0" fontId="5" fillId="2" borderId="153" xfId="0" applyNumberFormat="1" applyFont="1" applyFill="1" applyBorder="1" applyAlignment="1"/>
    <xf numFmtId="0" fontId="5" fillId="2" borderId="150" xfId="0" applyNumberFormat="1" applyFont="1" applyFill="1" applyBorder="1" applyAlignment="1"/>
    <xf numFmtId="177" fontId="5" fillId="2" borderId="147" xfId="0" applyNumberFormat="1" applyFont="1" applyFill="1" applyBorder="1" applyAlignment="1"/>
    <xf numFmtId="0" fontId="0" fillId="9" borderId="0" xfId="0" applyFont="1" applyFill="1" applyAlignment="1"/>
    <xf numFmtId="9" fontId="0" fillId="0" borderId="0" xfId="0" applyNumberFormat="1" applyFont="1" applyAlignment="1"/>
    <xf numFmtId="49" fontId="5" fillId="2" borderId="145" xfId="0" applyNumberFormat="1" applyFont="1" applyFill="1" applyBorder="1" applyAlignment="1">
      <alignment horizontal="center"/>
    </xf>
    <xf numFmtId="0" fontId="0" fillId="0" borderId="145" xfId="0" applyNumberFormat="1" applyFont="1" applyBorder="1" applyAlignment="1"/>
    <xf numFmtId="0" fontId="0" fillId="0" borderId="145" xfId="0" applyFont="1" applyBorder="1" applyAlignment="1"/>
    <xf numFmtId="180" fontId="8" fillId="9" borderId="150" xfId="0" applyNumberFormat="1" applyFont="1" applyFill="1" applyBorder="1" applyAlignment="1"/>
    <xf numFmtId="9" fontId="5" fillId="5" borderId="17" xfId="1" applyFont="1" applyFill="1" applyBorder="1" applyAlignment="1"/>
    <xf numFmtId="49" fontId="8" fillId="2" borderId="155" xfId="0" applyNumberFormat="1" applyFont="1" applyFill="1" applyBorder="1" applyAlignment="1"/>
    <xf numFmtId="49" fontId="8" fillId="2" borderId="136" xfId="0" applyNumberFormat="1" applyFont="1" applyFill="1" applyBorder="1" applyAlignment="1"/>
    <xf numFmtId="0" fontId="5" fillId="2" borderId="136" xfId="0" applyNumberFormat="1" applyFont="1" applyFill="1" applyBorder="1" applyAlignment="1"/>
    <xf numFmtId="0" fontId="4" fillId="3" borderId="15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>
      <alignment horizontal="center"/>
    </xf>
    <xf numFmtId="164" fontId="5" fillId="2" borderId="156" xfId="0" applyNumberFormat="1" applyFont="1" applyFill="1" applyBorder="1" applyAlignment="1"/>
    <xf numFmtId="164" fontId="5" fillId="2" borderId="157" xfId="0" applyNumberFormat="1" applyFont="1" applyFill="1" applyBorder="1" applyAlignment="1"/>
    <xf numFmtId="9" fontId="5" fillId="5" borderId="5" xfId="1" applyFont="1" applyFill="1" applyBorder="1" applyAlignment="1"/>
    <xf numFmtId="0" fontId="4" fillId="3" borderId="158" xfId="0" applyNumberFormat="1" applyFont="1" applyFill="1" applyBorder="1" applyAlignment="1">
      <alignment horizontal="center"/>
    </xf>
    <xf numFmtId="9" fontId="5" fillId="5" borderId="159" xfId="1" applyFont="1" applyFill="1" applyBorder="1" applyAlignment="1"/>
    <xf numFmtId="49" fontId="5" fillId="2" borderId="160" xfId="0" applyNumberFormat="1" applyFont="1" applyFill="1" applyBorder="1" applyAlignment="1">
      <alignment wrapText="1"/>
    </xf>
    <xf numFmtId="49" fontId="5" fillId="2" borderId="161" xfId="0" applyNumberFormat="1" applyFont="1" applyFill="1" applyBorder="1" applyAlignment="1">
      <alignment wrapText="1"/>
    </xf>
    <xf numFmtId="0" fontId="5" fillId="5" borderId="145" xfId="1" applyNumberFormat="1" applyFont="1" applyFill="1" applyBorder="1" applyAlignment="1"/>
    <xf numFmtId="0" fontId="5" fillId="5" borderId="162" xfId="1" applyNumberFormat="1" applyFont="1" applyFill="1" applyBorder="1" applyAlignment="1"/>
    <xf numFmtId="49" fontId="5" fillId="2" borderId="163" xfId="0" applyNumberFormat="1" applyFont="1" applyFill="1" applyBorder="1" applyAlignment="1">
      <alignment wrapText="1"/>
    </xf>
    <xf numFmtId="0" fontId="5" fillId="5" borderId="164" xfId="1" applyNumberFormat="1" applyFont="1" applyFill="1" applyBorder="1" applyAlignment="1"/>
    <xf numFmtId="49" fontId="5" fillId="2" borderId="165" xfId="0" applyNumberFormat="1" applyFont="1" applyFill="1" applyBorder="1" applyAlignment="1">
      <alignment wrapText="1"/>
    </xf>
    <xf numFmtId="0" fontId="5" fillId="5" borderId="166" xfId="1" applyNumberFormat="1" applyFont="1" applyFill="1" applyBorder="1" applyAlignment="1"/>
    <xf numFmtId="9" fontId="5" fillId="5" borderId="144" xfId="1" applyFont="1" applyFill="1" applyBorder="1" applyAlignment="1"/>
    <xf numFmtId="9" fontId="5" fillId="5" borderId="167" xfId="1" applyFont="1" applyFill="1" applyBorder="1" applyAlignment="1"/>
    <xf numFmtId="49" fontId="17" fillId="2" borderId="5" xfId="0" applyNumberFormat="1" applyFont="1" applyFill="1" applyBorder="1" applyAlignment="1">
      <alignment horizontal="right"/>
    </xf>
    <xf numFmtId="49" fontId="18" fillId="2" borderId="28" xfId="0" applyNumberFormat="1" applyFont="1" applyFill="1" applyBorder="1" applyAlignment="1"/>
    <xf numFmtId="49" fontId="18" fillId="2" borderId="1" xfId="0" applyNumberFormat="1" applyFont="1" applyFill="1" applyBorder="1" applyAlignment="1"/>
    <xf numFmtId="49" fontId="17" fillId="2" borderId="86" xfId="0" applyNumberFormat="1" applyFont="1" applyFill="1" applyBorder="1" applyAlignment="1"/>
    <xf numFmtId="49" fontId="17" fillId="2" borderId="85" xfId="0" applyNumberFormat="1" applyFont="1" applyFill="1" applyBorder="1" applyAlignment="1"/>
    <xf numFmtId="0" fontId="19" fillId="0" borderId="168" xfId="0" applyNumberFormat="1" applyFont="1" applyBorder="1" applyAlignment="1"/>
    <xf numFmtId="0" fontId="19" fillId="0" borderId="169" xfId="0" applyNumberFormat="1" applyFont="1" applyBorder="1" applyAlignment="1"/>
    <xf numFmtId="7" fontId="0" fillId="9" borderId="170" xfId="0" applyNumberFormat="1" applyFont="1" applyFill="1" applyBorder="1" applyAlignment="1">
      <alignment horizontal="center"/>
    </xf>
    <xf numFmtId="14" fontId="0" fillId="2" borderId="7" xfId="0" quotePrefix="1" applyNumberFormat="1" applyFont="1" applyFill="1" applyBorder="1" applyAlignment="1">
      <alignment horizontal="right"/>
    </xf>
    <xf numFmtId="168" fontId="0" fillId="4" borderId="5" xfId="0" applyNumberFormat="1" applyFont="1" applyFill="1" applyBorder="1" applyAlignment="1"/>
    <xf numFmtId="168" fontId="0" fillId="9" borderId="7" xfId="0" applyNumberFormat="1" applyFont="1" applyFill="1" applyBorder="1" applyAlignment="1"/>
    <xf numFmtId="168" fontId="0" fillId="4" borderId="171" xfId="0" applyNumberFormat="1" applyFont="1" applyFill="1" applyBorder="1" applyAlignment="1"/>
    <xf numFmtId="168" fontId="0" fillId="4" borderId="172" xfId="0" applyNumberFormat="1" applyFont="1" applyFill="1" applyBorder="1" applyAlignment="1"/>
    <xf numFmtId="168" fontId="0" fillId="2" borderId="173" xfId="0" applyNumberFormat="1" applyFont="1" applyFill="1" applyBorder="1" applyAlignment="1"/>
    <xf numFmtId="168" fontId="0" fillId="2" borderId="147" xfId="0" applyNumberFormat="1" applyFont="1" applyFill="1" applyBorder="1" applyAlignment="1"/>
    <xf numFmtId="168" fontId="0" fillId="9" borderId="174" xfId="0" applyNumberFormat="1" applyFont="1" applyFill="1" applyBorder="1" applyAlignment="1"/>
    <xf numFmtId="168" fontId="0" fillId="9" borderId="146" xfId="0" applyNumberFormat="1" applyFont="1" applyFill="1" applyBorder="1" applyAlignment="1"/>
    <xf numFmtId="0" fontId="0" fillId="0" borderId="5" xfId="0" applyFont="1" applyBorder="1" applyAlignment="1">
      <alignment horizontal="right"/>
    </xf>
    <xf numFmtId="4" fontId="0" fillId="9" borderId="145" xfId="0" applyNumberFormat="1" applyFont="1" applyFill="1" applyBorder="1" applyAlignment="1"/>
    <xf numFmtId="4" fontId="0" fillId="0" borderId="145" xfId="0" applyNumberFormat="1" applyFont="1" applyBorder="1" applyAlignment="1"/>
    <xf numFmtId="1" fontId="0" fillId="0" borderId="0" xfId="0" applyNumberFormat="1" applyFont="1" applyAlignment="1"/>
    <xf numFmtId="49" fontId="8" fillId="2" borderId="154" xfId="0" applyNumberFormat="1" applyFont="1" applyFill="1" applyBorder="1" applyAlignment="1">
      <alignment horizontal="center"/>
    </xf>
    <xf numFmtId="0" fontId="8" fillId="2" borderId="14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472C4"/>
      <rgbColor rgb="FFFF0000"/>
      <rgbColor rgb="FFFFFF00"/>
      <rgbColor rgb="FFCCFFCC"/>
      <rgbColor rgb="FFE7E6E6"/>
      <rgbColor rgb="FF0070C0"/>
      <rgbColor rgb="FF002060"/>
      <rgbColor rgb="FFD8D8D8"/>
      <rgbColor rgb="FF595959"/>
      <rgbColor rgb="FF2F5496"/>
      <rgbColor rgb="FF0563C1"/>
      <rgbColor rgb="FF92D050"/>
      <rgbColor rgb="FF00B0F0"/>
      <rgbColor rgb="FFFFC000"/>
      <rgbColor rgb="FF222222"/>
      <rgbColor rgb="FFC0C0C0"/>
      <rgbColor rgb="FF87878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lang="en-US" sz="1400" b="0" i="0" u="none" strike="noStrike">
                <a:solidFill>
                  <a:srgbClr val="595959"/>
                </a:solidFill>
                <a:latin typeface="Calibri"/>
              </a:rPr>
              <a:t> Metalub - Ingresos por Año</a:t>
            </a:r>
          </a:p>
        </c:rich>
      </c:tx>
      <c:layout>
        <c:manualLayout>
          <c:xMode val="edge"/>
          <c:yMode val="edge"/>
          <c:x val="0.38344699999999998"/>
          <c:y val="0"/>
          <c:w val="0.23310700000000001"/>
          <c:h val="8.7318400000000004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7.9862100000000005E-2"/>
          <c:y val="8.7318400000000004E-2"/>
          <c:w val="0.91513800000000001"/>
          <c:h val="0.690991000000000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A2B-442E-BD49-D3AB85E7A016}"/>
            </c:ext>
          </c:extLst>
        </c:ser>
        <c:ser>
          <c:idx val="1"/>
          <c:order val="1"/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A2B-442E-BD49-D3AB85E7A016}"/>
            </c:ext>
          </c:extLst>
        </c:ser>
        <c:ser>
          <c:idx val="2"/>
          <c:order val="2"/>
          <c:spPr>
            <a:solidFill>
              <a:schemeClr val="accent4"/>
            </a:solidFill>
            <a:ln w="12700" cap="flat">
              <a:noFill/>
              <a:miter lim="400000"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A2B-442E-BD49-D3AB85E7A016}"/>
            </c:ext>
          </c:extLst>
        </c:ser>
        <c:ser>
          <c:idx val="3"/>
          <c:order val="3"/>
          <c:spPr>
            <a:solidFill>
              <a:schemeClr val="accent5"/>
            </a:solidFill>
            <a:ln w="12700" cap="flat">
              <a:noFill/>
              <a:miter lim="400000"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A2B-442E-BD49-D3AB85E7A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2250000"/>
        <c:minorUnit val="11250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02228"/>
          <c:y val="0.94719900000000001"/>
          <c:w val="0.85518700000000003"/>
          <c:h val="5.2800800000000002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1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lang="en-US" sz="1400" b="0" i="0" u="none" strike="noStrike">
                <a:solidFill>
                  <a:srgbClr val="595959"/>
                </a:solidFill>
                <a:latin typeface="Calibri"/>
              </a:rPr>
              <a:t>Producción Mensual en Litros - Planta</a:t>
            </a:r>
          </a:p>
        </c:rich>
      </c:tx>
      <c:layout>
        <c:manualLayout>
          <c:xMode val="edge"/>
          <c:yMode val="edge"/>
          <c:x val="0.338308"/>
          <c:y val="0"/>
          <c:w val="0.32338499999999998"/>
          <c:h val="0.104125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5.8912399999999997E-2"/>
          <c:y val="0.104125"/>
          <c:w val="0.93608800000000003"/>
          <c:h val="0.6441099999999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Graphs!$C$57</c:f>
              <c:strCache>
                <c:ptCount val="1"/>
                <c:pt idx="0">
                  <c:v>Base Oil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Graphs!$D$56:$N$56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Graphs!$D$57:$N$57</c:f>
              <c:numCache>
                <c:formatCode>" "* #,##0" ";" "* \(#,##0\);" "* "-"??" 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5-40D3-B165-8440DFA019DC}"/>
            </c:ext>
          </c:extLst>
        </c:ser>
        <c:ser>
          <c:idx val="1"/>
          <c:order val="1"/>
          <c:tx>
            <c:strRef>
              <c:f>Graphs!$C$58</c:f>
              <c:strCache>
                <c:ptCount val="1"/>
                <c:pt idx="0">
                  <c:v>Ag Oil</c:v>
                </c:pt>
              </c:strCache>
            </c:strRef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Graphs!$D$56:$N$56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Graphs!$D$58:$N$58</c:f>
              <c:numCache>
                <c:formatCode>" "* #,##0" ";" "* \(#,##0\);" "* "-"??" "</c:formatCode>
                <c:ptCount val="11"/>
                <c:pt idx="0">
                  <c:v>0.94625000000000004</c:v>
                </c:pt>
                <c:pt idx="1">
                  <c:v>0.94625000000000004</c:v>
                </c:pt>
                <c:pt idx="2">
                  <c:v>0.94625000000000004</c:v>
                </c:pt>
                <c:pt idx="3">
                  <c:v>0.94625000000000004</c:v>
                </c:pt>
                <c:pt idx="4">
                  <c:v>0.94625000000000004</c:v>
                </c:pt>
                <c:pt idx="5">
                  <c:v>0.94625000000000004</c:v>
                </c:pt>
                <c:pt idx="6">
                  <c:v>0.94625000000000004</c:v>
                </c:pt>
                <c:pt idx="7">
                  <c:v>0.94625000000000004</c:v>
                </c:pt>
                <c:pt idx="8">
                  <c:v>0.94625000000000004</c:v>
                </c:pt>
                <c:pt idx="9">
                  <c:v>0.94625000000000004</c:v>
                </c:pt>
                <c:pt idx="10">
                  <c:v>0.94625000000000004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5-40D3-B165-8440DFA019DC}"/>
            </c:ext>
          </c:extLst>
        </c:ser>
        <c:ser>
          <c:idx val="2"/>
          <c:order val="2"/>
          <c:tx>
            <c:strRef>
              <c:f>Graphs!$C$60</c:f>
              <c:strCache>
                <c:ptCount val="1"/>
                <c:pt idx="0">
                  <c:v>Blended Lubes CR Plant</c:v>
                </c:pt>
              </c:strCache>
            </c:strRef>
          </c:tx>
          <c:spPr>
            <a:solidFill>
              <a:schemeClr val="accent4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Graphs!$D$56:$N$56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Graphs!$D$60:$N$60</c:f>
              <c:numCache>
                <c:formatCode>" "* #,##0" ";" "* \(#,##0\);" "* "-"??" 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5-40D3-B165-8440DFA019DC}"/>
            </c:ext>
          </c:extLst>
        </c:ser>
        <c:ser>
          <c:idx val="3"/>
          <c:order val="3"/>
          <c:tx>
            <c:strRef>
              <c:f>Graphs!$C$61</c:f>
              <c:strCache>
                <c:ptCount val="1"/>
                <c:pt idx="0">
                  <c:v>Blended Lubes from US</c:v>
                </c:pt>
              </c:strCache>
            </c:strRef>
          </c:tx>
          <c:spPr>
            <a:solidFill>
              <a:schemeClr val="accent5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Graphs!$D$56:$N$56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Graphs!$D$61:$N$61</c:f>
              <c:numCache>
                <c:formatCode>" "* #,##0" ";" "* \(#,##0\);" "* "-"??" 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5-40D3-B165-8440DFA019DC}"/>
            </c:ext>
          </c:extLst>
        </c:ser>
        <c:ser>
          <c:idx val="4"/>
          <c:order val="4"/>
          <c:tx>
            <c:strRef>
              <c:f>Graphs!$C$62</c:f>
              <c:strCache>
                <c:ptCount val="1"/>
                <c:pt idx="0">
                  <c:v>Lube Centers</c:v>
                </c:pt>
              </c:strCache>
            </c:strRef>
          </c:tx>
          <c:spPr>
            <a:solidFill>
              <a:schemeClr val="accent6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Graphs!$D$56:$N$56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Graphs!$D$62:$N$62</c:f>
              <c:numCache>
                <c:formatCode>" "* #,##0" ";" "* \(#,##0\);" "* "-"??" 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A5-40D3-B165-8440DFA01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100000"/>
        <c:minorUnit val="500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8.2340300000000005E-2"/>
          <c:y val="0.939442"/>
          <c:w val="0.87357899999999999"/>
          <c:h val="6.0557800000000002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1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i="0" u="none" strike="noStrike">
                <a:solidFill>
                  <a:srgbClr val="595959"/>
                </a:solidFill>
                <a:latin typeface="Calibri"/>
              </a:defRPr>
            </a:pPr>
            <a:r>
              <a:rPr lang="en-US" sz="1400" b="0" i="0" u="none" strike="noStrike">
                <a:solidFill>
                  <a:srgbClr val="595959"/>
                </a:solidFill>
                <a:latin typeface="Calibri"/>
              </a:rPr>
              <a:t>Precios por 15W-40 Diesel (Estañon)</a:t>
            </a:r>
          </a:p>
        </c:rich>
      </c:tx>
      <c:layout>
        <c:manualLayout>
          <c:xMode val="edge"/>
          <c:yMode val="edge"/>
          <c:x val="0.19651299999999999"/>
          <c:y val="0"/>
          <c:w val="0.60697500000000004"/>
          <c:h val="0.130186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8.8825399999999999E-2"/>
          <c:y val="0.130186"/>
          <c:w val="0.90617499999999995"/>
          <c:h val="0.59914100000000003"/>
        </c:manualLayout>
      </c:layout>
      <c:lineChart>
        <c:grouping val="standard"/>
        <c:varyColors val="0"/>
        <c:ser>
          <c:idx val="0"/>
          <c:order val="0"/>
          <c:tx>
            <c:strRef>
              <c:f>Graphs!$C$69</c:f>
              <c:strCache>
                <c:ptCount val="1"/>
                <c:pt idx="0">
                  <c:v>Modelo de negocias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cat>
            <c:strRef>
              <c:f>Graphs!$D$68:$N$68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Graphs!$D$69:$N$69</c:f>
              <c:numCache>
                <c:formatCode>"$"#,##0" ";\("$"#,##0\)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E-46D1-9A5C-751CAFC09133}"/>
            </c:ext>
          </c:extLst>
        </c:ser>
        <c:ser>
          <c:idx val="1"/>
          <c:order val="1"/>
          <c:tx>
            <c:strRef>
              <c:f>Graphs!$C$70</c:f>
              <c:strCache>
                <c:ptCount val="1"/>
                <c:pt idx="0">
                  <c:v>Metalub precios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cat>
            <c:strRef>
              <c:f>Graphs!$D$68:$N$68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Graphs!$D$70:$N$70</c:f>
              <c:numCache>
                <c:formatCode>"$"#,##0" ";\("$"#,##0\)</c:formatCode>
                <c:ptCount val="11"/>
                <c:pt idx="0">
                  <c:v>700</c:v>
                </c:pt>
                <c:pt idx="1">
                  <c:v>714</c:v>
                </c:pt>
                <c:pt idx="2">
                  <c:v>728.28</c:v>
                </c:pt>
                <c:pt idx="3">
                  <c:v>742.84559999999999</c:v>
                </c:pt>
                <c:pt idx="4">
                  <c:v>757.70251199999996</c:v>
                </c:pt>
                <c:pt idx="5">
                  <c:v>772.85656224000002</c:v>
                </c:pt>
                <c:pt idx="6">
                  <c:v>788.31369348480007</c:v>
                </c:pt>
                <c:pt idx="7">
                  <c:v>804.07996735449603</c:v>
                </c:pt>
                <c:pt idx="8">
                  <c:v>820.16156670158603</c:v>
                </c:pt>
                <c:pt idx="9">
                  <c:v>836.56479803561774</c:v>
                </c:pt>
                <c:pt idx="10">
                  <c:v>853.29609399633011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E-46D1-9A5C-751CAFC0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  <c:min val="400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&quot;$&quot;#,##0&quot; &quot;;\(&quot;$&quot;#,##0\)" sourceLinked="1"/>
        <c:majorTickMark val="none"/>
        <c:minorTickMark val="none"/>
        <c:tickLblPos val="nextTo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sz="900" b="0" i="0" u="none" strike="noStrike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94734552"/>
        <c:crosses val="autoZero"/>
        <c:crossBetween val="between"/>
        <c:majorUnit val="125"/>
        <c:minorUnit val="62.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6.1926500000000002E-2"/>
          <c:y val="0.93742800000000004"/>
          <c:w val="0.93235100000000004"/>
          <c:h val="6.2571699999999994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900" b="0" i="0" u="none" strike="noStrike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294701</xdr:colOff>
      <xdr:row>2</xdr:row>
      <xdr:rowOff>66991</xdr:rowOff>
    </xdr:from>
    <xdr:to>
      <xdr:col>16</xdr:col>
      <xdr:colOff>409701</xdr:colOff>
      <xdr:row>22</xdr:row>
      <xdr:rowOff>38552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465778</xdr:colOff>
      <xdr:row>25</xdr:row>
      <xdr:rowOff>34417</xdr:rowOff>
    </xdr:from>
    <xdr:to>
      <xdr:col>16</xdr:col>
      <xdr:colOff>546036</xdr:colOff>
      <xdr:row>41</xdr:row>
      <xdr:rowOff>157598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1105320</xdr:colOff>
      <xdr:row>75</xdr:row>
      <xdr:rowOff>29464</xdr:rowOff>
    </xdr:from>
    <xdr:to>
      <xdr:col>7</xdr:col>
      <xdr:colOff>755277</xdr:colOff>
      <xdr:row>88</xdr:row>
      <xdr:rowOff>89326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0"/>
  <sheetViews>
    <sheetView showGridLines="0" topLeftCell="A17" workbookViewId="0">
      <selection activeCell="E25" sqref="E25"/>
    </sheetView>
  </sheetViews>
  <sheetFormatPr defaultColWidth="8.85546875" defaultRowHeight="15" customHeight="1" x14ac:dyDescent="0.25"/>
  <cols>
    <col min="1" max="1" width="15" style="1" customWidth="1"/>
    <col min="2" max="2" width="48.7109375" style="1" customWidth="1"/>
    <col min="3" max="3" width="12.7109375" style="1" customWidth="1"/>
    <col min="4" max="4" width="19.7109375" style="1" customWidth="1"/>
    <col min="5" max="5" width="14.42578125" style="1" customWidth="1"/>
    <col min="6" max="6" width="18.85546875" style="1" customWidth="1"/>
    <col min="7" max="7" width="13.42578125" style="1" customWidth="1"/>
    <col min="8" max="8" width="24.5703125" style="1" customWidth="1"/>
    <col min="9" max="9" width="65" style="1" bestFit="1" customWidth="1"/>
    <col min="10" max="10" width="14.85546875" style="1" customWidth="1"/>
    <col min="11" max="11" width="14.85546875" style="1" bestFit="1" customWidth="1"/>
    <col min="12" max="12" width="11.5703125" style="1" bestFit="1" customWidth="1"/>
    <col min="13" max="13" width="14.85546875" style="1" bestFit="1" customWidth="1"/>
    <col min="14" max="256" width="8.85546875" style="1" customWidth="1"/>
  </cols>
  <sheetData>
    <row r="1" spans="1:11" ht="15.75" customHeight="1" x14ac:dyDescent="0.25">
      <c r="A1" s="490"/>
      <c r="B1" s="493"/>
      <c r="C1" s="493"/>
      <c r="D1" s="3"/>
      <c r="E1" s="3"/>
      <c r="F1" s="3"/>
      <c r="G1" s="3"/>
      <c r="H1" s="3"/>
      <c r="I1" s="3"/>
      <c r="J1" s="3"/>
      <c r="K1" s="4"/>
    </row>
    <row r="2" spans="1:11" ht="15.75" customHeight="1" x14ac:dyDescent="0.25">
      <c r="A2" s="488"/>
      <c r="B2" s="494" t="s">
        <v>480</v>
      </c>
      <c r="C2" s="480"/>
      <c r="D2" s="6"/>
      <c r="E2" s="6"/>
      <c r="F2" s="6"/>
      <c r="G2" s="6"/>
      <c r="H2" s="6"/>
      <c r="I2" s="6"/>
      <c r="J2" s="6"/>
      <c r="K2" s="7"/>
    </row>
    <row r="3" spans="1:11" ht="13.5" customHeight="1" x14ac:dyDescent="0.25">
      <c r="A3" s="489"/>
      <c r="B3" s="480"/>
      <c r="C3" s="480"/>
      <c r="D3" s="6"/>
      <c r="E3" s="6"/>
      <c r="F3" s="6"/>
      <c r="G3" s="6"/>
      <c r="H3" s="6"/>
    </row>
    <row r="4" spans="1:11" ht="15" customHeight="1" x14ac:dyDescent="0.25">
      <c r="A4" s="489"/>
      <c r="B4" s="9" t="s">
        <v>499</v>
      </c>
      <c r="C4" s="10" t="s">
        <v>0</v>
      </c>
      <c r="D4" s="6"/>
      <c r="E4"/>
      <c r="F4"/>
      <c r="G4"/>
      <c r="H4"/>
    </row>
    <row r="5" spans="1:11" ht="15" customHeight="1" x14ac:dyDescent="0.25">
      <c r="A5" s="489"/>
      <c r="B5" s="12" t="s">
        <v>73</v>
      </c>
      <c r="C5" s="13">
        <f>'Investment Plan'!F10</f>
        <v>1650000</v>
      </c>
      <c r="D5" s="6"/>
      <c r="E5"/>
      <c r="F5"/>
      <c r="G5"/>
      <c r="H5"/>
    </row>
    <row r="6" spans="1:11" ht="15.75" customHeight="1" x14ac:dyDescent="0.25">
      <c r="A6" s="489"/>
      <c r="B6" s="12" t="s">
        <v>83</v>
      </c>
      <c r="C6" s="13">
        <f>'Investment Plan'!F16</f>
        <v>230000</v>
      </c>
      <c r="D6" s="6"/>
      <c r="E6"/>
      <c r="F6"/>
      <c r="G6"/>
      <c r="H6"/>
    </row>
    <row r="7" spans="1:11" ht="15" customHeight="1" x14ac:dyDescent="0.25">
      <c r="A7" s="489"/>
      <c r="B7" s="14" t="s">
        <v>453</v>
      </c>
      <c r="C7" s="13">
        <f>'Investment Plan'!F20</f>
        <v>250000</v>
      </c>
      <c r="D7"/>
      <c r="E7"/>
      <c r="F7"/>
      <c r="G7"/>
      <c r="H7"/>
    </row>
    <row r="8" spans="1:11" ht="15" customHeight="1" x14ac:dyDescent="0.25">
      <c r="A8" s="489"/>
      <c r="B8" s="14" t="s">
        <v>1</v>
      </c>
      <c r="C8" s="13">
        <f>'Investment Plan'!F30</f>
        <v>892000</v>
      </c>
      <c r="D8" s="6"/>
      <c r="E8"/>
      <c r="F8"/>
      <c r="G8"/>
      <c r="H8"/>
    </row>
    <row r="9" spans="1:11" ht="13.5" customHeight="1" x14ac:dyDescent="0.25">
      <c r="A9" s="489"/>
      <c r="B9" s="14" t="s">
        <v>107</v>
      </c>
      <c r="C9" s="13">
        <f>'Investment Plan'!F40</f>
        <v>286360</v>
      </c>
      <c r="D9" s="6"/>
      <c r="E9"/>
      <c r="F9"/>
      <c r="G9"/>
      <c r="H9"/>
    </row>
    <row r="10" spans="1:11" ht="15" customHeight="1" x14ac:dyDescent="0.25">
      <c r="A10" s="489"/>
      <c r="B10" s="15" t="s">
        <v>3</v>
      </c>
      <c r="C10" s="16">
        <v>250000</v>
      </c>
      <c r="D10" s="6"/>
      <c r="E10"/>
      <c r="F10"/>
      <c r="G10"/>
      <c r="H10"/>
    </row>
    <row r="11" spans="1:11" ht="15.75" customHeight="1" x14ac:dyDescent="0.25">
      <c r="A11" s="489"/>
      <c r="B11" s="19" t="s">
        <v>4</v>
      </c>
      <c r="C11" s="18">
        <f>SUM(C5:C10)</f>
        <v>3558360</v>
      </c>
      <c r="D11" s="6"/>
      <c r="E11"/>
      <c r="F11"/>
      <c r="G11"/>
      <c r="H11"/>
    </row>
    <row r="12" spans="1:11" ht="15" customHeight="1" x14ac:dyDescent="0.25">
      <c r="A12" s="489"/>
      <c r="B12" s="476"/>
      <c r="C12" s="477"/>
      <c r="D12" s="6"/>
      <c r="E12" s="322"/>
      <c r="F12" s="322"/>
      <c r="G12" s="322"/>
      <c r="H12" s="480"/>
    </row>
    <row r="13" spans="1:11" ht="15" customHeight="1" x14ac:dyDescent="0.25">
      <c r="A13" s="489"/>
      <c r="B13" s="487" t="s">
        <v>447</v>
      </c>
      <c r="C13" s="563" t="s">
        <v>132</v>
      </c>
      <c r="D13" s="6">
        <v>2019</v>
      </c>
      <c r="E13" s="322">
        <v>2020</v>
      </c>
      <c r="F13" s="572" t="s">
        <v>5</v>
      </c>
      <c r="G13" s="322"/>
      <c r="H13" s="322"/>
    </row>
    <row r="14" spans="1:11" ht="15" customHeight="1" x14ac:dyDescent="0.25">
      <c r="A14" s="489"/>
      <c r="B14" s="25" t="s">
        <v>6</v>
      </c>
      <c r="C14" s="564">
        <v>1500000</v>
      </c>
      <c r="D14" s="566">
        <v>1000000</v>
      </c>
      <c r="E14" s="567">
        <v>450000</v>
      </c>
      <c r="F14" s="567">
        <f>C14+D14+E14</f>
        <v>2950000</v>
      </c>
      <c r="G14"/>
      <c r="H14"/>
    </row>
    <row r="15" spans="1:11" ht="15" customHeight="1" x14ac:dyDescent="0.25">
      <c r="A15" s="489"/>
      <c r="B15" s="29" t="s">
        <v>7</v>
      </c>
      <c r="C15" s="30">
        <v>0</v>
      </c>
      <c r="D15" s="568"/>
      <c r="E15" s="569"/>
      <c r="F15" s="569"/>
      <c r="G15"/>
      <c r="H15"/>
    </row>
    <row r="16" spans="1:11" ht="15" customHeight="1" x14ac:dyDescent="0.25">
      <c r="A16" s="490"/>
      <c r="B16" s="486" t="s">
        <v>8</v>
      </c>
      <c r="C16" s="565">
        <f>C11-C14</f>
        <v>2058360</v>
      </c>
      <c r="D16" s="570"/>
      <c r="E16" s="571"/>
      <c r="F16" s="571">
        <f>C16</f>
        <v>2058360</v>
      </c>
      <c r="G16"/>
      <c r="H16"/>
    </row>
    <row r="17" spans="1:256" ht="15.75" customHeight="1" x14ac:dyDescent="0.25">
      <c r="A17" s="489"/>
      <c r="B17" s="26" t="s">
        <v>9</v>
      </c>
      <c r="C17" s="32">
        <f>SUM(C14:C16)</f>
        <v>3558360</v>
      </c>
      <c r="D17" s="32">
        <f t="shared" ref="D17:F17" si="0">SUM(D14:D16)</f>
        <v>1000000</v>
      </c>
      <c r="E17" s="32">
        <f t="shared" si="0"/>
        <v>450000</v>
      </c>
      <c r="F17" s="32">
        <f t="shared" si="0"/>
        <v>5008360</v>
      </c>
      <c r="G17"/>
      <c r="H17"/>
    </row>
    <row r="18" spans="1:256" ht="15.75" customHeight="1" x14ac:dyDescent="0.25">
      <c r="A18" s="489"/>
      <c r="B18" s="475"/>
      <c r="C18" s="474"/>
      <c r="D18" s="6"/>
      <c r="E18"/>
      <c r="F18"/>
      <c r="G18"/>
      <c r="H18"/>
    </row>
    <row r="19" spans="1:256" ht="15.6" customHeight="1" x14ac:dyDescent="0.25">
      <c r="A19" s="491"/>
      <c r="B19" s="33" t="s">
        <v>10</v>
      </c>
      <c r="C19" s="34">
        <f>C16/F17</f>
        <v>0.4109848333586244</v>
      </c>
      <c r="D19" s="24"/>
      <c r="E19"/>
      <c r="F19"/>
      <c r="G19"/>
      <c r="H19"/>
    </row>
    <row r="20" spans="1:256" ht="15" customHeight="1" x14ac:dyDescent="0.25">
      <c r="A20" s="491"/>
      <c r="B20" s="35"/>
      <c r="C20" s="35"/>
      <c r="D20" s="24"/>
      <c r="E20"/>
      <c r="F20"/>
      <c r="G20"/>
      <c r="H20"/>
    </row>
    <row r="21" spans="1:256" ht="15" customHeight="1" x14ac:dyDescent="0.25">
      <c r="A21" s="489"/>
      <c r="B21" s="23" t="s">
        <v>11</v>
      </c>
      <c r="C21" s="36">
        <v>0.08</v>
      </c>
      <c r="D21" s="40"/>
      <c r="E21"/>
      <c r="F21"/>
      <c r="G21"/>
      <c r="H21"/>
    </row>
    <row r="22" spans="1:256" ht="15" customHeight="1" x14ac:dyDescent="0.25">
      <c r="A22" s="491"/>
      <c r="B22" s="29" t="s">
        <v>12</v>
      </c>
      <c r="C22" s="37">
        <v>10</v>
      </c>
      <c r="D22" s="42"/>
      <c r="E22"/>
      <c r="F22"/>
      <c r="G22"/>
      <c r="H22"/>
    </row>
    <row r="23" spans="1:256" ht="15" customHeight="1" x14ac:dyDescent="0.25">
      <c r="A23" s="491"/>
      <c r="B23" s="31" t="s">
        <v>13</v>
      </c>
      <c r="C23" s="38">
        <v>24</v>
      </c>
      <c r="D23" s="42"/>
      <c r="E23"/>
      <c r="F23"/>
      <c r="G23"/>
      <c r="H23"/>
    </row>
    <row r="24" spans="1:256" ht="15" customHeight="1" x14ac:dyDescent="0.25">
      <c r="A24" s="491"/>
      <c r="B24" s="35"/>
      <c r="C24" s="35"/>
      <c r="D24" s="42"/>
      <c r="E24"/>
      <c r="F24"/>
      <c r="G24"/>
      <c r="H24"/>
    </row>
    <row r="25" spans="1:256" ht="15" customHeight="1" x14ac:dyDescent="0.25">
      <c r="A25" s="489"/>
      <c r="B25" s="23" t="s">
        <v>14</v>
      </c>
      <c r="C25" s="41">
        <f>'P&amp;L and Cash Flow'!D65</f>
        <v>0.19403666041839318</v>
      </c>
      <c r="D25" s="13"/>
      <c r="E25"/>
      <c r="F25"/>
      <c r="G25"/>
      <c r="H25"/>
    </row>
    <row r="26" spans="1:256" x14ac:dyDescent="0.25">
      <c r="A26" s="489"/>
      <c r="B26" s="29" t="s">
        <v>15</v>
      </c>
      <c r="C26" s="43">
        <f>'Summary CF '!D41</f>
        <v>0.43488841925089639</v>
      </c>
      <c r="D26" s="13"/>
      <c r="E26"/>
      <c r="F26"/>
      <c r="G26"/>
      <c r="H26"/>
      <c r="I26" s="480"/>
      <c r="J26" s="490"/>
    </row>
    <row r="27" spans="1:256" ht="15" customHeight="1" x14ac:dyDescent="0.25">
      <c r="A27" s="491"/>
      <c r="B27" s="31" t="s">
        <v>16</v>
      </c>
      <c r="C27" s="44">
        <f>Sensitivity!D111</f>
        <v>0.2658383406622562</v>
      </c>
      <c r="D27" s="13"/>
      <c r="E27"/>
      <c r="F27"/>
      <c r="G27"/>
      <c r="H27"/>
      <c r="I27" s="480"/>
      <c r="J27" s="492"/>
    </row>
    <row r="28" spans="1:256" ht="15" customHeight="1" x14ac:dyDescent="0.25">
      <c r="A28" s="489"/>
      <c r="B28" s="28"/>
      <c r="C28" s="45"/>
      <c r="D28" s="13"/>
      <c r="E28" s="6"/>
      <c r="F28" s="6"/>
      <c r="G28" s="6"/>
      <c r="H28" s="480"/>
      <c r="I28" s="480"/>
      <c r="J28" s="480"/>
    </row>
    <row r="29" spans="1:256" ht="15" customHeight="1" x14ac:dyDescent="0.25">
      <c r="A29" s="489"/>
      <c r="B29" s="17"/>
      <c r="C29" s="17"/>
      <c r="D29" s="20"/>
      <c r="E29" s="21"/>
      <c r="F29" s="22"/>
      <c r="G29" s="6"/>
      <c r="H29" s="480"/>
      <c r="I29" s="480"/>
      <c r="J29" s="480"/>
      <c r="K29" s="495"/>
      <c r="L29" s="490"/>
    </row>
    <row r="30" spans="1:256" ht="15" customHeight="1" x14ac:dyDescent="0.25">
      <c r="A30" s="489"/>
      <c r="B30" s="46" t="s">
        <v>17</v>
      </c>
      <c r="C30" s="46" t="s">
        <v>0</v>
      </c>
      <c r="D30" s="46" t="s">
        <v>18</v>
      </c>
      <c r="E30" s="46" t="s">
        <v>19</v>
      </c>
      <c r="F30" s="47" t="s">
        <v>20</v>
      </c>
      <c r="G30" s="47" t="s">
        <v>21</v>
      </c>
      <c r="H30" s="480"/>
      <c r="I30" s="480"/>
      <c r="J30" s="480"/>
      <c r="K30" s="495"/>
      <c r="L30" s="490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1"/>
      <c r="AO30" s="471"/>
      <c r="AP30" s="471"/>
      <c r="AQ30" s="471"/>
      <c r="AR30" s="471"/>
      <c r="AS30" s="471"/>
      <c r="AT30" s="471"/>
      <c r="AU30" s="471"/>
      <c r="AV30" s="471"/>
      <c r="AW30" s="471"/>
      <c r="AX30" s="471"/>
      <c r="AY30" s="471"/>
      <c r="AZ30" s="471"/>
      <c r="BA30" s="471"/>
      <c r="BB30" s="471"/>
      <c r="BC30" s="471"/>
      <c r="BD30" s="471"/>
      <c r="BE30" s="471"/>
      <c r="BF30" s="471"/>
      <c r="BG30" s="471"/>
      <c r="BH30" s="471"/>
      <c r="BI30" s="471"/>
      <c r="BJ30" s="471"/>
      <c r="BK30" s="471"/>
      <c r="BL30" s="471"/>
      <c r="BM30" s="471"/>
      <c r="BN30" s="471"/>
      <c r="BO30" s="471"/>
      <c r="BP30" s="471"/>
      <c r="BQ30" s="471"/>
      <c r="BR30" s="471"/>
      <c r="BS30" s="471"/>
      <c r="BT30" s="471"/>
      <c r="BU30" s="471"/>
      <c r="BV30" s="471"/>
      <c r="BW30" s="471"/>
      <c r="BX30" s="471"/>
      <c r="BY30" s="471"/>
      <c r="BZ30" s="471"/>
      <c r="CA30" s="471"/>
      <c r="CB30" s="471"/>
      <c r="CC30" s="471"/>
      <c r="CD30" s="471"/>
      <c r="CE30" s="471"/>
      <c r="CF30" s="471"/>
      <c r="CG30" s="471"/>
      <c r="CH30" s="471"/>
      <c r="CI30" s="471"/>
      <c r="CJ30" s="471"/>
      <c r="CK30" s="471"/>
      <c r="CL30" s="471"/>
      <c r="CM30" s="471"/>
      <c r="CN30" s="471"/>
      <c r="CO30" s="471"/>
      <c r="CP30" s="471"/>
      <c r="CQ30" s="471"/>
      <c r="CR30" s="471"/>
      <c r="CS30" s="471"/>
      <c r="CT30" s="471"/>
      <c r="CU30" s="471"/>
      <c r="CV30" s="471"/>
      <c r="CW30" s="471"/>
      <c r="CX30" s="471"/>
      <c r="CY30" s="471"/>
      <c r="CZ30" s="471"/>
      <c r="DA30" s="471"/>
      <c r="DB30" s="471"/>
      <c r="DC30" s="471"/>
      <c r="DD30" s="471"/>
      <c r="DE30" s="471"/>
      <c r="DF30" s="471"/>
      <c r="DG30" s="471"/>
      <c r="DH30" s="471"/>
      <c r="DI30" s="471"/>
      <c r="DJ30" s="471"/>
      <c r="DK30" s="471"/>
      <c r="DL30" s="471"/>
      <c r="DM30" s="471"/>
      <c r="DN30" s="471"/>
      <c r="DO30" s="471"/>
      <c r="DP30" s="471"/>
      <c r="DQ30" s="471"/>
      <c r="DR30" s="471"/>
      <c r="DS30" s="471"/>
      <c r="DT30" s="471"/>
      <c r="DU30" s="471"/>
      <c r="DV30" s="471"/>
      <c r="DW30" s="471"/>
      <c r="DX30" s="471"/>
      <c r="DY30" s="471"/>
      <c r="DZ30" s="471"/>
      <c r="EA30" s="471"/>
      <c r="EB30" s="471"/>
      <c r="EC30" s="471"/>
      <c r="ED30" s="471"/>
      <c r="EE30" s="471"/>
      <c r="EF30" s="471"/>
      <c r="EG30" s="471"/>
      <c r="EH30" s="471"/>
      <c r="EI30" s="471"/>
      <c r="EJ30" s="471"/>
      <c r="EK30" s="471"/>
      <c r="EL30" s="471"/>
      <c r="EM30" s="471"/>
      <c r="EN30" s="471"/>
      <c r="EO30" s="471"/>
      <c r="EP30" s="471"/>
      <c r="EQ30" s="471"/>
      <c r="ER30" s="471"/>
      <c r="ES30" s="471"/>
      <c r="ET30" s="471"/>
      <c r="EU30" s="471"/>
      <c r="EV30" s="471"/>
      <c r="EW30" s="471"/>
      <c r="EX30" s="471"/>
      <c r="EY30" s="471"/>
      <c r="EZ30" s="471"/>
      <c r="FA30" s="471"/>
      <c r="FB30" s="471"/>
      <c r="FC30" s="471"/>
      <c r="FD30" s="471"/>
      <c r="FE30" s="471"/>
      <c r="FF30" s="471"/>
      <c r="FG30" s="471"/>
      <c r="FH30" s="471"/>
      <c r="FI30" s="471"/>
      <c r="FJ30" s="471"/>
      <c r="FK30" s="471"/>
      <c r="FL30" s="471"/>
      <c r="FM30" s="471"/>
      <c r="FN30" s="471"/>
      <c r="FO30" s="471"/>
      <c r="FP30" s="471"/>
      <c r="FQ30" s="471"/>
      <c r="FR30" s="471"/>
      <c r="FS30" s="471"/>
      <c r="FT30" s="471"/>
      <c r="FU30" s="471"/>
      <c r="FV30" s="471"/>
      <c r="FW30" s="471"/>
      <c r="FX30" s="471"/>
      <c r="FY30" s="471"/>
      <c r="FZ30" s="471"/>
      <c r="GA30" s="471"/>
      <c r="GB30" s="471"/>
      <c r="GC30" s="471"/>
      <c r="GD30" s="471"/>
      <c r="GE30" s="471"/>
      <c r="GF30" s="471"/>
      <c r="GG30" s="471"/>
      <c r="GH30" s="471"/>
      <c r="GI30" s="471"/>
      <c r="GJ30" s="471"/>
      <c r="GK30" s="471"/>
      <c r="GL30" s="471"/>
      <c r="GM30" s="471"/>
      <c r="GN30" s="471"/>
      <c r="GO30" s="471"/>
      <c r="GP30" s="471"/>
      <c r="GQ30" s="471"/>
      <c r="GR30" s="471"/>
      <c r="GS30" s="471"/>
      <c r="GT30" s="471"/>
      <c r="GU30" s="471"/>
      <c r="GV30" s="471"/>
      <c r="GW30" s="471"/>
      <c r="GX30" s="471"/>
      <c r="GY30" s="471"/>
      <c r="GZ30" s="471"/>
      <c r="HA30" s="471"/>
      <c r="HB30" s="471"/>
      <c r="HC30" s="471"/>
      <c r="HD30" s="471"/>
      <c r="HE30" s="471"/>
      <c r="HF30" s="471"/>
      <c r="HG30" s="471"/>
      <c r="HH30" s="471"/>
      <c r="HI30" s="471"/>
      <c r="HJ30" s="471"/>
      <c r="HK30" s="471"/>
      <c r="HL30" s="471"/>
      <c r="HM30" s="471"/>
      <c r="HN30" s="471"/>
      <c r="HO30" s="471"/>
      <c r="HP30" s="471"/>
      <c r="HQ30" s="471"/>
      <c r="HR30" s="471"/>
      <c r="HS30" s="471"/>
      <c r="HT30" s="471"/>
      <c r="HU30" s="471"/>
      <c r="HV30" s="471"/>
      <c r="HW30" s="471"/>
      <c r="HX30" s="471"/>
      <c r="HY30" s="471"/>
      <c r="HZ30" s="471"/>
      <c r="IA30" s="471"/>
      <c r="IB30" s="471"/>
      <c r="IC30" s="471"/>
      <c r="ID30" s="471"/>
      <c r="IE30" s="471"/>
      <c r="IF30" s="471"/>
      <c r="IG30" s="471"/>
      <c r="IH30" s="471"/>
      <c r="II30" s="471"/>
      <c r="IJ30" s="471"/>
      <c r="IK30" s="471"/>
      <c r="IL30" s="471"/>
      <c r="IM30" s="471"/>
      <c r="IN30" s="471"/>
      <c r="IO30" s="471"/>
      <c r="IP30" s="471"/>
      <c r="IQ30" s="471"/>
      <c r="IR30" s="471"/>
      <c r="IS30" s="471"/>
      <c r="IT30" s="471"/>
      <c r="IU30" s="471"/>
      <c r="IV30" s="471"/>
    </row>
    <row r="31" spans="1:256" ht="15" customHeight="1" x14ac:dyDescent="0.25">
      <c r="A31" s="489"/>
      <c r="B31" s="26" t="s">
        <v>22</v>
      </c>
      <c r="C31" s="28"/>
      <c r="D31" s="49"/>
      <c r="E31" s="50"/>
      <c r="F31" s="50"/>
      <c r="G31" s="51"/>
      <c r="H31" s="480"/>
      <c r="I31" s="480"/>
      <c r="J31" s="480"/>
      <c r="K31" s="495"/>
      <c r="L31" s="490"/>
    </row>
    <row r="32" spans="1:256" ht="15" customHeight="1" x14ac:dyDescent="0.25">
      <c r="A32" s="489"/>
      <c r="B32" s="14" t="s">
        <v>23</v>
      </c>
      <c r="C32" s="6"/>
      <c r="D32" s="52"/>
      <c r="E32" s="53"/>
      <c r="F32" s="53"/>
      <c r="G32" s="54"/>
      <c r="H32" s="480"/>
      <c r="I32" s="480"/>
      <c r="J32" s="480"/>
      <c r="K32" s="495"/>
      <c r="L32" s="490"/>
    </row>
    <row r="33" spans="1:256" ht="15" customHeight="1" x14ac:dyDescent="0.25">
      <c r="A33" s="489"/>
      <c r="B33" s="14" t="s">
        <v>24</v>
      </c>
      <c r="C33" s="6"/>
      <c r="D33" s="52"/>
      <c r="E33" s="53"/>
      <c r="F33" s="53"/>
      <c r="G33" s="54"/>
      <c r="H33" s="480"/>
      <c r="I33" s="495"/>
      <c r="J33" s="495"/>
      <c r="K33" s="495"/>
      <c r="L33" s="490"/>
    </row>
    <row r="34" spans="1:256" ht="15" customHeight="1" x14ac:dyDescent="0.25">
      <c r="A34" s="489"/>
      <c r="B34" s="482" t="s">
        <v>25</v>
      </c>
      <c r="C34" s="479"/>
      <c r="D34" s="483"/>
      <c r="E34" s="484"/>
      <c r="F34" s="484"/>
      <c r="G34" s="481"/>
      <c r="H34" s="480"/>
      <c r="I34" s="495"/>
      <c r="J34" s="495"/>
      <c r="K34" s="495"/>
      <c r="L34" s="490"/>
    </row>
    <row r="35" spans="1:256" ht="15" customHeight="1" x14ac:dyDescent="0.25">
      <c r="A35" s="491"/>
      <c r="B35" s="26" t="s">
        <v>5</v>
      </c>
      <c r="C35" s="27">
        <f>SUM(C34:C34)</f>
        <v>0</v>
      </c>
      <c r="D35" s="49"/>
      <c r="E35" s="50">
        <f>SUM(E31:E34)</f>
        <v>0</v>
      </c>
      <c r="F35" s="50"/>
      <c r="G35" s="51">
        <f>SUM(G31:G34)</f>
        <v>0</v>
      </c>
      <c r="H35" s="480"/>
      <c r="I35" s="495"/>
      <c r="J35" s="495"/>
      <c r="K35" s="495"/>
      <c r="L35" s="490"/>
    </row>
    <row r="36" spans="1:256" ht="15" customHeight="1" x14ac:dyDescent="0.25">
      <c r="A36" s="489"/>
      <c r="B36" s="6"/>
      <c r="C36" s="30"/>
      <c r="D36" s="6"/>
      <c r="E36" s="6"/>
      <c r="F36"/>
      <c r="G36" s="6"/>
      <c r="H36" s="480"/>
      <c r="I36" s="495"/>
      <c r="J36" s="495"/>
      <c r="K36" s="495"/>
      <c r="L36" s="490"/>
    </row>
    <row r="37" spans="1:256" ht="15" customHeight="1" x14ac:dyDescent="0.25">
      <c r="A37" s="489"/>
      <c r="B37"/>
      <c r="C37"/>
      <c r="D37"/>
      <c r="E37"/>
      <c r="F37"/>
      <c r="G37"/>
      <c r="H37" s="480"/>
      <c r="I37" s="495"/>
      <c r="J37" s="495"/>
      <c r="K37" s="495"/>
      <c r="L37" s="490"/>
    </row>
    <row r="38" spans="1:256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5" customHeight="1" x14ac:dyDescent="0.25">
      <c r="A45" s="495"/>
      <c r="B45" s="6"/>
      <c r="C45" s="6"/>
      <c r="D45" s="6"/>
      <c r="E45" s="6"/>
      <c r="F45" s="6"/>
      <c r="G45" s="6"/>
      <c r="H45" s="480"/>
      <c r="I45" s="495"/>
      <c r="J45" s="495"/>
      <c r="K45" s="495"/>
      <c r="L45" s="490"/>
    </row>
    <row r="46" spans="1:256" ht="15" customHeight="1" x14ac:dyDescent="0.25">
      <c r="A46" s="480"/>
      <c r="B46" s="6"/>
      <c r="C46" s="6"/>
      <c r="D46" s="6"/>
      <c r="E46" s="6"/>
      <c r="F46" s="6"/>
      <c r="G46" s="6"/>
      <c r="H46" s="480"/>
      <c r="I46" s="495"/>
      <c r="J46" s="495"/>
      <c r="K46" s="480"/>
      <c r="L46" s="490"/>
    </row>
    <row r="47" spans="1:256" ht="15" customHeight="1" x14ac:dyDescent="0.25">
      <c r="A47" s="490"/>
      <c r="B47" s="322"/>
      <c r="C47" s="54"/>
      <c r="D47" s="322"/>
      <c r="E47" s="322"/>
      <c r="F47" s="322"/>
      <c r="G47" s="322"/>
      <c r="H47" s="480"/>
      <c r="I47" s="495"/>
      <c r="J47" s="495"/>
      <c r="K47" s="480"/>
      <c r="L47" s="490"/>
    </row>
    <row r="48" spans="1:256" ht="15" customHeight="1" x14ac:dyDescent="0.25">
      <c r="A48" s="490"/>
      <c r="B48" s="322"/>
      <c r="C48" s="322"/>
      <c r="D48" s="322"/>
      <c r="E48" s="322"/>
      <c r="F48" s="322"/>
      <c r="G48" s="322"/>
      <c r="H48" s="6"/>
      <c r="I48" s="322"/>
      <c r="J48" s="322"/>
      <c r="K48" s="496"/>
    </row>
    <row r="49" spans="2:9" ht="15" customHeight="1" x14ac:dyDescent="0.25">
      <c r="B49" s="496"/>
      <c r="C49" s="496"/>
      <c r="D49" s="496"/>
      <c r="E49" s="496"/>
      <c r="F49" s="496"/>
      <c r="G49" s="496"/>
      <c r="H49" s="496"/>
      <c r="I49" s="496"/>
    </row>
    <row r="50" spans="2:9" ht="15" customHeight="1" x14ac:dyDescent="0.25">
      <c r="B50" s="496"/>
      <c r="C50" s="496"/>
      <c r="D50" s="496"/>
      <c r="E50" s="496"/>
      <c r="F50" s="496"/>
      <c r="G50" s="496"/>
      <c r="H50" s="496"/>
      <c r="I50" s="496"/>
    </row>
  </sheetData>
  <conditionalFormatting sqref="D25:D28 C5:C12">
    <cfRule type="cellIs" dxfId="12" priority="2" stopIfTrue="1" operator="lessThan">
      <formula>0</formula>
    </cfRule>
  </conditionalFormatting>
  <pageMargins left="0.19685" right="0.19685" top="0.39370100000000002" bottom="0.19685" header="0.3" footer="0.3"/>
  <pageSetup scale="92" orientation="portrait" r:id="rId1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38"/>
  <sheetViews>
    <sheetView showGridLines="0" workbookViewId="0"/>
  </sheetViews>
  <sheetFormatPr defaultColWidth="8.85546875" defaultRowHeight="15" customHeight="1" x14ac:dyDescent="0.25"/>
  <cols>
    <col min="1" max="1" width="2.85546875" style="445" customWidth="1"/>
    <col min="2" max="3" width="33" style="445" customWidth="1"/>
    <col min="4" max="4" width="12.42578125" style="445" customWidth="1"/>
    <col min="5" max="6" width="12" style="445" customWidth="1"/>
    <col min="7" max="12" width="13.28515625" style="445" customWidth="1"/>
    <col min="13" max="256" width="8.85546875" style="445" customWidth="1"/>
  </cols>
  <sheetData>
    <row r="1" spans="1:12" ht="15.75" customHeight="1" x14ac:dyDescent="0.25">
      <c r="A1" s="2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5" customHeight="1" x14ac:dyDescent="0.25">
      <c r="A2" s="8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5" customHeight="1" x14ac:dyDescent="0.25">
      <c r="A3" s="8"/>
      <c r="B3" s="446" t="s">
        <v>146</v>
      </c>
      <c r="C3" s="446" t="s">
        <v>147</v>
      </c>
      <c r="D3" s="447">
        <v>2018</v>
      </c>
      <c r="E3" s="278" t="s">
        <v>133</v>
      </c>
      <c r="F3" s="278" t="s">
        <v>134</v>
      </c>
      <c r="G3" s="278" t="s">
        <v>135</v>
      </c>
      <c r="H3" s="278" t="s">
        <v>136</v>
      </c>
      <c r="I3" s="278" t="s">
        <v>137</v>
      </c>
      <c r="J3" s="278" t="s">
        <v>138</v>
      </c>
      <c r="K3" s="278" t="s">
        <v>139</v>
      </c>
      <c r="L3" s="279" t="s">
        <v>140</v>
      </c>
    </row>
    <row r="4" spans="1:12" ht="15" customHeight="1" x14ac:dyDescent="0.25">
      <c r="A4" s="8"/>
      <c r="B4" s="157" t="s">
        <v>358</v>
      </c>
      <c r="C4" s="157" t="s">
        <v>359</v>
      </c>
      <c r="D4" s="75"/>
      <c r="E4" s="153" t="e">
        <f>'P&amp;L and Cash Flow'!#REF!+('Key Assumptions'!#REF!)*'P&amp;L and Cash Flow'!#REF!</f>
        <v>#REF!</v>
      </c>
      <c r="F4" s="153" t="e">
        <f>'P&amp;L and Cash Flow'!#REF!+('Key Assumptions'!#REF!)*'P&amp;L and Cash Flow'!#REF!</f>
        <v>#REF!</v>
      </c>
      <c r="G4" s="153" t="e">
        <f>'P&amp;L and Cash Flow'!#REF!+('Key Assumptions'!#REF!)*'P&amp;L and Cash Flow'!#REF!</f>
        <v>#REF!</v>
      </c>
      <c r="H4" s="153" t="e">
        <f>'P&amp;L and Cash Flow'!#REF!+('Key Assumptions'!#REF!)*'P&amp;L and Cash Flow'!#REF!</f>
        <v>#REF!</v>
      </c>
      <c r="I4" s="153" t="e">
        <f>'P&amp;L and Cash Flow'!#REF!+('Key Assumptions'!#REF!)*'P&amp;L and Cash Flow'!#REF!</f>
        <v>#REF!</v>
      </c>
      <c r="J4" s="153" t="e">
        <f>'P&amp;L and Cash Flow'!#REF!+('Key Assumptions'!#REF!)*'P&amp;L and Cash Flow'!#REF!</f>
        <v>#REF!</v>
      </c>
      <c r="K4" s="153" t="e">
        <f>'P&amp;L and Cash Flow'!#REF!+('Key Assumptions'!#REF!)*'P&amp;L and Cash Flow'!#REF!</f>
        <v>#REF!</v>
      </c>
      <c r="L4" s="198" t="e">
        <f>'P&amp;L and Cash Flow'!#REF!+('Key Assumptions'!#REF!)*'P&amp;L and Cash Flow'!#REF!</f>
        <v>#REF!</v>
      </c>
    </row>
    <row r="5" spans="1:12" ht="15" customHeight="1" x14ac:dyDescent="0.25">
      <c r="A5" s="8"/>
      <c r="B5" s="157" t="s">
        <v>5</v>
      </c>
      <c r="C5" s="157" t="s">
        <v>5</v>
      </c>
      <c r="D5" s="75"/>
      <c r="E5" s="153" t="e">
        <f t="shared" ref="E5:L5" si="0">SUM(E4:E4)</f>
        <v>#REF!</v>
      </c>
      <c r="F5" s="153" t="e">
        <f t="shared" si="0"/>
        <v>#REF!</v>
      </c>
      <c r="G5" s="153" t="e">
        <f t="shared" si="0"/>
        <v>#REF!</v>
      </c>
      <c r="H5" s="153" t="e">
        <f t="shared" si="0"/>
        <v>#REF!</v>
      </c>
      <c r="I5" s="153" t="e">
        <f t="shared" si="0"/>
        <v>#REF!</v>
      </c>
      <c r="J5" s="153" t="e">
        <f t="shared" si="0"/>
        <v>#REF!</v>
      </c>
      <c r="K5" s="153" t="e">
        <f t="shared" si="0"/>
        <v>#REF!</v>
      </c>
      <c r="L5" s="198" t="e">
        <f t="shared" si="0"/>
        <v>#REF!</v>
      </c>
    </row>
    <row r="6" spans="1:12" ht="15" customHeight="1" x14ac:dyDescent="0.25">
      <c r="A6" s="8"/>
      <c r="B6" s="75"/>
      <c r="C6" s="75"/>
      <c r="D6" s="75"/>
      <c r="E6" s="153"/>
      <c r="F6" s="153"/>
      <c r="G6" s="153"/>
      <c r="H6" s="153"/>
      <c r="I6" s="153"/>
      <c r="J6" s="153"/>
      <c r="K6" s="153"/>
      <c r="L6" s="198"/>
    </row>
    <row r="7" spans="1:12" ht="15" customHeight="1" x14ac:dyDescent="0.25">
      <c r="A7" s="8"/>
      <c r="B7" s="157" t="s">
        <v>360</v>
      </c>
      <c r="C7" s="157" t="s">
        <v>224</v>
      </c>
      <c r="D7" s="75"/>
      <c r="E7" s="153">
        <f>'P&amp;L and Cash Flow'!E6</f>
        <v>103275</v>
      </c>
      <c r="F7" s="153">
        <f>'P&amp;L and Cash Flow'!F6</f>
        <v>140454</v>
      </c>
      <c r="G7" s="153">
        <f>'P&amp;L and Cash Flow'!G6</f>
        <v>143263.08000000002</v>
      </c>
      <c r="H7" s="153">
        <f>'P&amp;L and Cash Flow'!H6</f>
        <v>146128.34160000004</v>
      </c>
      <c r="I7" s="153">
        <f>'P&amp;L and Cash Flow'!I6</f>
        <v>149050.90843200003</v>
      </c>
      <c r="J7" s="153">
        <f>'P&amp;L and Cash Flow'!J6</f>
        <v>152031.92660064003</v>
      </c>
      <c r="K7" s="153">
        <f>'P&amp;L and Cash Flow'!K6</f>
        <v>155072.56513265288</v>
      </c>
      <c r="L7" s="198">
        <f>'P&amp;L and Cash Flow'!L6</f>
        <v>158174.01643530591</v>
      </c>
    </row>
    <row r="8" spans="1:12" ht="15" customHeight="1" x14ac:dyDescent="0.25">
      <c r="A8" s="8"/>
      <c r="B8" s="157" t="s">
        <v>361</v>
      </c>
      <c r="C8" s="157" t="s">
        <v>362</v>
      </c>
      <c r="D8" s="75"/>
      <c r="E8" s="448" t="e">
        <f t="shared" ref="E8:L8" si="1">(E7-E5)/E7</f>
        <v>#REF!</v>
      </c>
      <c r="F8" s="448" t="e">
        <f t="shared" si="1"/>
        <v>#REF!</v>
      </c>
      <c r="G8" s="448" t="e">
        <f t="shared" si="1"/>
        <v>#REF!</v>
      </c>
      <c r="H8" s="448" t="e">
        <f t="shared" si="1"/>
        <v>#REF!</v>
      </c>
      <c r="I8" s="448" t="e">
        <f t="shared" si="1"/>
        <v>#REF!</v>
      </c>
      <c r="J8" s="448" t="e">
        <f t="shared" si="1"/>
        <v>#REF!</v>
      </c>
      <c r="K8" s="448" t="e">
        <f t="shared" si="1"/>
        <v>#REF!</v>
      </c>
      <c r="L8" s="449" t="e">
        <f t="shared" si="1"/>
        <v>#REF!</v>
      </c>
    </row>
    <row r="9" spans="1:12" ht="15" customHeight="1" x14ac:dyDescent="0.25">
      <c r="A9" s="8"/>
      <c r="B9" s="75"/>
      <c r="C9" s="75"/>
      <c r="D9" s="75"/>
      <c r="E9" s="334"/>
      <c r="F9" s="334"/>
      <c r="G9" s="334"/>
      <c r="H9" s="334"/>
      <c r="I9" s="334"/>
      <c r="J9" s="334"/>
      <c r="K9" s="334"/>
      <c r="L9" s="450"/>
    </row>
    <row r="10" spans="1:12" ht="15" customHeight="1" x14ac:dyDescent="0.25">
      <c r="A10" s="8"/>
      <c r="B10" s="157" t="s">
        <v>363</v>
      </c>
      <c r="C10" s="157" t="s">
        <v>364</v>
      </c>
      <c r="D10" s="75"/>
      <c r="E10" s="153" t="e">
        <f>'P&amp;L and Cash Flow'!E31*'P&amp;L and Cash Flow'!E6/#REF!</f>
        <v>#REF!</v>
      </c>
      <c r="F10" s="153" t="e">
        <f>'P&amp;L and Cash Flow'!F31*'P&amp;L and Cash Flow'!F6/#REF!</f>
        <v>#REF!</v>
      </c>
      <c r="G10" s="153" t="e">
        <f>'P&amp;L and Cash Flow'!G31*'P&amp;L and Cash Flow'!G6/#REF!</f>
        <v>#REF!</v>
      </c>
      <c r="H10" s="153" t="e">
        <f>'P&amp;L and Cash Flow'!H31*'P&amp;L and Cash Flow'!H6/#REF!</f>
        <v>#REF!</v>
      </c>
      <c r="I10" s="153" t="e">
        <f>'P&amp;L and Cash Flow'!I31*'P&amp;L and Cash Flow'!I6/#REF!</f>
        <v>#REF!</v>
      </c>
      <c r="J10" s="153" t="e">
        <f>'P&amp;L and Cash Flow'!J31*'P&amp;L and Cash Flow'!J6/#REF!</f>
        <v>#REF!</v>
      </c>
      <c r="K10" s="153" t="e">
        <f>'P&amp;L and Cash Flow'!K31*'P&amp;L and Cash Flow'!K6/#REF!</f>
        <v>#REF!</v>
      </c>
      <c r="L10" s="198" t="e">
        <f>'P&amp;L and Cash Flow'!L31*'P&amp;L and Cash Flow'!L6/#REF!</f>
        <v>#REF!</v>
      </c>
    </row>
    <row r="11" spans="1:12" ht="15" customHeight="1" x14ac:dyDescent="0.25">
      <c r="A11" s="8"/>
      <c r="B11" s="157" t="s">
        <v>365</v>
      </c>
      <c r="C11" s="157" t="s">
        <v>366</v>
      </c>
      <c r="D11" s="75"/>
      <c r="E11" s="448" t="e">
        <f t="shared" ref="E11:L11" si="2">(E7-E4-E10)/E4</f>
        <v>#REF!</v>
      </c>
      <c r="F11" s="448" t="e">
        <f t="shared" si="2"/>
        <v>#REF!</v>
      </c>
      <c r="G11" s="448" t="e">
        <f t="shared" si="2"/>
        <v>#REF!</v>
      </c>
      <c r="H11" s="448" t="e">
        <f t="shared" si="2"/>
        <v>#REF!</v>
      </c>
      <c r="I11" s="448" t="e">
        <f t="shared" si="2"/>
        <v>#REF!</v>
      </c>
      <c r="J11" s="448" t="e">
        <f t="shared" si="2"/>
        <v>#REF!</v>
      </c>
      <c r="K11" s="448" t="e">
        <f t="shared" si="2"/>
        <v>#REF!</v>
      </c>
      <c r="L11" s="449" t="e">
        <f t="shared" si="2"/>
        <v>#REF!</v>
      </c>
    </row>
    <row r="12" spans="1:12" ht="15" customHeight="1" x14ac:dyDescent="0.25">
      <c r="A12" s="8"/>
      <c r="B12" s="75"/>
      <c r="C12" s="75"/>
      <c r="D12" s="75"/>
      <c r="E12" s="265"/>
      <c r="F12" s="265"/>
      <c r="G12" s="265"/>
      <c r="H12" s="265"/>
      <c r="I12" s="75"/>
      <c r="J12" s="75"/>
      <c r="K12" s="75"/>
      <c r="L12" s="451"/>
    </row>
    <row r="13" spans="1:12" ht="15" customHeight="1" x14ac:dyDescent="0.25">
      <c r="A13" s="8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452"/>
    </row>
    <row r="14" spans="1:12" ht="15" customHeight="1" x14ac:dyDescent="0.25">
      <c r="A14" s="8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453"/>
    </row>
    <row r="15" spans="1:12" ht="15" customHeight="1" x14ac:dyDescent="0.25">
      <c r="A15" s="8"/>
      <c r="B15" s="446" t="s">
        <v>367</v>
      </c>
      <c r="C15" s="446" t="s">
        <v>368</v>
      </c>
      <c r="D15" s="447">
        <v>2018</v>
      </c>
      <c r="E15" s="278" t="s">
        <v>133</v>
      </c>
      <c r="F15" s="278" t="s">
        <v>134</v>
      </c>
      <c r="G15" s="278" t="s">
        <v>135</v>
      </c>
      <c r="H15" s="278" t="s">
        <v>136</v>
      </c>
      <c r="I15" s="278" t="s">
        <v>137</v>
      </c>
      <c r="J15" s="278" t="s">
        <v>138</v>
      </c>
      <c r="K15" s="278" t="s">
        <v>139</v>
      </c>
      <c r="L15" s="279" t="s">
        <v>140</v>
      </c>
    </row>
    <row r="16" spans="1:12" ht="15" customHeight="1" x14ac:dyDescent="0.25">
      <c r="A16" s="8"/>
      <c r="B16" s="157" t="s">
        <v>358</v>
      </c>
      <c r="C16" s="157" t="s">
        <v>359</v>
      </c>
      <c r="D16" s="153" t="e">
        <f>'P&amp;L and Cash Flow'!D11+'P&amp;L and Cash Flow'!#REF!</f>
        <v>#REF!</v>
      </c>
      <c r="E16" s="153" t="e">
        <f>'P&amp;L and Cash Flow'!E11+'P&amp;L and Cash Flow'!#REF!</f>
        <v>#REF!</v>
      </c>
      <c r="F16" s="153" t="e">
        <f>'P&amp;L and Cash Flow'!F11+'P&amp;L and Cash Flow'!#REF!</f>
        <v>#REF!</v>
      </c>
      <c r="G16" s="153" t="e">
        <f>'P&amp;L and Cash Flow'!G11+'P&amp;L and Cash Flow'!#REF!</f>
        <v>#REF!</v>
      </c>
      <c r="H16" s="153" t="e">
        <f>'P&amp;L and Cash Flow'!H11+'P&amp;L and Cash Flow'!#REF!</f>
        <v>#REF!</v>
      </c>
      <c r="I16" s="153" t="e">
        <f>'P&amp;L and Cash Flow'!I11+'P&amp;L and Cash Flow'!#REF!</f>
        <v>#REF!</v>
      </c>
      <c r="J16" s="153" t="e">
        <f>'P&amp;L and Cash Flow'!J11+'P&amp;L and Cash Flow'!#REF!</f>
        <v>#REF!</v>
      </c>
      <c r="K16" s="153" t="e">
        <f>'P&amp;L and Cash Flow'!K11+'P&amp;L and Cash Flow'!#REF!</f>
        <v>#REF!</v>
      </c>
      <c r="L16" s="198" t="e">
        <f>'P&amp;L and Cash Flow'!L11+'P&amp;L and Cash Flow'!#REF!</f>
        <v>#REF!</v>
      </c>
    </row>
    <row r="17" spans="1:12" ht="15" customHeight="1" x14ac:dyDescent="0.25">
      <c r="A17" s="8"/>
      <c r="B17" s="157" t="s">
        <v>5</v>
      </c>
      <c r="C17" s="157" t="s">
        <v>5</v>
      </c>
      <c r="D17" s="153" t="e">
        <f t="shared" ref="D17:L17" si="3">SUM(D16:D16)</f>
        <v>#REF!</v>
      </c>
      <c r="E17" s="153" t="e">
        <f t="shared" si="3"/>
        <v>#REF!</v>
      </c>
      <c r="F17" s="153" t="e">
        <f t="shared" si="3"/>
        <v>#REF!</v>
      </c>
      <c r="G17" s="153" t="e">
        <f t="shared" si="3"/>
        <v>#REF!</v>
      </c>
      <c r="H17" s="153" t="e">
        <f t="shared" si="3"/>
        <v>#REF!</v>
      </c>
      <c r="I17" s="153" t="e">
        <f t="shared" si="3"/>
        <v>#REF!</v>
      </c>
      <c r="J17" s="153" t="e">
        <f t="shared" si="3"/>
        <v>#REF!</v>
      </c>
      <c r="K17" s="153" t="e">
        <f t="shared" si="3"/>
        <v>#REF!</v>
      </c>
      <c r="L17" s="198" t="e">
        <f t="shared" si="3"/>
        <v>#REF!</v>
      </c>
    </row>
    <row r="18" spans="1:12" ht="15" customHeight="1" x14ac:dyDescent="0.25">
      <c r="A18" s="8"/>
      <c r="B18" s="75"/>
      <c r="C18" s="75"/>
      <c r="D18" s="153"/>
      <c r="E18" s="153"/>
      <c r="F18" s="153"/>
      <c r="G18" s="153"/>
      <c r="H18" s="153"/>
      <c r="I18" s="153"/>
      <c r="J18" s="153"/>
      <c r="K18" s="153"/>
      <c r="L18" s="198"/>
    </row>
    <row r="19" spans="1:12" ht="15" customHeight="1" x14ac:dyDescent="0.25">
      <c r="A19" s="8"/>
      <c r="B19" s="157" t="s">
        <v>360</v>
      </c>
      <c r="C19" s="157" t="s">
        <v>224</v>
      </c>
      <c r="D19" s="153" t="e">
        <f>'P&amp;L and Cash Flow'!#REF!</f>
        <v>#REF!</v>
      </c>
      <c r="E19" s="153" t="e">
        <f>'P&amp;L and Cash Flow'!#REF!</f>
        <v>#REF!</v>
      </c>
      <c r="F19" s="153" t="e">
        <f>'P&amp;L and Cash Flow'!#REF!</f>
        <v>#REF!</v>
      </c>
      <c r="G19" s="153" t="e">
        <f>'P&amp;L and Cash Flow'!#REF!</f>
        <v>#REF!</v>
      </c>
      <c r="H19" s="153" t="e">
        <f>'P&amp;L and Cash Flow'!#REF!</f>
        <v>#REF!</v>
      </c>
      <c r="I19" s="153" t="e">
        <f>'P&amp;L and Cash Flow'!#REF!</f>
        <v>#REF!</v>
      </c>
      <c r="J19" s="153" t="e">
        <f>'P&amp;L and Cash Flow'!#REF!</f>
        <v>#REF!</v>
      </c>
      <c r="K19" s="153" t="e">
        <f>'P&amp;L and Cash Flow'!#REF!</f>
        <v>#REF!</v>
      </c>
      <c r="L19" s="198" t="e">
        <f>'P&amp;L and Cash Flow'!#REF!</f>
        <v>#REF!</v>
      </c>
    </row>
    <row r="20" spans="1:12" ht="15" customHeight="1" x14ac:dyDescent="0.25">
      <c r="A20" s="8"/>
      <c r="B20" s="157" t="s">
        <v>361</v>
      </c>
      <c r="C20" s="157" t="s">
        <v>362</v>
      </c>
      <c r="D20" s="448" t="e">
        <f t="shared" ref="D20:L20" si="4">(D19-D17)/D19</f>
        <v>#REF!</v>
      </c>
      <c r="E20" s="448" t="e">
        <f t="shared" si="4"/>
        <v>#REF!</v>
      </c>
      <c r="F20" s="448" t="e">
        <f t="shared" si="4"/>
        <v>#REF!</v>
      </c>
      <c r="G20" s="448" t="e">
        <f t="shared" si="4"/>
        <v>#REF!</v>
      </c>
      <c r="H20" s="448" t="e">
        <f t="shared" si="4"/>
        <v>#REF!</v>
      </c>
      <c r="I20" s="448" t="e">
        <f t="shared" si="4"/>
        <v>#REF!</v>
      </c>
      <c r="J20" s="448" t="e">
        <f t="shared" si="4"/>
        <v>#REF!</v>
      </c>
      <c r="K20" s="448" t="e">
        <f t="shared" si="4"/>
        <v>#REF!</v>
      </c>
      <c r="L20" s="449" t="e">
        <f t="shared" si="4"/>
        <v>#REF!</v>
      </c>
    </row>
    <row r="21" spans="1:12" ht="15" customHeight="1" x14ac:dyDescent="0.25">
      <c r="A21" s="8"/>
      <c r="B21" s="75"/>
      <c r="C21" s="75"/>
      <c r="D21" s="334"/>
      <c r="E21" s="334"/>
      <c r="F21" s="334"/>
      <c r="G21" s="334"/>
      <c r="H21" s="334"/>
      <c r="I21" s="334"/>
      <c r="J21" s="334"/>
      <c r="K21" s="334"/>
      <c r="L21" s="450"/>
    </row>
    <row r="22" spans="1:12" ht="15" customHeight="1" x14ac:dyDescent="0.25">
      <c r="A22" s="8"/>
      <c r="B22" s="157" t="s">
        <v>363</v>
      </c>
      <c r="C22" s="157" t="s">
        <v>364</v>
      </c>
      <c r="D22" s="153">
        <f>'P&amp;L and Cash Flow'!D31</f>
        <v>20000</v>
      </c>
      <c r="E22" s="153" t="e">
        <f>'P&amp;L and Cash Flow'!E31*'P&amp;L and Cash Flow'!#REF!/('P&amp;L and Cash Flow'!E8)</f>
        <v>#REF!</v>
      </c>
      <c r="F22" s="153" t="e">
        <f>'P&amp;L and Cash Flow'!F31*'P&amp;L and Cash Flow'!#REF!/('P&amp;L and Cash Flow'!F8)</f>
        <v>#REF!</v>
      </c>
      <c r="G22" s="153" t="e">
        <f>'P&amp;L and Cash Flow'!G31*'P&amp;L and Cash Flow'!#REF!/('P&amp;L and Cash Flow'!G8)</f>
        <v>#REF!</v>
      </c>
      <c r="H22" s="153" t="e">
        <f>'P&amp;L and Cash Flow'!H31*'P&amp;L and Cash Flow'!#REF!/('P&amp;L and Cash Flow'!H8)</f>
        <v>#REF!</v>
      </c>
      <c r="I22" s="153" t="e">
        <f>'P&amp;L and Cash Flow'!I31*'P&amp;L and Cash Flow'!#REF!/('P&amp;L and Cash Flow'!I8)</f>
        <v>#REF!</v>
      </c>
      <c r="J22" s="153" t="e">
        <f>'P&amp;L and Cash Flow'!J31*'P&amp;L and Cash Flow'!#REF!/('P&amp;L and Cash Flow'!J8)</f>
        <v>#REF!</v>
      </c>
      <c r="K22" s="153" t="e">
        <f>'P&amp;L and Cash Flow'!K31*'P&amp;L and Cash Flow'!#REF!/('P&amp;L and Cash Flow'!K8)</f>
        <v>#REF!</v>
      </c>
      <c r="L22" s="198" t="e">
        <f>'P&amp;L and Cash Flow'!L31*'P&amp;L and Cash Flow'!#REF!/('P&amp;L and Cash Flow'!L8)</f>
        <v>#REF!</v>
      </c>
    </row>
    <row r="23" spans="1:12" ht="15" customHeight="1" x14ac:dyDescent="0.25">
      <c r="A23" s="8"/>
      <c r="B23" s="157" t="s">
        <v>369</v>
      </c>
      <c r="C23" s="157" t="s">
        <v>366</v>
      </c>
      <c r="D23" s="448" t="e">
        <f t="shared" ref="D23:L23" si="5">(D19-D17-D22)/D19</f>
        <v>#REF!</v>
      </c>
      <c r="E23" s="448" t="e">
        <f t="shared" si="5"/>
        <v>#REF!</v>
      </c>
      <c r="F23" s="448" t="e">
        <f t="shared" si="5"/>
        <v>#REF!</v>
      </c>
      <c r="G23" s="448" t="e">
        <f t="shared" si="5"/>
        <v>#REF!</v>
      </c>
      <c r="H23" s="448" t="e">
        <f t="shared" si="5"/>
        <v>#REF!</v>
      </c>
      <c r="I23" s="448" t="e">
        <f t="shared" si="5"/>
        <v>#REF!</v>
      </c>
      <c r="J23" s="448" t="e">
        <f t="shared" si="5"/>
        <v>#REF!</v>
      </c>
      <c r="K23" s="448" t="e">
        <f t="shared" si="5"/>
        <v>#REF!</v>
      </c>
      <c r="L23" s="449" t="e">
        <f t="shared" si="5"/>
        <v>#REF!</v>
      </c>
    </row>
    <row r="24" spans="1:12" ht="15" customHeight="1" x14ac:dyDescent="0.25">
      <c r="A24" s="8"/>
      <c r="B24" s="75"/>
      <c r="C24" s="75"/>
      <c r="D24" s="75"/>
      <c r="E24" s="334"/>
      <c r="F24" s="334"/>
      <c r="G24" s="334"/>
      <c r="H24" s="334"/>
      <c r="I24" s="334"/>
      <c r="J24" s="334"/>
      <c r="K24" s="334"/>
      <c r="L24" s="451"/>
    </row>
    <row r="25" spans="1:12" ht="15" customHeight="1" x14ac:dyDescent="0.25">
      <c r="A25" s="8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453"/>
    </row>
    <row r="26" spans="1:12" ht="15" customHeight="1" x14ac:dyDescent="0.25">
      <c r="A26" s="8"/>
      <c r="B26" s="446" t="s">
        <v>370</v>
      </c>
      <c r="C26" s="446" t="s">
        <v>371</v>
      </c>
      <c r="D26" s="447">
        <v>2018</v>
      </c>
      <c r="E26" s="278" t="s">
        <v>133</v>
      </c>
      <c r="F26" s="278" t="s">
        <v>134</v>
      </c>
      <c r="G26" s="278" t="s">
        <v>135</v>
      </c>
      <c r="H26" s="278" t="s">
        <v>136</v>
      </c>
      <c r="I26" s="278" t="s">
        <v>137</v>
      </c>
      <c r="J26" s="278" t="s">
        <v>138</v>
      </c>
      <c r="K26" s="278" t="s">
        <v>139</v>
      </c>
      <c r="L26" s="279" t="s">
        <v>140</v>
      </c>
    </row>
    <row r="27" spans="1:12" ht="15" customHeight="1" x14ac:dyDescent="0.25">
      <c r="A27" s="8"/>
      <c r="B27" s="157" t="s">
        <v>358</v>
      </c>
      <c r="C27" s="157" t="s">
        <v>359</v>
      </c>
      <c r="D27" s="75"/>
      <c r="E27" s="153" t="e">
        <f>'P&amp;L and Cash Flow'!#REF!+'P&amp;L and Cash Flow'!#REF!+'P&amp;L and Cash Flow'!#REF!*(1-'Key Assumptions'!#REF!)+'P&amp;L and Cash Flow'!#REF!+'P&amp;L and Cash Flow'!#REF!+'P&amp;L and Cash Flow'!#REF!+'P&amp;L and Cash Flow'!E17</f>
        <v>#REF!</v>
      </c>
      <c r="F27" s="153" t="e">
        <f>'P&amp;L and Cash Flow'!#REF!+'P&amp;L and Cash Flow'!#REF!+'P&amp;L and Cash Flow'!#REF!*(1-'Key Assumptions'!#REF!)+'P&amp;L and Cash Flow'!#REF!+'P&amp;L and Cash Flow'!#REF!+'P&amp;L and Cash Flow'!#REF!+'P&amp;L and Cash Flow'!F17</f>
        <v>#REF!</v>
      </c>
      <c r="G27" s="153" t="e">
        <f>'P&amp;L and Cash Flow'!#REF!+'P&amp;L and Cash Flow'!#REF!+'P&amp;L and Cash Flow'!#REF!*(1-'Key Assumptions'!#REF!)+'P&amp;L and Cash Flow'!#REF!+'P&amp;L and Cash Flow'!#REF!+'P&amp;L and Cash Flow'!#REF!+'P&amp;L and Cash Flow'!G17</f>
        <v>#REF!</v>
      </c>
      <c r="H27" s="153" t="e">
        <f>'P&amp;L and Cash Flow'!#REF!+'P&amp;L and Cash Flow'!#REF!+'P&amp;L and Cash Flow'!#REF!*(1-'Key Assumptions'!#REF!)+'P&amp;L and Cash Flow'!#REF!+'P&amp;L and Cash Flow'!#REF!+'P&amp;L and Cash Flow'!#REF!+'P&amp;L and Cash Flow'!H17</f>
        <v>#REF!</v>
      </c>
      <c r="I27" s="153" t="e">
        <f>'P&amp;L and Cash Flow'!#REF!+'P&amp;L and Cash Flow'!#REF!+'P&amp;L and Cash Flow'!#REF!*(1-'Key Assumptions'!#REF!)+'P&amp;L and Cash Flow'!#REF!+'P&amp;L and Cash Flow'!#REF!+'P&amp;L and Cash Flow'!#REF!+'P&amp;L and Cash Flow'!I17</f>
        <v>#REF!</v>
      </c>
      <c r="J27" s="153" t="e">
        <f>'P&amp;L and Cash Flow'!#REF!+'P&amp;L and Cash Flow'!#REF!+'P&amp;L and Cash Flow'!#REF!*(1-'Key Assumptions'!#REF!)+'P&amp;L and Cash Flow'!#REF!+'P&amp;L and Cash Flow'!#REF!+'P&amp;L and Cash Flow'!#REF!+'P&amp;L and Cash Flow'!J17</f>
        <v>#REF!</v>
      </c>
      <c r="K27" s="153" t="e">
        <f>'P&amp;L and Cash Flow'!#REF!+'P&amp;L and Cash Flow'!#REF!+'P&amp;L and Cash Flow'!#REF!*(1-'Key Assumptions'!#REF!)+'P&amp;L and Cash Flow'!#REF!+'P&amp;L and Cash Flow'!#REF!+'P&amp;L and Cash Flow'!#REF!+'P&amp;L and Cash Flow'!K17</f>
        <v>#REF!</v>
      </c>
      <c r="L27" s="198" t="e">
        <f>'P&amp;L and Cash Flow'!#REF!+'P&amp;L and Cash Flow'!#REF!+'P&amp;L and Cash Flow'!#REF!*(1-'Key Assumptions'!#REF!)+'P&amp;L and Cash Flow'!#REF!+'P&amp;L and Cash Flow'!#REF!+'P&amp;L and Cash Flow'!#REF!+'P&amp;L and Cash Flow'!L17</f>
        <v>#REF!</v>
      </c>
    </row>
    <row r="28" spans="1:12" ht="15" customHeight="1" x14ac:dyDescent="0.25">
      <c r="A28" s="8"/>
      <c r="B28" s="157" t="s">
        <v>5</v>
      </c>
      <c r="C28" s="157" t="s">
        <v>5</v>
      </c>
      <c r="D28" s="75"/>
      <c r="E28" s="153" t="e">
        <f t="shared" ref="E28:L28" si="6">SUM(E27:E27)</f>
        <v>#REF!</v>
      </c>
      <c r="F28" s="153" t="e">
        <f t="shared" si="6"/>
        <v>#REF!</v>
      </c>
      <c r="G28" s="153" t="e">
        <f t="shared" si="6"/>
        <v>#REF!</v>
      </c>
      <c r="H28" s="153" t="e">
        <f t="shared" si="6"/>
        <v>#REF!</v>
      </c>
      <c r="I28" s="153" t="e">
        <f t="shared" si="6"/>
        <v>#REF!</v>
      </c>
      <c r="J28" s="153" t="e">
        <f t="shared" si="6"/>
        <v>#REF!</v>
      </c>
      <c r="K28" s="153" t="e">
        <f t="shared" si="6"/>
        <v>#REF!</v>
      </c>
      <c r="L28" s="198" t="e">
        <f t="shared" si="6"/>
        <v>#REF!</v>
      </c>
    </row>
    <row r="29" spans="1:12" ht="15" customHeight="1" x14ac:dyDescent="0.25">
      <c r="A29" s="8"/>
      <c r="B29" s="75"/>
      <c r="C29" s="75"/>
      <c r="D29" s="75"/>
      <c r="E29" s="153"/>
      <c r="F29" s="153"/>
      <c r="G29" s="153"/>
      <c r="H29" s="153"/>
      <c r="I29" s="153"/>
      <c r="J29" s="153"/>
      <c r="K29" s="153"/>
      <c r="L29" s="198"/>
    </row>
    <row r="30" spans="1:12" ht="15" customHeight="1" x14ac:dyDescent="0.25">
      <c r="A30" s="8"/>
      <c r="B30" s="157" t="s">
        <v>360</v>
      </c>
      <c r="C30" s="157" t="s">
        <v>224</v>
      </c>
      <c r="D30" s="75"/>
      <c r="E30" s="153" t="e">
        <f>'P&amp;L and Cash Flow'!#REF!</f>
        <v>#REF!</v>
      </c>
      <c r="F30" s="153" t="e">
        <f>'P&amp;L and Cash Flow'!#REF!</f>
        <v>#REF!</v>
      </c>
      <c r="G30" s="153" t="e">
        <f>'P&amp;L and Cash Flow'!#REF!</f>
        <v>#REF!</v>
      </c>
      <c r="H30" s="153" t="e">
        <f>'P&amp;L and Cash Flow'!#REF!</f>
        <v>#REF!</v>
      </c>
      <c r="I30" s="153" t="e">
        <f>'P&amp;L and Cash Flow'!#REF!</f>
        <v>#REF!</v>
      </c>
      <c r="J30" s="153" t="e">
        <f>'P&amp;L and Cash Flow'!#REF!</f>
        <v>#REF!</v>
      </c>
      <c r="K30" s="153" t="e">
        <f>'P&amp;L and Cash Flow'!#REF!</f>
        <v>#REF!</v>
      </c>
      <c r="L30" s="198" t="e">
        <f>'P&amp;L and Cash Flow'!#REF!</f>
        <v>#REF!</v>
      </c>
    </row>
    <row r="31" spans="1:12" ht="15" customHeight="1" x14ac:dyDescent="0.25">
      <c r="A31" s="8"/>
      <c r="B31" s="157" t="s">
        <v>361</v>
      </c>
      <c r="C31" s="157" t="s">
        <v>362</v>
      </c>
      <c r="D31" s="75"/>
      <c r="E31" s="448" t="e">
        <f t="shared" ref="E31:L31" si="7">(E30-E28)/E30</f>
        <v>#REF!</v>
      </c>
      <c r="F31" s="448" t="e">
        <f t="shared" si="7"/>
        <v>#REF!</v>
      </c>
      <c r="G31" s="448" t="e">
        <f t="shared" si="7"/>
        <v>#REF!</v>
      </c>
      <c r="H31" s="448" t="e">
        <f t="shared" si="7"/>
        <v>#REF!</v>
      </c>
      <c r="I31" s="448" t="e">
        <f t="shared" si="7"/>
        <v>#REF!</v>
      </c>
      <c r="J31" s="448" t="e">
        <f t="shared" si="7"/>
        <v>#REF!</v>
      </c>
      <c r="K31" s="448" t="e">
        <f t="shared" si="7"/>
        <v>#REF!</v>
      </c>
      <c r="L31" s="449" t="e">
        <f t="shared" si="7"/>
        <v>#REF!</v>
      </c>
    </row>
    <row r="32" spans="1:12" ht="15" customHeight="1" x14ac:dyDescent="0.25">
      <c r="A32" s="8"/>
      <c r="B32" s="75"/>
      <c r="C32" s="75"/>
      <c r="D32" s="75"/>
      <c r="E32" s="334"/>
      <c r="F32" s="334"/>
      <c r="G32" s="334"/>
      <c r="H32" s="334"/>
      <c r="I32" s="334"/>
      <c r="J32" s="334"/>
      <c r="K32" s="334"/>
      <c r="L32" s="450"/>
    </row>
    <row r="33" spans="1:12" ht="15" customHeight="1" x14ac:dyDescent="0.25">
      <c r="A33" s="8"/>
      <c r="B33" s="157" t="s">
        <v>363</v>
      </c>
      <c r="C33" s="157" t="s">
        <v>364</v>
      </c>
      <c r="D33" s="75"/>
      <c r="E33" s="153" t="e">
        <f>'P&amp;L and Cash Flow'!E31*'P&amp;L and Cash Flow'!#REF!/'P&amp;L and Cash Flow'!E8</f>
        <v>#REF!</v>
      </c>
      <c r="F33" s="153" t="e">
        <f>'P&amp;L and Cash Flow'!F31*'P&amp;L and Cash Flow'!#REF!/'P&amp;L and Cash Flow'!F8</f>
        <v>#REF!</v>
      </c>
      <c r="G33" s="153" t="e">
        <f>'P&amp;L and Cash Flow'!G31*'P&amp;L and Cash Flow'!#REF!/'P&amp;L and Cash Flow'!G8</f>
        <v>#REF!</v>
      </c>
      <c r="H33" s="153" t="e">
        <f>'P&amp;L and Cash Flow'!H31*'P&amp;L and Cash Flow'!#REF!/'P&amp;L and Cash Flow'!H8</f>
        <v>#REF!</v>
      </c>
      <c r="I33" s="153" t="e">
        <f>'P&amp;L and Cash Flow'!I31*'P&amp;L and Cash Flow'!#REF!/'P&amp;L and Cash Flow'!I8</f>
        <v>#REF!</v>
      </c>
      <c r="J33" s="153" t="e">
        <f>'P&amp;L and Cash Flow'!J31*'P&amp;L and Cash Flow'!#REF!/'P&amp;L and Cash Flow'!J8</f>
        <v>#REF!</v>
      </c>
      <c r="K33" s="153" t="e">
        <f>'P&amp;L and Cash Flow'!K31*'P&amp;L and Cash Flow'!#REF!/'P&amp;L and Cash Flow'!K8</f>
        <v>#REF!</v>
      </c>
      <c r="L33" s="198" t="e">
        <f>'P&amp;L and Cash Flow'!L31*'P&amp;L and Cash Flow'!#REF!/'P&amp;L and Cash Flow'!L8</f>
        <v>#REF!</v>
      </c>
    </row>
    <row r="34" spans="1:12" ht="15" customHeight="1" x14ac:dyDescent="0.25">
      <c r="A34" s="8"/>
      <c r="B34" s="157" t="s">
        <v>369</v>
      </c>
      <c r="C34" s="157" t="s">
        <v>366</v>
      </c>
      <c r="D34" s="75"/>
      <c r="E34" s="448" t="e">
        <f t="shared" ref="E34:L34" si="8">(E30-E28-E33)/E30</f>
        <v>#REF!</v>
      </c>
      <c r="F34" s="448" t="e">
        <f t="shared" si="8"/>
        <v>#REF!</v>
      </c>
      <c r="G34" s="448" t="e">
        <f t="shared" si="8"/>
        <v>#REF!</v>
      </c>
      <c r="H34" s="448" t="e">
        <f t="shared" si="8"/>
        <v>#REF!</v>
      </c>
      <c r="I34" s="448" t="e">
        <f t="shared" si="8"/>
        <v>#REF!</v>
      </c>
      <c r="J34" s="448" t="e">
        <f t="shared" si="8"/>
        <v>#REF!</v>
      </c>
      <c r="K34" s="448" t="e">
        <f t="shared" si="8"/>
        <v>#REF!</v>
      </c>
      <c r="L34" s="449" t="e">
        <f t="shared" si="8"/>
        <v>#REF!</v>
      </c>
    </row>
    <row r="35" spans="1:12" ht="15" customHeight="1" x14ac:dyDescent="0.25">
      <c r="A35" s="8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303"/>
    </row>
    <row r="36" spans="1:12" ht="15" customHeight="1" x14ac:dyDescent="0.25">
      <c r="A36" s="8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303"/>
    </row>
    <row r="37" spans="1:12" ht="15" customHeight="1" x14ac:dyDescent="0.25">
      <c r="A37" s="8"/>
      <c r="B37" s="157" t="s">
        <v>372</v>
      </c>
      <c r="C37" s="75"/>
      <c r="D37" s="75"/>
      <c r="E37" s="265" t="e">
        <f>E28/('Key Assumptions'!#REF!*12)</f>
        <v>#REF!</v>
      </c>
      <c r="F37" s="265" t="e">
        <f>F28/('Key Assumptions'!#REF!*12)</f>
        <v>#REF!</v>
      </c>
      <c r="G37" s="265" t="e">
        <f>G28/('Key Assumptions'!#REF!*12)</f>
        <v>#REF!</v>
      </c>
      <c r="H37" s="265" t="e">
        <f>H28/('Key Assumptions'!#REF!*12)</f>
        <v>#REF!</v>
      </c>
      <c r="I37" s="265" t="e">
        <f>I28/('Key Assumptions'!#REF!*12)</f>
        <v>#REF!</v>
      </c>
      <c r="J37" s="265" t="e">
        <f>J28/('Key Assumptions'!#REF!*12)</f>
        <v>#REF!</v>
      </c>
      <c r="K37" s="265" t="e">
        <f>K28/('Key Assumptions'!#REF!*12)</f>
        <v>#REF!</v>
      </c>
      <c r="L37" s="266" t="e">
        <f>L28/('Key Assumptions'!#REF!*12)</f>
        <v>#REF!</v>
      </c>
    </row>
    <row r="38" spans="1:12" ht="15" customHeight="1" x14ac:dyDescent="0.25">
      <c r="A38" s="380"/>
      <c r="B38" s="454" t="s">
        <v>373</v>
      </c>
      <c r="C38" s="455"/>
      <c r="D38" s="455"/>
      <c r="E38" s="456" t="e">
        <f>(E28+E33)/('Key Assumptions'!#REF!*12)</f>
        <v>#REF!</v>
      </c>
      <c r="F38" s="456" t="e">
        <f>(F28+F33)/('Key Assumptions'!#REF!*12)</f>
        <v>#REF!</v>
      </c>
      <c r="G38" s="456" t="e">
        <f>(G28+G33)/('Key Assumptions'!#REF!*12)</f>
        <v>#REF!</v>
      </c>
      <c r="H38" s="456" t="e">
        <f>(H28+H33)/('Key Assumptions'!#REF!*12)</f>
        <v>#REF!</v>
      </c>
      <c r="I38" s="456" t="e">
        <f>(I28+I33)/('Key Assumptions'!#REF!*12)</f>
        <v>#REF!</v>
      </c>
      <c r="J38" s="456" t="e">
        <f>(J28+J33)/('Key Assumptions'!#REF!*12)</f>
        <v>#REF!</v>
      </c>
      <c r="K38" s="456" t="e">
        <f>(K28+K33)/('Key Assumptions'!#REF!*12)</f>
        <v>#REF!</v>
      </c>
      <c r="L38" s="457" t="e">
        <f>(L28+L33)/('Key Assumptions'!#REF!*12)</f>
        <v>#REF!</v>
      </c>
    </row>
  </sheetData>
  <conditionalFormatting sqref="E4:L7 E10:L10 D16:L19 D22:L22 E27:L30 E33:L33">
    <cfRule type="cellIs" dxfId="2" priority="1" stopIfTrue="1" operator="lessThan">
      <formula>0</formula>
    </cfRule>
  </conditionalFormatting>
  <pageMargins left="0.39370100000000002" right="0.19685" top="0.39370100000000002" bottom="0.19685" header="0.3" footer="0.3"/>
  <pageSetup orientation="landscape"/>
  <headerFooter>
    <oddFooter>&amp;C&amp;"Helvetica,Regular"&amp;12&amp;K000000&amp;P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90"/>
  <sheetViews>
    <sheetView showGridLines="0" workbookViewId="0"/>
  </sheetViews>
  <sheetFormatPr defaultColWidth="8.85546875" defaultRowHeight="15" customHeight="1" x14ac:dyDescent="0.25"/>
  <cols>
    <col min="1" max="2" width="8.85546875" style="348" customWidth="1"/>
    <col min="3" max="3" width="24.7109375" style="348" customWidth="1"/>
    <col min="4" max="4" width="8" style="348" customWidth="1"/>
    <col min="5" max="5" width="11.42578125" style="348" customWidth="1"/>
    <col min="6" max="6" width="10.42578125" style="348" customWidth="1"/>
    <col min="7" max="14" width="11.42578125" style="348" customWidth="1"/>
    <col min="15" max="256" width="8.85546875" style="348" customWidth="1"/>
  </cols>
  <sheetData>
    <row r="1" spans="1:18" ht="1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5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1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5" customHeigh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1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1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8" ht="1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ht="1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ht="1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5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18" ht="15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spans="1:18" ht="15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ht="15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15" customHeight="1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 ht="15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1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ht="15" customHeight="1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1:18" ht="15" customHeight="1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ht="15" customHeight="1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15" customHeight="1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ht="15" customHeight="1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ht="15" customHeight="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ht="15" customHeight="1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15" customHeight="1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</row>
    <row r="30" spans="1:18" ht="15" customHeight="1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</row>
    <row r="31" spans="1:18" ht="15" customHeigh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</row>
    <row r="32" spans="1:18" ht="15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 ht="15" customHeight="1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18" ht="15" customHeight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18" ht="15" customHeight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8" ht="15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ht="15" customHeight="1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</row>
    <row r="38" spans="1:18" ht="15" customHeight="1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1:18" ht="1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</row>
    <row r="40" spans="1:18" ht="15" customHeight="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</row>
    <row r="41" spans="1:18" ht="15" customHeight="1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ht="15" customHeight="1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ht="15" customHeight="1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  <row r="44" spans="1:18" ht="15" customHeight="1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8" ht="15" customHeight="1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18" ht="15" customHeigh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</row>
    <row r="47" spans="1:18" ht="15" customHeigh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</row>
    <row r="48" spans="1:18" ht="15" customHeight="1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</row>
    <row r="49" spans="1:18" ht="15" customHeight="1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</row>
    <row r="50" spans="1:18" ht="15" customHeight="1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</row>
    <row r="51" spans="1:18" ht="15" customHeight="1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18" ht="15" customHeight="1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</row>
    <row r="53" spans="1:18" ht="15" customHeight="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</row>
    <row r="54" spans="1:18" ht="15" customHeight="1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</row>
    <row r="55" spans="1:18" ht="15" customHeight="1" x14ac:dyDescent="0.25">
      <c r="A55" s="59"/>
      <c r="B55" s="59"/>
      <c r="C55" s="5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59"/>
      <c r="P55" s="59"/>
      <c r="Q55" s="59"/>
      <c r="R55" s="59"/>
    </row>
    <row r="56" spans="1:18" ht="15" customHeight="1" x14ac:dyDescent="0.25">
      <c r="A56" s="59"/>
      <c r="B56" s="59"/>
      <c r="C56" s="349" t="s">
        <v>266</v>
      </c>
      <c r="D56" s="300" t="s">
        <v>132</v>
      </c>
      <c r="E56" s="300" t="s">
        <v>133</v>
      </c>
      <c r="F56" s="300" t="s">
        <v>134</v>
      </c>
      <c r="G56" s="300" t="s">
        <v>135</v>
      </c>
      <c r="H56" s="300" t="s">
        <v>136</v>
      </c>
      <c r="I56" s="300" t="s">
        <v>137</v>
      </c>
      <c r="J56" s="300" t="s">
        <v>138</v>
      </c>
      <c r="K56" s="300" t="s">
        <v>139</v>
      </c>
      <c r="L56" s="300" t="s">
        <v>140</v>
      </c>
      <c r="M56" s="300" t="s">
        <v>141</v>
      </c>
      <c r="N56" s="300" t="s">
        <v>142</v>
      </c>
      <c r="O56" s="57"/>
      <c r="P56" s="59"/>
      <c r="Q56" s="59"/>
      <c r="R56" s="59"/>
    </row>
    <row r="57" spans="1:18" ht="15" customHeight="1" x14ac:dyDescent="0.25">
      <c r="A57" s="59"/>
      <c r="B57" s="59"/>
      <c r="C57" s="350" t="s">
        <v>146</v>
      </c>
      <c r="D57" s="351" t="e">
        <f>'Key Assumptions'!#REF!*3.785</f>
        <v>#REF!</v>
      </c>
      <c r="E57" s="351" t="e">
        <f>'Key Assumptions'!#REF!*3.785</f>
        <v>#REF!</v>
      </c>
      <c r="F57" s="351" t="e">
        <f>'Key Assumptions'!#REF!*3.785</f>
        <v>#REF!</v>
      </c>
      <c r="G57" s="351" t="e">
        <f>'Key Assumptions'!#REF!*3.785</f>
        <v>#REF!</v>
      </c>
      <c r="H57" s="351" t="e">
        <f>'Key Assumptions'!#REF!*3.785</f>
        <v>#REF!</v>
      </c>
      <c r="I57" s="351" t="e">
        <f>'Key Assumptions'!#REF!*3.785</f>
        <v>#REF!</v>
      </c>
      <c r="J57" s="351" t="e">
        <f>'Key Assumptions'!#REF!*3.785</f>
        <v>#REF!</v>
      </c>
      <c r="K57" s="351" t="e">
        <f>'Key Assumptions'!#REF!*3.785</f>
        <v>#REF!</v>
      </c>
      <c r="L57" s="351" t="e">
        <f>'Key Assumptions'!#REF!*3.785</f>
        <v>#REF!</v>
      </c>
      <c r="M57" s="351" t="e">
        <f>'Key Assumptions'!#REF!*3.785</f>
        <v>#REF!</v>
      </c>
      <c r="N57" s="351" t="e">
        <f>'Key Assumptions'!#REF!*3.785</f>
        <v>#REF!</v>
      </c>
      <c r="O57" s="59"/>
      <c r="P57" s="59"/>
      <c r="Q57" s="59"/>
      <c r="R57" s="59"/>
    </row>
    <row r="58" spans="1:18" ht="15" customHeight="1" x14ac:dyDescent="0.25">
      <c r="A58" s="59"/>
      <c r="B58" s="59"/>
      <c r="C58" s="350" t="s">
        <v>29</v>
      </c>
      <c r="D58" s="346">
        <f>'Key Assumptions'!C13*3.785</f>
        <v>0.94625000000000004</v>
      </c>
      <c r="E58" s="346">
        <f>'Key Assumptions'!D13*3.785</f>
        <v>0.94625000000000004</v>
      </c>
      <c r="F58" s="346">
        <f>'Key Assumptions'!E13*3.785</f>
        <v>0.94625000000000004</v>
      </c>
      <c r="G58" s="346">
        <f>'Key Assumptions'!F13*3.785</f>
        <v>0.94625000000000004</v>
      </c>
      <c r="H58" s="346">
        <f>'Key Assumptions'!G13*3.785</f>
        <v>0.94625000000000004</v>
      </c>
      <c r="I58" s="346">
        <f>'Key Assumptions'!H13*3.785</f>
        <v>0.94625000000000004</v>
      </c>
      <c r="J58" s="346">
        <f>'Key Assumptions'!I13*3.785</f>
        <v>0.94625000000000004</v>
      </c>
      <c r="K58" s="346">
        <f>'Key Assumptions'!J13*3.785</f>
        <v>0.94625000000000004</v>
      </c>
      <c r="L58" s="346">
        <f>'Key Assumptions'!K13*3.785</f>
        <v>0.94625000000000004</v>
      </c>
      <c r="M58" s="346">
        <f>'Key Assumptions'!L13*3.785</f>
        <v>0.94625000000000004</v>
      </c>
      <c r="N58" s="346">
        <f>'Key Assumptions'!M13*3.785</f>
        <v>0.94625000000000004</v>
      </c>
      <c r="O58" s="59"/>
      <c r="P58" s="59"/>
      <c r="Q58" s="59"/>
      <c r="R58" s="59"/>
    </row>
    <row r="59" spans="1:18" ht="15" customHeight="1" x14ac:dyDescent="0.25">
      <c r="A59" s="59"/>
      <c r="B59" s="59"/>
      <c r="C59" s="350" t="s">
        <v>225</v>
      </c>
      <c r="D59" s="346" t="e">
        <f>'Key Assumptions'!#REF!</f>
        <v>#REF!</v>
      </c>
      <c r="E59" s="346" t="e">
        <f>'Key Assumptions'!#REF!</f>
        <v>#REF!</v>
      </c>
      <c r="F59" s="346" t="e">
        <f>'Key Assumptions'!#REF!</f>
        <v>#REF!</v>
      </c>
      <c r="G59" s="346" t="e">
        <f>'Key Assumptions'!#REF!</f>
        <v>#REF!</v>
      </c>
      <c r="H59" s="346" t="e">
        <f>'Key Assumptions'!#REF!</f>
        <v>#REF!</v>
      </c>
      <c r="I59" s="346" t="e">
        <f>'Key Assumptions'!#REF!</f>
        <v>#REF!</v>
      </c>
      <c r="J59" s="346" t="e">
        <f>'Key Assumptions'!#REF!</f>
        <v>#REF!</v>
      </c>
      <c r="K59" s="346" t="e">
        <f>'Key Assumptions'!#REF!</f>
        <v>#REF!</v>
      </c>
      <c r="L59" s="346" t="e">
        <f>'Key Assumptions'!#REF!</f>
        <v>#REF!</v>
      </c>
      <c r="M59" s="346" t="e">
        <f>'Key Assumptions'!#REF!</f>
        <v>#REF!</v>
      </c>
      <c r="N59" s="346" t="e">
        <f>'Key Assumptions'!#REF!</f>
        <v>#REF!</v>
      </c>
      <c r="O59" s="59"/>
      <c r="P59" s="59"/>
      <c r="Q59" s="59"/>
      <c r="R59" s="59"/>
    </row>
    <row r="60" spans="1:18" ht="15" customHeight="1" x14ac:dyDescent="0.25">
      <c r="A60" s="59"/>
      <c r="B60" s="59"/>
      <c r="C60" s="350" t="s">
        <v>227</v>
      </c>
      <c r="D60" s="346" t="e">
        <f>'Key Assumptions'!#REF!</f>
        <v>#REF!</v>
      </c>
      <c r="E60" s="346" t="e">
        <f>'Key Assumptions'!#REF!</f>
        <v>#REF!</v>
      </c>
      <c r="F60" s="346" t="e">
        <f>'Key Assumptions'!#REF!</f>
        <v>#REF!</v>
      </c>
      <c r="G60" s="346" t="e">
        <f>'Key Assumptions'!#REF!</f>
        <v>#REF!</v>
      </c>
      <c r="H60" s="346" t="e">
        <f>'Key Assumptions'!#REF!</f>
        <v>#REF!</v>
      </c>
      <c r="I60" s="346" t="e">
        <f>'Key Assumptions'!#REF!</f>
        <v>#REF!</v>
      </c>
      <c r="J60" s="346" t="e">
        <f>'Key Assumptions'!#REF!</f>
        <v>#REF!</v>
      </c>
      <c r="K60" s="346" t="e">
        <f>'Key Assumptions'!#REF!</f>
        <v>#REF!</v>
      </c>
      <c r="L60" s="346" t="e">
        <f>'Key Assumptions'!#REF!</f>
        <v>#REF!</v>
      </c>
      <c r="M60" s="346" t="e">
        <f>'Key Assumptions'!#REF!</f>
        <v>#REF!</v>
      </c>
      <c r="N60" s="346" t="e">
        <f>'Key Assumptions'!#REF!</f>
        <v>#REF!</v>
      </c>
      <c r="O60" s="59"/>
      <c r="P60" s="59"/>
      <c r="Q60" s="59"/>
      <c r="R60" s="59"/>
    </row>
    <row r="61" spans="1:18" ht="15" customHeight="1" x14ac:dyDescent="0.25">
      <c r="A61" s="59"/>
      <c r="B61" s="59"/>
      <c r="C61" s="350" t="s">
        <v>229</v>
      </c>
      <c r="D61" s="346" t="e">
        <f>'Key Assumptions'!#REF!</f>
        <v>#REF!</v>
      </c>
      <c r="E61" s="346" t="e">
        <f>'Key Assumptions'!#REF!</f>
        <v>#REF!</v>
      </c>
      <c r="F61" s="346" t="e">
        <f>'Key Assumptions'!#REF!</f>
        <v>#REF!</v>
      </c>
      <c r="G61" s="346" t="e">
        <f>'Key Assumptions'!#REF!</f>
        <v>#REF!</v>
      </c>
      <c r="H61" s="346" t="e">
        <f>'Key Assumptions'!#REF!</f>
        <v>#REF!</v>
      </c>
      <c r="I61" s="346" t="e">
        <f>'Key Assumptions'!#REF!</f>
        <v>#REF!</v>
      </c>
      <c r="J61" s="346" t="e">
        <f>'Key Assumptions'!#REF!</f>
        <v>#REF!</v>
      </c>
      <c r="K61" s="346" t="e">
        <f>'Key Assumptions'!#REF!</f>
        <v>#REF!</v>
      </c>
      <c r="L61" s="346" t="e">
        <f>'Key Assumptions'!#REF!</f>
        <v>#REF!</v>
      </c>
      <c r="M61" s="346" t="e">
        <f>'Key Assumptions'!#REF!</f>
        <v>#REF!</v>
      </c>
      <c r="N61" s="346" t="e">
        <f>'Key Assumptions'!#REF!</f>
        <v>#REF!</v>
      </c>
      <c r="O61" s="59"/>
      <c r="P61" s="59"/>
      <c r="Q61" s="59"/>
      <c r="R61" s="59"/>
    </row>
    <row r="62" spans="1:18" ht="15" customHeight="1" x14ac:dyDescent="0.25">
      <c r="A62" s="59"/>
      <c r="B62" s="59"/>
      <c r="C62" s="352" t="s">
        <v>2</v>
      </c>
      <c r="D62" s="346" t="e">
        <f>'Key Assumptions'!#REF!</f>
        <v>#REF!</v>
      </c>
      <c r="E62" s="346" t="e">
        <f>'Key Assumptions'!#REF!</f>
        <v>#REF!</v>
      </c>
      <c r="F62" s="346" t="e">
        <f>'Key Assumptions'!#REF!</f>
        <v>#REF!</v>
      </c>
      <c r="G62" s="346" t="e">
        <f>'Key Assumptions'!#REF!</f>
        <v>#REF!</v>
      </c>
      <c r="H62" s="346" t="e">
        <f>'Key Assumptions'!#REF!</f>
        <v>#REF!</v>
      </c>
      <c r="I62" s="346" t="e">
        <f>'Key Assumptions'!#REF!</f>
        <v>#REF!</v>
      </c>
      <c r="J62" s="346" t="e">
        <f>'Key Assumptions'!#REF!</f>
        <v>#REF!</v>
      </c>
      <c r="K62" s="346" t="e">
        <f>'Key Assumptions'!#REF!</f>
        <v>#REF!</v>
      </c>
      <c r="L62" s="346" t="e">
        <f>'Key Assumptions'!#REF!</f>
        <v>#REF!</v>
      </c>
      <c r="M62" s="346" t="e">
        <f>'Key Assumptions'!#REF!</f>
        <v>#REF!</v>
      </c>
      <c r="N62" s="346" t="e">
        <f>'Key Assumptions'!#REF!</f>
        <v>#REF!</v>
      </c>
      <c r="O62" s="59"/>
      <c r="P62" s="59"/>
      <c r="Q62" s="59"/>
      <c r="R62" s="59"/>
    </row>
    <row r="63" spans="1:18" ht="15" customHeight="1" x14ac:dyDescent="0.25">
      <c r="A63" s="59"/>
      <c r="B63" s="59"/>
      <c r="C63" s="107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</row>
    <row r="64" spans="1:18" ht="15" customHeight="1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</row>
    <row r="65" spans="1:18" ht="15" customHeight="1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</row>
    <row r="66" spans="1:18" ht="15" customHeight="1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</row>
    <row r="67" spans="1:18" ht="15" customHeight="1" x14ac:dyDescent="0.25">
      <c r="A67" s="59"/>
      <c r="B67" s="59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59"/>
      <c r="P67" s="59"/>
      <c r="Q67" s="59"/>
      <c r="R67" s="59"/>
    </row>
    <row r="68" spans="1:18" ht="15" customHeight="1" x14ac:dyDescent="0.25">
      <c r="A68" s="59"/>
      <c r="B68" s="61"/>
      <c r="C68" s="353" t="s">
        <v>267</v>
      </c>
      <c r="D68" s="300" t="s">
        <v>132</v>
      </c>
      <c r="E68" s="300" t="s">
        <v>133</v>
      </c>
      <c r="F68" s="300" t="s">
        <v>134</v>
      </c>
      <c r="G68" s="300" t="s">
        <v>135</v>
      </c>
      <c r="H68" s="300" t="s">
        <v>136</v>
      </c>
      <c r="I68" s="300" t="s">
        <v>137</v>
      </c>
      <c r="J68" s="300" t="s">
        <v>138</v>
      </c>
      <c r="K68" s="300" t="s">
        <v>139</v>
      </c>
      <c r="L68" s="300" t="s">
        <v>140</v>
      </c>
      <c r="M68" s="300" t="s">
        <v>141</v>
      </c>
      <c r="N68" s="300" t="s">
        <v>142</v>
      </c>
      <c r="O68" s="57"/>
      <c r="P68" s="59"/>
      <c r="Q68" s="59"/>
      <c r="R68" s="59"/>
    </row>
    <row r="69" spans="1:18" ht="15" customHeight="1" x14ac:dyDescent="0.25">
      <c r="A69" s="59"/>
      <c r="B69" s="59"/>
      <c r="C69" s="354" t="s">
        <v>268</v>
      </c>
      <c r="D69" s="355" t="e">
        <f>'Key Assumptions'!#REF!</f>
        <v>#REF!</v>
      </c>
      <c r="E69" s="355" t="e">
        <f>'Key Assumptions'!#REF!</f>
        <v>#REF!</v>
      </c>
      <c r="F69" s="355" t="e">
        <f>'Key Assumptions'!#REF!</f>
        <v>#REF!</v>
      </c>
      <c r="G69" s="355" t="e">
        <f>'Key Assumptions'!#REF!</f>
        <v>#REF!</v>
      </c>
      <c r="H69" s="355" t="e">
        <f>'Key Assumptions'!#REF!</f>
        <v>#REF!</v>
      </c>
      <c r="I69" s="355" t="e">
        <f>'Key Assumptions'!#REF!</f>
        <v>#REF!</v>
      </c>
      <c r="J69" s="355" t="e">
        <f>'Key Assumptions'!#REF!</f>
        <v>#REF!</v>
      </c>
      <c r="K69" s="355" t="e">
        <f>'Key Assumptions'!#REF!</f>
        <v>#REF!</v>
      </c>
      <c r="L69" s="355" t="e">
        <f>'Key Assumptions'!#REF!</f>
        <v>#REF!</v>
      </c>
      <c r="M69" s="355" t="e">
        <f>'Key Assumptions'!#REF!</f>
        <v>#REF!</v>
      </c>
      <c r="N69" s="355" t="e">
        <f>'Key Assumptions'!#REF!</f>
        <v>#REF!</v>
      </c>
      <c r="O69" s="59"/>
      <c r="P69" s="59"/>
      <c r="Q69" s="59"/>
      <c r="R69" s="59"/>
    </row>
    <row r="70" spans="1:18" ht="15" customHeight="1" x14ac:dyDescent="0.25">
      <c r="A70" s="59"/>
      <c r="B70" s="59"/>
      <c r="C70" s="356" t="s">
        <v>269</v>
      </c>
      <c r="D70" s="347">
        <v>700</v>
      </c>
      <c r="E70" s="347">
        <f t="shared" ref="E70:N70" si="0">D70*1.02</f>
        <v>714</v>
      </c>
      <c r="F70" s="347">
        <f t="shared" si="0"/>
        <v>728.28</v>
      </c>
      <c r="G70" s="347">
        <f t="shared" si="0"/>
        <v>742.84559999999999</v>
      </c>
      <c r="H70" s="347">
        <f t="shared" si="0"/>
        <v>757.70251199999996</v>
      </c>
      <c r="I70" s="347">
        <f t="shared" si="0"/>
        <v>772.85656224000002</v>
      </c>
      <c r="J70" s="347">
        <f t="shared" si="0"/>
        <v>788.31369348480007</v>
      </c>
      <c r="K70" s="347">
        <f t="shared" si="0"/>
        <v>804.07996735449603</v>
      </c>
      <c r="L70" s="347">
        <f t="shared" si="0"/>
        <v>820.16156670158603</v>
      </c>
      <c r="M70" s="347">
        <f t="shared" si="0"/>
        <v>836.56479803561774</v>
      </c>
      <c r="N70" s="347">
        <f t="shared" si="0"/>
        <v>853.29609399633011</v>
      </c>
      <c r="O70" s="59"/>
      <c r="P70" s="59"/>
      <c r="Q70" s="59"/>
      <c r="R70" s="59"/>
    </row>
    <row r="71" spans="1:18" ht="15" customHeight="1" x14ac:dyDescent="0.25">
      <c r="A71" s="59"/>
      <c r="B71" s="59"/>
      <c r="C71" s="356" t="s">
        <v>270</v>
      </c>
      <c r="D71" s="347" t="e">
        <f>'Key Assumptions'!#REF!</f>
        <v>#REF!</v>
      </c>
      <c r="E71" s="347" t="e">
        <f>'Key Assumptions'!#REF!</f>
        <v>#REF!</v>
      </c>
      <c r="F71" s="347" t="e">
        <f>'Key Assumptions'!#REF!</f>
        <v>#REF!</v>
      </c>
      <c r="G71" s="347" t="e">
        <f>'Key Assumptions'!#REF!</f>
        <v>#REF!</v>
      </c>
      <c r="H71" s="347" t="e">
        <f>'Key Assumptions'!#REF!</f>
        <v>#REF!</v>
      </c>
      <c r="I71" s="347" t="e">
        <f>'Key Assumptions'!#REF!</f>
        <v>#REF!</v>
      </c>
      <c r="J71" s="347" t="e">
        <f>'Key Assumptions'!#REF!</f>
        <v>#REF!</v>
      </c>
      <c r="K71" s="347" t="e">
        <f>'Key Assumptions'!#REF!</f>
        <v>#REF!</v>
      </c>
      <c r="L71" s="347" t="e">
        <f>'Key Assumptions'!#REF!</f>
        <v>#REF!</v>
      </c>
      <c r="M71" s="347" t="e">
        <f>'Key Assumptions'!#REF!</f>
        <v>#REF!</v>
      </c>
      <c r="N71" s="347" t="e">
        <f>'Key Assumptions'!#REF!</f>
        <v>#REF!</v>
      </c>
      <c r="O71" s="59"/>
      <c r="P71" s="59"/>
      <c r="Q71" s="59"/>
      <c r="R71" s="59"/>
    </row>
    <row r="72" spans="1:18" ht="15" customHeight="1" x14ac:dyDescent="0.25">
      <c r="A72" s="59"/>
      <c r="B72" s="59"/>
      <c r="C72" s="356" t="s">
        <v>271</v>
      </c>
      <c r="D72" s="347" t="e">
        <f>'Key Assumptions'!#REF!</f>
        <v>#REF!</v>
      </c>
      <c r="E72" s="347" t="e">
        <f>'Key Assumptions'!#REF!</f>
        <v>#REF!</v>
      </c>
      <c r="F72" s="347" t="e">
        <f>'Key Assumptions'!#REF!</f>
        <v>#REF!</v>
      </c>
      <c r="G72" s="347" t="e">
        <f>'Key Assumptions'!#REF!</f>
        <v>#REF!</v>
      </c>
      <c r="H72" s="347" t="e">
        <f>'Key Assumptions'!#REF!</f>
        <v>#REF!</v>
      </c>
      <c r="I72" s="347" t="e">
        <f>'Key Assumptions'!#REF!</f>
        <v>#REF!</v>
      </c>
      <c r="J72" s="347" t="e">
        <f>'Key Assumptions'!#REF!</f>
        <v>#REF!</v>
      </c>
      <c r="K72" s="347" t="e">
        <f>'Key Assumptions'!#REF!</f>
        <v>#REF!</v>
      </c>
      <c r="L72" s="347" t="e">
        <f>'Key Assumptions'!#REF!</f>
        <v>#REF!</v>
      </c>
      <c r="M72" s="347" t="e">
        <f>'Key Assumptions'!#REF!</f>
        <v>#REF!</v>
      </c>
      <c r="N72" s="347" t="e">
        <f>'Key Assumptions'!#REF!</f>
        <v>#REF!</v>
      </c>
      <c r="O72" s="59"/>
      <c r="P72" s="59"/>
      <c r="Q72" s="59"/>
      <c r="R72" s="59"/>
    </row>
    <row r="73" spans="1:18" ht="15" customHeight="1" x14ac:dyDescent="0.25">
      <c r="A73" s="59"/>
      <c r="B73" s="59"/>
      <c r="C73" s="356" t="s">
        <v>272</v>
      </c>
      <c r="D73" s="347" t="e">
        <f>'Key Assumptions'!#REF!</f>
        <v>#REF!</v>
      </c>
      <c r="E73" s="347" t="e">
        <f>'Key Assumptions'!#REF!</f>
        <v>#REF!</v>
      </c>
      <c r="F73" s="347" t="e">
        <f>'Key Assumptions'!#REF!</f>
        <v>#REF!</v>
      </c>
      <c r="G73" s="347" t="e">
        <f>'Key Assumptions'!#REF!</f>
        <v>#REF!</v>
      </c>
      <c r="H73" s="347" t="e">
        <f>'Key Assumptions'!#REF!</f>
        <v>#REF!</v>
      </c>
      <c r="I73" s="347" t="e">
        <f>'Key Assumptions'!#REF!</f>
        <v>#REF!</v>
      </c>
      <c r="J73" s="347" t="e">
        <f>'Key Assumptions'!#REF!</f>
        <v>#REF!</v>
      </c>
      <c r="K73" s="347" t="e">
        <f>'Key Assumptions'!#REF!</f>
        <v>#REF!</v>
      </c>
      <c r="L73" s="347" t="e">
        <f>'Key Assumptions'!#REF!</f>
        <v>#REF!</v>
      </c>
      <c r="M73" s="347" t="e">
        <f>'Key Assumptions'!#REF!</f>
        <v>#REF!</v>
      </c>
      <c r="N73" s="347" t="e">
        <f>'Key Assumptions'!#REF!</f>
        <v>#REF!</v>
      </c>
      <c r="O73" s="59"/>
      <c r="P73" s="59"/>
      <c r="Q73" s="59"/>
      <c r="R73" s="59"/>
    </row>
    <row r="74" spans="1:18" ht="15" customHeight="1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1:18" ht="15" customHeight="1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</row>
    <row r="76" spans="1:18" ht="15" customHeight="1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</row>
    <row r="77" spans="1:18" ht="15" customHeight="1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1:18" ht="15" customHeight="1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ht="15" customHeight="1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ht="15" customHeight="1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5" customHeight="1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ht="15" customHeight="1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15" customHeight="1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 ht="15" customHeight="1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 ht="15" customHeight="1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ht="15" customHeight="1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18" ht="15" customHeight="1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 ht="15" customHeight="1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 ht="15" customHeight="1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 ht="15" customHeight="1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</sheetData>
  <conditionalFormatting sqref="D69:N73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8"/>
  <sheetViews>
    <sheetView showGridLines="0" workbookViewId="0"/>
  </sheetViews>
  <sheetFormatPr defaultColWidth="8.85546875" defaultRowHeight="15" customHeight="1" x14ac:dyDescent="0.25"/>
  <cols>
    <col min="1" max="1" width="4.42578125" style="78" customWidth="1"/>
    <col min="2" max="2" width="8.85546875" style="78" customWidth="1"/>
    <col min="3" max="3" width="49.85546875" style="78" customWidth="1"/>
    <col min="4" max="4" width="12" style="78" customWidth="1"/>
    <col min="5" max="5" width="9.42578125" style="78" customWidth="1"/>
    <col min="6" max="11" width="9.28515625" style="78" customWidth="1"/>
    <col min="12" max="256" width="8.85546875" style="78" customWidth="1"/>
  </cols>
  <sheetData>
    <row r="1" spans="1:21" ht="1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5" customHeight="1" x14ac:dyDescent="0.25">
      <c r="A2" s="59"/>
      <c r="B2" s="70"/>
      <c r="C2" s="79" t="s">
        <v>42</v>
      </c>
      <c r="D2" s="80">
        <v>2017</v>
      </c>
      <c r="E2" s="80">
        <v>2018</v>
      </c>
      <c r="F2" s="80">
        <v>2019</v>
      </c>
      <c r="G2" s="80">
        <v>2020</v>
      </c>
      <c r="H2" s="80">
        <v>2021</v>
      </c>
      <c r="I2" s="80">
        <v>2022</v>
      </c>
      <c r="J2" s="80">
        <v>2023</v>
      </c>
      <c r="K2" s="80">
        <v>2024</v>
      </c>
      <c r="L2" s="80">
        <v>2025</v>
      </c>
      <c r="M2" s="80">
        <v>2026</v>
      </c>
      <c r="N2" s="80">
        <v>2027</v>
      </c>
      <c r="O2" s="80">
        <v>2028</v>
      </c>
      <c r="P2" s="80">
        <v>2029</v>
      </c>
      <c r="Q2" s="80">
        <v>2030</v>
      </c>
      <c r="R2" s="80">
        <v>2031</v>
      </c>
      <c r="S2" s="80">
        <v>2032</v>
      </c>
      <c r="T2" s="80">
        <v>2033</v>
      </c>
      <c r="U2" s="80">
        <v>2034</v>
      </c>
    </row>
    <row r="3" spans="1:21" ht="15" customHeight="1" x14ac:dyDescent="0.25">
      <c r="A3" s="61"/>
      <c r="B3" s="81">
        <v>1</v>
      </c>
      <c r="C3" s="82" t="s">
        <v>43</v>
      </c>
      <c r="D3" s="83">
        <v>52</v>
      </c>
      <c r="E3" s="84">
        <v>58.1</v>
      </c>
      <c r="F3" s="84">
        <v>73</v>
      </c>
      <c r="G3" s="84">
        <v>76</v>
      </c>
      <c r="H3" s="84">
        <v>78</v>
      </c>
      <c r="I3" s="84">
        <v>81</v>
      </c>
      <c r="J3" s="84">
        <v>82</v>
      </c>
      <c r="K3" s="84">
        <v>83</v>
      </c>
      <c r="L3" s="84">
        <v>85</v>
      </c>
      <c r="M3" s="85">
        <v>85</v>
      </c>
      <c r="N3" s="85">
        <v>86</v>
      </c>
      <c r="O3" s="85">
        <v>88</v>
      </c>
      <c r="P3" s="85">
        <v>90.5</v>
      </c>
      <c r="Q3" s="85">
        <v>91</v>
      </c>
      <c r="R3" s="85">
        <v>92</v>
      </c>
      <c r="S3" s="85">
        <v>92.5</v>
      </c>
      <c r="T3" s="85">
        <v>93</v>
      </c>
      <c r="U3" s="85">
        <f>T3</f>
        <v>93</v>
      </c>
    </row>
    <row r="4" spans="1:21" ht="15" customHeight="1" x14ac:dyDescent="0.25">
      <c r="A4" s="61"/>
      <c r="B4" s="81">
        <v>2</v>
      </c>
      <c r="C4" s="86" t="s">
        <v>44</v>
      </c>
      <c r="D4" s="59"/>
      <c r="E4" s="87">
        <v>54.446666666666673</v>
      </c>
      <c r="F4" s="87">
        <v>51.661666666666669</v>
      </c>
      <c r="G4" s="87">
        <v>50.251666666666672</v>
      </c>
      <c r="H4" s="87">
        <v>49.634999999999998</v>
      </c>
      <c r="I4" s="87">
        <v>49.657499999999999</v>
      </c>
      <c r="J4" s="87">
        <v>50.265000000000001</v>
      </c>
      <c r="K4" s="87">
        <v>50.87</v>
      </c>
      <c r="L4" s="88">
        <v>51.47</v>
      </c>
      <c r="M4" s="89">
        <f t="shared" ref="M4:U4" si="0">L4*1.015</f>
        <v>52.242049999999992</v>
      </c>
      <c r="N4" s="90">
        <f t="shared" si="0"/>
        <v>53.025680749999985</v>
      </c>
      <c r="O4" s="90">
        <f t="shared" si="0"/>
        <v>53.821065961249978</v>
      </c>
      <c r="P4" s="90">
        <f t="shared" si="0"/>
        <v>54.628381950668725</v>
      </c>
      <c r="Q4" s="90">
        <f t="shared" si="0"/>
        <v>55.447807679928751</v>
      </c>
      <c r="R4" s="90">
        <f t="shared" si="0"/>
        <v>56.279524795127678</v>
      </c>
      <c r="S4" s="90">
        <f t="shared" si="0"/>
        <v>57.123717667054585</v>
      </c>
      <c r="T4" s="90">
        <f t="shared" si="0"/>
        <v>57.980573432060396</v>
      </c>
      <c r="U4" s="91">
        <f t="shared" si="0"/>
        <v>58.850282033541298</v>
      </c>
    </row>
    <row r="5" spans="1:21" ht="15" customHeight="1" x14ac:dyDescent="0.25">
      <c r="A5" s="61"/>
      <c r="B5" s="81">
        <v>3</v>
      </c>
      <c r="C5" s="86" t="s">
        <v>45</v>
      </c>
      <c r="D5" s="59"/>
      <c r="E5" s="87">
        <f t="shared" ref="E5:L5" si="1">(E3+E4)/2</f>
        <v>56.273333333333341</v>
      </c>
      <c r="F5" s="87">
        <f t="shared" si="1"/>
        <v>62.330833333333331</v>
      </c>
      <c r="G5" s="87">
        <f t="shared" si="1"/>
        <v>63.125833333333333</v>
      </c>
      <c r="H5" s="87">
        <f t="shared" si="1"/>
        <v>63.817499999999995</v>
      </c>
      <c r="I5" s="87">
        <f t="shared" si="1"/>
        <v>65.328749999999999</v>
      </c>
      <c r="J5" s="87">
        <f t="shared" si="1"/>
        <v>66.132499999999993</v>
      </c>
      <c r="K5" s="87">
        <f t="shared" si="1"/>
        <v>66.935000000000002</v>
      </c>
      <c r="L5" s="88">
        <f t="shared" si="1"/>
        <v>68.234999999999999</v>
      </c>
      <c r="M5" s="89">
        <f t="shared" ref="M5:U5" si="2">L5*1.015</f>
        <v>69.258524999999992</v>
      </c>
      <c r="N5" s="90">
        <f t="shared" si="2"/>
        <v>70.297402874999989</v>
      </c>
      <c r="O5" s="90">
        <f t="shared" si="2"/>
        <v>71.351863918124977</v>
      </c>
      <c r="P5" s="90">
        <f t="shared" si="2"/>
        <v>72.422141876896845</v>
      </c>
      <c r="Q5" s="90">
        <f t="shared" si="2"/>
        <v>73.508474005050289</v>
      </c>
      <c r="R5" s="90">
        <f t="shared" si="2"/>
        <v>74.611101115126033</v>
      </c>
      <c r="S5" s="90">
        <f t="shared" si="2"/>
        <v>75.730267631852911</v>
      </c>
      <c r="T5" s="90">
        <f t="shared" si="2"/>
        <v>76.8662216463307</v>
      </c>
      <c r="U5" s="91">
        <f t="shared" si="2"/>
        <v>78.019214971025647</v>
      </c>
    </row>
    <row r="6" spans="1:21" ht="15" customHeight="1" x14ac:dyDescent="0.25">
      <c r="A6" s="61"/>
      <c r="B6" s="81"/>
      <c r="C6" s="92"/>
      <c r="D6" s="59"/>
      <c r="E6" s="87"/>
      <c r="F6" s="87"/>
      <c r="G6" s="87"/>
      <c r="H6" s="87"/>
      <c r="I6" s="87"/>
      <c r="J6" s="59"/>
      <c r="K6" s="59"/>
      <c r="L6" s="93"/>
      <c r="M6" s="94"/>
      <c r="N6" s="95"/>
      <c r="O6" s="95"/>
      <c r="P6" s="95"/>
      <c r="Q6" s="95"/>
      <c r="R6" s="95"/>
      <c r="S6" s="95"/>
      <c r="T6" s="95"/>
      <c r="U6" s="95"/>
    </row>
    <row r="7" spans="1:21" ht="15.75" customHeight="1" x14ac:dyDescent="0.25">
      <c r="A7" s="59"/>
      <c r="B7" s="56"/>
      <c r="C7" s="96" t="s">
        <v>46</v>
      </c>
      <c r="D7" s="97"/>
      <c r="E7" s="87"/>
      <c r="F7" s="87"/>
      <c r="G7" s="87"/>
      <c r="H7" s="87"/>
      <c r="I7" s="87"/>
      <c r="J7" s="87"/>
      <c r="K7" s="87"/>
      <c r="L7" s="88"/>
      <c r="M7" s="98" t="s">
        <v>47</v>
      </c>
      <c r="N7" s="99"/>
      <c r="O7" s="99"/>
      <c r="P7" s="99"/>
      <c r="Q7" s="99"/>
      <c r="R7" s="87"/>
      <c r="S7" s="87"/>
      <c r="T7" s="87"/>
      <c r="U7" s="87"/>
    </row>
    <row r="8" spans="1:21" ht="15.6" customHeight="1" x14ac:dyDescent="0.25">
      <c r="A8" s="59"/>
      <c r="B8" s="59"/>
      <c r="C8" s="100" t="s">
        <v>48</v>
      </c>
      <c r="D8" s="101">
        <v>2</v>
      </c>
      <c r="E8" s="102"/>
      <c r="F8" s="87"/>
      <c r="G8" s="87"/>
      <c r="H8" s="87"/>
      <c r="I8" s="87"/>
      <c r="J8" s="87"/>
      <c r="K8" s="87"/>
      <c r="L8" s="87"/>
      <c r="M8" s="83"/>
      <c r="N8" s="83"/>
      <c r="O8" s="83"/>
      <c r="P8" s="83"/>
      <c r="Q8" s="83"/>
      <c r="R8" s="87"/>
      <c r="S8" s="87"/>
      <c r="T8" s="87"/>
      <c r="U8" s="87"/>
    </row>
    <row r="9" spans="1:21" ht="15" customHeight="1" x14ac:dyDescent="0.25">
      <c r="A9" s="59"/>
      <c r="B9" s="59"/>
      <c r="C9" s="103" t="s">
        <v>49</v>
      </c>
      <c r="D9" s="104" t="s">
        <v>50</v>
      </c>
      <c r="E9" s="102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ht="15" customHeight="1" x14ac:dyDescent="0.25">
      <c r="A10" s="59"/>
      <c r="B10" s="59"/>
      <c r="C10" s="103" t="s">
        <v>51</v>
      </c>
      <c r="D10" s="105">
        <v>1.5</v>
      </c>
      <c r="E10" s="102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ht="15" customHeight="1" x14ac:dyDescent="0.25">
      <c r="A11" s="59"/>
      <c r="B11" s="70"/>
      <c r="C11" s="106"/>
      <c r="D11" s="10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5" customHeight="1" x14ac:dyDescent="0.25">
      <c r="A12" s="61"/>
      <c r="B12" s="108" t="s">
        <v>52</v>
      </c>
      <c r="C12" s="86" t="s">
        <v>53</v>
      </c>
      <c r="D12" s="59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spans="1:21" ht="15" customHeight="1" x14ac:dyDescent="0.25">
      <c r="A13" s="61"/>
      <c r="B13" s="108" t="s">
        <v>54</v>
      </c>
      <c r="C13" s="86" t="s">
        <v>55</v>
      </c>
      <c r="D13" s="59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</row>
    <row r="14" spans="1:21" ht="15" customHeight="1" x14ac:dyDescent="0.25">
      <c r="A14" s="59"/>
      <c r="B14" s="56"/>
      <c r="C14" s="106"/>
      <c r="D14" s="59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</row>
    <row r="15" spans="1:21" ht="15" customHeight="1" x14ac:dyDescent="0.25">
      <c r="A15" s="59"/>
      <c r="B15" s="59"/>
      <c r="C15" s="79" t="s">
        <v>56</v>
      </c>
      <c r="D15" s="80">
        <v>2017</v>
      </c>
      <c r="E15" s="80">
        <v>2018</v>
      </c>
      <c r="F15" s="80">
        <v>2019</v>
      </c>
      <c r="G15" s="80">
        <v>2020</v>
      </c>
      <c r="H15" s="80">
        <v>2021</v>
      </c>
      <c r="I15" s="80">
        <v>2022</v>
      </c>
      <c r="J15" s="80">
        <v>2023</v>
      </c>
      <c r="K15" s="80">
        <v>2024</v>
      </c>
      <c r="L15" s="80">
        <v>2025</v>
      </c>
      <c r="M15" s="80">
        <v>2026</v>
      </c>
      <c r="N15" s="80">
        <v>2027</v>
      </c>
      <c r="O15" s="80">
        <v>2028</v>
      </c>
      <c r="P15" s="80">
        <v>2029</v>
      </c>
      <c r="Q15" s="80">
        <v>2030</v>
      </c>
      <c r="R15" s="80">
        <v>2031</v>
      </c>
      <c r="S15" s="80">
        <v>2032</v>
      </c>
      <c r="T15" s="80">
        <v>2033</v>
      </c>
      <c r="U15" s="80">
        <v>2034</v>
      </c>
    </row>
    <row r="16" spans="1:21" ht="15" customHeight="1" x14ac:dyDescent="0.25">
      <c r="A16" s="59"/>
      <c r="B16" s="59"/>
      <c r="C16" s="109" t="s">
        <v>57</v>
      </c>
      <c r="D16" s="110"/>
      <c r="E16" s="111">
        <f t="shared" ref="E16:U16" si="3">(E17/D17)-1</f>
        <v>4.7051282051282062E-2</v>
      </c>
      <c r="F16" s="111">
        <f t="shared" si="3"/>
        <v>-5.1150973429656021E-2</v>
      </c>
      <c r="G16" s="111">
        <f t="shared" si="3"/>
        <v>-2.7292963835209738E-2</v>
      </c>
      <c r="H16" s="111">
        <f t="shared" si="3"/>
        <v>-1.2271566448874172E-2</v>
      </c>
      <c r="I16" s="111">
        <f t="shared" si="3"/>
        <v>4.533091568450498E-4</v>
      </c>
      <c r="J16" s="111">
        <f t="shared" si="3"/>
        <v>1.2233801540552758E-2</v>
      </c>
      <c r="K16" s="111">
        <f t="shared" si="3"/>
        <v>1.2036208097085277E-2</v>
      </c>
      <c r="L16" s="111">
        <f t="shared" si="3"/>
        <v>1.1794770984863368E-2</v>
      </c>
      <c r="M16" s="111">
        <f t="shared" si="3"/>
        <v>1.4999999999999902E-2</v>
      </c>
      <c r="N16" s="111">
        <f t="shared" si="3"/>
        <v>1.4999999999999902E-2</v>
      </c>
      <c r="O16" s="111">
        <f t="shared" si="3"/>
        <v>1.4999999999999902E-2</v>
      </c>
      <c r="P16" s="111">
        <f t="shared" si="3"/>
        <v>1.4999999999999902E-2</v>
      </c>
      <c r="Q16" s="111">
        <f t="shared" si="3"/>
        <v>1.4999999999999902E-2</v>
      </c>
      <c r="R16" s="111">
        <f t="shared" si="3"/>
        <v>1.4999999999999902E-2</v>
      </c>
      <c r="S16" s="111">
        <f t="shared" si="3"/>
        <v>1.4999999999999902E-2</v>
      </c>
      <c r="T16" s="111">
        <f t="shared" si="3"/>
        <v>1.4999999999999902E-2</v>
      </c>
      <c r="U16" s="111">
        <f t="shared" si="3"/>
        <v>1.4999999999999902E-2</v>
      </c>
    </row>
    <row r="17" spans="1:21" ht="15" customHeight="1" x14ac:dyDescent="0.25">
      <c r="A17" s="59"/>
      <c r="B17" s="59"/>
      <c r="C17" s="112" t="s">
        <v>58</v>
      </c>
      <c r="D17" s="87">
        <f>D3</f>
        <v>52</v>
      </c>
      <c r="E17" s="113">
        <f t="shared" ref="E17:U17" si="4">IF($D$8=1,E3,IF($D$8=2,E4,IF($D$8+3,E5,E5)))</f>
        <v>54.446666666666673</v>
      </c>
      <c r="F17" s="113">
        <f t="shared" si="4"/>
        <v>51.661666666666669</v>
      </c>
      <c r="G17" s="113">
        <f t="shared" si="4"/>
        <v>50.251666666666672</v>
      </c>
      <c r="H17" s="113">
        <f t="shared" si="4"/>
        <v>49.634999999999998</v>
      </c>
      <c r="I17" s="113">
        <f t="shared" si="4"/>
        <v>49.657499999999999</v>
      </c>
      <c r="J17" s="113">
        <f t="shared" si="4"/>
        <v>50.265000000000001</v>
      </c>
      <c r="K17" s="113">
        <f t="shared" si="4"/>
        <v>50.87</v>
      </c>
      <c r="L17" s="113">
        <f t="shared" si="4"/>
        <v>51.47</v>
      </c>
      <c r="M17" s="113">
        <f t="shared" si="4"/>
        <v>52.242049999999992</v>
      </c>
      <c r="N17" s="113">
        <f t="shared" si="4"/>
        <v>53.025680749999985</v>
      </c>
      <c r="O17" s="113">
        <f t="shared" si="4"/>
        <v>53.821065961249978</v>
      </c>
      <c r="P17" s="113">
        <f t="shared" si="4"/>
        <v>54.628381950668725</v>
      </c>
      <c r="Q17" s="113">
        <f t="shared" si="4"/>
        <v>55.447807679928751</v>
      </c>
      <c r="R17" s="113">
        <f t="shared" si="4"/>
        <v>56.279524795127678</v>
      </c>
      <c r="S17" s="113">
        <f t="shared" si="4"/>
        <v>57.123717667054585</v>
      </c>
      <c r="T17" s="113">
        <f t="shared" si="4"/>
        <v>57.980573432060396</v>
      </c>
      <c r="U17" s="113">
        <f t="shared" si="4"/>
        <v>58.850282033541298</v>
      </c>
    </row>
    <row r="18" spans="1:21" ht="15" customHeight="1" x14ac:dyDescent="0.25">
      <c r="A18" s="59"/>
      <c r="B18" s="59"/>
      <c r="C18" s="114"/>
      <c r="D18" s="87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</row>
    <row r="19" spans="1:21" ht="15" customHeight="1" x14ac:dyDescent="0.25">
      <c r="A19" s="59"/>
      <c r="B19" s="59"/>
      <c r="C19" s="114"/>
      <c r="D19" s="80">
        <v>2017</v>
      </c>
      <c r="E19" s="80">
        <v>2018</v>
      </c>
      <c r="F19" s="80">
        <v>2019</v>
      </c>
      <c r="G19" s="80">
        <v>2020</v>
      </c>
      <c r="H19" s="80">
        <v>2021</v>
      </c>
      <c r="I19" s="80">
        <v>2022</v>
      </c>
      <c r="J19" s="80">
        <v>2023</v>
      </c>
      <c r="K19" s="80">
        <v>2024</v>
      </c>
      <c r="L19" s="80">
        <v>2025</v>
      </c>
      <c r="M19" s="80">
        <v>2026</v>
      </c>
      <c r="N19" s="80">
        <v>2027</v>
      </c>
      <c r="O19" s="80">
        <v>2028</v>
      </c>
      <c r="P19" s="80">
        <v>2029</v>
      </c>
      <c r="Q19" s="80">
        <v>2030</v>
      </c>
      <c r="R19" s="80">
        <v>2031</v>
      </c>
      <c r="S19" s="80">
        <v>2032</v>
      </c>
      <c r="T19" s="80">
        <v>2033</v>
      </c>
      <c r="U19" s="80">
        <v>2034</v>
      </c>
    </row>
    <row r="20" spans="1:21" ht="15" customHeight="1" x14ac:dyDescent="0.25">
      <c r="A20" s="59"/>
      <c r="B20" s="59"/>
      <c r="C20" s="115" t="s">
        <v>59</v>
      </c>
      <c r="D20" s="110"/>
      <c r="E20" s="84">
        <v>57.446666666666673</v>
      </c>
      <c r="F20" s="84">
        <v>54.661666666666669</v>
      </c>
      <c r="G20" s="84">
        <v>53.251666666666672</v>
      </c>
      <c r="H20" s="84">
        <v>52.634999999999998</v>
      </c>
      <c r="I20" s="84">
        <v>52.657499999999999</v>
      </c>
      <c r="J20" s="84">
        <v>53.265000000000001</v>
      </c>
      <c r="K20" s="84">
        <v>53.87</v>
      </c>
      <c r="L20" s="84">
        <v>54.47</v>
      </c>
      <c r="M20" s="84">
        <v>55.242049999999992</v>
      </c>
      <c r="N20" s="84">
        <v>56.025680749999992</v>
      </c>
      <c r="O20" s="84">
        <v>56.821065961249978</v>
      </c>
      <c r="P20" s="84">
        <v>57.628381950668732</v>
      </c>
      <c r="Q20" s="84">
        <v>58.447807679928751</v>
      </c>
      <c r="R20" s="84">
        <v>59.279524795127678</v>
      </c>
      <c r="S20" s="84">
        <v>60.123717667054578</v>
      </c>
      <c r="T20" s="84">
        <v>60.980573432060403</v>
      </c>
      <c r="U20" s="84">
        <v>61.850282033541298</v>
      </c>
    </row>
    <row r="21" spans="1:21" ht="15" customHeight="1" x14ac:dyDescent="0.25">
      <c r="A21" s="59"/>
      <c r="B21" s="59"/>
      <c r="C21" s="115" t="s">
        <v>60</v>
      </c>
      <c r="D21" s="106"/>
      <c r="E21" s="87">
        <f t="shared" ref="E21:U21" si="5">E20/42</f>
        <v>1.367777777777778</v>
      </c>
      <c r="F21" s="87">
        <f t="shared" si="5"/>
        <v>1.3014682539682541</v>
      </c>
      <c r="G21" s="87">
        <f t="shared" si="5"/>
        <v>1.2678968253968255</v>
      </c>
      <c r="H21" s="87">
        <f t="shared" si="5"/>
        <v>1.2532142857142856</v>
      </c>
      <c r="I21" s="87">
        <f t="shared" si="5"/>
        <v>1.2537499999999999</v>
      </c>
      <c r="J21" s="87">
        <f t="shared" si="5"/>
        <v>1.2682142857142857</v>
      </c>
      <c r="K21" s="87">
        <f t="shared" si="5"/>
        <v>1.2826190476190475</v>
      </c>
      <c r="L21" s="87">
        <f t="shared" si="5"/>
        <v>1.2969047619047618</v>
      </c>
      <c r="M21" s="87">
        <f t="shared" si="5"/>
        <v>1.3152869047619045</v>
      </c>
      <c r="N21" s="87">
        <f t="shared" si="5"/>
        <v>1.3339447797619046</v>
      </c>
      <c r="O21" s="87">
        <f t="shared" si="5"/>
        <v>1.3528825228869041</v>
      </c>
      <c r="P21" s="87">
        <f t="shared" si="5"/>
        <v>1.3721043321587794</v>
      </c>
      <c r="Q21" s="87">
        <f t="shared" si="5"/>
        <v>1.3916144685697323</v>
      </c>
      <c r="R21" s="87">
        <f t="shared" si="5"/>
        <v>1.4114172570268495</v>
      </c>
      <c r="S21" s="87">
        <f t="shared" si="5"/>
        <v>1.4315170873108234</v>
      </c>
      <c r="T21" s="87">
        <f t="shared" si="5"/>
        <v>1.4519184150490572</v>
      </c>
      <c r="U21" s="87">
        <f t="shared" si="5"/>
        <v>1.4726257627033643</v>
      </c>
    </row>
    <row r="22" spans="1:21" ht="15" customHeight="1" x14ac:dyDescent="0.25">
      <c r="A22" s="59"/>
      <c r="B22" s="59"/>
      <c r="C22" s="106"/>
      <c r="D22" s="10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spans="1:21" ht="15" customHeight="1" x14ac:dyDescent="0.25">
      <c r="A23" s="59"/>
      <c r="B23" s="59"/>
      <c r="C23" s="115" t="s">
        <v>61</v>
      </c>
      <c r="D23" s="59"/>
      <c r="E23" s="87">
        <f t="shared" ref="E23:U23" si="6">(E17/42)+$D$10</f>
        <v>2.7963492063492064</v>
      </c>
      <c r="F23" s="87">
        <f t="shared" si="6"/>
        <v>2.7300396825396827</v>
      </c>
      <c r="G23" s="87">
        <f t="shared" si="6"/>
        <v>2.6964682539682538</v>
      </c>
      <c r="H23" s="87">
        <f t="shared" si="6"/>
        <v>2.6817857142857142</v>
      </c>
      <c r="I23" s="87">
        <f t="shared" si="6"/>
        <v>2.6823214285714285</v>
      </c>
      <c r="J23" s="87">
        <f t="shared" si="6"/>
        <v>2.6967857142857143</v>
      </c>
      <c r="K23" s="87">
        <f t="shared" si="6"/>
        <v>2.7111904761904762</v>
      </c>
      <c r="L23" s="87">
        <f t="shared" si="6"/>
        <v>2.7254761904761904</v>
      </c>
      <c r="M23" s="87">
        <f t="shared" si="6"/>
        <v>2.7438583333333328</v>
      </c>
      <c r="N23" s="87">
        <f t="shared" si="6"/>
        <v>2.762516208333333</v>
      </c>
      <c r="O23" s="87">
        <f t="shared" si="6"/>
        <v>2.7814539514583325</v>
      </c>
      <c r="P23" s="87">
        <f t="shared" si="6"/>
        <v>2.8006757607302077</v>
      </c>
      <c r="Q23" s="87">
        <f t="shared" si="6"/>
        <v>2.8201858971411609</v>
      </c>
      <c r="R23" s="87">
        <f t="shared" si="6"/>
        <v>2.8399886855982781</v>
      </c>
      <c r="S23" s="87">
        <f t="shared" si="6"/>
        <v>2.8600885158822518</v>
      </c>
      <c r="T23" s="87">
        <f t="shared" si="6"/>
        <v>2.8804898436204853</v>
      </c>
      <c r="U23" s="87">
        <f t="shared" si="6"/>
        <v>2.9011971912747927</v>
      </c>
    </row>
    <row r="24" spans="1:21" ht="15" customHeight="1" x14ac:dyDescent="0.25">
      <c r="A24" s="59"/>
      <c r="B24" s="59"/>
      <c r="C24" s="106"/>
      <c r="D24" s="59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spans="1:21" ht="15" customHeight="1" x14ac:dyDescent="0.25">
      <c r="A25" s="59"/>
      <c r="B25" s="59"/>
      <c r="C25" s="79" t="s">
        <v>62</v>
      </c>
      <c r="D25" s="80">
        <v>2017</v>
      </c>
      <c r="E25" s="80">
        <v>2018</v>
      </c>
      <c r="F25" s="80">
        <v>2019</v>
      </c>
      <c r="G25" s="80">
        <v>2020</v>
      </c>
      <c r="H25" s="80">
        <v>2021</v>
      </c>
      <c r="I25" s="80">
        <v>2022</v>
      </c>
      <c r="J25" s="80">
        <v>2023</v>
      </c>
      <c r="K25" s="80">
        <v>2024</v>
      </c>
      <c r="L25" s="80">
        <v>2025</v>
      </c>
      <c r="M25" s="80">
        <v>2026</v>
      </c>
      <c r="N25" s="80">
        <v>2027</v>
      </c>
      <c r="O25" s="80">
        <v>2028</v>
      </c>
      <c r="P25" s="80">
        <v>2029</v>
      </c>
      <c r="Q25" s="80">
        <v>2030</v>
      </c>
      <c r="R25" s="80">
        <v>2031</v>
      </c>
      <c r="S25" s="80">
        <v>2032</v>
      </c>
      <c r="T25" s="80">
        <v>2033</v>
      </c>
      <c r="U25" s="80">
        <v>2034</v>
      </c>
    </row>
    <row r="26" spans="1:21" ht="15" customHeight="1" x14ac:dyDescent="0.25">
      <c r="A26" s="59"/>
      <c r="B26" s="59"/>
      <c r="C26" s="116" t="s">
        <v>63</v>
      </c>
      <c r="D26" s="83">
        <v>2.7538243451463789</v>
      </c>
      <c r="E26" s="83">
        <f t="shared" ref="E26:U26" si="7">D26+D26*E16</f>
        <v>2.8833953111295481</v>
      </c>
      <c r="F26" s="83">
        <f t="shared" si="7"/>
        <v>2.7359068341827659</v>
      </c>
      <c r="G26" s="83">
        <f t="shared" si="7"/>
        <v>2.6612358279009127</v>
      </c>
      <c r="H26" s="83">
        <f t="shared" si="7"/>
        <v>2.628578295602702</v>
      </c>
      <c r="I26" s="83">
        <f t="shared" si="7"/>
        <v>2.629769854213583</v>
      </c>
      <c r="J26" s="83">
        <f t="shared" si="7"/>
        <v>2.6619419367073602</v>
      </c>
      <c r="K26" s="83">
        <f t="shared" si="7"/>
        <v>2.6939816237999281</v>
      </c>
      <c r="L26" s="83">
        <f t="shared" si="7"/>
        <v>2.7257565200900786</v>
      </c>
      <c r="M26" s="83">
        <f t="shared" si="7"/>
        <v>2.7666428678914294</v>
      </c>
      <c r="N26" s="83">
        <f t="shared" si="7"/>
        <v>2.8081425109098008</v>
      </c>
      <c r="O26" s="83">
        <f t="shared" si="7"/>
        <v>2.8502646485734475</v>
      </c>
      <c r="P26" s="83">
        <f t="shared" si="7"/>
        <v>2.8930186183020488</v>
      </c>
      <c r="Q26" s="83">
        <f t="shared" si="7"/>
        <v>2.9364138975765792</v>
      </c>
      <c r="R26" s="83">
        <f t="shared" si="7"/>
        <v>2.9804601060402276</v>
      </c>
      <c r="S26" s="83">
        <f t="shared" si="7"/>
        <v>3.0251670076308308</v>
      </c>
      <c r="T26" s="83">
        <f t="shared" si="7"/>
        <v>3.0705445127452928</v>
      </c>
      <c r="U26" s="83">
        <f t="shared" si="7"/>
        <v>3.1166026804364719</v>
      </c>
    </row>
    <row r="27" spans="1:21" ht="15" customHeight="1" x14ac:dyDescent="0.25">
      <c r="A27" s="59"/>
      <c r="B27" s="59"/>
      <c r="C27" s="115" t="s">
        <v>64</v>
      </c>
      <c r="D27" s="87">
        <v>2.7538243451463789</v>
      </c>
      <c r="E27" s="87">
        <f t="shared" ref="E27:U27" si="8">D27+D27*E16</f>
        <v>2.8833953111295481</v>
      </c>
      <c r="F27" s="87">
        <f t="shared" si="8"/>
        <v>2.7359068341827659</v>
      </c>
      <c r="G27" s="87">
        <f t="shared" si="8"/>
        <v>2.6612358279009127</v>
      </c>
      <c r="H27" s="87">
        <f t="shared" si="8"/>
        <v>2.628578295602702</v>
      </c>
      <c r="I27" s="87">
        <f t="shared" si="8"/>
        <v>2.629769854213583</v>
      </c>
      <c r="J27" s="87">
        <f t="shared" si="8"/>
        <v>2.6619419367073602</v>
      </c>
      <c r="K27" s="87">
        <f t="shared" si="8"/>
        <v>2.6939816237999281</v>
      </c>
      <c r="L27" s="87">
        <f t="shared" si="8"/>
        <v>2.7257565200900786</v>
      </c>
      <c r="M27" s="87">
        <f t="shared" si="8"/>
        <v>2.7666428678914294</v>
      </c>
      <c r="N27" s="87">
        <f t="shared" si="8"/>
        <v>2.8081425109098008</v>
      </c>
      <c r="O27" s="87">
        <f t="shared" si="8"/>
        <v>2.8502646485734475</v>
      </c>
      <c r="P27" s="87">
        <f t="shared" si="8"/>
        <v>2.8930186183020488</v>
      </c>
      <c r="Q27" s="87">
        <f t="shared" si="8"/>
        <v>2.9364138975765792</v>
      </c>
      <c r="R27" s="87">
        <f t="shared" si="8"/>
        <v>2.9804601060402276</v>
      </c>
      <c r="S27" s="87">
        <f t="shared" si="8"/>
        <v>3.0251670076308308</v>
      </c>
      <c r="T27" s="87">
        <f t="shared" si="8"/>
        <v>3.0705445127452928</v>
      </c>
      <c r="U27" s="87">
        <f t="shared" si="8"/>
        <v>3.1166026804364719</v>
      </c>
    </row>
    <row r="28" spans="1:21" ht="15" customHeight="1" x14ac:dyDescent="0.25">
      <c r="A28" s="59"/>
      <c r="B28" s="59"/>
      <c r="C28" s="79" t="s">
        <v>65</v>
      </c>
      <c r="D28" s="99">
        <v>2.844943533037251</v>
      </c>
      <c r="E28" s="99">
        <f t="shared" ref="E28:U28" si="9">D28+D28*E16</f>
        <v>2.9788017736301575</v>
      </c>
      <c r="F28" s="99">
        <f t="shared" si="9"/>
        <v>2.8264331632549893</v>
      </c>
      <c r="G28" s="99">
        <f t="shared" si="9"/>
        <v>2.7492914251476335</v>
      </c>
      <c r="H28" s="99">
        <f t="shared" si="9"/>
        <v>2.7155533127366143</v>
      </c>
      <c r="I28" s="99">
        <f t="shared" si="9"/>
        <v>2.7167842979191787</v>
      </c>
      <c r="J28" s="99">
        <f t="shared" si="9"/>
        <v>2.7500208978484117</v>
      </c>
      <c r="K28" s="99">
        <f t="shared" si="9"/>
        <v>2.7831207216462484</v>
      </c>
      <c r="L28" s="99">
        <f t="shared" si="9"/>
        <v>2.8159469931812935</v>
      </c>
      <c r="M28" s="99">
        <f t="shared" si="9"/>
        <v>2.8581861980790126</v>
      </c>
      <c r="N28" s="99">
        <f t="shared" si="9"/>
        <v>2.9010589910501974</v>
      </c>
      <c r="O28" s="99">
        <f t="shared" si="9"/>
        <v>2.9445748759159502</v>
      </c>
      <c r="P28" s="99">
        <f t="shared" si="9"/>
        <v>2.9887434990546891</v>
      </c>
      <c r="Q28" s="99">
        <f t="shared" si="9"/>
        <v>3.0335746515405093</v>
      </c>
      <c r="R28" s="99">
        <f t="shared" si="9"/>
        <v>3.0790782713136164</v>
      </c>
      <c r="S28" s="99">
        <f t="shared" si="9"/>
        <v>3.1252644453833205</v>
      </c>
      <c r="T28" s="99">
        <f t="shared" si="9"/>
        <v>3.1721434120640701</v>
      </c>
      <c r="U28" s="99">
        <f t="shared" si="9"/>
        <v>3.219725563245031</v>
      </c>
    </row>
    <row r="29" spans="1:21" ht="15" customHeight="1" x14ac:dyDescent="0.25">
      <c r="A29" s="59"/>
      <c r="B29" s="59"/>
      <c r="C29" s="116" t="s">
        <v>66</v>
      </c>
      <c r="D29" s="83">
        <f t="shared" ref="D29:U29" si="10">AVERAGE(D26:D28)</f>
        <v>2.7841974077766696</v>
      </c>
      <c r="E29" s="83">
        <f t="shared" si="10"/>
        <v>2.9151974652964179</v>
      </c>
      <c r="F29" s="83">
        <f t="shared" si="10"/>
        <v>2.7660822772068401</v>
      </c>
      <c r="G29" s="83">
        <f t="shared" si="10"/>
        <v>2.6905876936498196</v>
      </c>
      <c r="H29" s="83">
        <f t="shared" si="10"/>
        <v>2.6575699679806726</v>
      </c>
      <c r="I29" s="83">
        <f t="shared" si="10"/>
        <v>2.6587746687821148</v>
      </c>
      <c r="J29" s="83">
        <f t="shared" si="10"/>
        <v>2.6913015904210442</v>
      </c>
      <c r="K29" s="83">
        <f t="shared" si="10"/>
        <v>2.7236946564153683</v>
      </c>
      <c r="L29" s="83">
        <f t="shared" si="10"/>
        <v>2.7558200111204836</v>
      </c>
      <c r="M29" s="83">
        <f t="shared" si="10"/>
        <v>2.7971573112872909</v>
      </c>
      <c r="N29" s="83">
        <f t="shared" si="10"/>
        <v>2.8391146709565995</v>
      </c>
      <c r="O29" s="83">
        <f t="shared" si="10"/>
        <v>2.8817013910209486</v>
      </c>
      <c r="P29" s="83">
        <f t="shared" si="10"/>
        <v>2.9249269118862622</v>
      </c>
      <c r="Q29" s="83">
        <f t="shared" si="10"/>
        <v>2.9688008155645562</v>
      </c>
      <c r="R29" s="83">
        <f t="shared" si="10"/>
        <v>3.013332827798024</v>
      </c>
      <c r="S29" s="83">
        <f t="shared" si="10"/>
        <v>3.0585328202149942</v>
      </c>
      <c r="T29" s="83">
        <f t="shared" si="10"/>
        <v>3.104410812518219</v>
      </c>
      <c r="U29" s="83">
        <f t="shared" si="10"/>
        <v>3.1509769747059919</v>
      </c>
    </row>
    <row r="30" spans="1:21" ht="15" customHeight="1" x14ac:dyDescent="0.25">
      <c r="A30" s="59"/>
      <c r="B30" s="59"/>
      <c r="C30" s="10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1:21" ht="15" customHeight="1" x14ac:dyDescent="0.25">
      <c r="A31" s="59"/>
      <c r="B31" s="59"/>
      <c r="C31" s="79" t="s">
        <v>67</v>
      </c>
      <c r="D31" s="80">
        <v>2017</v>
      </c>
      <c r="E31" s="80">
        <v>2018</v>
      </c>
      <c r="F31" s="80">
        <v>2019</v>
      </c>
      <c r="G31" s="80">
        <v>2020</v>
      </c>
      <c r="H31" s="80">
        <v>2021</v>
      </c>
      <c r="I31" s="80">
        <v>2022</v>
      </c>
      <c r="J31" s="80">
        <v>2023</v>
      </c>
      <c r="K31" s="80">
        <v>2024</v>
      </c>
      <c r="L31" s="80">
        <v>2025</v>
      </c>
      <c r="M31" s="80">
        <v>2026</v>
      </c>
      <c r="N31" s="80">
        <v>2027</v>
      </c>
      <c r="O31" s="80">
        <v>2028</v>
      </c>
      <c r="P31" s="80">
        <v>2029</v>
      </c>
      <c r="Q31" s="80">
        <v>2030</v>
      </c>
      <c r="R31" s="80">
        <v>2031</v>
      </c>
      <c r="S31" s="80">
        <v>2032</v>
      </c>
      <c r="T31" s="80">
        <v>2033</v>
      </c>
      <c r="U31" s="80">
        <v>2034</v>
      </c>
    </row>
    <row r="32" spans="1:21" ht="15" customHeight="1" x14ac:dyDescent="0.25">
      <c r="A32" s="59"/>
      <c r="B32" s="59"/>
      <c r="C32" s="116" t="s">
        <v>68</v>
      </c>
      <c r="D32" s="83">
        <v>1.35</v>
      </c>
      <c r="E32" s="83">
        <f t="shared" ref="E32:U32" si="11">D32+D32*E16</f>
        <v>1.4135192307692308</v>
      </c>
      <c r="F32" s="83">
        <f t="shared" si="11"/>
        <v>1.341216346153846</v>
      </c>
      <c r="G32" s="83">
        <f t="shared" si="11"/>
        <v>1.3046105769230769</v>
      </c>
      <c r="H32" s="83">
        <f t="shared" si="11"/>
        <v>1.2886009615384613</v>
      </c>
      <c r="I32" s="83">
        <f t="shared" si="11"/>
        <v>1.289185096153846</v>
      </c>
      <c r="J32" s="83">
        <f t="shared" si="11"/>
        <v>1.3049567307692307</v>
      </c>
      <c r="K32" s="83">
        <f t="shared" si="11"/>
        <v>1.3206634615384611</v>
      </c>
      <c r="L32" s="83">
        <f t="shared" si="11"/>
        <v>1.3362403846153843</v>
      </c>
      <c r="M32" s="83">
        <f t="shared" si="11"/>
        <v>1.3562839903846149</v>
      </c>
      <c r="N32" s="83">
        <f t="shared" si="11"/>
        <v>1.3766282502403839</v>
      </c>
      <c r="O32" s="83">
        <f t="shared" si="11"/>
        <v>1.3972776739939896</v>
      </c>
      <c r="P32" s="83">
        <f t="shared" si="11"/>
        <v>1.4182368391038993</v>
      </c>
      <c r="Q32" s="83">
        <f t="shared" si="11"/>
        <v>1.4395103916904577</v>
      </c>
      <c r="R32" s="83">
        <f t="shared" si="11"/>
        <v>1.4611030475658144</v>
      </c>
      <c r="S32" s="83">
        <f t="shared" si="11"/>
        <v>1.4830195932793016</v>
      </c>
      <c r="T32" s="83">
        <f t="shared" si="11"/>
        <v>1.5052648871784908</v>
      </c>
      <c r="U32" s="83">
        <f t="shared" si="11"/>
        <v>1.5278438604861679</v>
      </c>
    </row>
    <row r="33" spans="1:21" ht="15" customHeight="1" x14ac:dyDescent="0.25">
      <c r="A33" s="59"/>
      <c r="B33" s="59"/>
      <c r="C33" s="115" t="s">
        <v>69</v>
      </c>
      <c r="D33" s="59"/>
      <c r="E33" s="87">
        <v>423.0869090909091</v>
      </c>
      <c r="F33" s="87">
        <f t="shared" ref="F33:U33" si="12">E33+E33*F16</f>
        <v>401.44560184556474</v>
      </c>
      <c r="G33" s="87">
        <f t="shared" si="12"/>
        <v>390.48896155258973</v>
      </c>
      <c r="H33" s="87">
        <f t="shared" si="12"/>
        <v>385.69705031334524</v>
      </c>
      <c r="I33" s="87">
        <f t="shared" si="12"/>
        <v>385.87189031802041</v>
      </c>
      <c r="J33" s="87">
        <f t="shared" si="12"/>
        <v>390.59257044424902</v>
      </c>
      <c r="K33" s="87">
        <f t="shared" si="12"/>
        <v>395.29382390329147</v>
      </c>
      <c r="L33" s="87">
        <f t="shared" si="12"/>
        <v>399.9562240279617</v>
      </c>
      <c r="M33" s="87">
        <f t="shared" si="12"/>
        <v>405.9555673883811</v>
      </c>
      <c r="N33" s="87">
        <f t="shared" si="12"/>
        <v>412.04490089920677</v>
      </c>
      <c r="O33" s="87">
        <f t="shared" si="12"/>
        <v>418.22557441269481</v>
      </c>
      <c r="P33" s="87">
        <f t="shared" si="12"/>
        <v>424.49895802888517</v>
      </c>
      <c r="Q33" s="87">
        <f t="shared" si="12"/>
        <v>430.86644239931843</v>
      </c>
      <c r="R33" s="87">
        <f t="shared" si="12"/>
        <v>437.32943903530816</v>
      </c>
      <c r="S33" s="87">
        <f t="shared" si="12"/>
        <v>443.88938062083776</v>
      </c>
      <c r="T33" s="87">
        <f t="shared" si="12"/>
        <v>450.5477213301503</v>
      </c>
      <c r="U33" s="87">
        <f t="shared" si="12"/>
        <v>457.30593715010252</v>
      </c>
    </row>
    <row r="34" spans="1:21" ht="15" customHeight="1" x14ac:dyDescent="0.25">
      <c r="A34" s="59"/>
      <c r="B34" s="59"/>
      <c r="C34" s="115" t="s">
        <v>70</v>
      </c>
      <c r="D34" s="59"/>
      <c r="E34" s="87">
        <f t="shared" ref="E34:U34" si="13">(E33*0.66/1000*3.785)</f>
        <v>1.0569134076000002</v>
      </c>
      <c r="F34" s="87">
        <f t="shared" si="13"/>
        <v>1.0028512579704052</v>
      </c>
      <c r="G34" s="87">
        <f t="shared" si="13"/>
        <v>0.97548047485452449</v>
      </c>
      <c r="H34" s="87">
        <f t="shared" si="13"/>
        <v>0.96350980138776776</v>
      </c>
      <c r="I34" s="87">
        <f t="shared" si="13"/>
        <v>0.96394656920344679</v>
      </c>
      <c r="J34" s="87">
        <f t="shared" si="13"/>
        <v>0.97573930022677857</v>
      </c>
      <c r="K34" s="87">
        <f t="shared" si="13"/>
        <v>0.9874835014928125</v>
      </c>
      <c r="L34" s="87">
        <f t="shared" si="13"/>
        <v>0.99913064324425116</v>
      </c>
      <c r="M34" s="87">
        <f t="shared" si="13"/>
        <v>1.0141176028929151</v>
      </c>
      <c r="N34" s="87">
        <f t="shared" si="13"/>
        <v>1.0293293669363086</v>
      </c>
      <c r="O34" s="87">
        <f t="shared" si="13"/>
        <v>1.044769307440353</v>
      </c>
      <c r="P34" s="87">
        <f t="shared" si="13"/>
        <v>1.0604408470519582</v>
      </c>
      <c r="Q34" s="87">
        <f t="shared" si="13"/>
        <v>1.0763474597577376</v>
      </c>
      <c r="R34" s="87">
        <f t="shared" si="13"/>
        <v>1.0924926716541032</v>
      </c>
      <c r="S34" s="87">
        <f t="shared" si="13"/>
        <v>1.1088800617289147</v>
      </c>
      <c r="T34" s="87">
        <f t="shared" si="13"/>
        <v>1.1255132626548487</v>
      </c>
      <c r="U34" s="87">
        <f t="shared" si="13"/>
        <v>1.142395961594671</v>
      </c>
    </row>
    <row r="35" spans="1:21" ht="15" customHeight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pans="1:21" ht="15.75" customHeight="1" x14ac:dyDescent="0.25">
      <c r="A36" s="59"/>
      <c r="B36" s="59"/>
      <c r="C36" s="117"/>
      <c r="D36" s="118">
        <v>2017</v>
      </c>
      <c r="E36" s="118">
        <v>2018</v>
      </c>
      <c r="F36" s="118">
        <v>2019</v>
      </c>
      <c r="G36" s="118">
        <v>2020</v>
      </c>
      <c r="H36" s="118">
        <v>2021</v>
      </c>
      <c r="I36" s="118">
        <v>2022</v>
      </c>
      <c r="J36" s="118">
        <v>2023</v>
      </c>
      <c r="K36" s="118">
        <v>2024</v>
      </c>
      <c r="L36" s="118">
        <v>2025</v>
      </c>
      <c r="M36" s="118">
        <v>2026</v>
      </c>
      <c r="N36" s="118">
        <v>2027</v>
      </c>
      <c r="O36" s="118">
        <v>2028</v>
      </c>
      <c r="P36" s="118">
        <v>2029</v>
      </c>
      <c r="Q36" s="118">
        <v>2030</v>
      </c>
      <c r="R36" s="118">
        <v>2031</v>
      </c>
      <c r="S36" s="118">
        <v>2032</v>
      </c>
      <c r="T36" s="118">
        <v>2033</v>
      </c>
      <c r="U36" s="118">
        <v>2034</v>
      </c>
    </row>
    <row r="37" spans="1:21" ht="15.75" customHeight="1" x14ac:dyDescent="0.25">
      <c r="A37" s="59"/>
      <c r="B37" s="65"/>
      <c r="C37" s="119" t="s">
        <v>71</v>
      </c>
      <c r="D37" s="120"/>
      <c r="E37" s="121">
        <f>IF($D$9="A",E23,E29)</f>
        <v>2.9151974652964179</v>
      </c>
      <c r="F37" s="121">
        <f t="shared" ref="F37:U37" si="14">IF($D$9="a",F23,F29)</f>
        <v>2.7660822772068401</v>
      </c>
      <c r="G37" s="121">
        <f t="shared" si="14"/>
        <v>2.6905876936498196</v>
      </c>
      <c r="H37" s="121">
        <f t="shared" si="14"/>
        <v>2.6575699679806726</v>
      </c>
      <c r="I37" s="121">
        <f t="shared" si="14"/>
        <v>2.6587746687821148</v>
      </c>
      <c r="J37" s="121">
        <f t="shared" si="14"/>
        <v>2.6913015904210442</v>
      </c>
      <c r="K37" s="121">
        <f t="shared" si="14"/>
        <v>2.7236946564153683</v>
      </c>
      <c r="L37" s="121">
        <f t="shared" si="14"/>
        <v>2.7558200111204836</v>
      </c>
      <c r="M37" s="121">
        <f t="shared" si="14"/>
        <v>2.7971573112872909</v>
      </c>
      <c r="N37" s="121">
        <f t="shared" si="14"/>
        <v>2.8391146709565995</v>
      </c>
      <c r="O37" s="121">
        <f t="shared" si="14"/>
        <v>2.8817013910209486</v>
      </c>
      <c r="P37" s="121">
        <f t="shared" si="14"/>
        <v>2.9249269118862622</v>
      </c>
      <c r="Q37" s="121">
        <f t="shared" si="14"/>
        <v>2.9688008155645562</v>
      </c>
      <c r="R37" s="121">
        <f t="shared" si="14"/>
        <v>3.013332827798024</v>
      </c>
      <c r="S37" s="121">
        <f t="shared" si="14"/>
        <v>3.0585328202149942</v>
      </c>
      <c r="T37" s="121">
        <f t="shared" si="14"/>
        <v>3.104410812518219</v>
      </c>
      <c r="U37" s="122">
        <f t="shared" si="14"/>
        <v>3.1509769747059919</v>
      </c>
    </row>
    <row r="38" spans="1:21" ht="15.75" customHeight="1" x14ac:dyDescent="0.25">
      <c r="A38" s="59"/>
      <c r="B38" s="65"/>
      <c r="C38" s="123" t="s">
        <v>72</v>
      </c>
      <c r="D38" s="124"/>
      <c r="E38" s="121">
        <f t="shared" ref="E38:U38" si="15">E37-0.33</f>
        <v>2.5851974652964178</v>
      </c>
      <c r="F38" s="121">
        <f t="shared" si="15"/>
        <v>2.43608227720684</v>
      </c>
      <c r="G38" s="121">
        <f t="shared" si="15"/>
        <v>2.3605876936498196</v>
      </c>
      <c r="H38" s="121">
        <f t="shared" si="15"/>
        <v>2.3275699679806725</v>
      </c>
      <c r="I38" s="121">
        <f t="shared" si="15"/>
        <v>2.3287746687821147</v>
      </c>
      <c r="J38" s="121">
        <f t="shared" si="15"/>
        <v>2.3613015904210441</v>
      </c>
      <c r="K38" s="121">
        <f t="shared" si="15"/>
        <v>2.3936946564153683</v>
      </c>
      <c r="L38" s="121">
        <f t="shared" si="15"/>
        <v>2.4258200111204835</v>
      </c>
      <c r="M38" s="121">
        <f t="shared" si="15"/>
        <v>2.4671573112872909</v>
      </c>
      <c r="N38" s="121">
        <f t="shared" si="15"/>
        <v>2.5091146709565995</v>
      </c>
      <c r="O38" s="121">
        <f t="shared" si="15"/>
        <v>2.5517013910209485</v>
      </c>
      <c r="P38" s="121">
        <f t="shared" si="15"/>
        <v>2.5949269118862621</v>
      </c>
      <c r="Q38" s="121">
        <f t="shared" si="15"/>
        <v>2.6388008155645561</v>
      </c>
      <c r="R38" s="121">
        <f t="shared" si="15"/>
        <v>2.683332827798024</v>
      </c>
      <c r="S38" s="121">
        <f t="shared" si="15"/>
        <v>2.7285328202149941</v>
      </c>
      <c r="T38" s="121">
        <f t="shared" si="15"/>
        <v>2.774410812518219</v>
      </c>
      <c r="U38" s="121">
        <f t="shared" si="15"/>
        <v>2.8209769747059918</v>
      </c>
    </row>
  </sheetData>
  <conditionalFormatting sqref="E3:U3 E17:U18 E20:U20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41"/>
  <sheetViews>
    <sheetView showGridLines="0" workbookViewId="0">
      <selection activeCell="B28" sqref="B28"/>
    </sheetView>
  </sheetViews>
  <sheetFormatPr defaultColWidth="8.85546875" defaultRowHeight="15" customHeight="1" x14ac:dyDescent="0.25"/>
  <cols>
    <col min="1" max="1" width="2.85546875" style="63" customWidth="1"/>
    <col min="2" max="2" width="42.85546875" style="63" customWidth="1"/>
    <col min="3" max="3" width="10.28515625" style="63" customWidth="1"/>
    <col min="4" max="4" width="12.42578125" style="63" customWidth="1"/>
    <col min="5" max="14" width="10.28515625" style="63" customWidth="1"/>
    <col min="15" max="15" width="10.42578125" style="63" bestFit="1" customWidth="1"/>
    <col min="16" max="255" width="8.85546875" style="63" customWidth="1"/>
  </cols>
  <sheetData>
    <row r="1" spans="1:255" ht="15.75" customHeight="1" x14ac:dyDescent="0.25">
      <c r="A1" s="494" t="s">
        <v>26</v>
      </c>
      <c r="B1" s="497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255" ht="15" customHeight="1" x14ac:dyDescent="0.25">
      <c r="A2" s="495"/>
      <c r="B2" s="497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255" ht="15.75" customHeight="1" thickBot="1" x14ac:dyDescent="0.3">
      <c r="A3" s="495"/>
      <c r="B3" s="497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</row>
    <row r="4" spans="1:255" ht="15.6" customHeight="1" x14ac:dyDescent="0.25">
      <c r="A4" s="60"/>
      <c r="B4" s="503" t="s">
        <v>27</v>
      </c>
      <c r="C4" s="504">
        <v>2019</v>
      </c>
      <c r="D4" s="504">
        <v>2020</v>
      </c>
      <c r="E4" s="504">
        <v>2021</v>
      </c>
      <c r="F4" s="504">
        <v>2022</v>
      </c>
      <c r="G4" s="504">
        <v>2023</v>
      </c>
      <c r="H4" s="504">
        <v>2024</v>
      </c>
      <c r="I4" s="504">
        <v>2025</v>
      </c>
      <c r="J4" s="504">
        <v>2026</v>
      </c>
      <c r="K4" s="504">
        <v>2027</v>
      </c>
      <c r="L4" s="504">
        <v>2028</v>
      </c>
      <c r="M4" s="504">
        <v>2029</v>
      </c>
      <c r="N4" s="496"/>
      <c r="IU4"/>
    </row>
    <row r="5" spans="1:255" ht="15" customHeight="1" x14ac:dyDescent="0.25">
      <c r="A5" s="61"/>
      <c r="B5" s="505" t="s">
        <v>448</v>
      </c>
      <c r="C5" s="512">
        <v>500</v>
      </c>
      <c r="D5" s="512">
        <v>750</v>
      </c>
      <c r="E5" s="512">
        <v>1000</v>
      </c>
      <c r="F5" s="512">
        <v>1000</v>
      </c>
      <c r="G5" s="67">
        <f>F5</f>
        <v>1000</v>
      </c>
      <c r="H5" s="67">
        <f t="shared" ref="H5:M5" si="0">G5</f>
        <v>1000</v>
      </c>
      <c r="I5" s="67">
        <f t="shared" si="0"/>
        <v>1000</v>
      </c>
      <c r="J5" s="67">
        <f t="shared" si="0"/>
        <v>1000</v>
      </c>
      <c r="K5" s="67">
        <f t="shared" si="0"/>
        <v>1000</v>
      </c>
      <c r="L5" s="67">
        <f t="shared" si="0"/>
        <v>1000</v>
      </c>
      <c r="M5" s="67">
        <f t="shared" si="0"/>
        <v>1000</v>
      </c>
      <c r="IU5"/>
    </row>
    <row r="6" spans="1:255" ht="15.75" customHeight="1" thickBot="1" x14ac:dyDescent="0.3">
      <c r="A6" s="61"/>
      <c r="B6" s="506" t="s">
        <v>457</v>
      </c>
      <c r="C6" s="513">
        <v>25</v>
      </c>
      <c r="D6" s="513">
        <v>25</v>
      </c>
      <c r="E6" s="513">
        <v>25</v>
      </c>
      <c r="F6" s="513">
        <v>25</v>
      </c>
      <c r="G6" s="513">
        <v>25</v>
      </c>
      <c r="H6" s="513">
        <v>25</v>
      </c>
      <c r="I6" s="513">
        <v>25</v>
      </c>
      <c r="J6" s="513">
        <v>25</v>
      </c>
      <c r="K6" s="513">
        <v>25</v>
      </c>
      <c r="L6" s="513">
        <v>25</v>
      </c>
      <c r="M6" s="513">
        <v>25</v>
      </c>
      <c r="IU6"/>
    </row>
    <row r="7" spans="1:255" ht="15.75" customHeight="1" x14ac:dyDescent="0.25">
      <c r="A7" s="61"/>
      <c r="B7" s="373" t="s">
        <v>497</v>
      </c>
      <c r="C7" s="575">
        <f>'Key Assumptions'!C5/'Ops Cost '!$J$4</f>
        <v>2.4242424242424243</v>
      </c>
      <c r="D7" s="575">
        <f>'Key Assumptions'!D5/'Ops Cost '!$J$4</f>
        <v>3.6363636363636362</v>
      </c>
      <c r="E7" s="575">
        <f>'Key Assumptions'!E5/'Ops Cost '!$J$4</f>
        <v>4.8484848484848486</v>
      </c>
      <c r="F7" s="575">
        <f>'Key Assumptions'!F5/'Ops Cost '!$J$4</f>
        <v>4.8484848484848486</v>
      </c>
      <c r="G7" s="575">
        <f>'Key Assumptions'!G5/'Ops Cost '!$J$4</f>
        <v>4.8484848484848486</v>
      </c>
      <c r="H7" s="575">
        <f>'Key Assumptions'!H5/'Ops Cost '!$J$4</f>
        <v>4.8484848484848486</v>
      </c>
      <c r="I7" s="575">
        <f>'Key Assumptions'!I5/'Ops Cost '!$J$4</f>
        <v>4.8484848484848486</v>
      </c>
      <c r="J7" s="575">
        <f>'Key Assumptions'!J5/'Ops Cost '!$J$4</f>
        <v>4.8484848484848486</v>
      </c>
      <c r="K7" s="575">
        <f>'Key Assumptions'!K5/'Ops Cost '!$J$4</f>
        <v>4.8484848484848486</v>
      </c>
      <c r="L7" s="575">
        <f>'Key Assumptions'!L5/'Ops Cost '!$J$4</f>
        <v>4.8484848484848486</v>
      </c>
      <c r="M7" s="575">
        <f>'Key Assumptions'!M5/'Ops Cost '!$J$4</f>
        <v>4.8484848484848486</v>
      </c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471"/>
      <c r="AK7" s="471"/>
      <c r="AL7" s="471"/>
      <c r="AM7" s="471"/>
      <c r="AN7" s="471"/>
      <c r="AO7" s="471"/>
      <c r="AP7" s="471"/>
      <c r="AQ7" s="471"/>
      <c r="AR7" s="471"/>
      <c r="AS7" s="471"/>
      <c r="AT7" s="471"/>
      <c r="AU7" s="471"/>
      <c r="AV7" s="471"/>
      <c r="AW7" s="471"/>
      <c r="AX7" s="471"/>
      <c r="AY7" s="471"/>
      <c r="AZ7" s="471"/>
      <c r="BA7" s="471"/>
      <c r="BB7" s="471"/>
      <c r="BC7" s="471"/>
      <c r="BD7" s="471"/>
      <c r="BE7" s="471"/>
      <c r="BF7" s="471"/>
      <c r="BG7" s="471"/>
      <c r="BH7" s="471"/>
      <c r="BI7" s="471"/>
      <c r="BJ7" s="471"/>
      <c r="BK7" s="471"/>
      <c r="BL7" s="471"/>
      <c r="BM7" s="471"/>
      <c r="BN7" s="471"/>
      <c r="BO7" s="471"/>
      <c r="BP7" s="471"/>
      <c r="BQ7" s="471"/>
      <c r="BR7" s="471"/>
      <c r="BS7" s="471"/>
      <c r="BT7" s="471"/>
      <c r="BU7" s="471"/>
      <c r="BV7" s="471"/>
      <c r="BW7" s="471"/>
      <c r="BX7" s="471"/>
      <c r="BY7" s="471"/>
      <c r="BZ7" s="471"/>
      <c r="CA7" s="471"/>
      <c r="CB7" s="471"/>
      <c r="CC7" s="471"/>
      <c r="CD7" s="471"/>
      <c r="CE7" s="471"/>
      <c r="CF7" s="471"/>
      <c r="CG7" s="471"/>
      <c r="CH7" s="471"/>
      <c r="CI7" s="471"/>
      <c r="CJ7" s="471"/>
      <c r="CK7" s="471"/>
      <c r="CL7" s="471"/>
      <c r="CM7" s="471"/>
      <c r="CN7" s="471"/>
      <c r="CO7" s="471"/>
      <c r="CP7" s="471"/>
      <c r="CQ7" s="471"/>
      <c r="CR7" s="471"/>
      <c r="CS7" s="471"/>
      <c r="CT7" s="471"/>
      <c r="CU7" s="471"/>
      <c r="CV7" s="471"/>
      <c r="CW7" s="471"/>
      <c r="CX7" s="471"/>
      <c r="CY7" s="471"/>
      <c r="CZ7" s="471"/>
      <c r="DA7" s="471"/>
      <c r="DB7" s="471"/>
      <c r="DC7" s="471"/>
      <c r="DD7" s="471"/>
      <c r="DE7" s="471"/>
      <c r="DF7" s="471"/>
      <c r="DG7" s="471"/>
      <c r="DH7" s="471"/>
      <c r="DI7" s="471"/>
      <c r="DJ7" s="471"/>
      <c r="DK7" s="471"/>
      <c r="DL7" s="471"/>
      <c r="DM7" s="471"/>
      <c r="DN7" s="471"/>
      <c r="DO7" s="471"/>
      <c r="DP7" s="471"/>
      <c r="DQ7" s="471"/>
      <c r="DR7" s="471"/>
      <c r="DS7" s="471"/>
      <c r="DT7" s="471"/>
      <c r="DU7" s="471"/>
      <c r="DV7" s="471"/>
      <c r="DW7" s="471"/>
      <c r="DX7" s="471"/>
      <c r="DY7" s="471"/>
      <c r="DZ7" s="471"/>
      <c r="EA7" s="471"/>
      <c r="EB7" s="471"/>
      <c r="EC7" s="471"/>
      <c r="ED7" s="471"/>
      <c r="EE7" s="471"/>
      <c r="EF7" s="471"/>
      <c r="EG7" s="471"/>
      <c r="EH7" s="471"/>
      <c r="EI7" s="471"/>
      <c r="EJ7" s="471"/>
      <c r="EK7" s="471"/>
      <c r="EL7" s="471"/>
      <c r="EM7" s="471"/>
      <c r="EN7" s="471"/>
      <c r="EO7" s="471"/>
      <c r="EP7" s="471"/>
      <c r="EQ7" s="471"/>
      <c r="ER7" s="471"/>
      <c r="ES7" s="471"/>
      <c r="ET7" s="471"/>
      <c r="EU7" s="471"/>
      <c r="EV7" s="471"/>
      <c r="EW7" s="471"/>
      <c r="EX7" s="471"/>
      <c r="EY7" s="471"/>
      <c r="EZ7" s="471"/>
      <c r="FA7" s="471"/>
      <c r="FB7" s="471"/>
      <c r="FC7" s="471"/>
      <c r="FD7" s="471"/>
      <c r="FE7" s="471"/>
      <c r="FF7" s="471"/>
      <c r="FG7" s="471"/>
      <c r="FH7" s="471"/>
      <c r="FI7" s="471"/>
      <c r="FJ7" s="471"/>
      <c r="FK7" s="471"/>
      <c r="FL7" s="471"/>
      <c r="FM7" s="471"/>
      <c r="FN7" s="471"/>
      <c r="FO7" s="471"/>
      <c r="FP7" s="471"/>
      <c r="FQ7" s="471"/>
      <c r="FR7" s="471"/>
      <c r="FS7" s="471"/>
      <c r="FT7" s="471"/>
      <c r="FU7" s="471"/>
      <c r="FV7" s="471"/>
      <c r="FW7" s="471"/>
      <c r="FX7" s="471"/>
      <c r="FY7" s="471"/>
      <c r="FZ7" s="471"/>
      <c r="GA7" s="471"/>
      <c r="GB7" s="471"/>
      <c r="GC7" s="471"/>
      <c r="GD7" s="471"/>
      <c r="GE7" s="471"/>
      <c r="GF7" s="471"/>
      <c r="GG7" s="471"/>
      <c r="GH7" s="471"/>
      <c r="GI7" s="471"/>
      <c r="GJ7" s="471"/>
      <c r="GK7" s="471"/>
      <c r="GL7" s="471"/>
      <c r="GM7" s="471"/>
      <c r="GN7" s="471"/>
      <c r="GO7" s="471"/>
      <c r="GP7" s="471"/>
      <c r="GQ7" s="471"/>
      <c r="GR7" s="471"/>
      <c r="GS7" s="471"/>
      <c r="GT7" s="471"/>
      <c r="GU7" s="471"/>
      <c r="GV7" s="471"/>
      <c r="GW7" s="471"/>
      <c r="GX7" s="471"/>
      <c r="GY7" s="471"/>
      <c r="GZ7" s="471"/>
      <c r="HA7" s="471"/>
      <c r="HB7" s="471"/>
      <c r="HC7" s="471"/>
      <c r="HD7" s="471"/>
      <c r="HE7" s="471"/>
      <c r="HF7" s="471"/>
      <c r="HG7" s="471"/>
      <c r="HH7" s="471"/>
      <c r="HI7" s="471"/>
      <c r="HJ7" s="471"/>
      <c r="HK7" s="471"/>
      <c r="HL7" s="471"/>
      <c r="HM7" s="471"/>
      <c r="HN7" s="471"/>
      <c r="HO7" s="471"/>
      <c r="HP7" s="471"/>
      <c r="HQ7" s="471"/>
      <c r="HR7" s="471"/>
      <c r="HS7" s="471"/>
      <c r="HT7" s="471"/>
      <c r="HU7" s="471"/>
      <c r="HV7" s="471"/>
      <c r="HW7" s="471"/>
      <c r="HX7" s="471"/>
      <c r="HY7" s="471"/>
      <c r="HZ7" s="471"/>
      <c r="IA7" s="471"/>
      <c r="IB7" s="471"/>
      <c r="IC7" s="471"/>
      <c r="ID7" s="471"/>
      <c r="IE7" s="471"/>
      <c r="IF7" s="471"/>
      <c r="IG7" s="471"/>
      <c r="IH7" s="471"/>
      <c r="II7" s="471"/>
      <c r="IJ7" s="471"/>
      <c r="IK7" s="471"/>
      <c r="IL7" s="471"/>
      <c r="IM7" s="471"/>
      <c r="IN7" s="471"/>
      <c r="IO7" s="471"/>
      <c r="IP7" s="471"/>
      <c r="IQ7" s="471"/>
      <c r="IR7" s="471"/>
      <c r="IS7" s="471"/>
      <c r="IT7" s="471"/>
      <c r="IU7"/>
    </row>
    <row r="8" spans="1:255" ht="15.75" customHeight="1" x14ac:dyDescent="0.25">
      <c r="A8" s="61"/>
      <c r="B8"/>
      <c r="C8"/>
      <c r="D8"/>
      <c r="E8"/>
      <c r="F8"/>
      <c r="G8"/>
      <c r="H8"/>
      <c r="I8"/>
      <c r="J8"/>
      <c r="K8"/>
      <c r="L8"/>
      <c r="M8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1"/>
      <c r="AJ8" s="471"/>
      <c r="AK8" s="471"/>
      <c r="AL8" s="471"/>
      <c r="AM8" s="471"/>
      <c r="AN8" s="471"/>
      <c r="AO8" s="471"/>
      <c r="AP8" s="471"/>
      <c r="AQ8" s="471"/>
      <c r="AR8" s="471"/>
      <c r="AS8" s="471"/>
      <c r="AT8" s="471"/>
      <c r="AU8" s="471"/>
      <c r="AV8" s="471"/>
      <c r="AW8" s="471"/>
      <c r="AX8" s="471"/>
      <c r="AY8" s="471"/>
      <c r="AZ8" s="471"/>
      <c r="BA8" s="471"/>
      <c r="BB8" s="471"/>
      <c r="BC8" s="471"/>
      <c r="BD8" s="471"/>
      <c r="BE8" s="471"/>
      <c r="BF8" s="471"/>
      <c r="BG8" s="471"/>
      <c r="BH8" s="471"/>
      <c r="BI8" s="471"/>
      <c r="BJ8" s="471"/>
      <c r="BK8" s="471"/>
      <c r="BL8" s="471"/>
      <c r="BM8" s="471"/>
      <c r="BN8" s="471"/>
      <c r="BO8" s="471"/>
      <c r="BP8" s="471"/>
      <c r="BQ8" s="471"/>
      <c r="BR8" s="471"/>
      <c r="BS8" s="471"/>
      <c r="BT8" s="471"/>
      <c r="BU8" s="471"/>
      <c r="BV8" s="471"/>
      <c r="BW8" s="471"/>
      <c r="BX8" s="471"/>
      <c r="BY8" s="471"/>
      <c r="BZ8" s="471"/>
      <c r="CA8" s="471"/>
      <c r="CB8" s="471"/>
      <c r="CC8" s="471"/>
      <c r="CD8" s="471"/>
      <c r="CE8" s="471"/>
      <c r="CF8" s="471"/>
      <c r="CG8" s="471"/>
      <c r="CH8" s="471"/>
      <c r="CI8" s="471"/>
      <c r="CJ8" s="471"/>
      <c r="CK8" s="471"/>
      <c r="CL8" s="471"/>
      <c r="CM8" s="471"/>
      <c r="CN8" s="471"/>
      <c r="CO8" s="471"/>
      <c r="CP8" s="471"/>
      <c r="CQ8" s="471"/>
      <c r="CR8" s="471"/>
      <c r="CS8" s="471"/>
      <c r="CT8" s="471"/>
      <c r="CU8" s="471"/>
      <c r="CV8" s="471"/>
      <c r="CW8" s="471"/>
      <c r="CX8" s="471"/>
      <c r="CY8" s="471"/>
      <c r="CZ8" s="471"/>
      <c r="DA8" s="471"/>
      <c r="DB8" s="471"/>
      <c r="DC8" s="471"/>
      <c r="DD8" s="471"/>
      <c r="DE8" s="471"/>
      <c r="DF8" s="471"/>
      <c r="DG8" s="471"/>
      <c r="DH8" s="471"/>
      <c r="DI8" s="471"/>
      <c r="DJ8" s="471"/>
      <c r="DK8" s="471"/>
      <c r="DL8" s="471"/>
      <c r="DM8" s="471"/>
      <c r="DN8" s="471"/>
      <c r="DO8" s="471"/>
      <c r="DP8" s="471"/>
      <c r="DQ8" s="471"/>
      <c r="DR8" s="471"/>
      <c r="DS8" s="471"/>
      <c r="DT8" s="471"/>
      <c r="DU8" s="471"/>
      <c r="DV8" s="471"/>
      <c r="DW8" s="471"/>
      <c r="DX8" s="471"/>
      <c r="DY8" s="471"/>
      <c r="DZ8" s="471"/>
      <c r="EA8" s="471"/>
      <c r="EB8" s="471"/>
      <c r="EC8" s="471"/>
      <c r="ED8" s="471"/>
      <c r="EE8" s="471"/>
      <c r="EF8" s="471"/>
      <c r="EG8" s="471"/>
      <c r="EH8" s="471"/>
      <c r="EI8" s="471"/>
      <c r="EJ8" s="471"/>
      <c r="EK8" s="471"/>
      <c r="EL8" s="471"/>
      <c r="EM8" s="471"/>
      <c r="EN8" s="471"/>
      <c r="EO8" s="471"/>
      <c r="EP8" s="471"/>
      <c r="EQ8" s="471"/>
      <c r="ER8" s="471"/>
      <c r="ES8" s="471"/>
      <c r="ET8" s="471"/>
      <c r="EU8" s="471"/>
      <c r="EV8" s="471"/>
      <c r="EW8" s="471"/>
      <c r="EX8" s="471"/>
      <c r="EY8" s="471"/>
      <c r="EZ8" s="471"/>
      <c r="FA8" s="471"/>
      <c r="FB8" s="471"/>
      <c r="FC8" s="471"/>
      <c r="FD8" s="471"/>
      <c r="FE8" s="471"/>
      <c r="FF8" s="471"/>
      <c r="FG8" s="471"/>
      <c r="FH8" s="471"/>
      <c r="FI8" s="471"/>
      <c r="FJ8" s="471"/>
      <c r="FK8" s="471"/>
      <c r="FL8" s="471"/>
      <c r="FM8" s="471"/>
      <c r="FN8" s="471"/>
      <c r="FO8" s="471"/>
      <c r="FP8" s="471"/>
      <c r="FQ8" s="471"/>
      <c r="FR8" s="471"/>
      <c r="FS8" s="471"/>
      <c r="FT8" s="471"/>
      <c r="FU8" s="471"/>
      <c r="FV8" s="471"/>
      <c r="FW8" s="471"/>
      <c r="FX8" s="471"/>
      <c r="FY8" s="471"/>
      <c r="FZ8" s="471"/>
      <c r="GA8" s="471"/>
      <c r="GB8" s="471"/>
      <c r="GC8" s="471"/>
      <c r="GD8" s="471"/>
      <c r="GE8" s="471"/>
      <c r="GF8" s="471"/>
      <c r="GG8" s="471"/>
      <c r="GH8" s="471"/>
      <c r="GI8" s="471"/>
      <c r="GJ8" s="471"/>
      <c r="GK8" s="471"/>
      <c r="GL8" s="471"/>
      <c r="GM8" s="471"/>
      <c r="GN8" s="471"/>
      <c r="GO8" s="471"/>
      <c r="GP8" s="471"/>
      <c r="GQ8" s="471"/>
      <c r="GR8" s="471"/>
      <c r="GS8" s="471"/>
      <c r="GT8" s="471"/>
      <c r="GU8" s="471"/>
      <c r="GV8" s="471"/>
      <c r="GW8" s="471"/>
      <c r="GX8" s="471"/>
      <c r="GY8" s="471"/>
      <c r="GZ8" s="471"/>
      <c r="HA8" s="471"/>
      <c r="HB8" s="471"/>
      <c r="HC8" s="471"/>
      <c r="HD8" s="471"/>
      <c r="HE8" s="471"/>
      <c r="HF8" s="471"/>
      <c r="HG8" s="471"/>
      <c r="HH8" s="471"/>
      <c r="HI8" s="471"/>
      <c r="HJ8" s="471"/>
      <c r="HK8" s="471"/>
      <c r="HL8" s="471"/>
      <c r="HM8" s="471"/>
      <c r="HN8" s="471"/>
      <c r="HO8" s="471"/>
      <c r="HP8" s="471"/>
      <c r="HQ8" s="471"/>
      <c r="HR8" s="471"/>
      <c r="HS8" s="471"/>
      <c r="HT8" s="471"/>
      <c r="HU8" s="471"/>
      <c r="HV8" s="471"/>
      <c r="HW8" s="471"/>
      <c r="HX8" s="471"/>
      <c r="HY8" s="471"/>
      <c r="HZ8" s="471"/>
      <c r="IA8" s="471"/>
      <c r="IB8" s="471"/>
      <c r="IC8" s="471"/>
      <c r="ID8" s="471"/>
      <c r="IE8" s="471"/>
      <c r="IF8" s="471"/>
      <c r="IG8" s="471"/>
      <c r="IH8" s="471"/>
      <c r="II8" s="471"/>
      <c r="IJ8" s="471"/>
      <c r="IK8" s="471"/>
      <c r="IL8" s="471"/>
      <c r="IM8" s="471"/>
      <c r="IN8" s="471"/>
      <c r="IO8" s="471"/>
      <c r="IP8" s="471"/>
      <c r="IQ8" s="471"/>
      <c r="IR8" s="471"/>
      <c r="IS8" s="471"/>
      <c r="IT8" s="471"/>
      <c r="IU8"/>
    </row>
    <row r="9" spans="1:255" ht="15.75" customHeight="1" thickBot="1" x14ac:dyDescent="0.3">
      <c r="A9" s="59"/>
      <c r="B9"/>
      <c r="C9"/>
      <c r="D9"/>
      <c r="E9"/>
      <c r="F9"/>
      <c r="G9"/>
      <c r="H9"/>
      <c r="I9"/>
      <c r="J9"/>
      <c r="K9"/>
      <c r="L9"/>
      <c r="M9"/>
      <c r="IU9"/>
    </row>
    <row r="10" spans="1:255" ht="25.5" customHeight="1" x14ac:dyDescent="0.25">
      <c r="A10" s="61"/>
      <c r="B10" s="508" t="s">
        <v>28</v>
      </c>
      <c r="C10" s="504">
        <v>2019</v>
      </c>
      <c r="D10" s="504">
        <v>2020</v>
      </c>
      <c r="E10" s="504">
        <v>2021</v>
      </c>
      <c r="F10" s="504">
        <v>2022</v>
      </c>
      <c r="G10" s="504">
        <v>2023</v>
      </c>
      <c r="H10" s="504">
        <v>2024</v>
      </c>
      <c r="I10" s="504">
        <v>2025</v>
      </c>
      <c r="J10" s="504">
        <v>2026</v>
      </c>
      <c r="K10" s="504">
        <v>2027</v>
      </c>
      <c r="L10" s="504">
        <v>2028</v>
      </c>
      <c r="M10" s="543">
        <v>2029</v>
      </c>
      <c r="IU10"/>
    </row>
    <row r="11" spans="1:255" ht="15" customHeight="1" x14ac:dyDescent="0.25">
      <c r="A11" s="61"/>
      <c r="B11" s="505" t="s">
        <v>485</v>
      </c>
      <c r="C11" s="534">
        <v>0.55000000000000004</v>
      </c>
      <c r="D11" s="534">
        <v>0.55000000000000004</v>
      </c>
      <c r="E11" s="534">
        <v>0.55000000000000004</v>
      </c>
      <c r="F11" s="534">
        <v>0.55000000000000004</v>
      </c>
      <c r="G11" s="534">
        <v>0.55000000000000004</v>
      </c>
      <c r="H11" s="534">
        <v>0.55000000000000004</v>
      </c>
      <c r="I11" s="534">
        <v>0.55000000000000004</v>
      </c>
      <c r="J11" s="534">
        <v>0.55000000000000004</v>
      </c>
      <c r="K11" s="534">
        <v>0.55000000000000004</v>
      </c>
      <c r="L11" s="534">
        <v>0.55000000000000004</v>
      </c>
      <c r="M11" s="544">
        <v>0.55000000000000004</v>
      </c>
      <c r="IU11"/>
    </row>
    <row r="12" spans="1:255" ht="15" customHeight="1" x14ac:dyDescent="0.25">
      <c r="A12" s="61"/>
      <c r="B12" s="505" t="s">
        <v>486</v>
      </c>
      <c r="C12" s="534">
        <v>0.15</v>
      </c>
      <c r="D12" s="534">
        <v>0.15</v>
      </c>
      <c r="E12" s="534">
        <v>0.15</v>
      </c>
      <c r="F12" s="534">
        <v>0.15</v>
      </c>
      <c r="G12" s="534">
        <v>0.15</v>
      </c>
      <c r="H12" s="534">
        <v>0.15</v>
      </c>
      <c r="I12" s="534">
        <v>0.15</v>
      </c>
      <c r="J12" s="534">
        <v>0.15</v>
      </c>
      <c r="K12" s="534">
        <v>0.15</v>
      </c>
      <c r="L12" s="534">
        <v>0.15</v>
      </c>
      <c r="M12" s="544">
        <v>0.15</v>
      </c>
      <c r="IU12"/>
    </row>
    <row r="13" spans="1:255" ht="15" customHeight="1" thickBot="1" x14ac:dyDescent="0.3">
      <c r="A13" s="61"/>
      <c r="B13" s="506" t="s">
        <v>487</v>
      </c>
      <c r="C13" s="553">
        <v>0.25</v>
      </c>
      <c r="D13" s="553">
        <v>0.25</v>
      </c>
      <c r="E13" s="553">
        <v>0.25</v>
      </c>
      <c r="F13" s="553">
        <v>0.25</v>
      </c>
      <c r="G13" s="553">
        <v>0.25</v>
      </c>
      <c r="H13" s="553">
        <v>0.25</v>
      </c>
      <c r="I13" s="553">
        <v>0.25</v>
      </c>
      <c r="J13" s="553">
        <v>0.25</v>
      </c>
      <c r="K13" s="553">
        <v>0.25</v>
      </c>
      <c r="L13" s="553">
        <v>0.25</v>
      </c>
      <c r="M13" s="554">
        <v>0.25</v>
      </c>
      <c r="IU13"/>
    </row>
    <row r="14" spans="1:255" ht="15" customHeight="1" x14ac:dyDescent="0.25">
      <c r="A14" s="61"/>
      <c r="B14" s="551" t="s">
        <v>481</v>
      </c>
      <c r="C14" s="552">
        <f>C$5*C11</f>
        <v>275</v>
      </c>
      <c r="D14" s="552">
        <f t="shared" ref="D14:M14" si="1">D$5*D11</f>
        <v>412.50000000000006</v>
      </c>
      <c r="E14" s="552">
        <f t="shared" si="1"/>
        <v>550</v>
      </c>
      <c r="F14" s="552">
        <f t="shared" si="1"/>
        <v>550</v>
      </c>
      <c r="G14" s="552">
        <f t="shared" si="1"/>
        <v>550</v>
      </c>
      <c r="H14" s="552">
        <f t="shared" si="1"/>
        <v>550</v>
      </c>
      <c r="I14" s="552">
        <f t="shared" si="1"/>
        <v>550</v>
      </c>
      <c r="J14" s="552">
        <f t="shared" si="1"/>
        <v>550</v>
      </c>
      <c r="K14" s="552">
        <f t="shared" si="1"/>
        <v>550</v>
      </c>
      <c r="L14" s="552">
        <f t="shared" si="1"/>
        <v>550</v>
      </c>
      <c r="M14" s="552">
        <f t="shared" si="1"/>
        <v>550</v>
      </c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1"/>
      <c r="AU14" s="471"/>
      <c r="AV14" s="471"/>
      <c r="AW14" s="471"/>
      <c r="AX14" s="471"/>
      <c r="AY14" s="471"/>
      <c r="AZ14" s="471"/>
      <c r="BA14" s="471"/>
      <c r="BB14" s="471"/>
      <c r="BC14" s="471"/>
      <c r="BD14" s="471"/>
      <c r="BE14" s="471"/>
      <c r="BF14" s="471"/>
      <c r="BG14" s="471"/>
      <c r="BH14" s="471"/>
      <c r="BI14" s="471"/>
      <c r="BJ14" s="471"/>
      <c r="BK14" s="471"/>
      <c r="BL14" s="471"/>
      <c r="BM14" s="471"/>
      <c r="BN14" s="471"/>
      <c r="BO14" s="471"/>
      <c r="BP14" s="471"/>
      <c r="BQ14" s="471"/>
      <c r="BR14" s="471"/>
      <c r="BS14" s="471"/>
      <c r="BT14" s="471"/>
      <c r="BU14" s="471"/>
      <c r="BV14" s="471"/>
      <c r="BW14" s="471"/>
      <c r="BX14" s="471"/>
      <c r="BY14" s="471"/>
      <c r="BZ14" s="471"/>
      <c r="CA14" s="471"/>
      <c r="CB14" s="471"/>
      <c r="CC14" s="471"/>
      <c r="CD14" s="471"/>
      <c r="CE14" s="471"/>
      <c r="CF14" s="471"/>
      <c r="CG14" s="471"/>
      <c r="CH14" s="471"/>
      <c r="CI14" s="471"/>
      <c r="CJ14" s="471"/>
      <c r="CK14" s="471"/>
      <c r="CL14" s="471"/>
      <c r="CM14" s="471"/>
      <c r="CN14" s="471"/>
      <c r="CO14" s="471"/>
      <c r="CP14" s="471"/>
      <c r="CQ14" s="471"/>
      <c r="CR14" s="471"/>
      <c r="CS14" s="471"/>
      <c r="CT14" s="471"/>
      <c r="CU14" s="471"/>
      <c r="CV14" s="471"/>
      <c r="CW14" s="471"/>
      <c r="CX14" s="471"/>
      <c r="CY14" s="471"/>
      <c r="CZ14" s="471"/>
      <c r="DA14" s="471"/>
      <c r="DB14" s="471"/>
      <c r="DC14" s="471"/>
      <c r="DD14" s="471"/>
      <c r="DE14" s="471"/>
      <c r="DF14" s="471"/>
      <c r="DG14" s="471"/>
      <c r="DH14" s="471"/>
      <c r="DI14" s="471"/>
      <c r="DJ14" s="471"/>
      <c r="DK14" s="471"/>
      <c r="DL14" s="471"/>
      <c r="DM14" s="471"/>
      <c r="DN14" s="471"/>
      <c r="DO14" s="471"/>
      <c r="DP14" s="471"/>
      <c r="DQ14" s="471"/>
      <c r="DR14" s="471"/>
      <c r="DS14" s="471"/>
      <c r="DT14" s="471"/>
      <c r="DU14" s="471"/>
      <c r="DV14" s="471"/>
      <c r="DW14" s="471"/>
      <c r="DX14" s="471"/>
      <c r="DY14" s="471"/>
      <c r="DZ14" s="471"/>
      <c r="EA14" s="471"/>
      <c r="EB14" s="471"/>
      <c r="EC14" s="471"/>
      <c r="ED14" s="471"/>
      <c r="EE14" s="471"/>
      <c r="EF14" s="471"/>
      <c r="EG14" s="471"/>
      <c r="EH14" s="471"/>
      <c r="EI14" s="471"/>
      <c r="EJ14" s="471"/>
      <c r="EK14" s="471"/>
      <c r="EL14" s="471"/>
      <c r="EM14" s="471"/>
      <c r="EN14" s="471"/>
      <c r="EO14" s="471"/>
      <c r="EP14" s="471"/>
      <c r="EQ14" s="471"/>
      <c r="ER14" s="471"/>
      <c r="ES14" s="471"/>
      <c r="ET14" s="471"/>
      <c r="EU14" s="471"/>
      <c r="EV14" s="471"/>
      <c r="EW14" s="471"/>
      <c r="EX14" s="471"/>
      <c r="EY14" s="471"/>
      <c r="EZ14" s="471"/>
      <c r="FA14" s="471"/>
      <c r="FB14" s="471"/>
      <c r="FC14" s="471"/>
      <c r="FD14" s="471"/>
      <c r="FE14" s="471"/>
      <c r="FF14" s="471"/>
      <c r="FG14" s="471"/>
      <c r="FH14" s="471"/>
      <c r="FI14" s="471"/>
      <c r="FJ14" s="471"/>
      <c r="FK14" s="471"/>
      <c r="FL14" s="471"/>
      <c r="FM14" s="471"/>
      <c r="FN14" s="471"/>
      <c r="FO14" s="471"/>
      <c r="FP14" s="471"/>
      <c r="FQ14" s="471"/>
      <c r="FR14" s="471"/>
      <c r="FS14" s="471"/>
      <c r="FT14" s="471"/>
      <c r="FU14" s="471"/>
      <c r="FV14" s="471"/>
      <c r="FW14" s="471"/>
      <c r="FX14" s="471"/>
      <c r="FY14" s="471"/>
      <c r="FZ14" s="471"/>
      <c r="GA14" s="471"/>
      <c r="GB14" s="471"/>
      <c r="GC14" s="471"/>
      <c r="GD14" s="471"/>
      <c r="GE14" s="471"/>
      <c r="GF14" s="471"/>
      <c r="GG14" s="471"/>
      <c r="GH14" s="471"/>
      <c r="GI14" s="471"/>
      <c r="GJ14" s="471"/>
      <c r="GK14" s="471"/>
      <c r="GL14" s="471"/>
      <c r="GM14" s="471"/>
      <c r="GN14" s="471"/>
      <c r="GO14" s="471"/>
      <c r="GP14" s="471"/>
      <c r="GQ14" s="471"/>
      <c r="GR14" s="471"/>
      <c r="GS14" s="471"/>
      <c r="GT14" s="471"/>
      <c r="GU14" s="471"/>
      <c r="GV14" s="471"/>
      <c r="GW14" s="471"/>
      <c r="GX14" s="471"/>
      <c r="GY14" s="471"/>
      <c r="GZ14" s="471"/>
      <c r="HA14" s="471"/>
      <c r="HB14" s="471"/>
      <c r="HC14" s="471"/>
      <c r="HD14" s="471"/>
      <c r="HE14" s="471"/>
      <c r="HF14" s="471"/>
      <c r="HG14" s="471"/>
      <c r="HH14" s="471"/>
      <c r="HI14" s="471"/>
      <c r="HJ14" s="471"/>
      <c r="HK14" s="471"/>
      <c r="HL14" s="471"/>
      <c r="HM14" s="471"/>
      <c r="HN14" s="471"/>
      <c r="HO14" s="471"/>
      <c r="HP14" s="471"/>
      <c r="HQ14" s="471"/>
      <c r="HR14" s="471"/>
      <c r="HS14" s="471"/>
      <c r="HT14" s="471"/>
      <c r="HU14" s="471"/>
      <c r="HV14" s="471"/>
      <c r="HW14" s="471"/>
      <c r="HX14" s="471"/>
      <c r="HY14" s="471"/>
      <c r="HZ14" s="471"/>
      <c r="IA14" s="471"/>
      <c r="IB14" s="471"/>
      <c r="IC14" s="471"/>
      <c r="ID14" s="471"/>
      <c r="IE14" s="471"/>
      <c r="IF14" s="471"/>
      <c r="IG14" s="471"/>
      <c r="IH14" s="471"/>
      <c r="II14" s="471"/>
      <c r="IJ14" s="471"/>
      <c r="IK14" s="471"/>
      <c r="IL14" s="471"/>
      <c r="IM14" s="471"/>
      <c r="IN14" s="471"/>
      <c r="IO14" s="471"/>
      <c r="IP14" s="471"/>
      <c r="IQ14" s="471"/>
      <c r="IR14" s="471"/>
      <c r="IS14" s="471"/>
      <c r="IT14" s="471"/>
      <c r="IU14"/>
    </row>
    <row r="15" spans="1:255" ht="15" customHeight="1" x14ac:dyDescent="0.25">
      <c r="A15" s="61"/>
      <c r="B15" s="545" t="s">
        <v>482</v>
      </c>
      <c r="C15" s="547">
        <f t="shared" ref="C15:M16" si="2">C$5*C12</f>
        <v>75</v>
      </c>
      <c r="D15" s="547">
        <f t="shared" si="2"/>
        <v>112.5</v>
      </c>
      <c r="E15" s="547">
        <f t="shared" si="2"/>
        <v>150</v>
      </c>
      <c r="F15" s="547">
        <f t="shared" si="2"/>
        <v>150</v>
      </c>
      <c r="G15" s="547">
        <f t="shared" si="2"/>
        <v>150</v>
      </c>
      <c r="H15" s="547">
        <f t="shared" si="2"/>
        <v>150</v>
      </c>
      <c r="I15" s="547">
        <f t="shared" si="2"/>
        <v>150</v>
      </c>
      <c r="J15" s="547">
        <f t="shared" si="2"/>
        <v>150</v>
      </c>
      <c r="K15" s="547">
        <f t="shared" si="2"/>
        <v>150</v>
      </c>
      <c r="L15" s="547">
        <f t="shared" si="2"/>
        <v>150</v>
      </c>
      <c r="M15" s="547">
        <f t="shared" si="2"/>
        <v>150</v>
      </c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471"/>
      <c r="AN15" s="471"/>
      <c r="AO15" s="471"/>
      <c r="AP15" s="471"/>
      <c r="AQ15" s="471"/>
      <c r="AR15" s="471"/>
      <c r="AS15" s="471"/>
      <c r="AT15" s="471"/>
      <c r="AU15" s="471"/>
      <c r="AV15" s="471"/>
      <c r="AW15" s="471"/>
      <c r="AX15" s="471"/>
      <c r="AY15" s="471"/>
      <c r="AZ15" s="471"/>
      <c r="BA15" s="471"/>
      <c r="BB15" s="471"/>
      <c r="BC15" s="471"/>
      <c r="BD15" s="471"/>
      <c r="BE15" s="471"/>
      <c r="BF15" s="471"/>
      <c r="BG15" s="471"/>
      <c r="BH15" s="471"/>
      <c r="BI15" s="471"/>
      <c r="BJ15" s="471"/>
      <c r="BK15" s="471"/>
      <c r="BL15" s="471"/>
      <c r="BM15" s="471"/>
      <c r="BN15" s="471"/>
      <c r="BO15" s="471"/>
      <c r="BP15" s="471"/>
      <c r="BQ15" s="471"/>
      <c r="BR15" s="471"/>
      <c r="BS15" s="471"/>
      <c r="BT15" s="471"/>
      <c r="BU15" s="471"/>
      <c r="BV15" s="471"/>
      <c r="BW15" s="471"/>
      <c r="BX15" s="471"/>
      <c r="BY15" s="471"/>
      <c r="BZ15" s="471"/>
      <c r="CA15" s="471"/>
      <c r="CB15" s="471"/>
      <c r="CC15" s="471"/>
      <c r="CD15" s="471"/>
      <c r="CE15" s="471"/>
      <c r="CF15" s="471"/>
      <c r="CG15" s="471"/>
      <c r="CH15" s="471"/>
      <c r="CI15" s="471"/>
      <c r="CJ15" s="471"/>
      <c r="CK15" s="471"/>
      <c r="CL15" s="471"/>
      <c r="CM15" s="471"/>
      <c r="CN15" s="471"/>
      <c r="CO15" s="471"/>
      <c r="CP15" s="471"/>
      <c r="CQ15" s="471"/>
      <c r="CR15" s="471"/>
      <c r="CS15" s="471"/>
      <c r="CT15" s="471"/>
      <c r="CU15" s="471"/>
      <c r="CV15" s="471"/>
      <c r="CW15" s="471"/>
      <c r="CX15" s="471"/>
      <c r="CY15" s="471"/>
      <c r="CZ15" s="471"/>
      <c r="DA15" s="471"/>
      <c r="DB15" s="471"/>
      <c r="DC15" s="471"/>
      <c r="DD15" s="471"/>
      <c r="DE15" s="471"/>
      <c r="DF15" s="471"/>
      <c r="DG15" s="471"/>
      <c r="DH15" s="471"/>
      <c r="DI15" s="471"/>
      <c r="DJ15" s="471"/>
      <c r="DK15" s="471"/>
      <c r="DL15" s="471"/>
      <c r="DM15" s="471"/>
      <c r="DN15" s="471"/>
      <c r="DO15" s="471"/>
      <c r="DP15" s="471"/>
      <c r="DQ15" s="471"/>
      <c r="DR15" s="471"/>
      <c r="DS15" s="471"/>
      <c r="DT15" s="471"/>
      <c r="DU15" s="471"/>
      <c r="DV15" s="471"/>
      <c r="DW15" s="471"/>
      <c r="DX15" s="471"/>
      <c r="DY15" s="471"/>
      <c r="DZ15" s="471"/>
      <c r="EA15" s="471"/>
      <c r="EB15" s="471"/>
      <c r="EC15" s="471"/>
      <c r="ED15" s="471"/>
      <c r="EE15" s="471"/>
      <c r="EF15" s="471"/>
      <c r="EG15" s="471"/>
      <c r="EH15" s="471"/>
      <c r="EI15" s="471"/>
      <c r="EJ15" s="471"/>
      <c r="EK15" s="471"/>
      <c r="EL15" s="471"/>
      <c r="EM15" s="471"/>
      <c r="EN15" s="471"/>
      <c r="EO15" s="471"/>
      <c r="EP15" s="471"/>
      <c r="EQ15" s="471"/>
      <c r="ER15" s="471"/>
      <c r="ES15" s="471"/>
      <c r="ET15" s="471"/>
      <c r="EU15" s="471"/>
      <c r="EV15" s="471"/>
      <c r="EW15" s="471"/>
      <c r="EX15" s="471"/>
      <c r="EY15" s="471"/>
      <c r="EZ15" s="471"/>
      <c r="FA15" s="471"/>
      <c r="FB15" s="471"/>
      <c r="FC15" s="471"/>
      <c r="FD15" s="471"/>
      <c r="FE15" s="471"/>
      <c r="FF15" s="471"/>
      <c r="FG15" s="471"/>
      <c r="FH15" s="471"/>
      <c r="FI15" s="471"/>
      <c r="FJ15" s="471"/>
      <c r="FK15" s="471"/>
      <c r="FL15" s="471"/>
      <c r="FM15" s="471"/>
      <c r="FN15" s="471"/>
      <c r="FO15" s="471"/>
      <c r="FP15" s="471"/>
      <c r="FQ15" s="471"/>
      <c r="FR15" s="471"/>
      <c r="FS15" s="471"/>
      <c r="FT15" s="471"/>
      <c r="FU15" s="471"/>
      <c r="FV15" s="471"/>
      <c r="FW15" s="471"/>
      <c r="FX15" s="471"/>
      <c r="FY15" s="471"/>
      <c r="FZ15" s="471"/>
      <c r="GA15" s="471"/>
      <c r="GB15" s="471"/>
      <c r="GC15" s="471"/>
      <c r="GD15" s="471"/>
      <c r="GE15" s="471"/>
      <c r="GF15" s="471"/>
      <c r="GG15" s="471"/>
      <c r="GH15" s="471"/>
      <c r="GI15" s="471"/>
      <c r="GJ15" s="471"/>
      <c r="GK15" s="471"/>
      <c r="GL15" s="471"/>
      <c r="GM15" s="471"/>
      <c r="GN15" s="471"/>
      <c r="GO15" s="471"/>
      <c r="GP15" s="471"/>
      <c r="GQ15" s="471"/>
      <c r="GR15" s="471"/>
      <c r="GS15" s="471"/>
      <c r="GT15" s="471"/>
      <c r="GU15" s="471"/>
      <c r="GV15" s="471"/>
      <c r="GW15" s="471"/>
      <c r="GX15" s="471"/>
      <c r="GY15" s="471"/>
      <c r="GZ15" s="471"/>
      <c r="HA15" s="471"/>
      <c r="HB15" s="471"/>
      <c r="HC15" s="471"/>
      <c r="HD15" s="471"/>
      <c r="HE15" s="471"/>
      <c r="HF15" s="471"/>
      <c r="HG15" s="471"/>
      <c r="HH15" s="471"/>
      <c r="HI15" s="471"/>
      <c r="HJ15" s="471"/>
      <c r="HK15" s="471"/>
      <c r="HL15" s="471"/>
      <c r="HM15" s="471"/>
      <c r="HN15" s="471"/>
      <c r="HO15" s="471"/>
      <c r="HP15" s="471"/>
      <c r="HQ15" s="471"/>
      <c r="HR15" s="471"/>
      <c r="HS15" s="471"/>
      <c r="HT15" s="471"/>
      <c r="HU15" s="471"/>
      <c r="HV15" s="471"/>
      <c r="HW15" s="471"/>
      <c r="HX15" s="471"/>
      <c r="HY15" s="471"/>
      <c r="HZ15" s="471"/>
      <c r="IA15" s="471"/>
      <c r="IB15" s="471"/>
      <c r="IC15" s="471"/>
      <c r="ID15" s="471"/>
      <c r="IE15" s="471"/>
      <c r="IF15" s="471"/>
      <c r="IG15" s="471"/>
      <c r="IH15" s="471"/>
      <c r="II15" s="471"/>
      <c r="IJ15" s="471"/>
      <c r="IK15" s="471"/>
      <c r="IL15" s="471"/>
      <c r="IM15" s="471"/>
      <c r="IN15" s="471"/>
      <c r="IO15" s="471"/>
      <c r="IP15" s="471"/>
      <c r="IQ15" s="471"/>
      <c r="IR15" s="471"/>
      <c r="IS15" s="471"/>
      <c r="IT15" s="471"/>
      <c r="IU15"/>
    </row>
    <row r="16" spans="1:255" ht="15" customHeight="1" thickBot="1" x14ac:dyDescent="0.3">
      <c r="A16" s="61"/>
      <c r="B16" s="546" t="s">
        <v>483</v>
      </c>
      <c r="C16" s="548">
        <f t="shared" si="2"/>
        <v>125</v>
      </c>
      <c r="D16" s="548">
        <f t="shared" si="2"/>
        <v>187.5</v>
      </c>
      <c r="E16" s="548">
        <f t="shared" si="2"/>
        <v>250</v>
      </c>
      <c r="F16" s="548">
        <f t="shared" si="2"/>
        <v>250</v>
      </c>
      <c r="G16" s="548">
        <f t="shared" si="2"/>
        <v>250</v>
      </c>
      <c r="H16" s="548">
        <f t="shared" si="2"/>
        <v>250</v>
      </c>
      <c r="I16" s="548">
        <f t="shared" si="2"/>
        <v>250</v>
      </c>
      <c r="J16" s="548">
        <f t="shared" si="2"/>
        <v>250</v>
      </c>
      <c r="K16" s="548">
        <f t="shared" si="2"/>
        <v>250</v>
      </c>
      <c r="L16" s="548">
        <f t="shared" si="2"/>
        <v>250</v>
      </c>
      <c r="M16" s="548">
        <f t="shared" si="2"/>
        <v>250</v>
      </c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471"/>
      <c r="AN16" s="471"/>
      <c r="AO16" s="471"/>
      <c r="AP16" s="471"/>
      <c r="AQ16" s="471"/>
      <c r="AR16" s="471"/>
      <c r="AS16" s="471"/>
      <c r="AT16" s="471"/>
      <c r="AU16" s="471"/>
      <c r="AV16" s="471"/>
      <c r="AW16" s="471"/>
      <c r="AX16" s="471"/>
      <c r="AY16" s="471"/>
      <c r="AZ16" s="471"/>
      <c r="BA16" s="471"/>
      <c r="BB16" s="471"/>
      <c r="BC16" s="471"/>
      <c r="BD16" s="471"/>
      <c r="BE16" s="471"/>
      <c r="BF16" s="471"/>
      <c r="BG16" s="471"/>
      <c r="BH16" s="471"/>
      <c r="BI16" s="471"/>
      <c r="BJ16" s="471"/>
      <c r="BK16" s="471"/>
      <c r="BL16" s="471"/>
      <c r="BM16" s="471"/>
      <c r="BN16" s="471"/>
      <c r="BO16" s="471"/>
      <c r="BP16" s="471"/>
      <c r="BQ16" s="471"/>
      <c r="BR16" s="471"/>
      <c r="BS16" s="471"/>
      <c r="BT16" s="471"/>
      <c r="BU16" s="471"/>
      <c r="BV16" s="471"/>
      <c r="BW16" s="471"/>
      <c r="BX16" s="471"/>
      <c r="BY16" s="471"/>
      <c r="BZ16" s="471"/>
      <c r="CA16" s="471"/>
      <c r="CB16" s="471"/>
      <c r="CC16" s="471"/>
      <c r="CD16" s="471"/>
      <c r="CE16" s="471"/>
      <c r="CF16" s="471"/>
      <c r="CG16" s="471"/>
      <c r="CH16" s="471"/>
      <c r="CI16" s="471"/>
      <c r="CJ16" s="471"/>
      <c r="CK16" s="471"/>
      <c r="CL16" s="471"/>
      <c r="CM16" s="471"/>
      <c r="CN16" s="471"/>
      <c r="CO16" s="471"/>
      <c r="CP16" s="471"/>
      <c r="CQ16" s="471"/>
      <c r="CR16" s="471"/>
      <c r="CS16" s="471"/>
      <c r="CT16" s="471"/>
      <c r="CU16" s="471"/>
      <c r="CV16" s="471"/>
      <c r="CW16" s="471"/>
      <c r="CX16" s="471"/>
      <c r="CY16" s="471"/>
      <c r="CZ16" s="471"/>
      <c r="DA16" s="471"/>
      <c r="DB16" s="471"/>
      <c r="DC16" s="471"/>
      <c r="DD16" s="471"/>
      <c r="DE16" s="471"/>
      <c r="DF16" s="471"/>
      <c r="DG16" s="471"/>
      <c r="DH16" s="471"/>
      <c r="DI16" s="471"/>
      <c r="DJ16" s="471"/>
      <c r="DK16" s="471"/>
      <c r="DL16" s="471"/>
      <c r="DM16" s="471"/>
      <c r="DN16" s="471"/>
      <c r="DO16" s="471"/>
      <c r="DP16" s="471"/>
      <c r="DQ16" s="471"/>
      <c r="DR16" s="471"/>
      <c r="DS16" s="471"/>
      <c r="DT16" s="471"/>
      <c r="DU16" s="471"/>
      <c r="DV16" s="471"/>
      <c r="DW16" s="471"/>
      <c r="DX16" s="471"/>
      <c r="DY16" s="471"/>
      <c r="DZ16" s="471"/>
      <c r="EA16" s="471"/>
      <c r="EB16" s="471"/>
      <c r="EC16" s="471"/>
      <c r="ED16" s="471"/>
      <c r="EE16" s="471"/>
      <c r="EF16" s="471"/>
      <c r="EG16" s="471"/>
      <c r="EH16" s="471"/>
      <c r="EI16" s="471"/>
      <c r="EJ16" s="471"/>
      <c r="EK16" s="471"/>
      <c r="EL16" s="471"/>
      <c r="EM16" s="471"/>
      <c r="EN16" s="471"/>
      <c r="EO16" s="471"/>
      <c r="EP16" s="471"/>
      <c r="EQ16" s="471"/>
      <c r="ER16" s="471"/>
      <c r="ES16" s="471"/>
      <c r="ET16" s="471"/>
      <c r="EU16" s="471"/>
      <c r="EV16" s="471"/>
      <c r="EW16" s="471"/>
      <c r="EX16" s="471"/>
      <c r="EY16" s="471"/>
      <c r="EZ16" s="471"/>
      <c r="FA16" s="471"/>
      <c r="FB16" s="471"/>
      <c r="FC16" s="471"/>
      <c r="FD16" s="471"/>
      <c r="FE16" s="471"/>
      <c r="FF16" s="471"/>
      <c r="FG16" s="471"/>
      <c r="FH16" s="471"/>
      <c r="FI16" s="471"/>
      <c r="FJ16" s="471"/>
      <c r="FK16" s="471"/>
      <c r="FL16" s="471"/>
      <c r="FM16" s="471"/>
      <c r="FN16" s="471"/>
      <c r="FO16" s="471"/>
      <c r="FP16" s="471"/>
      <c r="FQ16" s="471"/>
      <c r="FR16" s="471"/>
      <c r="FS16" s="471"/>
      <c r="FT16" s="471"/>
      <c r="FU16" s="471"/>
      <c r="FV16" s="471"/>
      <c r="FW16" s="471"/>
      <c r="FX16" s="471"/>
      <c r="FY16" s="471"/>
      <c r="FZ16" s="471"/>
      <c r="GA16" s="471"/>
      <c r="GB16" s="471"/>
      <c r="GC16" s="471"/>
      <c r="GD16" s="471"/>
      <c r="GE16" s="471"/>
      <c r="GF16" s="471"/>
      <c r="GG16" s="471"/>
      <c r="GH16" s="471"/>
      <c r="GI16" s="471"/>
      <c r="GJ16" s="471"/>
      <c r="GK16" s="471"/>
      <c r="GL16" s="471"/>
      <c r="GM16" s="471"/>
      <c r="GN16" s="471"/>
      <c r="GO16" s="471"/>
      <c r="GP16" s="471"/>
      <c r="GQ16" s="471"/>
      <c r="GR16" s="471"/>
      <c r="GS16" s="471"/>
      <c r="GT16" s="471"/>
      <c r="GU16" s="471"/>
      <c r="GV16" s="471"/>
      <c r="GW16" s="471"/>
      <c r="GX16" s="471"/>
      <c r="GY16" s="471"/>
      <c r="GZ16" s="471"/>
      <c r="HA16" s="471"/>
      <c r="HB16" s="471"/>
      <c r="HC16" s="471"/>
      <c r="HD16" s="471"/>
      <c r="HE16" s="471"/>
      <c r="HF16" s="471"/>
      <c r="HG16" s="471"/>
      <c r="HH16" s="471"/>
      <c r="HI16" s="471"/>
      <c r="HJ16" s="471"/>
      <c r="HK16" s="471"/>
      <c r="HL16" s="471"/>
      <c r="HM16" s="471"/>
      <c r="HN16" s="471"/>
      <c r="HO16" s="471"/>
      <c r="HP16" s="471"/>
      <c r="HQ16" s="471"/>
      <c r="HR16" s="471"/>
      <c r="HS16" s="471"/>
      <c r="HT16" s="471"/>
      <c r="HU16" s="471"/>
      <c r="HV16" s="471"/>
      <c r="HW16" s="471"/>
      <c r="HX16" s="471"/>
      <c r="HY16" s="471"/>
      <c r="HZ16" s="471"/>
      <c r="IA16" s="471"/>
      <c r="IB16" s="471"/>
      <c r="IC16" s="471"/>
      <c r="ID16" s="471"/>
      <c r="IE16" s="471"/>
      <c r="IF16" s="471"/>
      <c r="IG16" s="471"/>
      <c r="IH16" s="471"/>
      <c r="II16" s="471"/>
      <c r="IJ16" s="471"/>
      <c r="IK16" s="471"/>
      <c r="IL16" s="471"/>
      <c r="IM16" s="471"/>
      <c r="IN16" s="471"/>
      <c r="IO16" s="471"/>
      <c r="IP16" s="471"/>
      <c r="IQ16" s="471"/>
      <c r="IR16" s="471"/>
      <c r="IS16" s="471"/>
      <c r="IT16" s="471"/>
      <c r="IU16"/>
    </row>
    <row r="17" spans="1:255" ht="15" customHeight="1" thickBot="1" x14ac:dyDescent="0.3">
      <c r="A17" s="61"/>
      <c r="B17" s="549" t="s">
        <v>484</v>
      </c>
      <c r="C17" s="550">
        <f>C14/22</f>
        <v>12.5</v>
      </c>
      <c r="D17" s="550">
        <f t="shared" ref="D17:M17" si="3">D14/22</f>
        <v>18.750000000000004</v>
      </c>
      <c r="E17" s="550">
        <f t="shared" si="3"/>
        <v>25</v>
      </c>
      <c r="F17" s="550">
        <f t="shared" si="3"/>
        <v>25</v>
      </c>
      <c r="G17" s="550">
        <f t="shared" si="3"/>
        <v>25</v>
      </c>
      <c r="H17" s="550">
        <f t="shared" si="3"/>
        <v>25</v>
      </c>
      <c r="I17" s="550">
        <f t="shared" si="3"/>
        <v>25</v>
      </c>
      <c r="J17" s="550">
        <f t="shared" si="3"/>
        <v>25</v>
      </c>
      <c r="K17" s="550">
        <f t="shared" si="3"/>
        <v>25</v>
      </c>
      <c r="L17" s="550">
        <f t="shared" si="3"/>
        <v>25</v>
      </c>
      <c r="M17" s="550">
        <f t="shared" si="3"/>
        <v>25</v>
      </c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1"/>
      <c r="AN17" s="471"/>
      <c r="AO17" s="471"/>
      <c r="AP17" s="471"/>
      <c r="AQ17" s="471"/>
      <c r="AR17" s="471"/>
      <c r="AS17" s="471"/>
      <c r="AT17" s="471"/>
      <c r="AU17" s="471"/>
      <c r="AV17" s="471"/>
      <c r="AW17" s="471"/>
      <c r="AX17" s="471"/>
      <c r="AY17" s="471"/>
      <c r="AZ17" s="471"/>
      <c r="BA17" s="471"/>
      <c r="BB17" s="471"/>
      <c r="BC17" s="471"/>
      <c r="BD17" s="471"/>
      <c r="BE17" s="471"/>
      <c r="BF17" s="471"/>
      <c r="BG17" s="471"/>
      <c r="BH17" s="471"/>
      <c r="BI17" s="471"/>
      <c r="BJ17" s="471"/>
      <c r="BK17" s="471"/>
      <c r="BL17" s="471"/>
      <c r="BM17" s="471"/>
      <c r="BN17" s="471"/>
      <c r="BO17" s="471"/>
      <c r="BP17" s="471"/>
      <c r="BQ17" s="471"/>
      <c r="BR17" s="471"/>
      <c r="BS17" s="471"/>
      <c r="BT17" s="471"/>
      <c r="BU17" s="471"/>
      <c r="BV17" s="471"/>
      <c r="BW17" s="471"/>
      <c r="BX17" s="471"/>
      <c r="BY17" s="471"/>
      <c r="BZ17" s="471"/>
      <c r="CA17" s="471"/>
      <c r="CB17" s="471"/>
      <c r="CC17" s="471"/>
      <c r="CD17" s="471"/>
      <c r="CE17" s="471"/>
      <c r="CF17" s="471"/>
      <c r="CG17" s="471"/>
      <c r="CH17" s="471"/>
      <c r="CI17" s="471"/>
      <c r="CJ17" s="471"/>
      <c r="CK17" s="471"/>
      <c r="CL17" s="471"/>
      <c r="CM17" s="471"/>
      <c r="CN17" s="471"/>
      <c r="CO17" s="471"/>
      <c r="CP17" s="471"/>
      <c r="CQ17" s="471"/>
      <c r="CR17" s="471"/>
      <c r="CS17" s="471"/>
      <c r="CT17" s="471"/>
      <c r="CU17" s="471"/>
      <c r="CV17" s="471"/>
      <c r="CW17" s="471"/>
      <c r="CX17" s="471"/>
      <c r="CY17" s="471"/>
      <c r="CZ17" s="471"/>
      <c r="DA17" s="471"/>
      <c r="DB17" s="471"/>
      <c r="DC17" s="471"/>
      <c r="DD17" s="471"/>
      <c r="DE17" s="471"/>
      <c r="DF17" s="471"/>
      <c r="DG17" s="471"/>
      <c r="DH17" s="471"/>
      <c r="DI17" s="471"/>
      <c r="DJ17" s="471"/>
      <c r="DK17" s="471"/>
      <c r="DL17" s="471"/>
      <c r="DM17" s="471"/>
      <c r="DN17" s="471"/>
      <c r="DO17" s="471"/>
      <c r="DP17" s="471"/>
      <c r="DQ17" s="471"/>
      <c r="DR17" s="471"/>
      <c r="DS17" s="471"/>
      <c r="DT17" s="471"/>
      <c r="DU17" s="471"/>
      <c r="DV17" s="471"/>
      <c r="DW17" s="471"/>
      <c r="DX17" s="471"/>
      <c r="DY17" s="471"/>
      <c r="DZ17" s="471"/>
      <c r="EA17" s="471"/>
      <c r="EB17" s="471"/>
      <c r="EC17" s="471"/>
      <c r="ED17" s="471"/>
      <c r="EE17" s="471"/>
      <c r="EF17" s="471"/>
      <c r="EG17" s="471"/>
      <c r="EH17" s="471"/>
      <c r="EI17" s="471"/>
      <c r="EJ17" s="471"/>
      <c r="EK17" s="471"/>
      <c r="EL17" s="471"/>
      <c r="EM17" s="471"/>
      <c r="EN17" s="471"/>
      <c r="EO17" s="471"/>
      <c r="EP17" s="471"/>
      <c r="EQ17" s="471"/>
      <c r="ER17" s="471"/>
      <c r="ES17" s="471"/>
      <c r="ET17" s="471"/>
      <c r="EU17" s="471"/>
      <c r="EV17" s="471"/>
      <c r="EW17" s="471"/>
      <c r="EX17" s="471"/>
      <c r="EY17" s="471"/>
      <c r="EZ17" s="471"/>
      <c r="FA17" s="471"/>
      <c r="FB17" s="471"/>
      <c r="FC17" s="471"/>
      <c r="FD17" s="471"/>
      <c r="FE17" s="471"/>
      <c r="FF17" s="471"/>
      <c r="FG17" s="471"/>
      <c r="FH17" s="471"/>
      <c r="FI17" s="471"/>
      <c r="FJ17" s="471"/>
      <c r="FK17" s="471"/>
      <c r="FL17" s="471"/>
      <c r="FM17" s="471"/>
      <c r="FN17" s="471"/>
      <c r="FO17" s="471"/>
      <c r="FP17" s="471"/>
      <c r="FQ17" s="471"/>
      <c r="FR17" s="471"/>
      <c r="FS17" s="471"/>
      <c r="FT17" s="471"/>
      <c r="FU17" s="471"/>
      <c r="FV17" s="471"/>
      <c r="FW17" s="471"/>
      <c r="FX17" s="471"/>
      <c r="FY17" s="471"/>
      <c r="FZ17" s="471"/>
      <c r="GA17" s="471"/>
      <c r="GB17" s="471"/>
      <c r="GC17" s="471"/>
      <c r="GD17" s="471"/>
      <c r="GE17" s="471"/>
      <c r="GF17" s="471"/>
      <c r="GG17" s="471"/>
      <c r="GH17" s="471"/>
      <c r="GI17" s="471"/>
      <c r="GJ17" s="471"/>
      <c r="GK17" s="471"/>
      <c r="GL17" s="471"/>
      <c r="GM17" s="471"/>
      <c r="GN17" s="471"/>
      <c r="GO17" s="471"/>
      <c r="GP17" s="471"/>
      <c r="GQ17" s="471"/>
      <c r="GR17" s="471"/>
      <c r="GS17" s="471"/>
      <c r="GT17" s="471"/>
      <c r="GU17" s="471"/>
      <c r="GV17" s="471"/>
      <c r="GW17" s="471"/>
      <c r="GX17" s="471"/>
      <c r="GY17" s="471"/>
      <c r="GZ17" s="471"/>
      <c r="HA17" s="471"/>
      <c r="HB17" s="471"/>
      <c r="HC17" s="471"/>
      <c r="HD17" s="471"/>
      <c r="HE17" s="471"/>
      <c r="HF17" s="471"/>
      <c r="HG17" s="471"/>
      <c r="HH17" s="471"/>
      <c r="HI17" s="471"/>
      <c r="HJ17" s="471"/>
      <c r="HK17" s="471"/>
      <c r="HL17" s="471"/>
      <c r="HM17" s="471"/>
      <c r="HN17" s="471"/>
      <c r="HO17" s="471"/>
      <c r="HP17" s="471"/>
      <c r="HQ17" s="471"/>
      <c r="HR17" s="471"/>
      <c r="HS17" s="471"/>
      <c r="HT17" s="471"/>
      <c r="HU17" s="471"/>
      <c r="HV17" s="471"/>
      <c r="HW17" s="471"/>
      <c r="HX17" s="471"/>
      <c r="HY17" s="471"/>
      <c r="HZ17" s="471"/>
      <c r="IA17" s="471"/>
      <c r="IB17" s="471"/>
      <c r="IC17" s="471"/>
      <c r="ID17" s="471"/>
      <c r="IE17" s="471"/>
      <c r="IF17" s="471"/>
      <c r="IG17" s="471"/>
      <c r="IH17" s="471"/>
      <c r="II17" s="471"/>
      <c r="IJ17" s="471"/>
      <c r="IK17" s="471"/>
      <c r="IL17" s="471"/>
      <c r="IM17" s="471"/>
      <c r="IN17" s="471"/>
      <c r="IO17" s="471"/>
      <c r="IP17" s="471"/>
      <c r="IQ17" s="471"/>
      <c r="IR17" s="471"/>
      <c r="IS17" s="471"/>
      <c r="IT17" s="471"/>
      <c r="IU17"/>
    </row>
    <row r="18" spans="1:255" ht="15" customHeight="1" thickBot="1" x14ac:dyDescent="0.3">
      <c r="A18" s="61"/>
      <c r="B18" s="373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71"/>
      <c r="AN18" s="471"/>
      <c r="AO18" s="471"/>
      <c r="AP18" s="471"/>
      <c r="AQ18" s="471"/>
      <c r="AR18" s="471"/>
      <c r="AS18" s="471"/>
      <c r="AT18" s="471"/>
      <c r="AU18" s="471"/>
      <c r="AV18" s="471"/>
      <c r="AW18" s="471"/>
      <c r="AX18" s="471"/>
      <c r="AY18" s="471"/>
      <c r="AZ18" s="471"/>
      <c r="BA18" s="471"/>
      <c r="BB18" s="471"/>
      <c r="BC18" s="471"/>
      <c r="BD18" s="471"/>
      <c r="BE18" s="471"/>
      <c r="BF18" s="471"/>
      <c r="BG18" s="471"/>
      <c r="BH18" s="471"/>
      <c r="BI18" s="471"/>
      <c r="BJ18" s="471"/>
      <c r="BK18" s="471"/>
      <c r="BL18" s="471"/>
      <c r="BM18" s="471"/>
      <c r="BN18" s="471"/>
      <c r="BO18" s="471"/>
      <c r="BP18" s="471"/>
      <c r="BQ18" s="471"/>
      <c r="BR18" s="471"/>
      <c r="BS18" s="471"/>
      <c r="BT18" s="471"/>
      <c r="BU18" s="471"/>
      <c r="BV18" s="471"/>
      <c r="BW18" s="471"/>
      <c r="BX18" s="471"/>
      <c r="BY18" s="471"/>
      <c r="BZ18" s="471"/>
      <c r="CA18" s="471"/>
      <c r="CB18" s="471"/>
      <c r="CC18" s="471"/>
      <c r="CD18" s="471"/>
      <c r="CE18" s="471"/>
      <c r="CF18" s="471"/>
      <c r="CG18" s="471"/>
      <c r="CH18" s="471"/>
      <c r="CI18" s="471"/>
      <c r="CJ18" s="471"/>
      <c r="CK18" s="471"/>
      <c r="CL18" s="471"/>
      <c r="CM18" s="471"/>
      <c r="CN18" s="471"/>
      <c r="CO18" s="471"/>
      <c r="CP18" s="471"/>
      <c r="CQ18" s="471"/>
      <c r="CR18" s="471"/>
      <c r="CS18" s="471"/>
      <c r="CT18" s="471"/>
      <c r="CU18" s="471"/>
      <c r="CV18" s="471"/>
      <c r="CW18" s="471"/>
      <c r="CX18" s="471"/>
      <c r="CY18" s="471"/>
      <c r="CZ18" s="471"/>
      <c r="DA18" s="471"/>
      <c r="DB18" s="471"/>
      <c r="DC18" s="471"/>
      <c r="DD18" s="471"/>
      <c r="DE18" s="471"/>
      <c r="DF18" s="471"/>
      <c r="DG18" s="471"/>
      <c r="DH18" s="471"/>
      <c r="DI18" s="471"/>
      <c r="DJ18" s="471"/>
      <c r="DK18" s="471"/>
      <c r="DL18" s="471"/>
      <c r="DM18" s="471"/>
      <c r="DN18" s="471"/>
      <c r="DO18" s="471"/>
      <c r="DP18" s="471"/>
      <c r="DQ18" s="471"/>
      <c r="DR18" s="471"/>
      <c r="DS18" s="471"/>
      <c r="DT18" s="471"/>
      <c r="DU18" s="471"/>
      <c r="DV18" s="471"/>
      <c r="DW18" s="471"/>
      <c r="DX18" s="471"/>
      <c r="DY18" s="471"/>
      <c r="DZ18" s="471"/>
      <c r="EA18" s="471"/>
      <c r="EB18" s="471"/>
      <c r="EC18" s="471"/>
      <c r="ED18" s="471"/>
      <c r="EE18" s="471"/>
      <c r="EF18" s="471"/>
      <c r="EG18" s="471"/>
      <c r="EH18" s="471"/>
      <c r="EI18" s="471"/>
      <c r="EJ18" s="471"/>
      <c r="EK18" s="471"/>
      <c r="EL18" s="471"/>
      <c r="EM18" s="471"/>
      <c r="EN18" s="471"/>
      <c r="EO18" s="471"/>
      <c r="EP18" s="471"/>
      <c r="EQ18" s="471"/>
      <c r="ER18" s="471"/>
      <c r="ES18" s="471"/>
      <c r="ET18" s="471"/>
      <c r="EU18" s="471"/>
      <c r="EV18" s="471"/>
      <c r="EW18" s="471"/>
      <c r="EX18" s="471"/>
      <c r="EY18" s="471"/>
      <c r="EZ18" s="471"/>
      <c r="FA18" s="471"/>
      <c r="FB18" s="471"/>
      <c r="FC18" s="471"/>
      <c r="FD18" s="471"/>
      <c r="FE18" s="471"/>
      <c r="FF18" s="471"/>
      <c r="FG18" s="471"/>
      <c r="FH18" s="471"/>
      <c r="FI18" s="471"/>
      <c r="FJ18" s="471"/>
      <c r="FK18" s="471"/>
      <c r="FL18" s="471"/>
      <c r="FM18" s="471"/>
      <c r="FN18" s="471"/>
      <c r="FO18" s="471"/>
      <c r="FP18" s="471"/>
      <c r="FQ18" s="471"/>
      <c r="FR18" s="471"/>
      <c r="FS18" s="471"/>
      <c r="FT18" s="471"/>
      <c r="FU18" s="471"/>
      <c r="FV18" s="471"/>
      <c r="FW18" s="471"/>
      <c r="FX18" s="471"/>
      <c r="FY18" s="471"/>
      <c r="FZ18" s="471"/>
      <c r="GA18" s="471"/>
      <c r="GB18" s="471"/>
      <c r="GC18" s="471"/>
      <c r="GD18" s="471"/>
      <c r="GE18" s="471"/>
      <c r="GF18" s="471"/>
      <c r="GG18" s="471"/>
      <c r="GH18" s="471"/>
      <c r="GI18" s="471"/>
      <c r="GJ18" s="471"/>
      <c r="GK18" s="471"/>
      <c r="GL18" s="471"/>
      <c r="GM18" s="471"/>
      <c r="GN18" s="471"/>
      <c r="GO18" s="471"/>
      <c r="GP18" s="471"/>
      <c r="GQ18" s="471"/>
      <c r="GR18" s="471"/>
      <c r="GS18" s="471"/>
      <c r="GT18" s="471"/>
      <c r="GU18" s="471"/>
      <c r="GV18" s="471"/>
      <c r="GW18" s="471"/>
      <c r="GX18" s="471"/>
      <c r="GY18" s="471"/>
      <c r="GZ18" s="471"/>
      <c r="HA18" s="471"/>
      <c r="HB18" s="471"/>
      <c r="HC18" s="471"/>
      <c r="HD18" s="471"/>
      <c r="HE18" s="471"/>
      <c r="HF18" s="471"/>
      <c r="HG18" s="471"/>
      <c r="HH18" s="471"/>
      <c r="HI18" s="471"/>
      <c r="HJ18" s="471"/>
      <c r="HK18" s="471"/>
      <c r="HL18" s="471"/>
      <c r="HM18" s="471"/>
      <c r="HN18" s="471"/>
      <c r="HO18" s="471"/>
      <c r="HP18" s="471"/>
      <c r="HQ18" s="471"/>
      <c r="HR18" s="471"/>
      <c r="HS18" s="471"/>
      <c r="HT18" s="471"/>
      <c r="HU18" s="471"/>
      <c r="HV18" s="471"/>
      <c r="HW18" s="471"/>
      <c r="HX18" s="471"/>
      <c r="HY18" s="471"/>
      <c r="HZ18" s="471"/>
      <c r="IA18" s="471"/>
      <c r="IB18" s="471"/>
      <c r="IC18" s="471"/>
      <c r="ID18" s="471"/>
      <c r="IE18" s="471"/>
      <c r="IF18" s="471"/>
      <c r="IG18" s="471"/>
      <c r="IH18" s="471"/>
      <c r="II18" s="471"/>
      <c r="IJ18" s="471"/>
      <c r="IK18" s="471"/>
      <c r="IL18" s="471"/>
      <c r="IM18" s="471"/>
      <c r="IN18" s="471"/>
      <c r="IO18" s="471"/>
      <c r="IP18" s="471"/>
      <c r="IQ18" s="471"/>
      <c r="IR18" s="471"/>
      <c r="IS18" s="471"/>
      <c r="IT18" s="471"/>
      <c r="IU18"/>
    </row>
    <row r="19" spans="1:255" ht="15.75" customHeight="1" thickBot="1" x14ac:dyDescent="0.3">
      <c r="A19" s="59"/>
      <c r="B19" s="507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O19" s="560" t="s">
        <v>496</v>
      </c>
      <c r="IU19"/>
    </row>
    <row r="20" spans="1:255" ht="15.6" customHeight="1" x14ac:dyDescent="0.25">
      <c r="A20" s="61"/>
      <c r="B20" s="503" t="s">
        <v>31</v>
      </c>
      <c r="C20" s="504">
        <v>2019</v>
      </c>
      <c r="D20" s="504">
        <v>2020</v>
      </c>
      <c r="E20" s="504">
        <v>2021</v>
      </c>
      <c r="F20" s="504">
        <v>2022</v>
      </c>
      <c r="G20" s="504">
        <v>2023</v>
      </c>
      <c r="H20" s="504">
        <v>2024</v>
      </c>
      <c r="I20" s="504">
        <v>2025</v>
      </c>
      <c r="J20" s="504">
        <v>2026</v>
      </c>
      <c r="K20" s="504">
        <v>2027</v>
      </c>
      <c r="L20" s="504">
        <v>2028</v>
      </c>
      <c r="M20" s="504">
        <v>2029</v>
      </c>
      <c r="O20" s="561" t="s">
        <v>495</v>
      </c>
      <c r="IU20"/>
    </row>
    <row r="21" spans="1:255" ht="15" customHeight="1" thickBot="1" x14ac:dyDescent="0.3">
      <c r="A21" s="61"/>
      <c r="B21" s="505" t="s">
        <v>461</v>
      </c>
      <c r="C21" s="68">
        <v>300</v>
      </c>
      <c r="D21" s="69">
        <f t="shared" ref="D21:M21" si="4">C21*(1+$C$35)</f>
        <v>306</v>
      </c>
      <c r="E21" s="69">
        <f t="shared" si="4"/>
        <v>312.12</v>
      </c>
      <c r="F21" s="69">
        <f t="shared" si="4"/>
        <v>318.36240000000004</v>
      </c>
      <c r="G21" s="69">
        <f t="shared" si="4"/>
        <v>324.72964800000005</v>
      </c>
      <c r="H21" s="69">
        <f t="shared" si="4"/>
        <v>331.22424096000009</v>
      </c>
      <c r="I21" s="69">
        <f t="shared" si="4"/>
        <v>337.84872577920009</v>
      </c>
      <c r="J21" s="69">
        <f t="shared" si="4"/>
        <v>344.60570029478413</v>
      </c>
      <c r="K21" s="69">
        <f t="shared" si="4"/>
        <v>351.49781430067981</v>
      </c>
      <c r="L21" s="69">
        <f t="shared" si="4"/>
        <v>358.52777058669341</v>
      </c>
      <c r="M21" s="69">
        <f t="shared" si="4"/>
        <v>365.69832599842726</v>
      </c>
      <c r="O21" s="562">
        <f>C21/1000*3.875</f>
        <v>1.1624999999999999</v>
      </c>
      <c r="IU21"/>
    </row>
    <row r="22" spans="1:255" x14ac:dyDescent="0.25">
      <c r="A22" s="61"/>
      <c r="B22" s="505" t="s">
        <v>462</v>
      </c>
      <c r="C22" s="68">
        <v>75</v>
      </c>
      <c r="D22" s="69">
        <f t="shared" ref="D22:M22" si="5">C22*(1+$C$35)</f>
        <v>76.5</v>
      </c>
      <c r="E22" s="69">
        <f t="shared" si="5"/>
        <v>78.03</v>
      </c>
      <c r="F22" s="69">
        <f t="shared" si="5"/>
        <v>79.590600000000009</v>
      </c>
      <c r="G22" s="69">
        <f t="shared" si="5"/>
        <v>81.182412000000014</v>
      </c>
      <c r="H22" s="69">
        <f t="shared" si="5"/>
        <v>82.806060240000022</v>
      </c>
      <c r="I22" s="69">
        <f t="shared" si="5"/>
        <v>84.462181444800024</v>
      </c>
      <c r="J22" s="69">
        <f t="shared" si="5"/>
        <v>86.151425073696032</v>
      </c>
      <c r="K22" s="69">
        <f t="shared" si="5"/>
        <v>87.874453575169952</v>
      </c>
      <c r="L22" s="69">
        <f t="shared" si="5"/>
        <v>89.631942646673352</v>
      </c>
      <c r="M22" s="69">
        <f t="shared" si="5"/>
        <v>91.424581499606816</v>
      </c>
      <c r="IU22"/>
    </row>
    <row r="23" spans="1:255" ht="15" customHeight="1" thickBot="1" x14ac:dyDescent="0.3">
      <c r="A23" s="61"/>
      <c r="B23" s="506" t="s">
        <v>463</v>
      </c>
      <c r="C23" s="68">
        <v>25</v>
      </c>
      <c r="D23" s="69">
        <f t="shared" ref="D23:M23" si="6">C23*(1+$C$35)</f>
        <v>25.5</v>
      </c>
      <c r="E23" s="69">
        <f t="shared" si="6"/>
        <v>26.01</v>
      </c>
      <c r="F23" s="69">
        <f t="shared" si="6"/>
        <v>26.530200000000001</v>
      </c>
      <c r="G23" s="69">
        <f t="shared" si="6"/>
        <v>27.060804000000001</v>
      </c>
      <c r="H23" s="69">
        <f t="shared" si="6"/>
        <v>27.602020080000003</v>
      </c>
      <c r="I23" s="69">
        <f t="shared" si="6"/>
        <v>28.154060481600002</v>
      </c>
      <c r="J23" s="69">
        <f t="shared" si="6"/>
        <v>28.717141691232001</v>
      </c>
      <c r="K23" s="69">
        <f t="shared" si="6"/>
        <v>29.291484525056642</v>
      </c>
      <c r="L23" s="69">
        <f t="shared" si="6"/>
        <v>29.877314215557774</v>
      </c>
      <c r="M23" s="69">
        <f t="shared" si="6"/>
        <v>30.474860499868932</v>
      </c>
      <c r="IU23"/>
    </row>
    <row r="24" spans="1:255" ht="15.75" customHeight="1" thickBot="1" x14ac:dyDescent="0.3">
      <c r="A24" s="70"/>
      <c r="B24" s="507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IU24"/>
    </row>
    <row r="25" spans="1:255" ht="15.6" customHeight="1" x14ac:dyDescent="0.25">
      <c r="A25" s="8"/>
      <c r="B25" s="503" t="s">
        <v>478</v>
      </c>
      <c r="C25" s="504">
        <v>2019</v>
      </c>
      <c r="D25" s="504">
        <v>2020</v>
      </c>
      <c r="E25" s="504">
        <v>2021</v>
      </c>
      <c r="F25" s="504">
        <v>2022</v>
      </c>
      <c r="G25" s="504">
        <v>2023</v>
      </c>
      <c r="H25" s="504">
        <v>2024</v>
      </c>
      <c r="I25" s="504">
        <v>2025</v>
      </c>
      <c r="J25" s="504">
        <v>2026</v>
      </c>
      <c r="K25" s="504">
        <v>2027</v>
      </c>
      <c r="L25" s="504">
        <v>2028</v>
      </c>
      <c r="M25" s="504">
        <v>2029</v>
      </c>
      <c r="IU25"/>
    </row>
    <row r="26" spans="1:255" ht="15.75" thickBot="1" x14ac:dyDescent="0.3">
      <c r="A26" s="8"/>
      <c r="B26" s="506" t="s">
        <v>477</v>
      </c>
      <c r="C26" s="511">
        <f>'Ops Cost '!J30</f>
        <v>79.234449760765557</v>
      </c>
      <c r="D26" s="511">
        <f>'Ops Cost '!L30</f>
        <v>59.425837320574161</v>
      </c>
      <c r="E26" s="511">
        <f>'Ops Cost '!N30</f>
        <v>52.822966507177028</v>
      </c>
      <c r="F26" s="511">
        <f>'Ops Cost '!P30</f>
        <v>49.52153110047847</v>
      </c>
      <c r="G26" s="511">
        <f>F26</f>
        <v>49.52153110047847</v>
      </c>
      <c r="H26" s="511">
        <f t="shared" ref="H26:M26" si="7">G26</f>
        <v>49.52153110047847</v>
      </c>
      <c r="I26" s="511">
        <f t="shared" si="7"/>
        <v>49.52153110047847</v>
      </c>
      <c r="J26" s="511">
        <f t="shared" si="7"/>
        <v>49.52153110047847</v>
      </c>
      <c r="K26" s="511">
        <f t="shared" si="7"/>
        <v>49.52153110047847</v>
      </c>
      <c r="L26" s="511">
        <f t="shared" si="7"/>
        <v>49.52153110047847</v>
      </c>
      <c r="M26" s="511">
        <f t="shared" si="7"/>
        <v>49.52153110047847</v>
      </c>
      <c r="IU26"/>
    </row>
    <row r="27" spans="1:255" ht="15.75" customHeight="1" thickBot="1" x14ac:dyDescent="0.3">
      <c r="A27" s="8"/>
      <c r="B27" s="509"/>
      <c r="C27" s="510"/>
      <c r="D27" s="375"/>
      <c r="E27" s="75"/>
      <c r="F27" s="75"/>
      <c r="G27" s="75"/>
      <c r="H27" s="75"/>
      <c r="I27" s="75"/>
      <c r="J27" s="75"/>
      <c r="K27" s="75"/>
      <c r="L27" s="75"/>
      <c r="M27" s="75"/>
      <c r="N27" s="322"/>
    </row>
    <row r="28" spans="1:255" ht="15.6" customHeight="1" x14ac:dyDescent="0.25">
      <c r="A28" s="71"/>
      <c r="B28" s="66" t="s">
        <v>32</v>
      </c>
      <c r="C28" s="498"/>
      <c r="D28" s="75"/>
      <c r="E28" s="74"/>
      <c r="F28" s="75"/>
      <c r="G28" s="76"/>
      <c r="H28" s="75"/>
      <c r="I28" s="75"/>
      <c r="J28" s="75"/>
      <c r="K28" s="75"/>
      <c r="L28" s="75"/>
      <c r="M28" s="75"/>
      <c r="N28" s="322"/>
    </row>
    <row r="29" spans="1:255" ht="15" customHeight="1" x14ac:dyDescent="0.25">
      <c r="A29" s="71"/>
      <c r="B29" s="77" t="s">
        <v>33</v>
      </c>
      <c r="C29" s="499">
        <v>35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322"/>
    </row>
    <row r="30" spans="1:255" ht="15" customHeight="1" x14ac:dyDescent="0.25">
      <c r="A30" s="71"/>
      <c r="B30" s="77" t="s">
        <v>34</v>
      </c>
      <c r="C30" s="500">
        <f>5000*3.785</f>
        <v>18925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322"/>
    </row>
    <row r="31" spans="1:255" ht="15" customHeight="1" x14ac:dyDescent="0.25">
      <c r="A31" s="71"/>
      <c r="B31" s="77" t="s">
        <v>35</v>
      </c>
      <c r="C31" s="500">
        <f>80*220</f>
        <v>17600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322"/>
    </row>
    <row r="32" spans="1:255" ht="15" customHeight="1" x14ac:dyDescent="0.25">
      <c r="A32" s="71"/>
      <c r="B32" s="77" t="s">
        <v>36</v>
      </c>
      <c r="C32" s="499">
        <v>3000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322"/>
    </row>
    <row r="33" spans="1:14" ht="15" customHeight="1" x14ac:dyDescent="0.25">
      <c r="A33" s="71"/>
      <c r="B33" s="77" t="s">
        <v>37</v>
      </c>
      <c r="C33" s="499">
        <f>25000*0.19</f>
        <v>4750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322"/>
    </row>
    <row r="34" spans="1:14" ht="15" customHeight="1" x14ac:dyDescent="0.25">
      <c r="A34" s="71"/>
      <c r="B34" s="77" t="s">
        <v>38</v>
      </c>
      <c r="C34" s="501">
        <v>3.7850000000000001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322"/>
    </row>
    <row r="35" spans="1:14" ht="15" customHeight="1" x14ac:dyDescent="0.25">
      <c r="A35" s="71"/>
      <c r="B35" s="77" t="s">
        <v>464</v>
      </c>
      <c r="C35" s="502">
        <v>0.02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322"/>
    </row>
    <row r="36" spans="1:14" ht="15" customHeight="1" x14ac:dyDescent="0.25">
      <c r="A36" s="71"/>
      <c r="B36" s="77" t="s">
        <v>39</v>
      </c>
      <c r="C36" s="502">
        <v>0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322"/>
    </row>
    <row r="37" spans="1:14" ht="15" customHeight="1" x14ac:dyDescent="0.25">
      <c r="A37" s="71"/>
      <c r="B37" s="77" t="s">
        <v>40</v>
      </c>
      <c r="C37" s="502">
        <v>0.05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322"/>
    </row>
    <row r="38" spans="1:14" ht="15" customHeight="1" x14ac:dyDescent="0.25">
      <c r="A38" s="71"/>
      <c r="B38" s="77" t="s">
        <v>41</v>
      </c>
      <c r="C38" s="502">
        <v>0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322"/>
    </row>
    <row r="39" spans="1:14" ht="15" customHeight="1" x14ac:dyDescent="0.25">
      <c r="A39" s="71"/>
      <c r="B39" s="77" t="s">
        <v>458</v>
      </c>
      <c r="C39" s="502">
        <v>0.55000000000000004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322"/>
    </row>
    <row r="40" spans="1:14" ht="15" customHeight="1" x14ac:dyDescent="0.25">
      <c r="B40" s="77" t="s">
        <v>459</v>
      </c>
      <c r="C40" s="502">
        <v>0.15</v>
      </c>
    </row>
    <row r="41" spans="1:14" ht="15" customHeight="1" x14ac:dyDescent="0.25">
      <c r="B41" s="77" t="s">
        <v>460</v>
      </c>
      <c r="C41" s="502">
        <v>0.25</v>
      </c>
    </row>
  </sheetData>
  <conditionalFormatting sqref="G28 C29:C33 C6:M6 C21:M23">
    <cfRule type="cellIs" dxfId="11" priority="1" stopIfTrue="1" operator="lessThan">
      <formula>0</formula>
    </cfRule>
  </conditionalFormatting>
  <pageMargins left="0.2" right="0.2" top="0.39" bottom="0.2" header="0.3" footer="0.3"/>
  <pageSetup scale="80"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7"/>
  <sheetViews>
    <sheetView showGridLines="0" topLeftCell="A23" workbookViewId="0">
      <selection activeCell="F6" sqref="F6:F7"/>
    </sheetView>
  </sheetViews>
  <sheetFormatPr defaultColWidth="8.85546875" defaultRowHeight="12.75" customHeight="1" x14ac:dyDescent="0.25"/>
  <cols>
    <col min="1" max="1" width="2.85546875" style="125" customWidth="1"/>
    <col min="2" max="2" width="61.28515625" style="125" customWidth="1"/>
    <col min="3" max="3" width="48" style="125" hidden="1" customWidth="1"/>
    <col min="4" max="4" width="7.85546875" style="125" customWidth="1"/>
    <col min="5" max="5" width="10.7109375" style="125" customWidth="1"/>
    <col min="6" max="6" width="11.85546875" style="125" customWidth="1"/>
    <col min="7" max="7" width="1.85546875" style="125" customWidth="1"/>
    <col min="8" max="8" width="11.42578125" style="125" customWidth="1"/>
    <col min="9" max="18" width="10.7109375" style="125" customWidth="1"/>
    <col min="19" max="256" width="8.85546875" style="125" customWidth="1"/>
  </cols>
  <sheetData>
    <row r="1" spans="1:256" ht="15.75" customHeight="1" x14ac:dyDescent="0.25">
      <c r="A1" s="556" t="s">
        <v>498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56" ht="1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347"/>
      <c r="K2" s="126"/>
      <c r="L2" s="126"/>
      <c r="M2" s="126"/>
      <c r="N2" s="126"/>
      <c r="O2" s="126"/>
      <c r="P2" s="126"/>
      <c r="Q2" s="126"/>
      <c r="R2" s="126"/>
    </row>
    <row r="3" spans="1:256" ht="13.5" customHeight="1" x14ac:dyDescent="0.25">
      <c r="A3" s="127"/>
      <c r="B3" s="128"/>
      <c r="C3" s="128"/>
      <c r="D3" s="128"/>
      <c r="E3" s="128"/>
      <c r="F3" s="128"/>
      <c r="G3" s="129"/>
      <c r="H3" s="130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256" ht="14.45" customHeight="1" x14ac:dyDescent="0.25">
      <c r="A4" s="131">
        <v>1</v>
      </c>
      <c r="B4" s="132" t="s">
        <v>73</v>
      </c>
      <c r="C4" s="133" t="s">
        <v>74</v>
      </c>
      <c r="D4" s="134" t="s">
        <v>75</v>
      </c>
      <c r="E4" s="134" t="s">
        <v>76</v>
      </c>
      <c r="F4" s="135" t="s">
        <v>5</v>
      </c>
      <c r="G4" s="136"/>
      <c r="H4" s="137" t="s">
        <v>77</v>
      </c>
      <c r="I4" s="538">
        <v>1</v>
      </c>
      <c r="J4" s="447">
        <v>2</v>
      </c>
      <c r="K4" s="447">
        <v>3</v>
      </c>
      <c r="L4" s="447">
        <v>4</v>
      </c>
      <c r="M4" s="447">
        <v>5</v>
      </c>
      <c r="N4" s="447">
        <v>6</v>
      </c>
      <c r="O4" s="447">
        <v>7</v>
      </c>
      <c r="P4" s="447">
        <v>8</v>
      </c>
      <c r="Q4" s="447">
        <v>9</v>
      </c>
      <c r="R4" s="539">
        <v>10</v>
      </c>
    </row>
    <row r="5" spans="1:256" ht="14.1" customHeight="1" x14ac:dyDescent="0.25">
      <c r="A5" s="141"/>
      <c r="B5" s="142" t="s">
        <v>451</v>
      </c>
      <c r="C5" s="143" t="s">
        <v>78</v>
      </c>
      <c r="D5" s="144">
        <v>2</v>
      </c>
      <c r="E5" s="145">
        <v>450000</v>
      </c>
      <c r="F5" s="146">
        <f t="shared" ref="F5:F9" si="0">E5*D5</f>
        <v>900000</v>
      </c>
      <c r="G5" s="136"/>
      <c r="H5" s="540">
        <f>F5/10</f>
        <v>90000</v>
      </c>
      <c r="I5" s="153">
        <f t="shared" ref="I5:R5" si="1">H5</f>
        <v>90000</v>
      </c>
      <c r="J5" s="153">
        <f t="shared" si="1"/>
        <v>90000</v>
      </c>
      <c r="K5" s="153">
        <f t="shared" si="1"/>
        <v>90000</v>
      </c>
      <c r="L5" s="153">
        <f t="shared" si="1"/>
        <v>90000</v>
      </c>
      <c r="M5" s="153">
        <f t="shared" si="1"/>
        <v>90000</v>
      </c>
      <c r="N5" s="153">
        <f t="shared" si="1"/>
        <v>90000</v>
      </c>
      <c r="O5" s="153">
        <f t="shared" si="1"/>
        <v>90000</v>
      </c>
      <c r="P5" s="153">
        <f t="shared" si="1"/>
        <v>90000</v>
      </c>
      <c r="Q5" s="153">
        <f t="shared" si="1"/>
        <v>90000</v>
      </c>
      <c r="R5" s="153">
        <f t="shared" si="1"/>
        <v>90000</v>
      </c>
    </row>
    <row r="6" spans="1:256" ht="14.1" customHeight="1" x14ac:dyDescent="0.25">
      <c r="A6" s="72"/>
      <c r="B6" s="142" t="s">
        <v>454</v>
      </c>
      <c r="C6" s="155"/>
      <c r="D6" s="156">
        <v>2</v>
      </c>
      <c r="E6" s="145">
        <v>100000</v>
      </c>
      <c r="F6" s="146">
        <f t="shared" si="0"/>
        <v>200000</v>
      </c>
      <c r="G6" s="136"/>
      <c r="H6" s="541">
        <f t="shared" ref="H6:H8" si="2">F6/10</f>
        <v>20000</v>
      </c>
      <c r="I6" s="153">
        <f t="shared" ref="I6" si="3">H6</f>
        <v>20000</v>
      </c>
      <c r="J6" s="153">
        <f t="shared" ref="J6" si="4">I6</f>
        <v>20000</v>
      </c>
      <c r="K6" s="153">
        <f t="shared" ref="K6" si="5">J6</f>
        <v>20000</v>
      </c>
      <c r="L6" s="153">
        <f t="shared" ref="L6" si="6">K6</f>
        <v>20000</v>
      </c>
      <c r="M6" s="153">
        <f t="shared" ref="M6" si="7">L6</f>
        <v>20000</v>
      </c>
      <c r="N6" s="153">
        <f t="shared" ref="N6" si="8">M6</f>
        <v>20000</v>
      </c>
      <c r="O6" s="153">
        <f t="shared" ref="O6" si="9">N6</f>
        <v>20000</v>
      </c>
      <c r="P6" s="153">
        <f t="shared" ref="P6" si="10">O6</f>
        <v>20000</v>
      </c>
      <c r="Q6" s="153">
        <f t="shared" ref="Q6" si="11">P6</f>
        <v>20000</v>
      </c>
      <c r="R6" s="153">
        <f t="shared" ref="R6" si="12">Q6</f>
        <v>20000</v>
      </c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71"/>
      <c r="BC6" s="471"/>
      <c r="BD6" s="471"/>
      <c r="BE6" s="471"/>
      <c r="BF6" s="471"/>
      <c r="BG6" s="471"/>
      <c r="BH6" s="471"/>
      <c r="BI6" s="471"/>
      <c r="BJ6" s="471"/>
      <c r="BK6" s="471"/>
      <c r="BL6" s="471"/>
      <c r="BM6" s="471"/>
      <c r="BN6" s="471"/>
      <c r="BO6" s="471"/>
      <c r="BP6" s="471"/>
      <c r="BQ6" s="471"/>
      <c r="BR6" s="471"/>
      <c r="BS6" s="471"/>
      <c r="BT6" s="471"/>
      <c r="BU6" s="471"/>
      <c r="BV6" s="471"/>
      <c r="BW6" s="471"/>
      <c r="BX6" s="471"/>
      <c r="BY6" s="471"/>
      <c r="BZ6" s="471"/>
      <c r="CA6" s="471"/>
      <c r="CB6" s="471"/>
      <c r="CC6" s="471"/>
      <c r="CD6" s="471"/>
      <c r="CE6" s="471"/>
      <c r="CF6" s="471"/>
      <c r="CG6" s="471"/>
      <c r="CH6" s="471"/>
      <c r="CI6" s="471"/>
      <c r="CJ6" s="471"/>
      <c r="CK6" s="471"/>
      <c r="CL6" s="471"/>
      <c r="CM6" s="471"/>
      <c r="CN6" s="471"/>
      <c r="CO6" s="471"/>
      <c r="CP6" s="471"/>
      <c r="CQ6" s="471"/>
      <c r="CR6" s="471"/>
      <c r="CS6" s="471"/>
      <c r="CT6" s="471"/>
      <c r="CU6" s="471"/>
      <c r="CV6" s="471"/>
      <c r="CW6" s="471"/>
      <c r="CX6" s="471"/>
      <c r="CY6" s="471"/>
      <c r="CZ6" s="471"/>
      <c r="DA6" s="471"/>
      <c r="DB6" s="471"/>
      <c r="DC6" s="471"/>
      <c r="DD6" s="471"/>
      <c r="DE6" s="471"/>
      <c r="DF6" s="471"/>
      <c r="DG6" s="471"/>
      <c r="DH6" s="471"/>
      <c r="DI6" s="471"/>
      <c r="DJ6" s="471"/>
      <c r="DK6" s="471"/>
      <c r="DL6" s="471"/>
      <c r="DM6" s="471"/>
      <c r="DN6" s="471"/>
      <c r="DO6" s="471"/>
      <c r="DP6" s="471"/>
      <c r="DQ6" s="471"/>
      <c r="DR6" s="471"/>
      <c r="DS6" s="471"/>
      <c r="DT6" s="471"/>
      <c r="DU6" s="471"/>
      <c r="DV6" s="471"/>
      <c r="DW6" s="471"/>
      <c r="DX6" s="471"/>
      <c r="DY6" s="471"/>
      <c r="DZ6" s="471"/>
      <c r="EA6" s="471"/>
      <c r="EB6" s="471"/>
      <c r="EC6" s="471"/>
      <c r="ED6" s="471"/>
      <c r="EE6" s="471"/>
      <c r="EF6" s="471"/>
      <c r="EG6" s="471"/>
      <c r="EH6" s="471"/>
      <c r="EI6" s="471"/>
      <c r="EJ6" s="471"/>
      <c r="EK6" s="471"/>
      <c r="EL6" s="471"/>
      <c r="EM6" s="471"/>
      <c r="EN6" s="471"/>
      <c r="EO6" s="471"/>
      <c r="EP6" s="471"/>
      <c r="EQ6" s="471"/>
      <c r="ER6" s="471"/>
      <c r="ES6" s="471"/>
      <c r="ET6" s="471"/>
      <c r="EU6" s="471"/>
      <c r="EV6" s="471"/>
      <c r="EW6" s="471"/>
      <c r="EX6" s="471"/>
      <c r="EY6" s="471"/>
      <c r="EZ6" s="471"/>
      <c r="FA6" s="471"/>
      <c r="FB6" s="471"/>
      <c r="FC6" s="471"/>
      <c r="FD6" s="471"/>
      <c r="FE6" s="471"/>
      <c r="FF6" s="471"/>
      <c r="FG6" s="471"/>
      <c r="FH6" s="471"/>
      <c r="FI6" s="471"/>
      <c r="FJ6" s="471"/>
      <c r="FK6" s="471"/>
      <c r="FL6" s="471"/>
      <c r="FM6" s="471"/>
      <c r="FN6" s="471"/>
      <c r="FO6" s="471"/>
      <c r="FP6" s="471"/>
      <c r="FQ6" s="471"/>
      <c r="FR6" s="471"/>
      <c r="FS6" s="471"/>
      <c r="FT6" s="471"/>
      <c r="FU6" s="471"/>
      <c r="FV6" s="471"/>
      <c r="FW6" s="471"/>
      <c r="FX6" s="471"/>
      <c r="FY6" s="471"/>
      <c r="FZ6" s="471"/>
      <c r="GA6" s="471"/>
      <c r="GB6" s="471"/>
      <c r="GC6" s="471"/>
      <c r="GD6" s="471"/>
      <c r="GE6" s="471"/>
      <c r="GF6" s="471"/>
      <c r="GG6" s="471"/>
      <c r="GH6" s="471"/>
      <c r="GI6" s="471"/>
      <c r="GJ6" s="471"/>
      <c r="GK6" s="471"/>
      <c r="GL6" s="471"/>
      <c r="GM6" s="471"/>
      <c r="GN6" s="471"/>
      <c r="GO6" s="471"/>
      <c r="GP6" s="471"/>
      <c r="GQ6" s="471"/>
      <c r="GR6" s="471"/>
      <c r="GS6" s="471"/>
      <c r="GT6" s="471"/>
      <c r="GU6" s="471"/>
      <c r="GV6" s="471"/>
      <c r="GW6" s="471"/>
      <c r="GX6" s="471"/>
      <c r="GY6" s="471"/>
      <c r="GZ6" s="471"/>
      <c r="HA6" s="471"/>
      <c r="HB6" s="471"/>
      <c r="HC6" s="471"/>
      <c r="HD6" s="471"/>
      <c r="HE6" s="471"/>
      <c r="HF6" s="471"/>
      <c r="HG6" s="471"/>
      <c r="HH6" s="471"/>
      <c r="HI6" s="471"/>
      <c r="HJ6" s="471"/>
      <c r="HK6" s="471"/>
      <c r="HL6" s="471"/>
      <c r="HM6" s="471"/>
      <c r="HN6" s="471"/>
      <c r="HO6" s="471"/>
      <c r="HP6" s="471"/>
      <c r="HQ6" s="471"/>
      <c r="HR6" s="471"/>
      <c r="HS6" s="471"/>
      <c r="HT6" s="471"/>
      <c r="HU6" s="471"/>
      <c r="HV6" s="471"/>
      <c r="HW6" s="471"/>
      <c r="HX6" s="471"/>
      <c r="HY6" s="471"/>
      <c r="HZ6" s="471"/>
      <c r="IA6" s="471"/>
      <c r="IB6" s="471"/>
      <c r="IC6" s="471"/>
      <c r="ID6" s="471"/>
      <c r="IE6" s="471"/>
      <c r="IF6" s="471"/>
      <c r="IG6" s="471"/>
      <c r="IH6" s="471"/>
      <c r="II6" s="471"/>
      <c r="IJ6" s="471"/>
      <c r="IK6" s="471"/>
      <c r="IL6" s="471"/>
      <c r="IM6" s="471"/>
      <c r="IN6" s="471"/>
      <c r="IO6" s="471"/>
      <c r="IP6" s="471"/>
      <c r="IQ6" s="471"/>
      <c r="IR6" s="471"/>
      <c r="IS6" s="471"/>
      <c r="IT6" s="471"/>
      <c r="IU6" s="471"/>
      <c r="IV6" s="471"/>
    </row>
    <row r="7" spans="1:256" ht="14.1" customHeight="1" x14ac:dyDescent="0.25">
      <c r="A7" s="72"/>
      <c r="B7" s="142" t="s">
        <v>500</v>
      </c>
      <c r="C7" s="155"/>
      <c r="D7" s="156">
        <v>1</v>
      </c>
      <c r="E7" s="145">
        <v>300000</v>
      </c>
      <c r="F7" s="146">
        <f t="shared" si="0"/>
        <v>300000</v>
      </c>
      <c r="G7" s="136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471"/>
      <c r="AK7" s="471"/>
      <c r="AL7" s="471"/>
      <c r="AM7" s="471"/>
      <c r="AN7" s="471"/>
      <c r="AO7" s="471"/>
      <c r="AP7" s="471"/>
      <c r="AQ7" s="471"/>
      <c r="AR7" s="471"/>
      <c r="AS7" s="471"/>
      <c r="AT7" s="471"/>
      <c r="AU7" s="471"/>
      <c r="AV7" s="471"/>
      <c r="AW7" s="471"/>
      <c r="AX7" s="471"/>
      <c r="AY7" s="471"/>
      <c r="AZ7" s="471"/>
      <c r="BA7" s="471"/>
      <c r="BB7" s="471"/>
      <c r="BC7" s="471"/>
      <c r="BD7" s="471"/>
      <c r="BE7" s="471"/>
      <c r="BF7" s="471"/>
      <c r="BG7" s="471"/>
      <c r="BH7" s="471"/>
      <c r="BI7" s="471"/>
      <c r="BJ7" s="471"/>
      <c r="BK7" s="471"/>
      <c r="BL7" s="471"/>
      <c r="BM7" s="471"/>
      <c r="BN7" s="471"/>
      <c r="BO7" s="471"/>
      <c r="BP7" s="471"/>
      <c r="BQ7" s="471"/>
      <c r="BR7" s="471"/>
      <c r="BS7" s="471"/>
      <c r="BT7" s="471"/>
      <c r="BU7" s="471"/>
      <c r="BV7" s="471"/>
      <c r="BW7" s="471"/>
      <c r="BX7" s="471"/>
      <c r="BY7" s="471"/>
      <c r="BZ7" s="471"/>
      <c r="CA7" s="471"/>
      <c r="CB7" s="471"/>
      <c r="CC7" s="471"/>
      <c r="CD7" s="471"/>
      <c r="CE7" s="471"/>
      <c r="CF7" s="471"/>
      <c r="CG7" s="471"/>
      <c r="CH7" s="471"/>
      <c r="CI7" s="471"/>
      <c r="CJ7" s="471"/>
      <c r="CK7" s="471"/>
      <c r="CL7" s="471"/>
      <c r="CM7" s="471"/>
      <c r="CN7" s="471"/>
      <c r="CO7" s="471"/>
      <c r="CP7" s="471"/>
      <c r="CQ7" s="471"/>
      <c r="CR7" s="471"/>
      <c r="CS7" s="471"/>
      <c r="CT7" s="471"/>
      <c r="CU7" s="471"/>
      <c r="CV7" s="471"/>
      <c r="CW7" s="471"/>
      <c r="CX7" s="471"/>
      <c r="CY7" s="471"/>
      <c r="CZ7" s="471"/>
      <c r="DA7" s="471"/>
      <c r="DB7" s="471"/>
      <c r="DC7" s="471"/>
      <c r="DD7" s="471"/>
      <c r="DE7" s="471"/>
      <c r="DF7" s="471"/>
      <c r="DG7" s="471"/>
      <c r="DH7" s="471"/>
      <c r="DI7" s="471"/>
      <c r="DJ7" s="471"/>
      <c r="DK7" s="471"/>
      <c r="DL7" s="471"/>
      <c r="DM7" s="471"/>
      <c r="DN7" s="471"/>
      <c r="DO7" s="471"/>
      <c r="DP7" s="471"/>
      <c r="DQ7" s="471"/>
      <c r="DR7" s="471"/>
      <c r="DS7" s="471"/>
      <c r="DT7" s="471"/>
      <c r="DU7" s="471"/>
      <c r="DV7" s="471"/>
      <c r="DW7" s="471"/>
      <c r="DX7" s="471"/>
      <c r="DY7" s="471"/>
      <c r="DZ7" s="471"/>
      <c r="EA7" s="471"/>
      <c r="EB7" s="471"/>
      <c r="EC7" s="471"/>
      <c r="ED7" s="471"/>
      <c r="EE7" s="471"/>
      <c r="EF7" s="471"/>
      <c r="EG7" s="471"/>
      <c r="EH7" s="471"/>
      <c r="EI7" s="471"/>
      <c r="EJ7" s="471"/>
      <c r="EK7" s="471"/>
      <c r="EL7" s="471"/>
      <c r="EM7" s="471"/>
      <c r="EN7" s="471"/>
      <c r="EO7" s="471"/>
      <c r="EP7" s="471"/>
      <c r="EQ7" s="471"/>
      <c r="ER7" s="471"/>
      <c r="ES7" s="471"/>
      <c r="ET7" s="471"/>
      <c r="EU7" s="471"/>
      <c r="EV7" s="471"/>
      <c r="EW7" s="471"/>
      <c r="EX7" s="471"/>
      <c r="EY7" s="471"/>
      <c r="EZ7" s="471"/>
      <c r="FA7" s="471"/>
      <c r="FB7" s="471"/>
      <c r="FC7" s="471"/>
      <c r="FD7" s="471"/>
      <c r="FE7" s="471"/>
      <c r="FF7" s="471"/>
      <c r="FG7" s="471"/>
      <c r="FH7" s="471"/>
      <c r="FI7" s="471"/>
      <c r="FJ7" s="471"/>
      <c r="FK7" s="471"/>
      <c r="FL7" s="471"/>
      <c r="FM7" s="471"/>
      <c r="FN7" s="471"/>
      <c r="FO7" s="471"/>
      <c r="FP7" s="471"/>
      <c r="FQ7" s="471"/>
      <c r="FR7" s="471"/>
      <c r="FS7" s="471"/>
      <c r="FT7" s="471"/>
      <c r="FU7" s="471"/>
      <c r="FV7" s="471"/>
      <c r="FW7" s="471"/>
      <c r="FX7" s="471"/>
      <c r="FY7" s="471"/>
      <c r="FZ7" s="471"/>
      <c r="GA7" s="471"/>
      <c r="GB7" s="471"/>
      <c r="GC7" s="471"/>
      <c r="GD7" s="471"/>
      <c r="GE7" s="471"/>
      <c r="GF7" s="471"/>
      <c r="GG7" s="471"/>
      <c r="GH7" s="471"/>
      <c r="GI7" s="471"/>
      <c r="GJ7" s="471"/>
      <c r="GK7" s="471"/>
      <c r="GL7" s="471"/>
      <c r="GM7" s="471"/>
      <c r="GN7" s="471"/>
      <c r="GO7" s="471"/>
      <c r="GP7" s="471"/>
      <c r="GQ7" s="471"/>
      <c r="GR7" s="471"/>
      <c r="GS7" s="471"/>
      <c r="GT7" s="471"/>
      <c r="GU7" s="471"/>
      <c r="GV7" s="471"/>
      <c r="GW7" s="471"/>
      <c r="GX7" s="471"/>
      <c r="GY7" s="471"/>
      <c r="GZ7" s="471"/>
      <c r="HA7" s="471"/>
      <c r="HB7" s="471"/>
      <c r="HC7" s="471"/>
      <c r="HD7" s="471"/>
      <c r="HE7" s="471"/>
      <c r="HF7" s="471"/>
      <c r="HG7" s="471"/>
      <c r="HH7" s="471"/>
      <c r="HI7" s="471"/>
      <c r="HJ7" s="471"/>
      <c r="HK7" s="471"/>
      <c r="HL7" s="471"/>
      <c r="HM7" s="471"/>
      <c r="HN7" s="471"/>
      <c r="HO7" s="471"/>
      <c r="HP7" s="471"/>
      <c r="HQ7" s="471"/>
      <c r="HR7" s="471"/>
      <c r="HS7" s="471"/>
      <c r="HT7" s="471"/>
      <c r="HU7" s="471"/>
      <c r="HV7" s="471"/>
      <c r="HW7" s="471"/>
      <c r="HX7" s="471"/>
      <c r="HY7" s="471"/>
      <c r="HZ7" s="471"/>
      <c r="IA7" s="471"/>
      <c r="IB7" s="471"/>
      <c r="IC7" s="471"/>
      <c r="ID7" s="471"/>
      <c r="IE7" s="471"/>
      <c r="IF7" s="471"/>
      <c r="IG7" s="471"/>
      <c r="IH7" s="471"/>
      <c r="II7" s="471"/>
      <c r="IJ7" s="471"/>
      <c r="IK7" s="471"/>
      <c r="IL7" s="471"/>
      <c r="IM7" s="471"/>
      <c r="IN7" s="471"/>
      <c r="IO7" s="471"/>
      <c r="IP7" s="471"/>
      <c r="IQ7" s="471"/>
      <c r="IR7" s="471"/>
      <c r="IS7" s="471"/>
      <c r="IT7" s="471"/>
      <c r="IU7" s="471"/>
      <c r="IV7" s="471"/>
    </row>
    <row r="8" spans="1:256" ht="14.1" customHeight="1" x14ac:dyDescent="0.25">
      <c r="A8" s="72"/>
      <c r="B8" s="142" t="s">
        <v>79</v>
      </c>
      <c r="C8" s="155" t="s">
        <v>80</v>
      </c>
      <c r="D8" s="156">
        <v>1</v>
      </c>
      <c r="E8" s="145">
        <v>150000</v>
      </c>
      <c r="F8" s="146">
        <f t="shared" si="0"/>
        <v>150000</v>
      </c>
      <c r="G8" s="136"/>
      <c r="H8" s="152">
        <f t="shared" si="2"/>
        <v>15000</v>
      </c>
      <c r="I8" s="152">
        <f t="shared" ref="I8:R8" si="13">H8</f>
        <v>15000</v>
      </c>
      <c r="J8" s="153">
        <f t="shared" si="13"/>
        <v>15000</v>
      </c>
      <c r="K8" s="153">
        <f t="shared" si="13"/>
        <v>15000</v>
      </c>
      <c r="L8" s="153">
        <f t="shared" si="13"/>
        <v>15000</v>
      </c>
      <c r="M8" s="153">
        <f t="shared" si="13"/>
        <v>15000</v>
      </c>
      <c r="N8" s="153">
        <f t="shared" si="13"/>
        <v>15000</v>
      </c>
      <c r="O8" s="153">
        <f t="shared" si="13"/>
        <v>15000</v>
      </c>
      <c r="P8" s="153">
        <f t="shared" si="13"/>
        <v>15000</v>
      </c>
      <c r="Q8" s="153">
        <f t="shared" si="13"/>
        <v>15000</v>
      </c>
      <c r="R8" s="154">
        <f t="shared" si="13"/>
        <v>15000</v>
      </c>
    </row>
    <row r="9" spans="1:256" ht="14.1" customHeight="1" thickBot="1" x14ac:dyDescent="0.3">
      <c r="A9" s="72"/>
      <c r="B9" s="142" t="s">
        <v>81</v>
      </c>
      <c r="C9" s="157" t="s">
        <v>82</v>
      </c>
      <c r="D9" s="158">
        <v>1</v>
      </c>
      <c r="E9" s="159">
        <v>100000</v>
      </c>
      <c r="F9" s="146">
        <f t="shared" si="0"/>
        <v>100000</v>
      </c>
      <c r="G9" s="136"/>
      <c r="H9" s="152">
        <f>F9/10</f>
        <v>10000</v>
      </c>
      <c r="I9" s="152">
        <f t="shared" ref="I9:R9" si="14">H9</f>
        <v>10000</v>
      </c>
      <c r="J9" s="153">
        <f t="shared" si="14"/>
        <v>10000</v>
      </c>
      <c r="K9" s="153">
        <f t="shared" si="14"/>
        <v>10000</v>
      </c>
      <c r="L9" s="153">
        <f t="shared" si="14"/>
        <v>10000</v>
      </c>
      <c r="M9" s="153">
        <f t="shared" si="14"/>
        <v>10000</v>
      </c>
      <c r="N9" s="153">
        <f t="shared" si="14"/>
        <v>10000</v>
      </c>
      <c r="O9" s="153">
        <f t="shared" si="14"/>
        <v>10000</v>
      </c>
      <c r="P9" s="153">
        <f t="shared" si="14"/>
        <v>10000</v>
      </c>
      <c r="Q9" s="153">
        <f t="shared" si="14"/>
        <v>10000</v>
      </c>
      <c r="R9" s="154">
        <f t="shared" si="14"/>
        <v>10000</v>
      </c>
    </row>
    <row r="10" spans="1:256" ht="13.5" customHeight="1" thickBot="1" x14ac:dyDescent="0.3">
      <c r="A10" s="72"/>
      <c r="B10" s="165" t="s">
        <v>5</v>
      </c>
      <c r="C10" s="166"/>
      <c r="D10" s="166"/>
      <c r="E10" s="167"/>
      <c r="F10" s="168">
        <f>SUM(F5:F9)</f>
        <v>1650000</v>
      </c>
      <c r="G10" s="169"/>
      <c r="H10" s="170">
        <f t="shared" ref="H10:R10" si="15">SUM(H5:H9)</f>
        <v>135000</v>
      </c>
      <c r="I10" s="170">
        <f t="shared" si="15"/>
        <v>135000</v>
      </c>
      <c r="J10" s="170">
        <f t="shared" si="15"/>
        <v>135000</v>
      </c>
      <c r="K10" s="170">
        <f t="shared" si="15"/>
        <v>135000</v>
      </c>
      <c r="L10" s="170">
        <f t="shared" si="15"/>
        <v>135000</v>
      </c>
      <c r="M10" s="170">
        <f t="shared" si="15"/>
        <v>135000</v>
      </c>
      <c r="N10" s="170">
        <f t="shared" si="15"/>
        <v>135000</v>
      </c>
      <c r="O10" s="170">
        <f t="shared" si="15"/>
        <v>135000</v>
      </c>
      <c r="P10" s="170">
        <f t="shared" si="15"/>
        <v>135000</v>
      </c>
      <c r="Q10" s="170">
        <f t="shared" si="15"/>
        <v>135000</v>
      </c>
      <c r="R10" s="170">
        <f t="shared" si="15"/>
        <v>135000</v>
      </c>
    </row>
    <row r="11" spans="1:256" ht="13.5" customHeight="1" x14ac:dyDescent="0.25">
      <c r="A11" s="171"/>
      <c r="B11" s="172"/>
      <c r="C11" s="173"/>
      <c r="D11" s="173"/>
      <c r="E11" s="173"/>
      <c r="F11" s="174"/>
      <c r="G11" s="75"/>
      <c r="H11" s="175"/>
      <c r="I11" s="176"/>
      <c r="J11" s="176"/>
      <c r="K11" s="176"/>
      <c r="L11" s="176"/>
      <c r="M11" s="176"/>
      <c r="N11" s="176"/>
      <c r="O11" s="176"/>
      <c r="P11" s="176"/>
      <c r="Q11" s="176"/>
      <c r="R11" s="176"/>
    </row>
    <row r="12" spans="1:256" ht="14.45" customHeight="1" x14ac:dyDescent="0.25">
      <c r="A12" s="177">
        <v>2</v>
      </c>
      <c r="B12" s="132" t="s">
        <v>83</v>
      </c>
      <c r="C12" s="133" t="s">
        <v>84</v>
      </c>
      <c r="D12" s="134" t="s">
        <v>75</v>
      </c>
      <c r="E12" s="134" t="s">
        <v>76</v>
      </c>
      <c r="F12" s="135" t="s">
        <v>5</v>
      </c>
      <c r="G12" s="136"/>
      <c r="H12" s="137" t="s">
        <v>77</v>
      </c>
      <c r="I12" s="138">
        <v>1</v>
      </c>
      <c r="J12" s="139">
        <v>2</v>
      </c>
      <c r="K12" s="139">
        <v>3</v>
      </c>
      <c r="L12" s="139">
        <v>4</v>
      </c>
      <c r="M12" s="139">
        <v>5</v>
      </c>
      <c r="N12" s="139">
        <v>6</v>
      </c>
      <c r="O12" s="139">
        <v>7</v>
      </c>
      <c r="P12" s="139">
        <v>8</v>
      </c>
      <c r="Q12" s="139">
        <v>9</v>
      </c>
      <c r="R12" s="140">
        <v>10</v>
      </c>
    </row>
    <row r="13" spans="1:256" ht="14.1" customHeight="1" x14ac:dyDescent="0.25">
      <c r="A13" s="141"/>
      <c r="B13" s="178" t="s">
        <v>452</v>
      </c>
      <c r="C13" s="179" t="s">
        <v>85</v>
      </c>
      <c r="D13" s="180">
        <v>2</v>
      </c>
      <c r="E13" s="160">
        <v>95000</v>
      </c>
      <c r="F13" s="181">
        <f>E13*D13</f>
        <v>190000</v>
      </c>
      <c r="G13" s="136"/>
      <c r="H13" s="147">
        <f>F13/5</f>
        <v>38000</v>
      </c>
      <c r="I13" s="148">
        <f t="shared" ref="I13:R13" si="16">H13</f>
        <v>38000</v>
      </c>
      <c r="J13" s="149">
        <f t="shared" si="16"/>
        <v>38000</v>
      </c>
      <c r="K13" s="149">
        <f t="shared" si="16"/>
        <v>38000</v>
      </c>
      <c r="L13" s="149">
        <f t="shared" si="16"/>
        <v>38000</v>
      </c>
      <c r="M13" s="149">
        <f t="shared" si="16"/>
        <v>38000</v>
      </c>
      <c r="N13" s="149">
        <f t="shared" si="16"/>
        <v>38000</v>
      </c>
      <c r="O13" s="149">
        <f t="shared" si="16"/>
        <v>38000</v>
      </c>
      <c r="P13" s="149">
        <f t="shared" si="16"/>
        <v>38000</v>
      </c>
      <c r="Q13" s="149">
        <f t="shared" si="16"/>
        <v>38000</v>
      </c>
      <c r="R13" s="150">
        <f t="shared" si="16"/>
        <v>38000</v>
      </c>
    </row>
    <row r="14" spans="1:256" ht="14.1" customHeight="1" x14ac:dyDescent="0.25">
      <c r="A14" s="72"/>
      <c r="B14" s="178" t="s">
        <v>86</v>
      </c>
      <c r="C14" s="179" t="s">
        <v>87</v>
      </c>
      <c r="D14" s="180">
        <v>0</v>
      </c>
      <c r="E14" s="160">
        <v>35000</v>
      </c>
      <c r="F14" s="181">
        <f>E14*D14</f>
        <v>0</v>
      </c>
      <c r="G14" s="136"/>
      <c r="H14" s="151"/>
      <c r="I14" s="152">
        <f t="shared" ref="I14:R14" si="17">H14</f>
        <v>0</v>
      </c>
      <c r="J14" s="153">
        <f t="shared" si="17"/>
        <v>0</v>
      </c>
      <c r="K14" s="153">
        <f t="shared" si="17"/>
        <v>0</v>
      </c>
      <c r="L14" s="153">
        <f t="shared" si="17"/>
        <v>0</v>
      </c>
      <c r="M14" s="153">
        <f t="shared" si="17"/>
        <v>0</v>
      </c>
      <c r="N14" s="153">
        <f t="shared" si="17"/>
        <v>0</v>
      </c>
      <c r="O14" s="153">
        <f t="shared" si="17"/>
        <v>0</v>
      </c>
      <c r="P14" s="153">
        <f t="shared" si="17"/>
        <v>0</v>
      </c>
      <c r="Q14" s="153">
        <f t="shared" si="17"/>
        <v>0</v>
      </c>
      <c r="R14" s="154">
        <f t="shared" si="17"/>
        <v>0</v>
      </c>
    </row>
    <row r="15" spans="1:256" ht="14.1" customHeight="1" x14ac:dyDescent="0.25">
      <c r="A15" s="72"/>
      <c r="B15" s="558" t="s">
        <v>493</v>
      </c>
      <c r="C15" s="182" t="s">
        <v>88</v>
      </c>
      <c r="D15" s="183">
        <v>2</v>
      </c>
      <c r="E15" s="184">
        <v>20000</v>
      </c>
      <c r="F15" s="185">
        <f>E15*D15</f>
        <v>40000</v>
      </c>
      <c r="G15" s="136"/>
      <c r="H15" s="161">
        <f>F15/5</f>
        <v>8000</v>
      </c>
      <c r="I15" s="162">
        <f t="shared" ref="I15:R15" si="18">H15</f>
        <v>8000</v>
      </c>
      <c r="J15" s="163">
        <f t="shared" si="18"/>
        <v>8000</v>
      </c>
      <c r="K15" s="163">
        <f t="shared" si="18"/>
        <v>8000</v>
      </c>
      <c r="L15" s="163">
        <f t="shared" si="18"/>
        <v>8000</v>
      </c>
      <c r="M15" s="163">
        <f t="shared" si="18"/>
        <v>8000</v>
      </c>
      <c r="N15" s="163">
        <f t="shared" si="18"/>
        <v>8000</v>
      </c>
      <c r="O15" s="163">
        <f t="shared" si="18"/>
        <v>8000</v>
      </c>
      <c r="P15" s="163">
        <f t="shared" si="18"/>
        <v>8000</v>
      </c>
      <c r="Q15" s="163">
        <f t="shared" si="18"/>
        <v>8000</v>
      </c>
      <c r="R15" s="164">
        <f t="shared" si="18"/>
        <v>8000</v>
      </c>
    </row>
    <row r="16" spans="1:256" ht="13.5" customHeight="1" x14ac:dyDescent="0.25">
      <c r="A16" s="72"/>
      <c r="B16" s="186" t="s">
        <v>5</v>
      </c>
      <c r="C16" s="187"/>
      <c r="D16" s="188"/>
      <c r="E16" s="189"/>
      <c r="F16" s="190">
        <f>SUM(F11:F15)</f>
        <v>230000</v>
      </c>
      <c r="G16" s="136"/>
      <c r="H16" s="170">
        <f t="shared" ref="H16:R16" si="19">SUM(H13:H15)</f>
        <v>46000</v>
      </c>
      <c r="I16" s="170">
        <f t="shared" si="19"/>
        <v>46000</v>
      </c>
      <c r="J16" s="170">
        <f t="shared" si="19"/>
        <v>46000</v>
      </c>
      <c r="K16" s="170">
        <f t="shared" si="19"/>
        <v>46000</v>
      </c>
      <c r="L16" s="170">
        <f t="shared" si="19"/>
        <v>46000</v>
      </c>
      <c r="M16" s="170">
        <f t="shared" si="19"/>
        <v>46000</v>
      </c>
      <c r="N16" s="170">
        <f t="shared" si="19"/>
        <v>46000</v>
      </c>
      <c r="O16" s="170">
        <f t="shared" si="19"/>
        <v>46000</v>
      </c>
      <c r="P16" s="170">
        <f t="shared" si="19"/>
        <v>46000</v>
      </c>
      <c r="Q16" s="170">
        <f t="shared" si="19"/>
        <v>46000</v>
      </c>
      <c r="R16" s="170">
        <f t="shared" si="19"/>
        <v>46000</v>
      </c>
    </row>
    <row r="17" spans="1:18" ht="13.5" customHeight="1" x14ac:dyDescent="0.25">
      <c r="A17" s="171"/>
      <c r="B17" s="172"/>
      <c r="C17" s="173"/>
      <c r="D17" s="173"/>
      <c r="E17" s="173"/>
      <c r="F17" s="174"/>
      <c r="G17" s="75"/>
      <c r="H17" s="175"/>
      <c r="I17" s="176"/>
      <c r="J17" s="176"/>
      <c r="K17" s="176"/>
      <c r="L17" s="176"/>
      <c r="M17" s="176"/>
      <c r="N17" s="176"/>
      <c r="O17" s="176"/>
      <c r="P17" s="176"/>
      <c r="Q17" s="176"/>
      <c r="R17" s="176"/>
    </row>
    <row r="18" spans="1:18" ht="14.45" customHeight="1" x14ac:dyDescent="0.25">
      <c r="A18" s="177">
        <v>3</v>
      </c>
      <c r="B18" s="191" t="s">
        <v>453</v>
      </c>
      <c r="C18" s="192" t="s">
        <v>89</v>
      </c>
      <c r="D18" s="134" t="s">
        <v>75</v>
      </c>
      <c r="E18" s="134" t="s">
        <v>76</v>
      </c>
      <c r="F18" s="135" t="s">
        <v>5</v>
      </c>
      <c r="G18" s="136"/>
      <c r="H18" s="137" t="s">
        <v>77</v>
      </c>
      <c r="I18" s="138">
        <v>1</v>
      </c>
      <c r="J18" s="139">
        <v>2</v>
      </c>
      <c r="K18" s="139">
        <v>3</v>
      </c>
      <c r="L18" s="139">
        <v>4</v>
      </c>
      <c r="M18" s="139">
        <v>5</v>
      </c>
      <c r="N18" s="139">
        <v>6</v>
      </c>
      <c r="O18" s="139">
        <v>7</v>
      </c>
      <c r="P18" s="139">
        <v>8</v>
      </c>
      <c r="Q18" s="139">
        <v>9</v>
      </c>
      <c r="R18" s="140">
        <v>10</v>
      </c>
    </row>
    <row r="19" spans="1:18" ht="14.1" customHeight="1" x14ac:dyDescent="0.25">
      <c r="A19" s="72"/>
      <c r="B19" s="559" t="s">
        <v>494</v>
      </c>
      <c r="C19" s="179" t="s">
        <v>90</v>
      </c>
      <c r="D19" s="180">
        <v>1</v>
      </c>
      <c r="E19" s="160">
        <v>250000</v>
      </c>
      <c r="F19" s="181">
        <f t="shared" ref="F19" si="20">E19*D19</f>
        <v>250000</v>
      </c>
      <c r="G19" s="136"/>
      <c r="H19" s="151">
        <f t="shared" ref="H19" si="21">0</f>
        <v>0</v>
      </c>
      <c r="I19" s="152">
        <f t="shared" ref="I19:M19" si="22">H19</f>
        <v>0</v>
      </c>
      <c r="J19" s="153">
        <f t="shared" si="22"/>
        <v>0</v>
      </c>
      <c r="K19" s="153">
        <f t="shared" si="22"/>
        <v>0</v>
      </c>
      <c r="L19" s="153">
        <f t="shared" si="22"/>
        <v>0</v>
      </c>
      <c r="M19" s="153">
        <f t="shared" si="22"/>
        <v>0</v>
      </c>
      <c r="N19" s="153">
        <f t="shared" ref="N19:R19" si="23">M19</f>
        <v>0</v>
      </c>
      <c r="O19" s="153">
        <f t="shared" si="23"/>
        <v>0</v>
      </c>
      <c r="P19" s="153">
        <f t="shared" si="23"/>
        <v>0</v>
      </c>
      <c r="Q19" s="153">
        <f t="shared" si="23"/>
        <v>0</v>
      </c>
      <c r="R19" s="154">
        <f t="shared" si="23"/>
        <v>0</v>
      </c>
    </row>
    <row r="20" spans="1:18" ht="13.5" customHeight="1" thickBot="1" x14ac:dyDescent="0.3">
      <c r="A20" s="72"/>
      <c r="B20" s="186" t="s">
        <v>5</v>
      </c>
      <c r="C20" s="187"/>
      <c r="D20" s="188"/>
      <c r="E20" s="189"/>
      <c r="F20" s="190">
        <f>SUM(F19:F19)</f>
        <v>250000</v>
      </c>
      <c r="G20" s="136"/>
      <c r="H20" s="170">
        <f t="shared" ref="H20:R20" si="24">SUM(H19:H19)</f>
        <v>0</v>
      </c>
      <c r="I20" s="170">
        <f t="shared" si="24"/>
        <v>0</v>
      </c>
      <c r="J20" s="170">
        <f t="shared" si="24"/>
        <v>0</v>
      </c>
      <c r="K20" s="170">
        <f t="shared" si="24"/>
        <v>0</v>
      </c>
      <c r="L20" s="170">
        <f t="shared" si="24"/>
        <v>0</v>
      </c>
      <c r="M20" s="170">
        <f t="shared" si="24"/>
        <v>0</v>
      </c>
      <c r="N20" s="170">
        <f t="shared" si="24"/>
        <v>0</v>
      </c>
      <c r="O20" s="170">
        <f t="shared" si="24"/>
        <v>0</v>
      </c>
      <c r="P20" s="170">
        <f t="shared" si="24"/>
        <v>0</v>
      </c>
      <c r="Q20" s="170">
        <f t="shared" si="24"/>
        <v>0</v>
      </c>
      <c r="R20" s="170">
        <f t="shared" si="24"/>
        <v>0</v>
      </c>
    </row>
    <row r="21" spans="1:18" ht="13.5" customHeight="1" x14ac:dyDescent="0.25">
      <c r="A21" s="171"/>
      <c r="B21" s="193"/>
      <c r="C21" s="194"/>
      <c r="D21" s="195"/>
      <c r="E21" s="195"/>
      <c r="F21" s="196"/>
      <c r="G21" s="75"/>
      <c r="H21" s="175"/>
      <c r="I21" s="176"/>
      <c r="J21" s="176"/>
      <c r="K21" s="176"/>
      <c r="L21" s="176"/>
      <c r="M21" s="176"/>
      <c r="N21" s="176"/>
      <c r="O21" s="176"/>
      <c r="P21" s="176"/>
      <c r="Q21" s="176"/>
      <c r="R21" s="176"/>
    </row>
    <row r="22" spans="1:18" ht="14.45" customHeight="1" x14ac:dyDescent="0.25">
      <c r="A22" s="177">
        <v>4</v>
      </c>
      <c r="B22" s="191" t="s">
        <v>91</v>
      </c>
      <c r="C22" s="192" t="s">
        <v>92</v>
      </c>
      <c r="D22" s="134" t="s">
        <v>75</v>
      </c>
      <c r="E22" s="134" t="s">
        <v>76</v>
      </c>
      <c r="F22" s="135" t="s">
        <v>5</v>
      </c>
      <c r="G22" s="136"/>
      <c r="H22" s="137" t="s">
        <v>77</v>
      </c>
      <c r="I22" s="138">
        <v>1</v>
      </c>
      <c r="J22" s="139">
        <v>2</v>
      </c>
      <c r="K22" s="139">
        <v>3</v>
      </c>
      <c r="L22" s="139">
        <v>4</v>
      </c>
      <c r="M22" s="139">
        <v>5</v>
      </c>
      <c r="N22" s="139">
        <v>6</v>
      </c>
      <c r="O22" s="139">
        <v>7</v>
      </c>
      <c r="P22" s="139">
        <v>8</v>
      </c>
      <c r="Q22" s="139">
        <v>9</v>
      </c>
      <c r="R22" s="140">
        <v>10</v>
      </c>
    </row>
    <row r="23" spans="1:18" ht="14.1" customHeight="1" x14ac:dyDescent="0.25">
      <c r="A23" s="141"/>
      <c r="B23" s="178" t="s">
        <v>93</v>
      </c>
      <c r="C23" s="179" t="s">
        <v>94</v>
      </c>
      <c r="D23" s="197">
        <v>5000</v>
      </c>
      <c r="E23" s="485">
        <v>22</v>
      </c>
      <c r="F23" s="181">
        <f t="shared" ref="F23:F29" si="25">D23*E23</f>
        <v>110000</v>
      </c>
      <c r="G23" s="136"/>
      <c r="H23" s="147">
        <v>0</v>
      </c>
      <c r="I23" s="148">
        <f t="shared" ref="I23:R23" si="26">H23</f>
        <v>0</v>
      </c>
      <c r="J23" s="149">
        <f t="shared" si="26"/>
        <v>0</v>
      </c>
      <c r="K23" s="149">
        <f t="shared" si="26"/>
        <v>0</v>
      </c>
      <c r="L23" s="149">
        <f t="shared" si="26"/>
        <v>0</v>
      </c>
      <c r="M23" s="149">
        <f t="shared" si="26"/>
        <v>0</v>
      </c>
      <c r="N23" s="149">
        <f t="shared" si="26"/>
        <v>0</v>
      </c>
      <c r="O23" s="149">
        <f t="shared" si="26"/>
        <v>0</v>
      </c>
      <c r="P23" s="149">
        <f t="shared" si="26"/>
        <v>0</v>
      </c>
      <c r="Q23" s="149">
        <f t="shared" si="26"/>
        <v>0</v>
      </c>
      <c r="R23" s="150">
        <f t="shared" si="26"/>
        <v>0</v>
      </c>
    </row>
    <row r="24" spans="1:18" ht="14.1" customHeight="1" x14ac:dyDescent="0.25">
      <c r="A24" s="72"/>
      <c r="B24" s="178" t="s">
        <v>95</v>
      </c>
      <c r="C24" s="179" t="s">
        <v>96</v>
      </c>
      <c r="D24" s="197">
        <v>1000</v>
      </c>
      <c r="E24" s="160">
        <v>400</v>
      </c>
      <c r="F24" s="181">
        <f t="shared" si="25"/>
        <v>400000</v>
      </c>
      <c r="G24" s="136"/>
      <c r="H24" s="151">
        <f>F24/25</f>
        <v>16000</v>
      </c>
      <c r="I24" s="152">
        <f t="shared" ref="I24:R24" si="27">H24</f>
        <v>16000</v>
      </c>
      <c r="J24" s="153">
        <f t="shared" si="27"/>
        <v>16000</v>
      </c>
      <c r="K24" s="153">
        <f t="shared" si="27"/>
        <v>16000</v>
      </c>
      <c r="L24" s="153">
        <f t="shared" si="27"/>
        <v>16000</v>
      </c>
      <c r="M24" s="153">
        <f t="shared" si="27"/>
        <v>16000</v>
      </c>
      <c r="N24" s="153">
        <f t="shared" si="27"/>
        <v>16000</v>
      </c>
      <c r="O24" s="153">
        <f t="shared" si="27"/>
        <v>16000</v>
      </c>
      <c r="P24" s="153">
        <f t="shared" si="27"/>
        <v>16000</v>
      </c>
      <c r="Q24" s="153">
        <f t="shared" si="27"/>
        <v>16000</v>
      </c>
      <c r="R24" s="154">
        <f t="shared" si="27"/>
        <v>16000</v>
      </c>
    </row>
    <row r="25" spans="1:18" ht="14.1" customHeight="1" x14ac:dyDescent="0.25">
      <c r="A25" s="72"/>
      <c r="B25" s="178" t="s">
        <v>97</v>
      </c>
      <c r="C25" s="179" t="s">
        <v>98</v>
      </c>
      <c r="D25" s="197">
        <v>1500</v>
      </c>
      <c r="E25" s="160">
        <v>100</v>
      </c>
      <c r="F25" s="181">
        <f t="shared" si="25"/>
        <v>150000</v>
      </c>
      <c r="G25" s="136"/>
      <c r="H25" s="151">
        <f>F25/25</f>
        <v>6000</v>
      </c>
      <c r="I25" s="152">
        <f t="shared" ref="I25:R25" si="28">H25</f>
        <v>6000</v>
      </c>
      <c r="J25" s="153">
        <f t="shared" si="28"/>
        <v>6000</v>
      </c>
      <c r="K25" s="153">
        <f t="shared" si="28"/>
        <v>6000</v>
      </c>
      <c r="L25" s="153">
        <f t="shared" si="28"/>
        <v>6000</v>
      </c>
      <c r="M25" s="153">
        <f t="shared" si="28"/>
        <v>6000</v>
      </c>
      <c r="N25" s="153">
        <f t="shared" si="28"/>
        <v>6000</v>
      </c>
      <c r="O25" s="153">
        <f t="shared" si="28"/>
        <v>6000</v>
      </c>
      <c r="P25" s="153">
        <f t="shared" si="28"/>
        <v>6000</v>
      </c>
      <c r="Q25" s="153">
        <f t="shared" si="28"/>
        <v>6000</v>
      </c>
      <c r="R25" s="154">
        <f t="shared" si="28"/>
        <v>6000</v>
      </c>
    </row>
    <row r="26" spans="1:18" ht="14.1" customHeight="1" x14ac:dyDescent="0.25">
      <c r="A26" s="72"/>
      <c r="B26" s="178" t="s">
        <v>99</v>
      </c>
      <c r="C26" s="179" t="s">
        <v>100</v>
      </c>
      <c r="D26" s="197">
        <v>200</v>
      </c>
      <c r="E26" s="160">
        <v>100</v>
      </c>
      <c r="F26" s="181">
        <f t="shared" si="25"/>
        <v>20000</v>
      </c>
      <c r="G26" s="136"/>
      <c r="H26" s="151">
        <f>F26/25</f>
        <v>800</v>
      </c>
      <c r="I26" s="152">
        <f t="shared" ref="I26:R26" si="29">H26</f>
        <v>800</v>
      </c>
      <c r="J26" s="153">
        <f t="shared" si="29"/>
        <v>800</v>
      </c>
      <c r="K26" s="153">
        <f t="shared" si="29"/>
        <v>800</v>
      </c>
      <c r="L26" s="153">
        <f t="shared" si="29"/>
        <v>800</v>
      </c>
      <c r="M26" s="153">
        <f t="shared" si="29"/>
        <v>800</v>
      </c>
      <c r="N26" s="153">
        <f t="shared" si="29"/>
        <v>800</v>
      </c>
      <c r="O26" s="153">
        <f t="shared" si="29"/>
        <v>800</v>
      </c>
      <c r="P26" s="153">
        <f t="shared" si="29"/>
        <v>800</v>
      </c>
      <c r="Q26" s="153">
        <f t="shared" si="29"/>
        <v>800</v>
      </c>
      <c r="R26" s="154">
        <f t="shared" si="29"/>
        <v>800</v>
      </c>
    </row>
    <row r="27" spans="1:18" ht="14.1" customHeight="1" x14ac:dyDescent="0.25">
      <c r="A27" s="72"/>
      <c r="B27" s="178" t="s">
        <v>101</v>
      </c>
      <c r="C27" s="179" t="s">
        <v>102</v>
      </c>
      <c r="D27" s="197">
        <v>1</v>
      </c>
      <c r="E27" s="160">
        <v>50000</v>
      </c>
      <c r="F27" s="181">
        <f t="shared" si="25"/>
        <v>50000</v>
      </c>
      <c r="G27" s="136"/>
      <c r="H27" s="151">
        <f>F27/10</f>
        <v>5000</v>
      </c>
      <c r="I27" s="152">
        <f t="shared" ref="I27:R27" si="30">H27</f>
        <v>5000</v>
      </c>
      <c r="J27" s="153">
        <f t="shared" si="30"/>
        <v>5000</v>
      </c>
      <c r="K27" s="153">
        <f t="shared" si="30"/>
        <v>5000</v>
      </c>
      <c r="L27" s="153">
        <f t="shared" si="30"/>
        <v>5000</v>
      </c>
      <c r="M27" s="153">
        <f t="shared" si="30"/>
        <v>5000</v>
      </c>
      <c r="N27" s="153">
        <f t="shared" si="30"/>
        <v>5000</v>
      </c>
      <c r="O27" s="153">
        <f t="shared" si="30"/>
        <v>5000</v>
      </c>
      <c r="P27" s="153">
        <f t="shared" si="30"/>
        <v>5000</v>
      </c>
      <c r="Q27" s="153">
        <f t="shared" si="30"/>
        <v>5000</v>
      </c>
      <c r="R27" s="154">
        <f t="shared" si="30"/>
        <v>5000</v>
      </c>
    </row>
    <row r="28" spans="1:18" ht="14.1" customHeight="1" x14ac:dyDescent="0.25">
      <c r="A28" s="72"/>
      <c r="B28" s="178" t="s">
        <v>103</v>
      </c>
      <c r="C28" s="179" t="s">
        <v>104</v>
      </c>
      <c r="D28" s="197">
        <v>1</v>
      </c>
      <c r="E28" s="160">
        <v>50000</v>
      </c>
      <c r="F28" s="181">
        <f t="shared" si="25"/>
        <v>50000</v>
      </c>
      <c r="G28" s="136"/>
      <c r="H28" s="151">
        <f>F28/10</f>
        <v>5000</v>
      </c>
      <c r="I28" s="152">
        <f t="shared" ref="I28:R28" si="31">H28</f>
        <v>5000</v>
      </c>
      <c r="J28" s="153">
        <f t="shared" si="31"/>
        <v>5000</v>
      </c>
      <c r="K28" s="153">
        <f t="shared" si="31"/>
        <v>5000</v>
      </c>
      <c r="L28" s="153">
        <f t="shared" si="31"/>
        <v>5000</v>
      </c>
      <c r="M28" s="153">
        <f t="shared" si="31"/>
        <v>5000</v>
      </c>
      <c r="N28" s="153">
        <f t="shared" si="31"/>
        <v>5000</v>
      </c>
      <c r="O28" s="153">
        <f t="shared" si="31"/>
        <v>5000</v>
      </c>
      <c r="P28" s="153">
        <f t="shared" si="31"/>
        <v>5000</v>
      </c>
      <c r="Q28" s="153">
        <f t="shared" si="31"/>
        <v>5000</v>
      </c>
      <c r="R28" s="154">
        <f t="shared" si="31"/>
        <v>5000</v>
      </c>
    </row>
    <row r="29" spans="1:18" ht="13.5" customHeight="1" x14ac:dyDescent="0.25">
      <c r="A29" s="72"/>
      <c r="B29" s="199" t="s">
        <v>105</v>
      </c>
      <c r="C29" s="200" t="s">
        <v>106</v>
      </c>
      <c r="D29" s="201">
        <v>1120</v>
      </c>
      <c r="E29" s="202">
        <v>100</v>
      </c>
      <c r="F29" s="203">
        <f t="shared" si="25"/>
        <v>112000</v>
      </c>
      <c r="G29" s="136"/>
      <c r="H29" s="204">
        <f>F29/10</f>
        <v>11200</v>
      </c>
      <c r="I29" s="205">
        <f t="shared" ref="I29:R29" si="32">H29</f>
        <v>11200</v>
      </c>
      <c r="J29" s="206">
        <f t="shared" si="32"/>
        <v>11200</v>
      </c>
      <c r="K29" s="206">
        <f t="shared" si="32"/>
        <v>11200</v>
      </c>
      <c r="L29" s="206">
        <f t="shared" si="32"/>
        <v>11200</v>
      </c>
      <c r="M29" s="206">
        <f t="shared" si="32"/>
        <v>11200</v>
      </c>
      <c r="N29" s="206">
        <f t="shared" si="32"/>
        <v>11200</v>
      </c>
      <c r="O29" s="206">
        <f t="shared" si="32"/>
        <v>11200</v>
      </c>
      <c r="P29" s="206">
        <f t="shared" si="32"/>
        <v>11200</v>
      </c>
      <c r="Q29" s="206">
        <f t="shared" si="32"/>
        <v>11200</v>
      </c>
      <c r="R29" s="207">
        <f t="shared" si="32"/>
        <v>11200</v>
      </c>
    </row>
    <row r="30" spans="1:18" ht="14.45" customHeight="1" x14ac:dyDescent="0.25">
      <c r="A30" s="208"/>
      <c r="B30" s="209" t="s">
        <v>5</v>
      </c>
      <c r="C30" s="210"/>
      <c r="D30" s="211"/>
      <c r="E30" s="212"/>
      <c r="F30" s="213">
        <f>SUM(F23:F29)</f>
        <v>892000</v>
      </c>
      <c r="G30" s="214"/>
      <c r="H30" s="215">
        <f t="shared" ref="H30:R30" si="33">SUM(H24:H29)</f>
        <v>44000</v>
      </c>
      <c r="I30" s="215">
        <f t="shared" si="33"/>
        <v>44000</v>
      </c>
      <c r="J30" s="215">
        <f t="shared" si="33"/>
        <v>44000</v>
      </c>
      <c r="K30" s="215">
        <f t="shared" si="33"/>
        <v>44000</v>
      </c>
      <c r="L30" s="215">
        <f t="shared" si="33"/>
        <v>44000</v>
      </c>
      <c r="M30" s="215">
        <f t="shared" si="33"/>
        <v>44000</v>
      </c>
      <c r="N30" s="215">
        <f t="shared" si="33"/>
        <v>44000</v>
      </c>
      <c r="O30" s="215">
        <f t="shared" si="33"/>
        <v>44000</v>
      </c>
      <c r="P30" s="215">
        <f t="shared" si="33"/>
        <v>44000</v>
      </c>
      <c r="Q30" s="215">
        <f t="shared" si="33"/>
        <v>44000</v>
      </c>
      <c r="R30" s="215">
        <f t="shared" si="33"/>
        <v>44000</v>
      </c>
    </row>
    <row r="31" spans="1:18" ht="13.5" customHeight="1" x14ac:dyDescent="0.25">
      <c r="A31" s="216"/>
      <c r="B31" s="217"/>
      <c r="C31" s="217"/>
      <c r="D31" s="218"/>
      <c r="E31" s="218"/>
      <c r="F31" s="219"/>
      <c r="G31" s="220"/>
      <c r="H31" s="221"/>
      <c r="I31" s="222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ht="14.45" customHeight="1" x14ac:dyDescent="0.25">
      <c r="A32" s="177">
        <v>5</v>
      </c>
      <c r="B32" s="224" t="s">
        <v>107</v>
      </c>
      <c r="C32" s="225" t="s">
        <v>108</v>
      </c>
      <c r="D32" s="134" t="s">
        <v>75</v>
      </c>
      <c r="E32" s="134" t="s">
        <v>76</v>
      </c>
      <c r="F32" s="135" t="s">
        <v>5</v>
      </c>
      <c r="G32" s="226"/>
      <c r="H32" s="137" t="s">
        <v>109</v>
      </c>
      <c r="I32" s="138">
        <v>1</v>
      </c>
      <c r="J32" s="139">
        <v>2</v>
      </c>
      <c r="K32" s="139">
        <v>3</v>
      </c>
      <c r="L32" s="139">
        <v>4</v>
      </c>
      <c r="M32" s="139">
        <v>5</v>
      </c>
      <c r="N32" s="139">
        <v>6</v>
      </c>
      <c r="O32" s="139">
        <v>7</v>
      </c>
      <c r="P32" s="139">
        <v>8</v>
      </c>
      <c r="Q32" s="139">
        <v>9</v>
      </c>
      <c r="R32" s="140">
        <v>10</v>
      </c>
    </row>
    <row r="33" spans="1:18" ht="14.1" customHeight="1" x14ac:dyDescent="0.25">
      <c r="A33" s="141"/>
      <c r="B33" s="227" t="s">
        <v>110</v>
      </c>
      <c r="C33" s="228" t="s">
        <v>111</v>
      </c>
      <c r="D33" s="229"/>
      <c r="E33" s="229"/>
      <c r="F33" s="146">
        <v>80000</v>
      </c>
      <c r="G33" s="226"/>
      <c r="H33" s="230">
        <v>0</v>
      </c>
      <c r="I33" s="148">
        <f t="shared" ref="I33:K36" si="34">H33</f>
        <v>0</v>
      </c>
      <c r="J33" s="149">
        <f t="shared" si="34"/>
        <v>0</v>
      </c>
      <c r="K33" s="149">
        <f t="shared" si="34"/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>
        <v>0</v>
      </c>
      <c r="R33" s="150">
        <v>0</v>
      </c>
    </row>
    <row r="34" spans="1:18" ht="14.1" customHeight="1" x14ac:dyDescent="0.25">
      <c r="A34" s="72"/>
      <c r="B34" s="231" t="s">
        <v>112</v>
      </c>
      <c r="C34" s="232" t="s">
        <v>113</v>
      </c>
      <c r="D34" s="229"/>
      <c r="E34" s="229"/>
      <c r="F34" s="181">
        <f>F30*0.08</f>
        <v>71360</v>
      </c>
      <c r="G34" s="226"/>
      <c r="H34" s="233">
        <v>0</v>
      </c>
      <c r="I34" s="152">
        <f t="shared" si="34"/>
        <v>0</v>
      </c>
      <c r="J34" s="153">
        <f t="shared" si="34"/>
        <v>0</v>
      </c>
      <c r="K34" s="153">
        <f t="shared" si="34"/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4">
        <v>0</v>
      </c>
    </row>
    <row r="35" spans="1:18" ht="14.1" customHeight="1" x14ac:dyDescent="0.25">
      <c r="A35" s="72"/>
      <c r="B35" s="178" t="s">
        <v>114</v>
      </c>
      <c r="C35" s="179" t="s">
        <v>115</v>
      </c>
      <c r="D35" s="229"/>
      <c r="E35" s="229"/>
      <c r="F35" s="181">
        <v>70000</v>
      </c>
      <c r="G35" s="226"/>
      <c r="H35" s="233">
        <v>0</v>
      </c>
      <c r="I35" s="152">
        <f t="shared" si="34"/>
        <v>0</v>
      </c>
      <c r="J35" s="153">
        <f t="shared" si="34"/>
        <v>0</v>
      </c>
      <c r="K35" s="153">
        <f t="shared" si="34"/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4">
        <v>0</v>
      </c>
    </row>
    <row r="36" spans="1:18" ht="14.1" customHeight="1" x14ac:dyDescent="0.25">
      <c r="A36" s="72"/>
      <c r="B36" s="178" t="s">
        <v>116</v>
      </c>
      <c r="C36" s="179" t="s">
        <v>117</v>
      </c>
      <c r="D36" s="229"/>
      <c r="E36" s="229"/>
      <c r="F36" s="181">
        <v>20000</v>
      </c>
      <c r="G36" s="226"/>
      <c r="H36" s="233">
        <v>0</v>
      </c>
      <c r="I36" s="152">
        <f t="shared" si="34"/>
        <v>0</v>
      </c>
      <c r="J36" s="153">
        <f t="shared" si="34"/>
        <v>0</v>
      </c>
      <c r="K36" s="153">
        <f t="shared" si="34"/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4">
        <v>0</v>
      </c>
    </row>
    <row r="37" spans="1:18" ht="14.1" customHeight="1" x14ac:dyDescent="0.25">
      <c r="A37" s="72"/>
      <c r="B37" s="178" t="s">
        <v>118</v>
      </c>
      <c r="C37" s="179" t="s">
        <v>119</v>
      </c>
      <c r="D37" s="229"/>
      <c r="E37" s="229"/>
      <c r="F37" s="181">
        <v>45000</v>
      </c>
      <c r="G37" s="226"/>
      <c r="H37" s="233"/>
      <c r="I37" s="152"/>
      <c r="J37" s="153"/>
      <c r="K37" s="153"/>
      <c r="L37" s="153"/>
      <c r="M37" s="153"/>
      <c r="N37" s="153"/>
      <c r="O37" s="153"/>
      <c r="P37" s="153"/>
      <c r="Q37" s="153"/>
      <c r="R37" s="154"/>
    </row>
    <row r="38" spans="1:18" ht="14.1" customHeight="1" x14ac:dyDescent="0.25">
      <c r="A38" s="72"/>
      <c r="B38" s="178" t="s">
        <v>120</v>
      </c>
      <c r="C38" s="179" t="s">
        <v>121</v>
      </c>
      <c r="D38" s="229"/>
      <c r="E38" s="229"/>
      <c r="F38" s="181"/>
      <c r="G38" s="226"/>
      <c r="H38" s="233">
        <v>0</v>
      </c>
      <c r="I38" s="152">
        <f t="shared" ref="I38:K39" si="35">H38</f>
        <v>0</v>
      </c>
      <c r="J38" s="153">
        <f t="shared" si="35"/>
        <v>0</v>
      </c>
      <c r="K38" s="153">
        <f t="shared" si="35"/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4">
        <v>0</v>
      </c>
    </row>
    <row r="39" spans="1:18" ht="13.5" customHeight="1" x14ac:dyDescent="0.25">
      <c r="A39" s="72"/>
      <c r="B39" s="234" t="s">
        <v>122</v>
      </c>
      <c r="C39" s="235" t="s">
        <v>123</v>
      </c>
      <c r="D39" s="236"/>
      <c r="E39" s="236"/>
      <c r="F39" s="237"/>
      <c r="G39" s="226"/>
      <c r="H39" s="238">
        <v>0</v>
      </c>
      <c r="I39" s="162">
        <f t="shared" si="35"/>
        <v>0</v>
      </c>
      <c r="J39" s="163">
        <f t="shared" si="35"/>
        <v>0</v>
      </c>
      <c r="K39" s="163">
        <f t="shared" si="35"/>
        <v>0</v>
      </c>
      <c r="L39" s="163">
        <v>0</v>
      </c>
      <c r="M39" s="163">
        <v>0</v>
      </c>
      <c r="N39" s="163">
        <v>0</v>
      </c>
      <c r="O39" s="163">
        <v>0</v>
      </c>
      <c r="P39" s="163">
        <v>0</v>
      </c>
      <c r="Q39" s="163">
        <v>0</v>
      </c>
      <c r="R39" s="164">
        <v>0</v>
      </c>
    </row>
    <row r="40" spans="1:18" ht="13.5" customHeight="1" x14ac:dyDescent="0.25">
      <c r="A40" s="72"/>
      <c r="B40" s="165" t="s">
        <v>5</v>
      </c>
      <c r="C40" s="166"/>
      <c r="D40" s="166"/>
      <c r="E40" s="166"/>
      <c r="F40" s="239">
        <f>SUM(F33:F39)</f>
        <v>286360</v>
      </c>
      <c r="G40" s="240"/>
      <c r="H40" s="170">
        <f t="shared" ref="H40:R40" si="36">SUM(H33:H39)</f>
        <v>0</v>
      </c>
      <c r="I40" s="170">
        <f t="shared" si="36"/>
        <v>0</v>
      </c>
      <c r="J40" s="170">
        <f t="shared" si="36"/>
        <v>0</v>
      </c>
      <c r="K40" s="170">
        <f t="shared" si="36"/>
        <v>0</v>
      </c>
      <c r="L40" s="170">
        <f t="shared" si="36"/>
        <v>0</v>
      </c>
      <c r="M40" s="170">
        <f t="shared" si="36"/>
        <v>0</v>
      </c>
      <c r="N40" s="170">
        <f t="shared" si="36"/>
        <v>0</v>
      </c>
      <c r="O40" s="170">
        <f t="shared" si="36"/>
        <v>0</v>
      </c>
      <c r="P40" s="170">
        <f t="shared" si="36"/>
        <v>0</v>
      </c>
      <c r="Q40" s="170">
        <f t="shared" si="36"/>
        <v>0</v>
      </c>
      <c r="R40" s="170">
        <f t="shared" si="36"/>
        <v>0</v>
      </c>
    </row>
    <row r="41" spans="1:18" ht="13.5" customHeight="1" thickBot="1" x14ac:dyDescent="0.3">
      <c r="A41" s="171"/>
      <c r="B41" s="172"/>
      <c r="C41" s="173"/>
      <c r="D41" s="173"/>
      <c r="E41" s="173"/>
      <c r="F41" s="174"/>
      <c r="G41" s="75"/>
      <c r="H41" s="175"/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 ht="13.5" customHeight="1" thickBot="1" x14ac:dyDescent="0.3">
      <c r="A42" s="241"/>
      <c r="B42" s="242"/>
      <c r="C42" s="242"/>
      <c r="D42" s="242"/>
      <c r="E42" s="242"/>
      <c r="F42" s="242"/>
      <c r="G42" s="75"/>
      <c r="H42" s="175"/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8" ht="14.45" customHeight="1" x14ac:dyDescent="0.25">
      <c r="A43" s="72"/>
      <c r="B43" s="243" t="s">
        <v>126</v>
      </c>
      <c r="C43" s="244"/>
      <c r="D43" s="244"/>
      <c r="E43" s="244"/>
      <c r="F43" s="245">
        <f>F40+F30+F20+F16+F10</f>
        <v>3308360</v>
      </c>
      <c r="G43" s="136"/>
      <c r="H43" s="137" t="s">
        <v>30</v>
      </c>
      <c r="I43" s="138">
        <v>1</v>
      </c>
      <c r="J43" s="139">
        <v>2</v>
      </c>
      <c r="K43" s="139">
        <v>3</v>
      </c>
      <c r="L43" s="139">
        <v>4</v>
      </c>
      <c r="M43" s="139">
        <v>5</v>
      </c>
      <c r="N43" s="139">
        <v>6</v>
      </c>
      <c r="O43" s="139">
        <v>7</v>
      </c>
      <c r="P43" s="139">
        <v>8</v>
      </c>
      <c r="Q43" s="139">
        <v>9</v>
      </c>
      <c r="R43" s="140">
        <v>10</v>
      </c>
    </row>
    <row r="44" spans="1:18" ht="14.1" customHeight="1" x14ac:dyDescent="0.25">
      <c r="A44" s="72"/>
      <c r="B44" s="535" t="s">
        <v>127</v>
      </c>
      <c r="C44" s="536" t="s">
        <v>128</v>
      </c>
      <c r="D44" s="537"/>
      <c r="E44" s="537"/>
      <c r="F44" s="247"/>
      <c r="G44" s="136"/>
      <c r="H44" s="170">
        <f t="shared" ref="H44:R44" si="37">H10+H16+H20+H30+H40</f>
        <v>225000</v>
      </c>
      <c r="I44" s="170">
        <f t="shared" si="37"/>
        <v>225000</v>
      </c>
      <c r="J44" s="170">
        <f t="shared" si="37"/>
        <v>225000</v>
      </c>
      <c r="K44" s="170">
        <f t="shared" si="37"/>
        <v>225000</v>
      </c>
      <c r="L44" s="170">
        <f t="shared" si="37"/>
        <v>225000</v>
      </c>
      <c r="M44" s="170">
        <f t="shared" si="37"/>
        <v>225000</v>
      </c>
      <c r="N44" s="170">
        <f t="shared" si="37"/>
        <v>225000</v>
      </c>
      <c r="O44" s="170">
        <f t="shared" si="37"/>
        <v>225000</v>
      </c>
      <c r="P44" s="170">
        <f t="shared" si="37"/>
        <v>225000</v>
      </c>
      <c r="Q44" s="170">
        <f t="shared" si="37"/>
        <v>225000</v>
      </c>
      <c r="R44" s="170">
        <f t="shared" si="37"/>
        <v>225000</v>
      </c>
    </row>
    <row r="45" spans="1:18" ht="13.5" customHeight="1" x14ac:dyDescent="0.25">
      <c r="A45" s="248"/>
      <c r="B45" s="249" t="s">
        <v>30</v>
      </c>
      <c r="C45" s="250"/>
      <c r="D45" s="251"/>
      <c r="E45" s="251"/>
      <c r="F45" s="252">
        <f>SUM(F43:F44)</f>
        <v>3308360</v>
      </c>
      <c r="G45" s="253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</row>
    <row r="46" spans="1:18" ht="15.6" customHeight="1" x14ac:dyDescent="0.25">
      <c r="A46" s="126"/>
      <c r="B46" s="255"/>
      <c r="C46" s="255"/>
      <c r="D46" s="255"/>
      <c r="E46" s="255"/>
      <c r="F46" s="255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</row>
    <row r="47" spans="1:18" ht="15" customHeight="1" x14ac:dyDescent="0.25">
      <c r="A47" s="126"/>
      <c r="B47" s="126"/>
      <c r="C47" s="126"/>
      <c r="D47" s="126"/>
      <c r="E47" s="126"/>
      <c r="F47" s="25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</row>
  </sheetData>
  <conditionalFormatting sqref="E13:F16 H13:R16 F43:F45 F47 E23:F30 H23:R31 F33:F40 H33:R40 H44:R44 H5:R10 E19:F20 H19:R20 E5:F10">
    <cfRule type="cellIs" dxfId="10" priority="1" stopIfTrue="1" operator="lessThan">
      <formula>0</formula>
    </cfRule>
  </conditionalFormatting>
  <pageMargins left="0.2" right="0.2" top="0.58684999999999998" bottom="0.2" header="0.3" footer="0.3"/>
  <pageSetup scale="70"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65"/>
  <sheetViews>
    <sheetView showGridLines="0" tabSelected="1" topLeftCell="D1" workbookViewId="0">
      <selection activeCell="F61" sqref="F61"/>
    </sheetView>
  </sheetViews>
  <sheetFormatPr defaultColWidth="8.85546875" defaultRowHeight="15" customHeight="1" x14ac:dyDescent="0.25"/>
  <cols>
    <col min="1" max="1" width="2.85546875" style="275" customWidth="1"/>
    <col min="2" max="2" width="42.28515625" style="275" customWidth="1"/>
    <col min="3" max="3" width="54.85546875" style="275" hidden="1" customWidth="1"/>
    <col min="4" max="4" width="12" style="275" bestFit="1" customWidth="1"/>
    <col min="5" max="12" width="13.28515625" style="275" customWidth="1"/>
    <col min="13" max="14" width="12.42578125" style="275" customWidth="1"/>
    <col min="15" max="16" width="10.5703125" style="275" bestFit="1" customWidth="1"/>
    <col min="17" max="256" width="8.85546875" style="275" customWidth="1"/>
  </cols>
  <sheetData>
    <row r="1" spans="1:15" ht="15.75" customHeight="1" x14ac:dyDescent="0.25">
      <c r="A1" s="557" t="s">
        <v>489</v>
      </c>
      <c r="B1" s="3"/>
      <c r="C1" s="276" t="s">
        <v>129</v>
      </c>
      <c r="D1" s="3"/>
      <c r="E1" s="3"/>
      <c r="F1" s="3"/>
      <c r="G1" s="3"/>
      <c r="H1" s="3"/>
      <c r="I1" s="3"/>
      <c r="J1" s="3"/>
      <c r="K1" s="3"/>
      <c r="L1" s="3"/>
      <c r="M1" s="57"/>
      <c r="N1" s="59"/>
    </row>
    <row r="2" spans="1:15" ht="15" customHeight="1" thickBot="1" x14ac:dyDescent="0.3">
      <c r="A2" s="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77"/>
      <c r="N2" s="70"/>
    </row>
    <row r="3" spans="1:15" ht="15" customHeight="1" x14ac:dyDescent="0.25">
      <c r="A3" s="8"/>
      <c r="B3" s="278" t="s">
        <v>130</v>
      </c>
      <c r="C3" s="278" t="s">
        <v>131</v>
      </c>
      <c r="D3" s="504">
        <v>2019</v>
      </c>
      <c r="E3" s="504">
        <v>2020</v>
      </c>
      <c r="F3" s="504">
        <v>2021</v>
      </c>
      <c r="G3" s="504">
        <v>2022</v>
      </c>
      <c r="H3" s="504">
        <v>2023</v>
      </c>
      <c r="I3" s="504">
        <v>2024</v>
      </c>
      <c r="J3" s="504">
        <v>2025</v>
      </c>
      <c r="K3" s="504">
        <v>2026</v>
      </c>
      <c r="L3" s="504">
        <v>2027</v>
      </c>
      <c r="M3" s="504">
        <v>2028</v>
      </c>
      <c r="N3" s="504">
        <v>2029</v>
      </c>
    </row>
    <row r="4" spans="1:15" ht="15" customHeight="1" x14ac:dyDescent="0.25">
      <c r="A4" s="8"/>
      <c r="B4" s="246" t="s">
        <v>143</v>
      </c>
      <c r="C4" s="246" t="s">
        <v>144</v>
      </c>
      <c r="D4" s="48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ht="15" customHeight="1" x14ac:dyDescent="0.25">
      <c r="A5" s="8"/>
      <c r="B5" s="270" t="s">
        <v>449</v>
      </c>
      <c r="C5" s="270" t="s">
        <v>145</v>
      </c>
      <c r="D5" s="153">
        <f>'Key Assumptions'!C11*'Key Assumptions'!C21*'Key Assumptions'!C$5*12</f>
        <v>990000</v>
      </c>
      <c r="E5" s="153">
        <f>'Key Assumptions'!D11*'Key Assumptions'!D21*'Key Assumptions'!D$5*12</f>
        <v>1514700.0000000002</v>
      </c>
      <c r="F5" s="153">
        <f>'Key Assumptions'!E11*'Key Assumptions'!E21*'Key Assumptions'!E$5*12</f>
        <v>2059992.0000000005</v>
      </c>
      <c r="G5" s="153">
        <f>'Key Assumptions'!F11*'Key Assumptions'!F21*'Key Assumptions'!F$5*12</f>
        <v>2101191.8400000003</v>
      </c>
      <c r="H5" s="153">
        <f>'Key Assumptions'!G11*'Key Assumptions'!G21*'Key Assumptions'!G$5*12</f>
        <v>2143215.6768000005</v>
      </c>
      <c r="I5" s="153">
        <f>'Key Assumptions'!H11*'Key Assumptions'!H21*'Key Assumptions'!H$5*12</f>
        <v>2186079.9903360009</v>
      </c>
      <c r="J5" s="153">
        <f>'Key Assumptions'!I11*'Key Assumptions'!I21*'Key Assumptions'!I$5*12</f>
        <v>2229801.5901427208</v>
      </c>
      <c r="K5" s="153">
        <f>'Key Assumptions'!J11*'Key Assumptions'!J21*'Key Assumptions'!J$5*12</f>
        <v>2274397.6219455753</v>
      </c>
      <c r="L5" s="153">
        <f>'Key Assumptions'!K11*'Key Assumptions'!K21*'Key Assumptions'!K$5*12</f>
        <v>2319885.5743844868</v>
      </c>
      <c r="M5" s="153">
        <f>'Key Assumptions'!L11*'Key Assumptions'!L21*'Key Assumptions'!L$5*12</f>
        <v>2366283.2858721763</v>
      </c>
      <c r="N5" s="153">
        <f>'Key Assumptions'!M11*'Key Assumptions'!M21*'Key Assumptions'!M$5*12</f>
        <v>2413608.9515896202</v>
      </c>
      <c r="O5" s="153"/>
    </row>
    <row r="6" spans="1:15" ht="15" customHeight="1" x14ac:dyDescent="0.25">
      <c r="A6" s="8"/>
      <c r="B6" s="270" t="s">
        <v>450</v>
      </c>
      <c r="C6" s="270" t="s">
        <v>147</v>
      </c>
      <c r="D6" s="153">
        <f>'Key Assumptions'!C12*'Key Assumptions'!C22*'Key Assumptions'!C$5*12</f>
        <v>67500</v>
      </c>
      <c r="E6" s="153">
        <f>'Key Assumptions'!D12*'Key Assumptions'!D22*'Key Assumptions'!D$5*12</f>
        <v>103275</v>
      </c>
      <c r="F6" s="153">
        <f>'Key Assumptions'!E12*'Key Assumptions'!E22*'Key Assumptions'!E$5*12</f>
        <v>140454</v>
      </c>
      <c r="G6" s="153">
        <f>'Key Assumptions'!F12*'Key Assumptions'!F22*'Key Assumptions'!F$5*12</f>
        <v>143263.08000000002</v>
      </c>
      <c r="H6" s="153">
        <f>'Key Assumptions'!G12*'Key Assumptions'!G22*'Key Assumptions'!G$5*12</f>
        <v>146128.34160000004</v>
      </c>
      <c r="I6" s="153">
        <f>'Key Assumptions'!H12*'Key Assumptions'!H22*'Key Assumptions'!H$5*12</f>
        <v>149050.90843200003</v>
      </c>
      <c r="J6" s="153">
        <f>'Key Assumptions'!I12*'Key Assumptions'!I22*'Key Assumptions'!I$5*12</f>
        <v>152031.92660064003</v>
      </c>
      <c r="K6" s="153">
        <f>'Key Assumptions'!J12*'Key Assumptions'!J22*'Key Assumptions'!J$5*12</f>
        <v>155072.56513265288</v>
      </c>
      <c r="L6" s="153">
        <f>'Key Assumptions'!K12*'Key Assumptions'!K22*'Key Assumptions'!K$5*12</f>
        <v>158174.01643530591</v>
      </c>
      <c r="M6" s="153">
        <f>'Key Assumptions'!L12*'Key Assumptions'!L22*'Key Assumptions'!L$5*12</f>
        <v>161337.49676401203</v>
      </c>
      <c r="N6" s="153">
        <f>'Key Assumptions'!M12*'Key Assumptions'!M22*'Key Assumptions'!M$5*12</f>
        <v>164564.24669929227</v>
      </c>
    </row>
    <row r="7" spans="1:15" ht="15" customHeight="1" x14ac:dyDescent="0.25">
      <c r="A7" s="8"/>
      <c r="B7" s="270" t="s">
        <v>455</v>
      </c>
      <c r="C7" s="270" t="s">
        <v>148</v>
      </c>
      <c r="D7" s="153">
        <f>'Key Assumptions'!C13*'Key Assumptions'!C23*'Key Assumptions'!C$5*12</f>
        <v>37500</v>
      </c>
      <c r="E7" s="153">
        <f>'Key Assumptions'!D13*'Key Assumptions'!D23*'Key Assumptions'!D$5*12</f>
        <v>57375</v>
      </c>
      <c r="F7" s="153">
        <f>'Key Assumptions'!E13*'Key Assumptions'!E23*'Key Assumptions'!E$5*12</f>
        <v>78030</v>
      </c>
      <c r="G7" s="153">
        <f>'Key Assumptions'!F13*'Key Assumptions'!F23*'Key Assumptions'!F$5*12</f>
        <v>79590.600000000006</v>
      </c>
      <c r="H7" s="153">
        <f>'Key Assumptions'!G13*'Key Assumptions'!G23*'Key Assumptions'!G$5*12</f>
        <v>81182.411999999997</v>
      </c>
      <c r="I7" s="153">
        <f>'Key Assumptions'!H13*'Key Assumptions'!H23*'Key Assumptions'!H$5*12</f>
        <v>82806.060240000006</v>
      </c>
      <c r="J7" s="153">
        <f>'Key Assumptions'!I13*'Key Assumptions'!I23*'Key Assumptions'!I$5*12</f>
        <v>84462.181444800008</v>
      </c>
      <c r="K7" s="153">
        <f>'Key Assumptions'!J13*'Key Assumptions'!J23*'Key Assumptions'!J$5*12</f>
        <v>86151.425073696009</v>
      </c>
      <c r="L7" s="153">
        <f>'Key Assumptions'!K13*'Key Assumptions'!K23*'Key Assumptions'!K$5*12</f>
        <v>87874.45357516993</v>
      </c>
      <c r="M7" s="153">
        <f>'Key Assumptions'!L13*'Key Assumptions'!L23*'Key Assumptions'!L$5*12</f>
        <v>89631.942646673328</v>
      </c>
      <c r="N7" s="153">
        <f>'Key Assumptions'!M13*'Key Assumptions'!M23*'Key Assumptions'!M$5*12</f>
        <v>91424.581499606807</v>
      </c>
    </row>
    <row r="8" spans="1:15" ht="15" customHeight="1" x14ac:dyDescent="0.25">
      <c r="A8" s="8"/>
      <c r="B8" s="262" t="s">
        <v>149</v>
      </c>
      <c r="C8" s="262" t="s">
        <v>150</v>
      </c>
      <c r="D8" s="264">
        <f t="shared" ref="D8:N8" si="0">SUM(D5:D7)</f>
        <v>1095000</v>
      </c>
      <c r="E8" s="264">
        <f t="shared" si="0"/>
        <v>1675350.0000000002</v>
      </c>
      <c r="F8" s="264">
        <f t="shared" si="0"/>
        <v>2278476.0000000005</v>
      </c>
      <c r="G8" s="264">
        <f t="shared" si="0"/>
        <v>2324045.5200000005</v>
      </c>
      <c r="H8" s="264">
        <f t="shared" si="0"/>
        <v>2370526.4304000004</v>
      </c>
      <c r="I8" s="264">
        <f t="shared" si="0"/>
        <v>2417936.9590080008</v>
      </c>
      <c r="J8" s="264">
        <f t="shared" si="0"/>
        <v>2466295.698188161</v>
      </c>
      <c r="K8" s="264">
        <f t="shared" si="0"/>
        <v>2515621.6121519241</v>
      </c>
      <c r="L8" s="264">
        <f t="shared" si="0"/>
        <v>2565934.044394963</v>
      </c>
      <c r="M8" s="264">
        <f t="shared" si="0"/>
        <v>2617252.7252828619</v>
      </c>
      <c r="N8" s="222">
        <f t="shared" si="0"/>
        <v>2669597.7797885193</v>
      </c>
    </row>
    <row r="9" spans="1:15" ht="8.1" customHeight="1" x14ac:dyDescent="0.25">
      <c r="A9" s="8"/>
      <c r="B9" s="75"/>
      <c r="C9" s="75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3"/>
    </row>
    <row r="10" spans="1:15" ht="15" customHeight="1" x14ac:dyDescent="0.25">
      <c r="A10" s="8"/>
      <c r="B10" s="246" t="s">
        <v>151</v>
      </c>
      <c r="C10" s="246" t="s">
        <v>152</v>
      </c>
      <c r="D10" s="284"/>
      <c r="E10" s="284">
        <f>(E8-D8)/D8</f>
        <v>0.53000000000000025</v>
      </c>
      <c r="F10" s="284">
        <f t="shared" ref="F10:N10" si="1">(F8-E8)/E8</f>
        <v>0.3600000000000001</v>
      </c>
      <c r="G10" s="284">
        <f t="shared" si="1"/>
        <v>2.0000000000000004E-2</v>
      </c>
      <c r="H10" s="284">
        <f t="shared" si="1"/>
        <v>1.9999999999999969E-2</v>
      </c>
      <c r="I10" s="284">
        <f t="shared" si="1"/>
        <v>2.0000000000000153E-2</v>
      </c>
      <c r="J10" s="284">
        <f t="shared" si="1"/>
        <v>2.0000000000000084E-2</v>
      </c>
      <c r="K10" s="284">
        <f t="shared" si="1"/>
        <v>1.9999999999999928E-2</v>
      </c>
      <c r="L10" s="284">
        <f t="shared" si="1"/>
        <v>2.0000000000000167E-2</v>
      </c>
      <c r="M10" s="284">
        <f t="shared" si="1"/>
        <v>1.9999999999999858E-2</v>
      </c>
      <c r="N10" s="285">
        <f t="shared" si="1"/>
        <v>2.0000000000000063E-2</v>
      </c>
    </row>
    <row r="11" spans="1:15" ht="15" customHeight="1" x14ac:dyDescent="0.25">
      <c r="A11" s="8"/>
      <c r="B11" s="270" t="s">
        <v>456</v>
      </c>
      <c r="C11" s="270" t="s">
        <v>153</v>
      </c>
      <c r="D11" s="153">
        <f>'Key Assumptions'!C5*'Key Assumptions'!C6*12</f>
        <v>150000</v>
      </c>
      <c r="E11" s="153">
        <f>'Key Assumptions'!D5*'Key Assumptions'!D6*12</f>
        <v>225000</v>
      </c>
      <c r="F11" s="153">
        <f>'Key Assumptions'!E5*'Key Assumptions'!E6*12</f>
        <v>300000</v>
      </c>
      <c r="G11" s="153">
        <f>'Key Assumptions'!F5*'Key Assumptions'!F6*12</f>
        <v>300000</v>
      </c>
      <c r="H11" s="153">
        <f>'Key Assumptions'!G5*'Key Assumptions'!G6*12</f>
        <v>300000</v>
      </c>
      <c r="I11" s="153">
        <f>'Key Assumptions'!H5*'Key Assumptions'!H6*12</f>
        <v>300000</v>
      </c>
      <c r="J11" s="153">
        <f>'Key Assumptions'!I5*'Key Assumptions'!I6*12</f>
        <v>300000</v>
      </c>
      <c r="K11" s="153">
        <f>'Key Assumptions'!J5*'Key Assumptions'!J6*12</f>
        <v>300000</v>
      </c>
      <c r="L11" s="153">
        <f>'Key Assumptions'!K5*'Key Assumptions'!K6*12</f>
        <v>300000</v>
      </c>
      <c r="M11" s="153">
        <f>'Key Assumptions'!L5*'Key Assumptions'!L6*12</f>
        <v>300000</v>
      </c>
      <c r="N11" s="153">
        <f>'Key Assumptions'!M5*'Key Assumptions'!M6*12</f>
        <v>300000</v>
      </c>
    </row>
    <row r="12" spans="1:15" ht="15" customHeight="1" x14ac:dyDescent="0.25">
      <c r="A12" s="8"/>
      <c r="B12" s="270" t="s">
        <v>155</v>
      </c>
      <c r="C12" s="270" t="s">
        <v>156</v>
      </c>
      <c r="D12" s="163">
        <v>0</v>
      </c>
      <c r="E12" s="163">
        <f>D12</f>
        <v>0</v>
      </c>
      <c r="F12" s="163">
        <f t="shared" ref="F12:N12" si="2">E12</f>
        <v>0</v>
      </c>
      <c r="G12" s="163">
        <f t="shared" si="2"/>
        <v>0</v>
      </c>
      <c r="H12" s="163">
        <f t="shared" si="2"/>
        <v>0</v>
      </c>
      <c r="I12" s="163">
        <f t="shared" si="2"/>
        <v>0</v>
      </c>
      <c r="J12" s="163">
        <f t="shared" si="2"/>
        <v>0</v>
      </c>
      <c r="K12" s="163">
        <f t="shared" si="2"/>
        <v>0</v>
      </c>
      <c r="L12" s="163">
        <f t="shared" si="2"/>
        <v>0</v>
      </c>
      <c r="M12" s="163">
        <f t="shared" si="2"/>
        <v>0</v>
      </c>
      <c r="N12" s="163">
        <f t="shared" si="2"/>
        <v>0</v>
      </c>
    </row>
    <row r="13" spans="1:15" ht="15" customHeight="1" x14ac:dyDescent="0.25">
      <c r="A13" s="8"/>
      <c r="B13" s="268" t="s">
        <v>157</v>
      </c>
      <c r="C13" s="268" t="s">
        <v>158</v>
      </c>
      <c r="D13" s="264">
        <f t="shared" ref="D13:N13" si="3">SUM(D11:D12)</f>
        <v>150000</v>
      </c>
      <c r="E13" s="264">
        <f t="shared" si="3"/>
        <v>225000</v>
      </c>
      <c r="F13" s="264">
        <f t="shared" si="3"/>
        <v>300000</v>
      </c>
      <c r="G13" s="264">
        <f t="shared" si="3"/>
        <v>300000</v>
      </c>
      <c r="H13" s="264">
        <f t="shared" si="3"/>
        <v>300000</v>
      </c>
      <c r="I13" s="264">
        <f t="shared" si="3"/>
        <v>300000</v>
      </c>
      <c r="J13" s="264">
        <f t="shared" si="3"/>
        <v>300000</v>
      </c>
      <c r="K13" s="264">
        <f t="shared" si="3"/>
        <v>300000</v>
      </c>
      <c r="L13" s="264">
        <f t="shared" si="3"/>
        <v>300000</v>
      </c>
      <c r="M13" s="264">
        <f t="shared" si="3"/>
        <v>300000</v>
      </c>
      <c r="N13" s="222">
        <f t="shared" si="3"/>
        <v>300000</v>
      </c>
    </row>
    <row r="14" spans="1:15" ht="15" customHeight="1" x14ac:dyDescent="0.25">
      <c r="A14" s="8"/>
      <c r="B14" s="75"/>
      <c r="C14" s="75"/>
      <c r="D14" s="286">
        <f t="shared" ref="D14:N14" si="4">D13/D8</f>
        <v>0.13698630136986301</v>
      </c>
      <c r="E14" s="286">
        <f t="shared" si="4"/>
        <v>0.13430029546065</v>
      </c>
      <c r="F14" s="286">
        <f t="shared" si="4"/>
        <v>0.13166695633397058</v>
      </c>
      <c r="G14" s="286">
        <f t="shared" si="4"/>
        <v>0.12908525130781429</v>
      </c>
      <c r="H14" s="286">
        <f t="shared" si="4"/>
        <v>0.12655416794883753</v>
      </c>
      <c r="I14" s="286">
        <f t="shared" si="4"/>
        <v>0.1240727136753309</v>
      </c>
      <c r="J14" s="286">
        <f t="shared" si="4"/>
        <v>0.12163991536797146</v>
      </c>
      <c r="K14" s="286">
        <f t="shared" si="4"/>
        <v>0.11925481898820732</v>
      </c>
      <c r="L14" s="286">
        <f t="shared" si="4"/>
        <v>0.11691648920412481</v>
      </c>
      <c r="M14" s="286">
        <f t="shared" si="4"/>
        <v>0.11462400902365179</v>
      </c>
      <c r="N14" s="287">
        <f t="shared" si="4"/>
        <v>0.11237647943495273</v>
      </c>
    </row>
    <row r="15" spans="1:15" ht="15" customHeight="1" x14ac:dyDescent="0.25">
      <c r="A15" s="8"/>
      <c r="B15" s="246" t="s">
        <v>159</v>
      </c>
      <c r="C15" s="246" t="s">
        <v>160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6"/>
    </row>
    <row r="16" spans="1:15" ht="15" customHeight="1" x14ac:dyDescent="0.25">
      <c r="A16" s="8"/>
      <c r="B16" s="270" t="s">
        <v>479</v>
      </c>
      <c r="C16" s="246"/>
      <c r="D16" s="265">
        <f>0.95*'Key Assumptions'!C5*'Key Assumptions'!C26*12</f>
        <v>451636.36363636365</v>
      </c>
      <c r="E16" s="265">
        <f>0.95*'Key Assumptions'!D5*'Key Assumptions'!D26*12</f>
        <v>508090.90909090906</v>
      </c>
      <c r="F16" s="265">
        <f>0.95*'Key Assumptions'!E5*'Key Assumptions'!E26*12</f>
        <v>602181.81818181812</v>
      </c>
      <c r="G16" s="265">
        <f>0.95*'Key Assumptions'!F5*'Key Assumptions'!F26*12</f>
        <v>564545.45454545459</v>
      </c>
      <c r="H16" s="265">
        <f>0.95*'Key Assumptions'!G5*'Key Assumptions'!G26*12</f>
        <v>564545.45454545459</v>
      </c>
      <c r="I16" s="265">
        <f>0.95*'Key Assumptions'!H5*'Key Assumptions'!H26*12</f>
        <v>564545.45454545459</v>
      </c>
      <c r="J16" s="265">
        <f>0.95*'Key Assumptions'!I5*'Key Assumptions'!I26*12</f>
        <v>564545.45454545459</v>
      </c>
      <c r="K16" s="265">
        <f>0.95*'Key Assumptions'!J5*'Key Assumptions'!J26*12</f>
        <v>564545.45454545459</v>
      </c>
      <c r="L16" s="265">
        <f>0.95*'Key Assumptions'!K5*'Key Assumptions'!K26*12</f>
        <v>564545.45454545459</v>
      </c>
      <c r="M16" s="265">
        <f>0.95*'Key Assumptions'!L5*'Key Assumptions'!L26*12</f>
        <v>564545.45454545459</v>
      </c>
      <c r="N16" s="265">
        <f>0.95*'Key Assumptions'!M5*'Key Assumptions'!M26*12</f>
        <v>564545.45454545459</v>
      </c>
    </row>
    <row r="17" spans="1:14" ht="15" customHeight="1" x14ac:dyDescent="0.25">
      <c r="A17" s="8"/>
      <c r="B17" s="272" t="s">
        <v>161</v>
      </c>
      <c r="C17" s="272" t="s">
        <v>162</v>
      </c>
      <c r="D17" s="163">
        <v>10000</v>
      </c>
      <c r="E17" s="163">
        <f>D17*1.05</f>
        <v>10500</v>
      </c>
      <c r="F17" s="163">
        <f t="shared" ref="F17:N17" si="5">E17*1.05</f>
        <v>11025</v>
      </c>
      <c r="G17" s="163">
        <f t="shared" si="5"/>
        <v>11576.25</v>
      </c>
      <c r="H17" s="163">
        <f t="shared" si="5"/>
        <v>12155.0625</v>
      </c>
      <c r="I17" s="163">
        <f t="shared" si="5"/>
        <v>12762.815625000001</v>
      </c>
      <c r="J17" s="163">
        <f t="shared" si="5"/>
        <v>13400.956406250001</v>
      </c>
      <c r="K17" s="163">
        <f t="shared" si="5"/>
        <v>14071.004226562502</v>
      </c>
      <c r="L17" s="163">
        <f t="shared" si="5"/>
        <v>14774.554437890627</v>
      </c>
      <c r="M17" s="163">
        <f t="shared" si="5"/>
        <v>15513.28215978516</v>
      </c>
      <c r="N17" s="163">
        <f t="shared" si="5"/>
        <v>16288.946267774418</v>
      </c>
    </row>
    <row r="18" spans="1:14" x14ac:dyDescent="0.25">
      <c r="A18" s="8"/>
      <c r="B18" s="262" t="s">
        <v>163</v>
      </c>
      <c r="C18" s="262" t="s">
        <v>164</v>
      </c>
      <c r="D18" s="264">
        <f>SUM(D16:D17)</f>
        <v>461636.36363636365</v>
      </c>
      <c r="E18" s="264">
        <f t="shared" ref="E18:N18" si="6">SUM(E16:E17)</f>
        <v>518590.90909090906</v>
      </c>
      <c r="F18" s="264">
        <f t="shared" si="6"/>
        <v>613206.81818181812</v>
      </c>
      <c r="G18" s="264">
        <f t="shared" si="6"/>
        <v>576121.70454545459</v>
      </c>
      <c r="H18" s="264">
        <f t="shared" si="6"/>
        <v>576700.51704545459</v>
      </c>
      <c r="I18" s="264">
        <f t="shared" si="6"/>
        <v>577308.27017045463</v>
      </c>
      <c r="J18" s="264">
        <f t="shared" si="6"/>
        <v>577946.4109517046</v>
      </c>
      <c r="K18" s="264">
        <f t="shared" si="6"/>
        <v>578616.45877201704</v>
      </c>
      <c r="L18" s="264">
        <f t="shared" si="6"/>
        <v>579320.00898334524</v>
      </c>
      <c r="M18" s="264">
        <f t="shared" si="6"/>
        <v>580058.73670523975</v>
      </c>
      <c r="N18" s="264">
        <f t="shared" si="6"/>
        <v>580834.40081322903</v>
      </c>
    </row>
    <row r="19" spans="1:14" x14ac:dyDescent="0.25">
      <c r="A19" s="8"/>
      <c r="B19" s="263"/>
      <c r="C19" s="263"/>
      <c r="D19" s="286">
        <f t="shared" ref="D19:N19" si="7">D18/D8</f>
        <v>0.42158572021585722</v>
      </c>
      <c r="E19" s="286">
        <f t="shared" si="7"/>
        <v>0.30954183250718298</v>
      </c>
      <c r="F19" s="286">
        <f t="shared" si="7"/>
        <v>0.26913025117746159</v>
      </c>
      <c r="G19" s="286">
        <f t="shared" si="7"/>
        <v>0.24789605005045445</v>
      </c>
      <c r="H19" s="286">
        <f t="shared" si="7"/>
        <v>0.24327951363450637</v>
      </c>
      <c r="I19" s="286">
        <f t="shared" si="7"/>
        <v>0.23876067902419798</v>
      </c>
      <c r="J19" s="286">
        <f t="shared" si="7"/>
        <v>0.23433784171796068</v>
      </c>
      <c r="K19" s="286">
        <f t="shared" si="7"/>
        <v>0.23000933684818139</v>
      </c>
      <c r="L19" s="286">
        <f t="shared" si="7"/>
        <v>0.22577353858678256</v>
      </c>
      <c r="M19" s="286">
        <f t="shared" si="7"/>
        <v>0.22162885956783154</v>
      </c>
      <c r="N19" s="287">
        <f t="shared" si="7"/>
        <v>0.21757375032700307</v>
      </c>
    </row>
    <row r="20" spans="1:14" ht="15" customHeight="1" x14ac:dyDescent="0.25">
      <c r="A20" s="290"/>
      <c r="B20" s="75"/>
      <c r="C20" s="75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9"/>
    </row>
    <row r="21" spans="1:14" x14ac:dyDescent="0.25">
      <c r="A21" s="294"/>
      <c r="B21" s="291" t="s">
        <v>165</v>
      </c>
      <c r="C21" s="291" t="s">
        <v>166</v>
      </c>
      <c r="D21" s="292">
        <f t="shared" ref="D21:N21" si="8">D13+D18</f>
        <v>611636.36363636365</v>
      </c>
      <c r="E21" s="292">
        <f t="shared" si="8"/>
        <v>743590.90909090906</v>
      </c>
      <c r="F21" s="292">
        <f t="shared" si="8"/>
        <v>913206.81818181812</v>
      </c>
      <c r="G21" s="292">
        <f t="shared" si="8"/>
        <v>876121.70454545459</v>
      </c>
      <c r="H21" s="292">
        <f t="shared" si="8"/>
        <v>876700.51704545459</v>
      </c>
      <c r="I21" s="292">
        <f t="shared" si="8"/>
        <v>877308.27017045463</v>
      </c>
      <c r="J21" s="292">
        <f t="shared" si="8"/>
        <v>877946.4109517046</v>
      </c>
      <c r="K21" s="292">
        <f t="shared" si="8"/>
        <v>878616.45877201704</v>
      </c>
      <c r="L21" s="292">
        <f t="shared" si="8"/>
        <v>879320.00898334524</v>
      </c>
      <c r="M21" s="292">
        <f t="shared" si="8"/>
        <v>880058.73670523975</v>
      </c>
      <c r="N21" s="293">
        <f t="shared" si="8"/>
        <v>880834.40081322903</v>
      </c>
    </row>
    <row r="22" spans="1:14" ht="15" customHeight="1" x14ac:dyDescent="0.25">
      <c r="A22" s="8"/>
      <c r="B22" s="295"/>
      <c r="C22" s="295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7"/>
    </row>
    <row r="23" spans="1:14" ht="15" customHeight="1" x14ac:dyDescent="0.25">
      <c r="A23" s="8"/>
      <c r="B23" s="268" t="s">
        <v>167</v>
      </c>
      <c r="C23" s="268" t="s">
        <v>168</v>
      </c>
      <c r="D23" s="298">
        <f t="shared" ref="D23:N23" si="9">D8-D21</f>
        <v>483363.63636363635</v>
      </c>
      <c r="E23" s="298">
        <f t="shared" si="9"/>
        <v>931759.09090909117</v>
      </c>
      <c r="F23" s="298">
        <f t="shared" si="9"/>
        <v>1365269.1818181823</v>
      </c>
      <c r="G23" s="298">
        <f t="shared" si="9"/>
        <v>1447923.8154545459</v>
      </c>
      <c r="H23" s="298">
        <f t="shared" si="9"/>
        <v>1493825.9133545458</v>
      </c>
      <c r="I23" s="298">
        <f t="shared" si="9"/>
        <v>1540628.6888375462</v>
      </c>
      <c r="J23" s="298">
        <f t="shared" si="9"/>
        <v>1588349.2872364563</v>
      </c>
      <c r="K23" s="298">
        <f t="shared" si="9"/>
        <v>1637005.1533799069</v>
      </c>
      <c r="L23" s="298">
        <f t="shared" si="9"/>
        <v>1686614.0354116177</v>
      </c>
      <c r="M23" s="298">
        <f t="shared" si="9"/>
        <v>1737193.988577622</v>
      </c>
      <c r="N23" s="299">
        <f t="shared" si="9"/>
        <v>1788763.3789752903</v>
      </c>
    </row>
    <row r="24" spans="1:14" x14ac:dyDescent="0.25">
      <c r="A24" s="8"/>
      <c r="B24" s="263"/>
      <c r="C24" s="263"/>
      <c r="D24" s="286">
        <f t="shared" ref="D24:N24" si="10">D23/D8</f>
        <v>0.44142797841427978</v>
      </c>
      <c r="E24" s="286">
        <f t="shared" si="10"/>
        <v>0.55615787203216704</v>
      </c>
      <c r="F24" s="286">
        <f t="shared" si="10"/>
        <v>0.59920279248856778</v>
      </c>
      <c r="G24" s="286">
        <f t="shared" si="10"/>
        <v>0.62301869864173121</v>
      </c>
      <c r="H24" s="286">
        <f t="shared" si="10"/>
        <v>0.63016631841665605</v>
      </c>
      <c r="I24" s="286">
        <f t="shared" si="10"/>
        <v>0.63716660730047114</v>
      </c>
      <c r="J24" s="286">
        <f t="shared" si="10"/>
        <v>0.64402224291406784</v>
      </c>
      <c r="K24" s="286">
        <f t="shared" si="10"/>
        <v>0.65073584416361119</v>
      </c>
      <c r="L24" s="286">
        <f t="shared" si="10"/>
        <v>0.6573099722090926</v>
      </c>
      <c r="M24" s="286">
        <f t="shared" si="10"/>
        <v>0.6637471314085166</v>
      </c>
      <c r="N24" s="287">
        <f t="shared" si="10"/>
        <v>0.67004977023804424</v>
      </c>
    </row>
    <row r="25" spans="1:14" ht="15" customHeight="1" thickBot="1" x14ac:dyDescent="0.3">
      <c r="A25" s="8"/>
      <c r="B25" s="263"/>
      <c r="C25" s="263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9"/>
    </row>
    <row r="26" spans="1:14" ht="15" customHeight="1" x14ac:dyDescent="0.25">
      <c r="A26" s="8"/>
      <c r="B26" s="75"/>
      <c r="C26" s="75"/>
      <c r="D26" s="504">
        <v>2019</v>
      </c>
      <c r="E26" s="504">
        <v>2020</v>
      </c>
      <c r="F26" s="504">
        <v>2021</v>
      </c>
      <c r="G26" s="504">
        <v>2022</v>
      </c>
      <c r="H26" s="504">
        <v>2023</v>
      </c>
      <c r="I26" s="504">
        <v>2024</v>
      </c>
      <c r="J26" s="504">
        <v>2025</v>
      </c>
      <c r="K26" s="504">
        <v>2026</v>
      </c>
      <c r="L26" s="504">
        <v>2027</v>
      </c>
      <c r="M26" s="504">
        <v>2028</v>
      </c>
      <c r="N26" s="504">
        <v>2029</v>
      </c>
    </row>
    <row r="27" spans="1:14" ht="15" customHeight="1" x14ac:dyDescent="0.25">
      <c r="A27" s="8"/>
      <c r="B27" s="246" t="s">
        <v>169</v>
      </c>
      <c r="C27" s="246" t="s">
        <v>170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301"/>
    </row>
    <row r="28" spans="1:14" ht="15" customHeight="1" x14ac:dyDescent="0.25">
      <c r="A28" s="8"/>
      <c r="B28" s="270" t="s">
        <v>124</v>
      </c>
      <c r="C28" s="270" t="s">
        <v>125</v>
      </c>
      <c r="D28" s="153">
        <v>10000</v>
      </c>
      <c r="E28" s="153">
        <f>D28*1.02</f>
        <v>10200</v>
      </c>
      <c r="F28" s="153">
        <f t="shared" ref="F28:N28" si="11">E28*1.02</f>
        <v>10404</v>
      </c>
      <c r="G28" s="153">
        <f t="shared" si="11"/>
        <v>10612.08</v>
      </c>
      <c r="H28" s="153">
        <f t="shared" si="11"/>
        <v>10824.321599999999</v>
      </c>
      <c r="I28" s="153">
        <f t="shared" si="11"/>
        <v>11040.808031999999</v>
      </c>
      <c r="J28" s="153">
        <f t="shared" si="11"/>
        <v>11261.62419264</v>
      </c>
      <c r="K28" s="153">
        <f t="shared" si="11"/>
        <v>11486.8566764928</v>
      </c>
      <c r="L28" s="153">
        <f t="shared" si="11"/>
        <v>11716.593810022656</v>
      </c>
      <c r="M28" s="153">
        <f t="shared" si="11"/>
        <v>11950.925686223109</v>
      </c>
      <c r="N28" s="153">
        <f t="shared" si="11"/>
        <v>12189.944199947571</v>
      </c>
    </row>
    <row r="29" spans="1:14" ht="15" customHeight="1" x14ac:dyDescent="0.25">
      <c r="A29" s="8"/>
      <c r="B29" s="270" t="s">
        <v>172</v>
      </c>
      <c r="C29" s="270" t="s">
        <v>173</v>
      </c>
      <c r="D29" s="153">
        <v>10000</v>
      </c>
      <c r="E29" s="153">
        <f>D29*1.02</f>
        <v>10200</v>
      </c>
      <c r="F29" s="153">
        <f t="shared" ref="F29:N29" si="12">E29*1.03</f>
        <v>10506</v>
      </c>
      <c r="G29" s="153">
        <f t="shared" si="12"/>
        <v>10821.18</v>
      </c>
      <c r="H29" s="153">
        <f t="shared" si="12"/>
        <v>11145.815400000001</v>
      </c>
      <c r="I29" s="153">
        <f t="shared" si="12"/>
        <v>11480.189862000001</v>
      </c>
      <c r="J29" s="153">
        <f t="shared" si="12"/>
        <v>11824.595557860001</v>
      </c>
      <c r="K29" s="153">
        <f t="shared" si="12"/>
        <v>12179.333424595801</v>
      </c>
      <c r="L29" s="153">
        <f t="shared" si="12"/>
        <v>12544.713427333676</v>
      </c>
      <c r="M29" s="153">
        <f t="shared" si="12"/>
        <v>12921.054830153687</v>
      </c>
      <c r="N29" s="198">
        <f t="shared" si="12"/>
        <v>13308.686475058299</v>
      </c>
    </row>
    <row r="30" spans="1:14" ht="15" customHeight="1" x14ac:dyDescent="0.25">
      <c r="A30" s="8"/>
      <c r="B30" s="272" t="s">
        <v>174</v>
      </c>
      <c r="C30" s="272" t="s">
        <v>175</v>
      </c>
      <c r="D30" s="163">
        <f>'Org-Salary Structure'!H27*0.2</f>
        <v>0</v>
      </c>
      <c r="E30" s="163">
        <f>'Org-Salary Structure'!H27</f>
        <v>0</v>
      </c>
      <c r="F30" s="163">
        <f t="shared" ref="F30:N30" si="13">E30*(1.03)</f>
        <v>0</v>
      </c>
      <c r="G30" s="163">
        <f t="shared" si="13"/>
        <v>0</v>
      </c>
      <c r="H30" s="163">
        <f t="shared" si="13"/>
        <v>0</v>
      </c>
      <c r="I30" s="163">
        <f t="shared" si="13"/>
        <v>0</v>
      </c>
      <c r="J30" s="163">
        <f t="shared" si="13"/>
        <v>0</v>
      </c>
      <c r="K30" s="163">
        <f t="shared" si="13"/>
        <v>0</v>
      </c>
      <c r="L30" s="163">
        <f t="shared" si="13"/>
        <v>0</v>
      </c>
      <c r="M30" s="163">
        <f t="shared" si="13"/>
        <v>0</v>
      </c>
      <c r="N30" s="281">
        <f t="shared" si="13"/>
        <v>0</v>
      </c>
    </row>
    <row r="31" spans="1:14" ht="15" customHeight="1" x14ac:dyDescent="0.25">
      <c r="A31" s="8"/>
      <c r="B31" s="262" t="s">
        <v>176</v>
      </c>
      <c r="C31" s="262" t="s">
        <v>177</v>
      </c>
      <c r="D31" s="264">
        <f t="shared" ref="D31:N31" si="14">SUM(D28:D30)</f>
        <v>20000</v>
      </c>
      <c r="E31" s="264">
        <f t="shared" si="14"/>
        <v>20400</v>
      </c>
      <c r="F31" s="264">
        <f t="shared" si="14"/>
        <v>20910</v>
      </c>
      <c r="G31" s="264">
        <f t="shared" si="14"/>
        <v>21433.260000000002</v>
      </c>
      <c r="H31" s="264">
        <f t="shared" si="14"/>
        <v>21970.137000000002</v>
      </c>
      <c r="I31" s="264">
        <f t="shared" si="14"/>
        <v>22520.997894</v>
      </c>
      <c r="J31" s="264">
        <f t="shared" si="14"/>
        <v>23086.2197505</v>
      </c>
      <c r="K31" s="264">
        <f t="shared" si="14"/>
        <v>23666.190101088599</v>
      </c>
      <c r="L31" s="264">
        <f t="shared" si="14"/>
        <v>24261.307237356334</v>
      </c>
      <c r="M31" s="264">
        <f t="shared" si="14"/>
        <v>24871.980516376796</v>
      </c>
      <c r="N31" s="222">
        <f t="shared" si="14"/>
        <v>25498.630675005872</v>
      </c>
    </row>
    <row r="32" spans="1:14" x14ac:dyDescent="0.25">
      <c r="A32" s="8"/>
      <c r="B32" s="263"/>
      <c r="C32" s="263"/>
      <c r="D32" s="286">
        <f t="shared" ref="D32:N32" si="15">D31/D8</f>
        <v>1.8264840182648401E-2</v>
      </c>
      <c r="E32" s="286">
        <f t="shared" si="15"/>
        <v>1.2176560121765599E-2</v>
      </c>
      <c r="F32" s="286">
        <f t="shared" si="15"/>
        <v>9.1771868564777485E-3</v>
      </c>
      <c r="G32" s="286">
        <f t="shared" si="15"/>
        <v>9.2223925114857472E-3</v>
      </c>
      <c r="H32" s="286">
        <f t="shared" si="15"/>
        <v>9.2680413591898995E-3</v>
      </c>
      <c r="I32" s="286">
        <f t="shared" si="15"/>
        <v>9.314137744616641E-3</v>
      </c>
      <c r="J32" s="286">
        <f t="shared" si="15"/>
        <v>9.3606860553907042E-3</v>
      </c>
      <c r="K32" s="286">
        <f t="shared" si="15"/>
        <v>9.4076907221527506E-3</v>
      </c>
      <c r="L32" s="286">
        <f t="shared" si="15"/>
        <v>9.4551562189810895E-3</v>
      </c>
      <c r="M32" s="286">
        <f t="shared" si="15"/>
        <v>9.5030870638175505E-3</v>
      </c>
      <c r="N32" s="287">
        <f t="shared" si="15"/>
        <v>9.551487818897508E-3</v>
      </c>
    </row>
    <row r="33" spans="1:15" ht="15" customHeight="1" x14ac:dyDescent="0.25">
      <c r="A33" s="8"/>
      <c r="B33" s="75"/>
      <c r="C33" s="7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6"/>
    </row>
    <row r="34" spans="1:15" ht="15" customHeight="1" x14ac:dyDescent="0.25">
      <c r="A34" s="8"/>
      <c r="B34" s="268" t="s">
        <v>178</v>
      </c>
      <c r="C34" s="268" t="s">
        <v>178</v>
      </c>
      <c r="D34" s="269">
        <f t="shared" ref="D34:N34" si="16">D23-D31</f>
        <v>463363.63636363635</v>
      </c>
      <c r="E34" s="269">
        <f t="shared" si="16"/>
        <v>911359.09090909117</v>
      </c>
      <c r="F34" s="269">
        <f t="shared" si="16"/>
        <v>1344359.1818181823</v>
      </c>
      <c r="G34" s="269">
        <f t="shared" si="16"/>
        <v>1426490.5554545459</v>
      </c>
      <c r="H34" s="269">
        <f t="shared" si="16"/>
        <v>1471855.7763545457</v>
      </c>
      <c r="I34" s="269">
        <f t="shared" si="16"/>
        <v>1518107.6909435461</v>
      </c>
      <c r="J34" s="269">
        <f t="shared" si="16"/>
        <v>1565263.0674859562</v>
      </c>
      <c r="K34" s="269">
        <f t="shared" si="16"/>
        <v>1613338.9632788184</v>
      </c>
      <c r="L34" s="269">
        <f t="shared" si="16"/>
        <v>1662352.7281742613</v>
      </c>
      <c r="M34" s="269">
        <f t="shared" si="16"/>
        <v>1712322.0080612451</v>
      </c>
      <c r="N34" s="302">
        <f t="shared" si="16"/>
        <v>1763264.7483002844</v>
      </c>
    </row>
    <row r="35" spans="1:15" x14ac:dyDescent="0.25">
      <c r="A35" s="8"/>
      <c r="B35" s="263"/>
      <c r="C35" s="263"/>
      <c r="D35" s="286">
        <f t="shared" ref="D35:N35" si="17">D34/D8</f>
        <v>0.42316313823163137</v>
      </c>
      <c r="E35" s="286">
        <f t="shared" si="17"/>
        <v>0.54398131191040144</v>
      </c>
      <c r="F35" s="286">
        <f t="shared" si="17"/>
        <v>0.59002560563209006</v>
      </c>
      <c r="G35" s="286">
        <f t="shared" si="17"/>
        <v>0.61379630613024549</v>
      </c>
      <c r="H35" s="286">
        <f t="shared" si="17"/>
        <v>0.62089827705746614</v>
      </c>
      <c r="I35" s="286">
        <f t="shared" si="17"/>
        <v>0.6278524695558545</v>
      </c>
      <c r="J35" s="286">
        <f t="shared" si="17"/>
        <v>0.63466155685867709</v>
      </c>
      <c r="K35" s="286">
        <f t="shared" si="17"/>
        <v>0.64132815344145855</v>
      </c>
      <c r="L35" s="286">
        <f t="shared" si="17"/>
        <v>0.64785481599011152</v>
      </c>
      <c r="M35" s="286">
        <f t="shared" si="17"/>
        <v>0.65424404434469907</v>
      </c>
      <c r="N35" s="287">
        <f t="shared" si="17"/>
        <v>0.66049828241914665</v>
      </c>
    </row>
    <row r="36" spans="1:15" ht="15" customHeight="1" x14ac:dyDescent="0.25">
      <c r="A36" s="8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303"/>
    </row>
    <row r="37" spans="1:15" ht="15" customHeight="1" x14ac:dyDescent="0.25">
      <c r="A37" s="8"/>
      <c r="B37" s="270" t="s">
        <v>77</v>
      </c>
      <c r="C37" s="270" t="s">
        <v>179</v>
      </c>
      <c r="D37" s="17"/>
      <c r="E37" s="16">
        <f>'Investment Plan'!I44</f>
        <v>225000</v>
      </c>
      <c r="F37" s="16">
        <f>'Investment Plan'!J44</f>
        <v>225000</v>
      </c>
      <c r="G37" s="16">
        <f>'Investment Plan'!K44</f>
        <v>225000</v>
      </c>
      <c r="H37" s="16">
        <f>'Investment Plan'!L44</f>
        <v>225000</v>
      </c>
      <c r="I37" s="16">
        <f>'Investment Plan'!M44</f>
        <v>225000</v>
      </c>
      <c r="J37" s="16">
        <f>'Investment Plan'!N44</f>
        <v>225000</v>
      </c>
      <c r="K37" s="16">
        <f>'Investment Plan'!O44</f>
        <v>225000</v>
      </c>
      <c r="L37" s="16">
        <f>'Investment Plan'!P44</f>
        <v>225000</v>
      </c>
      <c r="M37" s="16">
        <f>'Investment Plan'!Q44</f>
        <v>225000</v>
      </c>
      <c r="N37" s="304">
        <f>'Investment Plan'!R44</f>
        <v>225000</v>
      </c>
    </row>
    <row r="38" spans="1:15" ht="15" customHeight="1" x14ac:dyDescent="0.25">
      <c r="A38" s="8"/>
      <c r="B38" s="268" t="s">
        <v>180</v>
      </c>
      <c r="C38" s="268" t="s">
        <v>178</v>
      </c>
      <c r="D38" s="264">
        <f t="shared" ref="D38:N38" si="18">D34-D37</f>
        <v>463363.63636363635</v>
      </c>
      <c r="E38" s="264">
        <f t="shared" si="18"/>
        <v>686359.09090909117</v>
      </c>
      <c r="F38" s="264">
        <f t="shared" si="18"/>
        <v>1119359.1818181823</v>
      </c>
      <c r="G38" s="264">
        <f t="shared" si="18"/>
        <v>1201490.5554545459</v>
      </c>
      <c r="H38" s="264">
        <f t="shared" si="18"/>
        <v>1246855.7763545457</v>
      </c>
      <c r="I38" s="264">
        <f t="shared" si="18"/>
        <v>1293107.6909435461</v>
      </c>
      <c r="J38" s="264">
        <f t="shared" si="18"/>
        <v>1340263.0674859562</v>
      </c>
      <c r="K38" s="264">
        <f t="shared" si="18"/>
        <v>1388338.9632788184</v>
      </c>
      <c r="L38" s="264">
        <f t="shared" si="18"/>
        <v>1437352.7281742613</v>
      </c>
      <c r="M38" s="264">
        <f t="shared" si="18"/>
        <v>1487322.0080612451</v>
      </c>
      <c r="N38" s="222">
        <f t="shared" si="18"/>
        <v>1538264.7483002844</v>
      </c>
    </row>
    <row r="39" spans="1:15" ht="15" customHeight="1" x14ac:dyDescent="0.25">
      <c r="A39" s="8"/>
      <c r="B39" s="270" t="s">
        <v>181</v>
      </c>
      <c r="C39" s="270" t="s">
        <v>182</v>
      </c>
      <c r="D39" s="163">
        <f>SUM('Sr Debt Service 2019 '!H5:H16)</f>
        <v>164668.80000000002</v>
      </c>
      <c r="E39" s="163">
        <f>SUM('Sr Debt Service 2019 '!H17:H28)</f>
        <v>159207.07656329664</v>
      </c>
      <c r="F39" s="163">
        <f>SUM('Sr Debt Service 2019 '!H29:H40)</f>
        <v>145252.03526476322</v>
      </c>
      <c r="G39" s="163">
        <f>SUM('Sr Debt Service 2019 '!H41:H52)</f>
        <v>130618.06834613637</v>
      </c>
      <c r="H39" s="163">
        <f>SUM('Sr Debt Service 2019 '!H53:H64)</f>
        <v>114769.49274087991</v>
      </c>
      <c r="I39" s="163">
        <f>SUM('Sr Debt Service 2019 '!H65:H76)</f>
        <v>97911.092193344972</v>
      </c>
      <c r="J39" s="163">
        <f>SUM('Sr Debt Service 2019 '!H77:H88)</f>
        <v>79042.265797836299</v>
      </c>
      <c r="K39" s="163">
        <f>SUM('Sr Debt Service 2019 '!H89:H100)</f>
        <v>58912.935825469831</v>
      </c>
      <c r="L39" s="163">
        <f>SUM('Sr Debt Service 2019 '!H101:H112)</f>
        <v>37112.886001376166</v>
      </c>
      <c r="M39" s="163">
        <f>SUM('Sr Debt Service 2019 '!H113:H124)</f>
        <v>13569.986737759808</v>
      </c>
      <c r="N39" s="163"/>
    </row>
    <row r="40" spans="1:15" ht="15" customHeight="1" x14ac:dyDescent="0.25">
      <c r="A40" s="8"/>
      <c r="B40" s="268" t="s">
        <v>183</v>
      </c>
      <c r="C40" s="268" t="s">
        <v>184</v>
      </c>
      <c r="D40" s="149">
        <f>D38-D39</f>
        <v>298694.83636363631</v>
      </c>
      <c r="E40" s="149">
        <f t="shared" ref="E40:N40" si="19">E38-E39</f>
        <v>527152.01434579457</v>
      </c>
      <c r="F40" s="149">
        <f t="shared" si="19"/>
        <v>974107.14655341906</v>
      </c>
      <c r="G40" s="149">
        <f t="shared" si="19"/>
        <v>1070872.4871084094</v>
      </c>
      <c r="H40" s="149">
        <f t="shared" si="19"/>
        <v>1132086.2836136657</v>
      </c>
      <c r="I40" s="149">
        <f t="shared" si="19"/>
        <v>1195196.5987502011</v>
      </c>
      <c r="J40" s="149">
        <f t="shared" si="19"/>
        <v>1261220.80168812</v>
      </c>
      <c r="K40" s="149">
        <f t="shared" si="19"/>
        <v>1329426.0274533485</v>
      </c>
      <c r="L40" s="149">
        <f t="shared" si="19"/>
        <v>1400239.8421728851</v>
      </c>
      <c r="M40" s="149">
        <f t="shared" si="19"/>
        <v>1473752.0213234853</v>
      </c>
      <c r="N40" s="149">
        <f t="shared" si="19"/>
        <v>1538264.7483002844</v>
      </c>
    </row>
    <row r="41" spans="1:15" ht="15" customHeight="1" x14ac:dyDescent="0.25">
      <c r="A41" s="306"/>
      <c r="B41" s="270" t="s">
        <v>185</v>
      </c>
      <c r="C41" s="270" t="s">
        <v>186</v>
      </c>
      <c r="D41" s="163">
        <f>D40*'Key Assumptions'!$C$36</f>
        <v>0</v>
      </c>
      <c r="E41" s="163">
        <f>E40*'Key Assumptions'!$C$36</f>
        <v>0</v>
      </c>
      <c r="F41" s="163">
        <f>F40*'Key Assumptions'!$C$36</f>
        <v>0</v>
      </c>
      <c r="G41" s="163">
        <f>G40*'Key Assumptions'!$C$36</f>
        <v>0</v>
      </c>
      <c r="H41" s="163">
        <f>H40*'Key Assumptions'!$C$36</f>
        <v>0</v>
      </c>
      <c r="I41" s="163">
        <f>I40*'Key Assumptions'!$C$36</f>
        <v>0</v>
      </c>
      <c r="J41" s="163">
        <f>J40*'Key Assumptions'!$C$37</f>
        <v>63061.040084406006</v>
      </c>
      <c r="K41" s="163">
        <f>K40*'Key Assumptions'!$C$37</f>
        <v>66471.301372667425</v>
      </c>
      <c r="L41" s="163">
        <f>L40*'Key Assumptions'!$C$37</f>
        <v>70011.992108644263</v>
      </c>
      <c r="M41" s="163">
        <f>M40*'Key Assumptions'!$C$37</f>
        <v>73687.601066174262</v>
      </c>
      <c r="N41" s="281">
        <f>N40*'Key Assumptions'!$C$37</f>
        <v>76913.237415014228</v>
      </c>
    </row>
    <row r="42" spans="1:15" ht="15" customHeight="1" x14ac:dyDescent="0.25">
      <c r="A42" s="306"/>
      <c r="B42" s="307" t="s">
        <v>187</v>
      </c>
      <c r="C42" s="308" t="s">
        <v>187</v>
      </c>
      <c r="D42" s="264">
        <f t="shared" ref="D42:N42" si="20">D40-D41</f>
        <v>298694.83636363631</v>
      </c>
      <c r="E42" s="264">
        <f t="shared" si="20"/>
        <v>527152.01434579457</v>
      </c>
      <c r="F42" s="264">
        <f t="shared" si="20"/>
        <v>974107.14655341906</v>
      </c>
      <c r="G42" s="264">
        <f t="shared" si="20"/>
        <v>1070872.4871084094</v>
      </c>
      <c r="H42" s="264">
        <f t="shared" si="20"/>
        <v>1132086.2836136657</v>
      </c>
      <c r="I42" s="264">
        <f t="shared" si="20"/>
        <v>1195196.5987502011</v>
      </c>
      <c r="J42" s="264">
        <f t="shared" si="20"/>
        <v>1198159.761603714</v>
      </c>
      <c r="K42" s="264">
        <f t="shared" si="20"/>
        <v>1262954.7260806812</v>
      </c>
      <c r="L42" s="264">
        <f t="shared" si="20"/>
        <v>1330227.8500642409</v>
      </c>
      <c r="M42" s="264">
        <f t="shared" si="20"/>
        <v>1400064.4202573111</v>
      </c>
      <c r="N42" s="222">
        <f t="shared" si="20"/>
        <v>1461351.5108852701</v>
      </c>
      <c r="O42" s="472">
        <f>SUM(D43:M43)</f>
        <v>2033168.6233313943</v>
      </c>
    </row>
    <row r="43" spans="1:15" ht="15" customHeight="1" x14ac:dyDescent="0.25">
      <c r="A43" s="306"/>
      <c r="B43" s="270" t="s">
        <v>109</v>
      </c>
      <c r="C43" s="270" t="s">
        <v>188</v>
      </c>
      <c r="D43" s="163"/>
      <c r="E43" s="163">
        <f>SUM('Sr Debt Service 2019 '!I17:I28)</f>
        <v>162359.34714020175</v>
      </c>
      <c r="F43" s="163">
        <f>SUM('Sr Debt Service 2019 '!I29:I40)</f>
        <v>176314.38843873516</v>
      </c>
      <c r="G43" s="163">
        <f>SUM('Sr Debt Service 2019 '!I41:I52)</f>
        <v>190948.35535736207</v>
      </c>
      <c r="H43" s="163">
        <f>SUM('Sr Debt Service 2019 '!I53:I64)</f>
        <v>206796.93096261844</v>
      </c>
      <c r="I43" s="163">
        <f>SUM('Sr Debt Service 2019 '!I65:I76)</f>
        <v>223655.33151015342</v>
      </c>
      <c r="J43" s="163">
        <f>SUM('Sr Debt Service 2019 '!I77:I88)</f>
        <v>242524.15790566208</v>
      </c>
      <c r="K43" s="163">
        <f>SUM('Sr Debt Service 2019 '!I89:I100)</f>
        <v>262653.48787802859</v>
      </c>
      <c r="L43" s="163">
        <f>SUM('Sr Debt Service 2019 '!I101:I111)</f>
        <v>259920.18717289419</v>
      </c>
      <c r="M43" s="163">
        <f>SUM('Sr Debt Service 2019 '!I113:I124)</f>
        <v>307996.4369657386</v>
      </c>
      <c r="N43" s="275">
        <f>SUM('Sr Debt Service 2019 '!I125:I136)</f>
        <v>333626.45777406159</v>
      </c>
    </row>
    <row r="44" spans="1:15" ht="15" customHeight="1" x14ac:dyDescent="0.25">
      <c r="A44" s="306"/>
      <c r="B44" s="268" t="s">
        <v>189</v>
      </c>
      <c r="C44" s="268" t="s">
        <v>190</v>
      </c>
      <c r="D44" s="264">
        <f t="shared" ref="D44:N44" si="21">D42-D43</f>
        <v>298694.83636363631</v>
      </c>
      <c r="E44" s="264">
        <f t="shared" si="21"/>
        <v>364792.66720559285</v>
      </c>
      <c r="F44" s="264">
        <f t="shared" si="21"/>
        <v>797792.75811468391</v>
      </c>
      <c r="G44" s="264">
        <f t="shared" si="21"/>
        <v>879924.13175104733</v>
      </c>
      <c r="H44" s="264">
        <f t="shared" si="21"/>
        <v>925289.35265104729</v>
      </c>
      <c r="I44" s="264">
        <f t="shared" si="21"/>
        <v>971541.26724004769</v>
      </c>
      <c r="J44" s="264">
        <f t="shared" si="21"/>
        <v>955635.60369805188</v>
      </c>
      <c r="K44" s="264">
        <f t="shared" si="21"/>
        <v>1000301.2382026527</v>
      </c>
      <c r="L44" s="264">
        <f t="shared" si="21"/>
        <v>1070307.6628913467</v>
      </c>
      <c r="M44" s="264">
        <f t="shared" si="21"/>
        <v>1092067.9832915724</v>
      </c>
      <c r="N44" s="264">
        <f t="shared" si="21"/>
        <v>1127725.0531112086</v>
      </c>
    </row>
    <row r="45" spans="1:15" ht="15" customHeight="1" x14ac:dyDescent="0.25">
      <c r="A45" s="8"/>
      <c r="B45" s="263"/>
      <c r="C45" s="263"/>
      <c r="D45" s="286">
        <f t="shared" ref="D45:N45" si="22">D42/D8</f>
        <v>0.2727806724782067</v>
      </c>
      <c r="E45" s="286">
        <f t="shared" si="22"/>
        <v>0.31465187235252007</v>
      </c>
      <c r="F45" s="286">
        <f t="shared" si="22"/>
        <v>0.42752574376619235</v>
      </c>
      <c r="G45" s="286">
        <f t="shared" si="22"/>
        <v>0.46077948039004379</v>
      </c>
      <c r="H45" s="286">
        <f t="shared" si="22"/>
        <v>0.47756745889673063</v>
      </c>
      <c r="I45" s="286">
        <f t="shared" si="22"/>
        <v>0.49430428460821019</v>
      </c>
      <c r="J45" s="286">
        <f t="shared" si="22"/>
        <v>0.48581350666261547</v>
      </c>
      <c r="K45" s="286">
        <f t="shared" si="22"/>
        <v>0.50204479083017539</v>
      </c>
      <c r="L45" s="286">
        <f t="shared" si="22"/>
        <v>0.51841856690353993</v>
      </c>
      <c r="M45" s="286">
        <f t="shared" si="22"/>
        <v>0.53493665580422611</v>
      </c>
      <c r="N45" s="287">
        <f t="shared" si="22"/>
        <v>0.54740512670078556</v>
      </c>
    </row>
    <row r="46" spans="1:15" ht="15" customHeight="1" thickBot="1" x14ac:dyDescent="0.3">
      <c r="A46" s="8"/>
      <c r="B46" s="75"/>
      <c r="C46" s="75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98"/>
    </row>
    <row r="47" spans="1:15" ht="15" customHeight="1" x14ac:dyDescent="0.25">
      <c r="A47" s="309"/>
      <c r="B47" s="278" t="s">
        <v>191</v>
      </c>
      <c r="C47" s="278" t="s">
        <v>192</v>
      </c>
      <c r="D47" s="504">
        <v>2019</v>
      </c>
      <c r="E47" s="504">
        <v>2020</v>
      </c>
      <c r="F47" s="504">
        <v>2021</v>
      </c>
      <c r="G47" s="504">
        <v>2022</v>
      </c>
      <c r="H47" s="504">
        <v>2023</v>
      </c>
      <c r="I47" s="504">
        <v>2024</v>
      </c>
      <c r="J47" s="504">
        <v>2025</v>
      </c>
      <c r="K47" s="504">
        <v>2026</v>
      </c>
      <c r="L47" s="504">
        <v>2027</v>
      </c>
      <c r="M47" s="504">
        <v>2028</v>
      </c>
      <c r="N47" s="504">
        <v>2029</v>
      </c>
    </row>
    <row r="48" spans="1:15" ht="15" customHeight="1" x14ac:dyDescent="0.25">
      <c r="A48" s="309"/>
      <c r="B48" s="270" t="s">
        <v>189</v>
      </c>
      <c r="C48" s="270" t="s">
        <v>193</v>
      </c>
      <c r="D48" s="310">
        <f t="shared" ref="D48:N48" si="23">D44</f>
        <v>298694.83636363631</v>
      </c>
      <c r="E48" s="310">
        <f t="shared" si="23"/>
        <v>364792.66720559285</v>
      </c>
      <c r="F48" s="310">
        <f t="shared" si="23"/>
        <v>797792.75811468391</v>
      </c>
      <c r="G48" s="310">
        <f t="shared" si="23"/>
        <v>879924.13175104733</v>
      </c>
      <c r="H48" s="310">
        <f t="shared" si="23"/>
        <v>925289.35265104729</v>
      </c>
      <c r="I48" s="310">
        <f t="shared" si="23"/>
        <v>971541.26724004769</v>
      </c>
      <c r="J48" s="310">
        <f t="shared" si="23"/>
        <v>955635.60369805188</v>
      </c>
      <c r="K48" s="310">
        <f t="shared" si="23"/>
        <v>1000301.2382026527</v>
      </c>
      <c r="L48" s="310">
        <f t="shared" si="23"/>
        <v>1070307.6628913467</v>
      </c>
      <c r="M48" s="310">
        <f t="shared" si="23"/>
        <v>1092067.9832915724</v>
      </c>
      <c r="N48" s="311">
        <f t="shared" si="23"/>
        <v>1127725.0531112086</v>
      </c>
    </row>
    <row r="49" spans="1:16" ht="15" customHeight="1" x14ac:dyDescent="0.25">
      <c r="A49" s="8"/>
      <c r="B49" s="270" t="s">
        <v>194</v>
      </c>
      <c r="C49" s="270" t="s">
        <v>195</v>
      </c>
      <c r="D49" s="312"/>
      <c r="E49" s="312">
        <f t="shared" ref="E49:N49" si="24">E37</f>
        <v>225000</v>
      </c>
      <c r="F49" s="312">
        <f t="shared" si="24"/>
        <v>225000</v>
      </c>
      <c r="G49" s="312">
        <f t="shared" si="24"/>
        <v>225000</v>
      </c>
      <c r="H49" s="312">
        <f t="shared" si="24"/>
        <v>225000</v>
      </c>
      <c r="I49" s="312">
        <f t="shared" si="24"/>
        <v>225000</v>
      </c>
      <c r="J49" s="312">
        <f t="shared" si="24"/>
        <v>225000</v>
      </c>
      <c r="K49" s="312">
        <f t="shared" si="24"/>
        <v>225000</v>
      </c>
      <c r="L49" s="312">
        <f t="shared" si="24"/>
        <v>225000</v>
      </c>
      <c r="M49" s="312">
        <f t="shared" si="24"/>
        <v>225000</v>
      </c>
      <c r="N49" s="313">
        <f t="shared" si="24"/>
        <v>225000</v>
      </c>
      <c r="O49" s="472"/>
      <c r="P49" s="472"/>
    </row>
    <row r="50" spans="1:16" ht="15" customHeight="1" x14ac:dyDescent="0.25">
      <c r="A50" s="8"/>
      <c r="B50" s="270" t="s">
        <v>196</v>
      </c>
      <c r="C50" s="270" t="s">
        <v>197</v>
      </c>
      <c r="D50" s="312"/>
      <c r="E50" s="153">
        <f>E43</f>
        <v>162359.34714020175</v>
      </c>
      <c r="F50" s="153">
        <f t="shared" ref="F50:M50" si="25">F43</f>
        <v>176314.38843873516</v>
      </c>
      <c r="G50" s="153">
        <f t="shared" si="25"/>
        <v>190948.35535736207</v>
      </c>
      <c r="H50" s="153">
        <f t="shared" si="25"/>
        <v>206796.93096261844</v>
      </c>
      <c r="I50" s="153">
        <f t="shared" si="25"/>
        <v>223655.33151015342</v>
      </c>
      <c r="J50" s="153">
        <f t="shared" si="25"/>
        <v>242524.15790566208</v>
      </c>
      <c r="K50" s="153">
        <f t="shared" si="25"/>
        <v>262653.48787802859</v>
      </c>
      <c r="L50" s="153">
        <f t="shared" si="25"/>
        <v>259920.18717289419</v>
      </c>
      <c r="M50" s="153">
        <f t="shared" si="25"/>
        <v>307996.4369657386</v>
      </c>
      <c r="N50" s="153"/>
      <c r="O50" s="472">
        <f>SUM(D50:N50)</f>
        <v>2033168.6233313943</v>
      </c>
    </row>
    <row r="51" spans="1:16" ht="15" customHeight="1" x14ac:dyDescent="0.25">
      <c r="A51" s="8"/>
      <c r="B51" s="270" t="s">
        <v>198</v>
      </c>
      <c r="C51" s="270" t="s">
        <v>199</v>
      </c>
      <c r="D51" s="314">
        <f>D39</f>
        <v>164668.80000000002</v>
      </c>
      <c r="E51" s="314">
        <f t="shared" ref="E51:N51" si="26">E39</f>
        <v>159207.07656329664</v>
      </c>
      <c r="F51" s="314">
        <f t="shared" si="26"/>
        <v>145252.03526476322</v>
      </c>
      <c r="G51" s="314">
        <f t="shared" si="26"/>
        <v>130618.06834613637</v>
      </c>
      <c r="H51" s="314">
        <f t="shared" si="26"/>
        <v>114769.49274087991</v>
      </c>
      <c r="I51" s="314">
        <f t="shared" si="26"/>
        <v>97911.092193344972</v>
      </c>
      <c r="J51" s="314">
        <f t="shared" si="26"/>
        <v>79042.265797836299</v>
      </c>
      <c r="K51" s="314">
        <f t="shared" si="26"/>
        <v>58912.935825469831</v>
      </c>
      <c r="L51" s="314">
        <f t="shared" si="26"/>
        <v>37112.886001376166</v>
      </c>
      <c r="M51" s="314">
        <f t="shared" si="26"/>
        <v>13569.986737759808</v>
      </c>
      <c r="N51" s="314">
        <f t="shared" si="26"/>
        <v>0</v>
      </c>
    </row>
    <row r="52" spans="1:16" ht="15" customHeight="1" x14ac:dyDescent="0.25">
      <c r="A52" s="8"/>
      <c r="B52" s="268" t="s">
        <v>200</v>
      </c>
      <c r="C52" s="268" t="s">
        <v>201</v>
      </c>
      <c r="D52" s="310">
        <f t="shared" ref="D52:N52" si="27">SUM(D48:D51)</f>
        <v>463363.63636363635</v>
      </c>
      <c r="E52" s="310">
        <f t="shared" si="27"/>
        <v>911359.09090909117</v>
      </c>
      <c r="F52" s="310">
        <f t="shared" si="27"/>
        <v>1344359.1818181823</v>
      </c>
      <c r="G52" s="310">
        <f t="shared" si="27"/>
        <v>1426490.5554545457</v>
      </c>
      <c r="H52" s="310">
        <f t="shared" si="27"/>
        <v>1471855.7763545457</v>
      </c>
      <c r="I52" s="310">
        <f t="shared" si="27"/>
        <v>1518107.6909435461</v>
      </c>
      <c r="J52" s="310">
        <f t="shared" si="27"/>
        <v>1502202.0274015502</v>
      </c>
      <c r="K52" s="310">
        <f t="shared" si="27"/>
        <v>1546867.6619061511</v>
      </c>
      <c r="L52" s="310">
        <f t="shared" si="27"/>
        <v>1592340.7360656171</v>
      </c>
      <c r="M52" s="310">
        <f t="shared" si="27"/>
        <v>1638634.4069950709</v>
      </c>
      <c r="N52" s="311">
        <f t="shared" si="27"/>
        <v>1352725.0531112086</v>
      </c>
    </row>
    <row r="53" spans="1:16" ht="15" customHeight="1" x14ac:dyDescent="0.25">
      <c r="A53" s="8"/>
      <c r="B53" s="316"/>
      <c r="C53" s="316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3"/>
    </row>
    <row r="54" spans="1:16" ht="15" customHeight="1" x14ac:dyDescent="0.25">
      <c r="A54" s="8"/>
      <c r="B54" s="268" t="s">
        <v>202</v>
      </c>
      <c r="C54" s="268" t="s">
        <v>203</v>
      </c>
      <c r="D54" s="153">
        <f>D51+D50</f>
        <v>164668.80000000002</v>
      </c>
      <c r="E54" s="153">
        <f t="shared" ref="E54:L54" si="28">E51+E50</f>
        <v>321566.42370349838</v>
      </c>
      <c r="F54" s="153">
        <f t="shared" si="28"/>
        <v>321566.42370349838</v>
      </c>
      <c r="G54" s="153">
        <f t="shared" si="28"/>
        <v>321566.42370349844</v>
      </c>
      <c r="H54" s="153">
        <f t="shared" si="28"/>
        <v>321566.42370349832</v>
      </c>
      <c r="I54" s="153">
        <f t="shared" si="28"/>
        <v>321566.42370349838</v>
      </c>
      <c r="J54" s="153">
        <f t="shared" si="28"/>
        <v>321566.42370349838</v>
      </c>
      <c r="K54" s="153">
        <f t="shared" si="28"/>
        <v>321566.42370349844</v>
      </c>
      <c r="L54" s="153">
        <f t="shared" si="28"/>
        <v>297033.07317427034</v>
      </c>
      <c r="M54" s="153">
        <f>K39+M50</f>
        <v>366909.37279120844</v>
      </c>
      <c r="N54" s="198">
        <f>L39+N50</f>
        <v>37112.886001376166</v>
      </c>
    </row>
    <row r="55" spans="1:16" ht="15" customHeight="1" x14ac:dyDescent="0.25">
      <c r="A55" s="8"/>
      <c r="B55" s="316"/>
      <c r="C55" s="316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3"/>
    </row>
    <row r="56" spans="1:16" ht="15" customHeight="1" x14ac:dyDescent="0.25">
      <c r="A56" s="8"/>
      <c r="B56" s="268" t="s">
        <v>204</v>
      </c>
      <c r="C56" s="268" t="s">
        <v>205</v>
      </c>
      <c r="D56" s="318">
        <f t="shared" ref="D56:M56" si="29">D52/D54</f>
        <v>2.8139127531362123</v>
      </c>
      <c r="E56" s="318">
        <f t="shared" si="29"/>
        <v>2.8341239126054201</v>
      </c>
      <c r="F56" s="318">
        <f t="shared" si="29"/>
        <v>4.1806578135090193</v>
      </c>
      <c r="G56" s="318">
        <f t="shared" si="29"/>
        <v>4.4360681038324037</v>
      </c>
      <c r="H56" s="318">
        <f t="shared" si="29"/>
        <v>4.5771438429519513</v>
      </c>
      <c r="I56" s="318">
        <f t="shared" si="29"/>
        <v>4.7209770020744566</v>
      </c>
      <c r="J56" s="318">
        <f t="shared" si="29"/>
        <v>4.671513928912745</v>
      </c>
      <c r="K56" s="318">
        <f t="shared" si="29"/>
        <v>4.8104141100640732</v>
      </c>
      <c r="L56" s="318">
        <f t="shared" si="29"/>
        <v>5.3608196523334124</v>
      </c>
      <c r="M56" s="318">
        <f t="shared" si="29"/>
        <v>4.4660467366352714</v>
      </c>
      <c r="N56" s="319"/>
    </row>
    <row r="57" spans="1:16" ht="15" customHeight="1" x14ac:dyDescent="0.25">
      <c r="A57" s="8"/>
      <c r="B57" s="316"/>
      <c r="C57" s="316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3"/>
    </row>
    <row r="58" spans="1:16" ht="15" customHeight="1" x14ac:dyDescent="0.25">
      <c r="A58" s="8"/>
      <c r="B58" s="270" t="s">
        <v>200</v>
      </c>
      <c r="C58" s="270" t="s">
        <v>206</v>
      </c>
      <c r="D58" s="153">
        <f t="shared" ref="D58:N58" si="30">D52</f>
        <v>463363.63636363635</v>
      </c>
      <c r="E58" s="153">
        <f t="shared" si="30"/>
        <v>911359.09090909117</v>
      </c>
      <c r="F58" s="153">
        <f t="shared" si="30"/>
        <v>1344359.1818181823</v>
      </c>
      <c r="G58" s="153">
        <f t="shared" si="30"/>
        <v>1426490.5554545457</v>
      </c>
      <c r="H58" s="153">
        <f t="shared" si="30"/>
        <v>1471855.7763545457</v>
      </c>
      <c r="I58" s="153">
        <f t="shared" si="30"/>
        <v>1518107.6909435461</v>
      </c>
      <c r="J58" s="153">
        <f t="shared" si="30"/>
        <v>1502202.0274015502</v>
      </c>
      <c r="K58" s="153">
        <f t="shared" si="30"/>
        <v>1546867.6619061511</v>
      </c>
      <c r="L58" s="153">
        <f t="shared" si="30"/>
        <v>1592340.7360656171</v>
      </c>
      <c r="M58" s="153">
        <f t="shared" si="30"/>
        <v>1638634.4069950709</v>
      </c>
      <c r="N58" s="198">
        <f t="shared" si="30"/>
        <v>1352725.0531112086</v>
      </c>
    </row>
    <row r="59" spans="1:16" ht="15" customHeight="1" x14ac:dyDescent="0.25">
      <c r="A59" s="8"/>
      <c r="B59" s="270" t="s">
        <v>207</v>
      </c>
      <c r="C59" s="270" t="s">
        <v>208</v>
      </c>
      <c r="D59" s="153">
        <f t="shared" ref="D59:N59" si="31">D54</f>
        <v>164668.80000000002</v>
      </c>
      <c r="E59" s="153">
        <f t="shared" si="31"/>
        <v>321566.42370349838</v>
      </c>
      <c r="F59" s="153">
        <f t="shared" si="31"/>
        <v>321566.42370349838</v>
      </c>
      <c r="G59" s="153">
        <f t="shared" si="31"/>
        <v>321566.42370349844</v>
      </c>
      <c r="H59" s="153">
        <f t="shared" si="31"/>
        <v>321566.42370349832</v>
      </c>
      <c r="I59" s="153">
        <f t="shared" si="31"/>
        <v>321566.42370349838</v>
      </c>
      <c r="J59" s="153">
        <f t="shared" si="31"/>
        <v>321566.42370349838</v>
      </c>
      <c r="K59" s="153">
        <f t="shared" si="31"/>
        <v>321566.42370349844</v>
      </c>
      <c r="L59" s="153">
        <f t="shared" si="31"/>
        <v>297033.07317427034</v>
      </c>
      <c r="M59" s="153">
        <f t="shared" si="31"/>
        <v>366909.37279120844</v>
      </c>
      <c r="N59" s="198">
        <f t="shared" si="31"/>
        <v>37112.886001376166</v>
      </c>
    </row>
    <row r="60" spans="1:16" ht="15" customHeight="1" x14ac:dyDescent="0.25">
      <c r="A60" s="8"/>
      <c r="B60" s="270" t="s">
        <v>209</v>
      </c>
      <c r="C60" s="270" t="s">
        <v>210</v>
      </c>
      <c r="D60" s="153">
        <f>Offering!C17</f>
        <v>3558360</v>
      </c>
      <c r="E60" s="153">
        <f>Offering!D17</f>
        <v>1000000</v>
      </c>
      <c r="F60" s="153">
        <f>Offering!E17</f>
        <v>450000</v>
      </c>
      <c r="G60" s="153">
        <v>20000</v>
      </c>
      <c r="H60" s="153">
        <f t="shared" ref="H60:N60" si="32">G60*(1.05)</f>
        <v>21000</v>
      </c>
      <c r="I60" s="153">
        <f t="shared" si="32"/>
        <v>22050</v>
      </c>
      <c r="J60" s="153">
        <f t="shared" si="32"/>
        <v>23152.5</v>
      </c>
      <c r="K60" s="153">
        <f t="shared" si="32"/>
        <v>24310.125</v>
      </c>
      <c r="L60" s="153">
        <f t="shared" si="32"/>
        <v>25525.631250000002</v>
      </c>
      <c r="M60" s="153">
        <f t="shared" si="32"/>
        <v>26801.912812500002</v>
      </c>
      <c r="N60" s="198">
        <f t="shared" si="32"/>
        <v>28142.008453125003</v>
      </c>
    </row>
    <row r="61" spans="1:16" ht="15" customHeight="1" x14ac:dyDescent="0.25">
      <c r="A61" s="8"/>
      <c r="B61" s="270" t="s">
        <v>211</v>
      </c>
      <c r="C61" s="270" t="s">
        <v>212</v>
      </c>
      <c r="D61" s="149">
        <f>D58-D59-D60</f>
        <v>-3259665.1636363636</v>
      </c>
      <c r="E61" s="149">
        <f>E58-E59-E60</f>
        <v>-410207.33279440715</v>
      </c>
      <c r="F61" s="149">
        <f t="shared" ref="F61:N61" si="33">F58-F59-F60</f>
        <v>572792.75811468391</v>
      </c>
      <c r="G61" s="149">
        <f t="shared" si="33"/>
        <v>1084924.1317510472</v>
      </c>
      <c r="H61" s="149">
        <f t="shared" si="33"/>
        <v>1129289.3526510475</v>
      </c>
      <c r="I61" s="149">
        <f t="shared" si="33"/>
        <v>1174491.2672400477</v>
      </c>
      <c r="J61" s="149">
        <f t="shared" si="33"/>
        <v>1157483.1036980518</v>
      </c>
      <c r="K61" s="149">
        <f t="shared" si="33"/>
        <v>1200991.1132026527</v>
      </c>
      <c r="L61" s="149">
        <f t="shared" si="33"/>
        <v>1269782.0316413466</v>
      </c>
      <c r="M61" s="149">
        <f t="shared" si="33"/>
        <v>1244923.1213913623</v>
      </c>
      <c r="N61" s="149">
        <f t="shared" si="33"/>
        <v>1287470.1586567075</v>
      </c>
    </row>
    <row r="62" spans="1:16" ht="15" customHeight="1" x14ac:dyDescent="0.25">
      <c r="A62" s="8"/>
      <c r="B62" s="271"/>
      <c r="C62" s="271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98"/>
    </row>
    <row r="63" spans="1:16" ht="15" customHeight="1" x14ac:dyDescent="0.25">
      <c r="A63" s="8"/>
      <c r="B63" s="270" t="s">
        <v>213</v>
      </c>
      <c r="C63" s="270" t="s">
        <v>214</v>
      </c>
      <c r="D63" s="153">
        <f>D61</f>
        <v>-3259665.1636363636</v>
      </c>
      <c r="E63" s="153">
        <f t="shared" ref="E63:N63" si="34">E61</f>
        <v>-410207.33279440715</v>
      </c>
      <c r="F63" s="153">
        <f t="shared" si="34"/>
        <v>572792.75811468391</v>
      </c>
      <c r="G63" s="153">
        <f t="shared" si="34"/>
        <v>1084924.1317510472</v>
      </c>
      <c r="H63" s="153">
        <f t="shared" si="34"/>
        <v>1129289.3526510475</v>
      </c>
      <c r="I63" s="153">
        <f t="shared" si="34"/>
        <v>1174491.2672400477</v>
      </c>
      <c r="J63" s="153">
        <f t="shared" si="34"/>
        <v>1157483.1036980518</v>
      </c>
      <c r="K63" s="153">
        <f t="shared" si="34"/>
        <v>1200991.1132026527</v>
      </c>
      <c r="L63" s="153">
        <f t="shared" si="34"/>
        <v>1269782.0316413466</v>
      </c>
      <c r="M63" s="153">
        <f t="shared" si="34"/>
        <v>1244923.1213913623</v>
      </c>
      <c r="N63" s="153">
        <f t="shared" si="34"/>
        <v>1287470.1586567075</v>
      </c>
    </row>
    <row r="64" spans="1:16" ht="15" customHeight="1" x14ac:dyDescent="0.25">
      <c r="A64" s="8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303"/>
    </row>
    <row r="65" spans="2:14" ht="15" customHeight="1" x14ac:dyDescent="0.25">
      <c r="B65" s="274" t="s">
        <v>217</v>
      </c>
      <c r="C65" s="274" t="s">
        <v>218</v>
      </c>
      <c r="D65" s="473">
        <f>IRR(D63:N63)</f>
        <v>0.19403666041839318</v>
      </c>
      <c r="E65" s="344"/>
      <c r="F65" s="344"/>
      <c r="G65" s="344"/>
      <c r="H65" s="344"/>
      <c r="I65" s="344"/>
      <c r="J65" s="344"/>
      <c r="K65" s="344"/>
      <c r="L65" s="344"/>
      <c r="M65" s="344"/>
      <c r="N65" s="58"/>
    </row>
  </sheetData>
  <conditionalFormatting sqref="D20:N21 D23:N23 D25:N25 D34:N34 E37:N37 D46:N46 D54:N54 D56:N56 D11:N13 D5:O5 D6:N8 D28:N31 D17:N18 D58:N63 D38:N38 D39:M39 D40:N42 D43:M43 D44:N44 D48:N52">
    <cfRule type="cellIs" dxfId="9" priority="2" stopIfTrue="1" operator="lessThan">
      <formula>0</formula>
    </cfRule>
  </conditionalFormatting>
  <conditionalFormatting sqref="N39">
    <cfRule type="cellIs" dxfId="8" priority="1" stopIfTrue="1" operator="lessThan">
      <formula>0</formula>
    </cfRule>
  </conditionalFormatting>
  <pageMargins left="0.19685" right="0" top="0.59" bottom="0" header="0.3" footer="0.3"/>
  <pageSetup scale="80" orientation="landscape"/>
  <headerFooter>
    <oddFooter>&amp;C&amp;"Helvetica,Regular"&amp;12&amp;K000000&amp;P</oddFooter>
  </headerFooter>
  <ignoredErrors>
    <ignoredError sqref="D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topLeftCell="A13" zoomScale="110" zoomScaleNormal="110" workbookViewId="0">
      <selection activeCell="A2" sqref="A2"/>
    </sheetView>
  </sheetViews>
  <sheetFormatPr defaultColWidth="8.85546875" defaultRowHeight="15" customHeight="1" x14ac:dyDescent="0.25"/>
  <cols>
    <col min="1" max="1" width="2.85546875" style="320" customWidth="1"/>
    <col min="2" max="2" width="25.28515625" style="320" customWidth="1"/>
    <col min="3" max="3" width="25.28515625" style="320" hidden="1" customWidth="1"/>
    <col min="4" max="10" width="7" style="320" customWidth="1"/>
    <col min="11" max="14" width="7.7109375" style="320" bestFit="1" customWidth="1"/>
    <col min="15" max="256" width="8.85546875" style="320" customWidth="1"/>
  </cols>
  <sheetData>
    <row r="1" spans="1:20" ht="15.75" customHeight="1" x14ac:dyDescent="0.25">
      <c r="A1" s="557" t="s">
        <v>490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277"/>
    </row>
    <row r="2" spans="1:20" ht="15.75" customHeight="1" x14ac:dyDescent="0.25">
      <c r="A2" s="5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48"/>
    </row>
    <row r="3" spans="1:20" ht="15" customHeight="1" x14ac:dyDescent="0.25">
      <c r="A3" s="323"/>
      <c r="B3" s="478" t="s">
        <v>219</v>
      </c>
      <c r="C3" s="324" t="s">
        <v>220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48"/>
    </row>
    <row r="4" spans="1:20" ht="15" customHeight="1" x14ac:dyDescent="0.25">
      <c r="A4" s="323"/>
      <c r="B4" s="325" t="s">
        <v>221</v>
      </c>
      <c r="C4" s="325" t="s">
        <v>222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48"/>
    </row>
    <row r="5" spans="1:20" ht="15" customHeight="1" x14ac:dyDescent="0.25">
      <c r="A5" s="323"/>
      <c r="B5" s="326" t="s">
        <v>223</v>
      </c>
      <c r="C5" s="326" t="s">
        <v>224</v>
      </c>
      <c r="D5" s="300" t="s">
        <v>132</v>
      </c>
      <c r="E5" s="300" t="s">
        <v>133</v>
      </c>
      <c r="F5" s="300" t="s">
        <v>134</v>
      </c>
      <c r="G5" s="300" t="s">
        <v>135</v>
      </c>
      <c r="H5" s="300" t="s">
        <v>136</v>
      </c>
      <c r="I5" s="300" t="s">
        <v>137</v>
      </c>
      <c r="J5" s="300" t="s">
        <v>138</v>
      </c>
      <c r="K5" s="300" t="s">
        <v>139</v>
      </c>
      <c r="L5" s="300" t="s">
        <v>140</v>
      </c>
      <c r="M5" s="300" t="s">
        <v>141</v>
      </c>
      <c r="N5" s="300" t="s">
        <v>142</v>
      </c>
      <c r="O5" s="322"/>
      <c r="P5" s="322"/>
      <c r="Q5" s="322"/>
      <c r="R5" s="322"/>
      <c r="S5" s="322"/>
      <c r="T5" s="48"/>
    </row>
    <row r="6" spans="1:20" ht="15" customHeight="1" x14ac:dyDescent="0.25">
      <c r="A6" s="323"/>
      <c r="B6" s="327" t="s">
        <v>449</v>
      </c>
      <c r="C6" s="327" t="s">
        <v>145</v>
      </c>
      <c r="D6" s="328">
        <f>'P&amp;L and Cash Flow'!D5</f>
        <v>990000</v>
      </c>
      <c r="E6" s="328">
        <f>'P&amp;L and Cash Flow'!E5</f>
        <v>1514700.0000000002</v>
      </c>
      <c r="F6" s="328">
        <f>'P&amp;L and Cash Flow'!F5</f>
        <v>2059992.0000000005</v>
      </c>
      <c r="G6" s="328">
        <f>'P&amp;L and Cash Flow'!G5</f>
        <v>2101191.8400000003</v>
      </c>
      <c r="H6" s="328">
        <f>'P&amp;L and Cash Flow'!H5</f>
        <v>2143215.6768000005</v>
      </c>
      <c r="I6" s="328">
        <f>'P&amp;L and Cash Flow'!I5</f>
        <v>2186079.9903360009</v>
      </c>
      <c r="J6" s="328">
        <f>'P&amp;L and Cash Flow'!J5</f>
        <v>2229801.5901427208</v>
      </c>
      <c r="K6" s="328">
        <f>'P&amp;L and Cash Flow'!K5</f>
        <v>2274397.6219455753</v>
      </c>
      <c r="L6" s="328">
        <f>'P&amp;L and Cash Flow'!L5</f>
        <v>2319885.5743844868</v>
      </c>
      <c r="M6" s="328">
        <f>'P&amp;L and Cash Flow'!M5</f>
        <v>2366283.2858721763</v>
      </c>
      <c r="N6" s="328">
        <f>'P&amp;L and Cash Flow'!N5</f>
        <v>2413608.9515896202</v>
      </c>
      <c r="O6" s="322"/>
      <c r="P6" s="322"/>
      <c r="Q6" s="322"/>
      <c r="R6" s="322"/>
      <c r="S6" s="322"/>
      <c r="T6" s="48"/>
    </row>
    <row r="7" spans="1:20" ht="15" customHeight="1" x14ac:dyDescent="0.25">
      <c r="A7" s="323"/>
      <c r="B7" s="270" t="s">
        <v>450</v>
      </c>
      <c r="C7" s="270" t="s">
        <v>147</v>
      </c>
      <c r="D7" s="329">
        <f>'P&amp;L and Cash Flow'!D6</f>
        <v>67500</v>
      </c>
      <c r="E7" s="329">
        <f>'P&amp;L and Cash Flow'!E6</f>
        <v>103275</v>
      </c>
      <c r="F7" s="329">
        <f>'P&amp;L and Cash Flow'!F6</f>
        <v>140454</v>
      </c>
      <c r="G7" s="329">
        <f>'P&amp;L and Cash Flow'!G6</f>
        <v>143263.08000000002</v>
      </c>
      <c r="H7" s="329">
        <f>'P&amp;L and Cash Flow'!H6</f>
        <v>146128.34160000004</v>
      </c>
      <c r="I7" s="329">
        <f>'P&amp;L and Cash Flow'!I6</f>
        <v>149050.90843200003</v>
      </c>
      <c r="J7" s="329">
        <f>'P&amp;L and Cash Flow'!J6</f>
        <v>152031.92660064003</v>
      </c>
      <c r="K7" s="329">
        <f>'P&amp;L and Cash Flow'!K6</f>
        <v>155072.56513265288</v>
      </c>
      <c r="L7" s="329">
        <f>'P&amp;L and Cash Flow'!L6</f>
        <v>158174.01643530591</v>
      </c>
      <c r="M7" s="329">
        <f>'P&amp;L and Cash Flow'!M6</f>
        <v>161337.49676401203</v>
      </c>
      <c r="N7" s="329">
        <f>'P&amp;L and Cash Flow'!N6</f>
        <v>164564.24669929227</v>
      </c>
      <c r="O7" s="322"/>
      <c r="P7" s="322"/>
      <c r="Q7" s="322"/>
      <c r="R7" s="322"/>
      <c r="S7" s="322"/>
      <c r="T7" s="48"/>
    </row>
    <row r="8" spans="1:20" ht="15" customHeight="1" x14ac:dyDescent="0.25">
      <c r="A8" s="323"/>
      <c r="B8" s="270" t="s">
        <v>455</v>
      </c>
      <c r="C8" s="270" t="s">
        <v>148</v>
      </c>
      <c r="D8" s="329">
        <f>'P&amp;L and Cash Flow'!D7</f>
        <v>37500</v>
      </c>
      <c r="E8" s="329">
        <f>'P&amp;L and Cash Flow'!E7</f>
        <v>57375</v>
      </c>
      <c r="F8" s="329">
        <f>'P&amp;L and Cash Flow'!F7</f>
        <v>78030</v>
      </c>
      <c r="G8" s="329">
        <f>'P&amp;L and Cash Flow'!G7</f>
        <v>79590.600000000006</v>
      </c>
      <c r="H8" s="329">
        <f>'P&amp;L and Cash Flow'!H7</f>
        <v>81182.411999999997</v>
      </c>
      <c r="I8" s="329">
        <f>'P&amp;L and Cash Flow'!I7</f>
        <v>82806.060240000006</v>
      </c>
      <c r="J8" s="329">
        <f>'P&amp;L and Cash Flow'!J7</f>
        <v>84462.181444800008</v>
      </c>
      <c r="K8" s="329">
        <f>'P&amp;L and Cash Flow'!K7</f>
        <v>86151.425073696009</v>
      </c>
      <c r="L8" s="329">
        <f>'P&amp;L and Cash Flow'!L7</f>
        <v>87874.45357516993</v>
      </c>
      <c r="M8" s="329">
        <f>'P&amp;L and Cash Flow'!M7</f>
        <v>89631.942646673328</v>
      </c>
      <c r="N8" s="329">
        <f>'P&amp;L and Cash Flow'!N7</f>
        <v>91424.581499606807</v>
      </c>
      <c r="O8" s="322"/>
      <c r="P8" s="322"/>
      <c r="Q8" s="322"/>
      <c r="R8" s="322"/>
      <c r="S8" s="322"/>
      <c r="T8" s="48"/>
    </row>
    <row r="9" spans="1:20" ht="15" customHeight="1" x14ac:dyDescent="0.25">
      <c r="A9" s="323"/>
      <c r="B9" s="332" t="s">
        <v>149</v>
      </c>
      <c r="C9" s="332" t="s">
        <v>230</v>
      </c>
      <c r="D9" s="333">
        <f t="shared" ref="D9:N9" si="0">SUM(D6:D8)</f>
        <v>1095000</v>
      </c>
      <c r="E9" s="333">
        <f t="shared" si="0"/>
        <v>1675350.0000000002</v>
      </c>
      <c r="F9" s="333">
        <f t="shared" si="0"/>
        <v>2278476.0000000005</v>
      </c>
      <c r="G9" s="333">
        <f t="shared" si="0"/>
        <v>2324045.5200000005</v>
      </c>
      <c r="H9" s="333">
        <f t="shared" si="0"/>
        <v>2370526.4304000004</v>
      </c>
      <c r="I9" s="333">
        <f t="shared" si="0"/>
        <v>2417936.9590080008</v>
      </c>
      <c r="J9" s="333">
        <f t="shared" si="0"/>
        <v>2466295.698188161</v>
      </c>
      <c r="K9" s="333">
        <f t="shared" si="0"/>
        <v>2515621.6121519241</v>
      </c>
      <c r="L9" s="333">
        <f t="shared" si="0"/>
        <v>2565934.044394963</v>
      </c>
      <c r="M9" s="333">
        <f t="shared" si="0"/>
        <v>2617252.7252828619</v>
      </c>
      <c r="N9" s="333">
        <f t="shared" si="0"/>
        <v>2669597.7797885193</v>
      </c>
      <c r="O9" s="322"/>
      <c r="P9" s="322"/>
      <c r="Q9" s="322"/>
      <c r="R9" s="322"/>
      <c r="S9" s="322"/>
      <c r="T9" s="48"/>
    </row>
    <row r="10" spans="1:20" ht="15" customHeight="1" x14ac:dyDescent="0.25">
      <c r="A10" s="323"/>
      <c r="B10" s="75"/>
      <c r="C10" s="75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322"/>
      <c r="P10" s="322"/>
      <c r="Q10" s="322"/>
      <c r="R10" s="322"/>
      <c r="S10" s="322"/>
      <c r="T10" s="48"/>
    </row>
    <row r="11" spans="1:20" ht="15" customHeight="1" x14ac:dyDescent="0.25">
      <c r="A11" s="323"/>
      <c r="B11" s="326" t="s">
        <v>231</v>
      </c>
      <c r="C11" s="326" t="s">
        <v>232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322"/>
      <c r="P11" s="322"/>
      <c r="Q11" s="322"/>
      <c r="R11" s="322"/>
      <c r="S11" s="322"/>
      <c r="T11" s="48"/>
    </row>
    <row r="12" spans="1:20" ht="15" customHeight="1" x14ac:dyDescent="0.25">
      <c r="A12" s="323"/>
      <c r="B12" s="327" t="s">
        <v>233</v>
      </c>
      <c r="C12" s="327" t="s">
        <v>234</v>
      </c>
      <c r="D12" s="328">
        <f>'P&amp;L and Cash Flow'!D13</f>
        <v>150000</v>
      </c>
      <c r="E12" s="328">
        <f>'P&amp;L and Cash Flow'!E13</f>
        <v>225000</v>
      </c>
      <c r="F12" s="328">
        <f>'P&amp;L and Cash Flow'!F13</f>
        <v>300000</v>
      </c>
      <c r="G12" s="328">
        <f>'P&amp;L and Cash Flow'!G13</f>
        <v>300000</v>
      </c>
      <c r="H12" s="328">
        <f>'P&amp;L and Cash Flow'!H13</f>
        <v>300000</v>
      </c>
      <c r="I12" s="328">
        <f>'P&amp;L and Cash Flow'!I13</f>
        <v>300000</v>
      </c>
      <c r="J12" s="328">
        <f>'P&amp;L and Cash Flow'!J13</f>
        <v>300000</v>
      </c>
      <c r="K12" s="328">
        <f>'P&amp;L and Cash Flow'!K13</f>
        <v>300000</v>
      </c>
      <c r="L12" s="328">
        <f>'P&amp;L and Cash Flow'!L13</f>
        <v>300000</v>
      </c>
      <c r="M12" s="328">
        <f>'P&amp;L and Cash Flow'!M13</f>
        <v>300000</v>
      </c>
      <c r="N12" s="328">
        <f>'P&amp;L and Cash Flow'!N13</f>
        <v>300000</v>
      </c>
      <c r="O12" s="322"/>
      <c r="P12" s="322"/>
      <c r="Q12" s="322"/>
      <c r="R12" s="322"/>
      <c r="S12" s="322"/>
      <c r="T12" s="48"/>
    </row>
    <row r="13" spans="1:20" ht="15" customHeight="1" x14ac:dyDescent="0.25">
      <c r="A13" s="323"/>
      <c r="B13" s="270" t="s">
        <v>235</v>
      </c>
      <c r="C13" s="270" t="s">
        <v>236</v>
      </c>
      <c r="D13" s="329">
        <f>'P&amp;L and Cash Flow'!D18</f>
        <v>461636.36363636365</v>
      </c>
      <c r="E13" s="329">
        <f>'P&amp;L and Cash Flow'!E18</f>
        <v>518590.90909090906</v>
      </c>
      <c r="F13" s="329">
        <f>'P&amp;L and Cash Flow'!F18</f>
        <v>613206.81818181812</v>
      </c>
      <c r="G13" s="329">
        <f>'P&amp;L and Cash Flow'!G18</f>
        <v>576121.70454545459</v>
      </c>
      <c r="H13" s="329">
        <f>'P&amp;L and Cash Flow'!H18</f>
        <v>576700.51704545459</v>
      </c>
      <c r="I13" s="329">
        <f>'P&amp;L and Cash Flow'!I18</f>
        <v>577308.27017045463</v>
      </c>
      <c r="J13" s="329">
        <f>'P&amp;L and Cash Flow'!J18</f>
        <v>577946.4109517046</v>
      </c>
      <c r="K13" s="329">
        <f>'P&amp;L and Cash Flow'!K18</f>
        <v>578616.45877201704</v>
      </c>
      <c r="L13" s="329">
        <f>'P&amp;L and Cash Flow'!L18</f>
        <v>579320.00898334524</v>
      </c>
      <c r="M13" s="329">
        <f>'P&amp;L and Cash Flow'!M18</f>
        <v>580058.73670523975</v>
      </c>
      <c r="N13" s="329">
        <f>'P&amp;L and Cash Flow'!N18</f>
        <v>580834.40081322903</v>
      </c>
      <c r="O13" s="322"/>
      <c r="P13" s="322"/>
      <c r="Q13" s="322"/>
      <c r="R13" s="322"/>
      <c r="S13" s="322"/>
      <c r="T13" s="48"/>
    </row>
    <row r="14" spans="1:20" ht="15" customHeight="1" x14ac:dyDescent="0.25">
      <c r="A14" s="323"/>
      <c r="B14" s="272" t="s">
        <v>237</v>
      </c>
      <c r="C14" s="272" t="s">
        <v>238</v>
      </c>
      <c r="D14" s="330">
        <f>'P&amp;L and Cash Flow'!D31</f>
        <v>20000</v>
      </c>
      <c r="E14" s="330">
        <f>'P&amp;L and Cash Flow'!E31</f>
        <v>20400</v>
      </c>
      <c r="F14" s="330">
        <f>'P&amp;L and Cash Flow'!F31</f>
        <v>20910</v>
      </c>
      <c r="G14" s="330">
        <f>'P&amp;L and Cash Flow'!G31</f>
        <v>21433.260000000002</v>
      </c>
      <c r="H14" s="330">
        <f>'P&amp;L and Cash Flow'!H31</f>
        <v>21970.137000000002</v>
      </c>
      <c r="I14" s="330">
        <f>'P&amp;L and Cash Flow'!I31</f>
        <v>22520.997894</v>
      </c>
      <c r="J14" s="330">
        <f>'P&amp;L and Cash Flow'!J31</f>
        <v>23086.2197505</v>
      </c>
      <c r="K14" s="330">
        <f>'P&amp;L and Cash Flow'!K31</f>
        <v>23666.190101088599</v>
      </c>
      <c r="L14" s="330">
        <f>'P&amp;L and Cash Flow'!L31</f>
        <v>24261.307237356334</v>
      </c>
      <c r="M14" s="330">
        <f>'P&amp;L and Cash Flow'!M31</f>
        <v>24871.980516376796</v>
      </c>
      <c r="N14" s="330">
        <f>'P&amp;L and Cash Flow'!N31</f>
        <v>25498.630675005872</v>
      </c>
      <c r="O14" s="322"/>
      <c r="P14" s="322"/>
      <c r="Q14" s="322"/>
      <c r="R14" s="322"/>
      <c r="S14" s="322"/>
      <c r="T14" s="48"/>
    </row>
    <row r="15" spans="1:20" ht="15" customHeight="1" x14ac:dyDescent="0.25">
      <c r="A15" s="323"/>
      <c r="B15" s="332" t="s">
        <v>239</v>
      </c>
      <c r="C15" s="332" t="s">
        <v>240</v>
      </c>
      <c r="D15" s="333">
        <f t="shared" ref="D15:N15" si="1">D12+D13+D14</f>
        <v>631636.36363636365</v>
      </c>
      <c r="E15" s="333">
        <f t="shared" si="1"/>
        <v>763990.90909090906</v>
      </c>
      <c r="F15" s="333">
        <f t="shared" si="1"/>
        <v>934116.81818181812</v>
      </c>
      <c r="G15" s="333">
        <f t="shared" si="1"/>
        <v>897554.9645454546</v>
      </c>
      <c r="H15" s="333">
        <f t="shared" si="1"/>
        <v>898670.65404545458</v>
      </c>
      <c r="I15" s="333">
        <f t="shared" si="1"/>
        <v>899829.26806445466</v>
      </c>
      <c r="J15" s="333">
        <f t="shared" si="1"/>
        <v>901032.63070220465</v>
      </c>
      <c r="K15" s="333">
        <f t="shared" si="1"/>
        <v>902282.64887310565</v>
      </c>
      <c r="L15" s="333">
        <f t="shared" si="1"/>
        <v>903581.31622070156</v>
      </c>
      <c r="M15" s="333">
        <f t="shared" si="1"/>
        <v>904930.71722161653</v>
      </c>
      <c r="N15" s="333">
        <f t="shared" si="1"/>
        <v>906333.03148823488</v>
      </c>
      <c r="O15" s="322"/>
      <c r="P15" s="322"/>
      <c r="Q15" s="322"/>
      <c r="R15" s="322"/>
      <c r="S15" s="322"/>
      <c r="T15" s="48"/>
    </row>
    <row r="16" spans="1:20" ht="15" customHeight="1" x14ac:dyDescent="0.25">
      <c r="A16" s="323"/>
      <c r="B16" s="75"/>
      <c r="C16" s="75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322"/>
      <c r="P16" s="322"/>
      <c r="Q16" s="322"/>
      <c r="R16" s="322"/>
      <c r="S16" s="322"/>
      <c r="T16" s="48"/>
    </row>
    <row r="17" spans="1:20" ht="15" customHeight="1" x14ac:dyDescent="0.25">
      <c r="A17" s="323"/>
      <c r="B17" s="246" t="s">
        <v>178</v>
      </c>
      <c r="C17" s="246" t="s">
        <v>178</v>
      </c>
      <c r="D17" s="329">
        <f t="shared" ref="D17:N17" si="2">D9-D15</f>
        <v>463363.63636363635</v>
      </c>
      <c r="E17" s="329">
        <f t="shared" si="2"/>
        <v>911359.09090909117</v>
      </c>
      <c r="F17" s="329">
        <f t="shared" si="2"/>
        <v>1344359.1818181823</v>
      </c>
      <c r="G17" s="329">
        <f t="shared" si="2"/>
        <v>1426490.5554545459</v>
      </c>
      <c r="H17" s="329">
        <f t="shared" si="2"/>
        <v>1471855.7763545457</v>
      </c>
      <c r="I17" s="329">
        <f t="shared" si="2"/>
        <v>1518107.6909435461</v>
      </c>
      <c r="J17" s="329">
        <f t="shared" si="2"/>
        <v>1565263.0674859565</v>
      </c>
      <c r="K17" s="329">
        <f t="shared" si="2"/>
        <v>1613338.9632788184</v>
      </c>
      <c r="L17" s="329">
        <f t="shared" si="2"/>
        <v>1662352.7281742613</v>
      </c>
      <c r="M17" s="329">
        <f t="shared" si="2"/>
        <v>1712322.0080612453</v>
      </c>
      <c r="N17" s="329">
        <f t="shared" si="2"/>
        <v>1763264.7483002844</v>
      </c>
      <c r="O17" s="322"/>
      <c r="P17" s="322"/>
      <c r="Q17" s="322"/>
      <c r="R17" s="322"/>
      <c r="S17" s="322"/>
      <c r="T17" s="48"/>
    </row>
    <row r="18" spans="1:20" ht="15" customHeight="1" x14ac:dyDescent="0.25">
      <c r="A18" s="323"/>
      <c r="B18" s="75"/>
      <c r="C18" s="75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322"/>
      <c r="P18" s="322"/>
      <c r="Q18" s="322"/>
      <c r="R18" s="322"/>
      <c r="S18" s="322"/>
      <c r="T18" s="48"/>
    </row>
    <row r="19" spans="1:20" ht="15" customHeight="1" x14ac:dyDescent="0.25">
      <c r="A19" s="323"/>
      <c r="B19" s="157" t="s">
        <v>241</v>
      </c>
      <c r="C19" s="157" t="s">
        <v>242</v>
      </c>
      <c r="D19" s="329">
        <f>'P&amp;L and Cash Flow'!D41</f>
        <v>0</v>
      </c>
      <c r="E19" s="329">
        <f>'P&amp;L and Cash Flow'!E41</f>
        <v>0</v>
      </c>
      <c r="F19" s="329">
        <f>'P&amp;L and Cash Flow'!F41</f>
        <v>0</v>
      </c>
      <c r="G19" s="329">
        <f>'P&amp;L and Cash Flow'!G41</f>
        <v>0</v>
      </c>
      <c r="H19" s="329">
        <f>'P&amp;L and Cash Flow'!H41</f>
        <v>0</v>
      </c>
      <c r="I19" s="329">
        <f>'P&amp;L and Cash Flow'!I41</f>
        <v>0</v>
      </c>
      <c r="J19" s="329">
        <f>'P&amp;L and Cash Flow'!J41</f>
        <v>63061.040084406006</v>
      </c>
      <c r="K19" s="329">
        <f>'P&amp;L and Cash Flow'!K41</f>
        <v>66471.301372667425</v>
      </c>
      <c r="L19" s="329">
        <f>'P&amp;L and Cash Flow'!L41</f>
        <v>70011.992108644263</v>
      </c>
      <c r="M19" s="329">
        <f>'P&amp;L and Cash Flow'!M41</f>
        <v>73687.601066174262</v>
      </c>
      <c r="N19" s="329">
        <f>'P&amp;L and Cash Flow'!N41</f>
        <v>76913.237415014228</v>
      </c>
      <c r="O19" s="322"/>
      <c r="P19" s="322"/>
      <c r="Q19" s="322"/>
      <c r="R19" s="322"/>
      <c r="S19" s="322"/>
      <c r="T19" s="48"/>
    </row>
    <row r="20" spans="1:20" ht="15" customHeight="1" x14ac:dyDescent="0.25">
      <c r="A20" s="323"/>
      <c r="B20" s="261" t="s">
        <v>243</v>
      </c>
      <c r="C20" s="261" t="s">
        <v>243</v>
      </c>
      <c r="D20" s="330">
        <f>Offering!C14</f>
        <v>1500000</v>
      </c>
      <c r="E20" s="330">
        <f>'P&amp;L and Cash Flow'!E60</f>
        <v>1000000</v>
      </c>
      <c r="F20" s="330">
        <f>'P&amp;L and Cash Flow'!F60</f>
        <v>450000</v>
      </c>
      <c r="G20" s="330">
        <f>'P&amp;L and Cash Flow'!G60</f>
        <v>20000</v>
      </c>
      <c r="H20" s="330">
        <f>'P&amp;L and Cash Flow'!H60</f>
        <v>21000</v>
      </c>
      <c r="I20" s="330">
        <f>'P&amp;L and Cash Flow'!I60</f>
        <v>22050</v>
      </c>
      <c r="J20" s="330">
        <f>'P&amp;L and Cash Flow'!J60</f>
        <v>23152.5</v>
      </c>
      <c r="K20" s="330">
        <f>'P&amp;L and Cash Flow'!K60</f>
        <v>24310.125</v>
      </c>
      <c r="L20" s="330">
        <f>'P&amp;L and Cash Flow'!L60</f>
        <v>25525.631250000002</v>
      </c>
      <c r="M20" s="330">
        <f>'P&amp;L and Cash Flow'!M60</f>
        <v>26801.912812500002</v>
      </c>
      <c r="N20" s="330">
        <f>'P&amp;L and Cash Flow'!N60</f>
        <v>28142.008453125003</v>
      </c>
      <c r="O20" s="322"/>
      <c r="P20" s="322"/>
      <c r="Q20" s="322"/>
      <c r="R20" s="322"/>
      <c r="S20" s="322"/>
      <c r="T20" s="48"/>
    </row>
    <row r="21" spans="1:20" ht="15" customHeight="1" x14ac:dyDescent="0.25">
      <c r="A21" s="323"/>
      <c r="B21" s="273" t="s">
        <v>244</v>
      </c>
      <c r="C21" s="273" t="s">
        <v>245</v>
      </c>
      <c r="D21" s="328">
        <f t="shared" ref="D21:N21" si="3">D17-D19-D20</f>
        <v>-1036636.3636363636</v>
      </c>
      <c r="E21" s="328">
        <f t="shared" si="3"/>
        <v>-88640.909090908826</v>
      </c>
      <c r="F21" s="328">
        <f t="shared" si="3"/>
        <v>894359.18181818235</v>
      </c>
      <c r="G21" s="328">
        <f t="shared" si="3"/>
        <v>1406490.5554545459</v>
      </c>
      <c r="H21" s="328">
        <f t="shared" si="3"/>
        <v>1450855.7763545457</v>
      </c>
      <c r="I21" s="328">
        <f t="shared" si="3"/>
        <v>1496057.6909435461</v>
      </c>
      <c r="J21" s="328">
        <f t="shared" si="3"/>
        <v>1479049.5274015504</v>
      </c>
      <c r="K21" s="328">
        <f t="shared" si="3"/>
        <v>1522557.5369061511</v>
      </c>
      <c r="L21" s="328">
        <f t="shared" si="3"/>
        <v>1566815.104815617</v>
      </c>
      <c r="M21" s="328">
        <f t="shared" si="3"/>
        <v>1611832.4941825711</v>
      </c>
      <c r="N21" s="328">
        <f t="shared" si="3"/>
        <v>1658209.5024321452</v>
      </c>
      <c r="O21" s="322"/>
      <c r="P21" s="322"/>
      <c r="Q21" s="322"/>
      <c r="R21" s="322"/>
      <c r="S21" s="322"/>
      <c r="T21" s="48"/>
    </row>
    <row r="22" spans="1:20" ht="15" customHeight="1" x14ac:dyDescent="0.25">
      <c r="A22" s="323"/>
      <c r="B22" s="75"/>
      <c r="C22" s="7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322"/>
      <c r="P22" s="322"/>
      <c r="Q22" s="322"/>
      <c r="R22" s="322"/>
      <c r="S22" s="322"/>
      <c r="T22" s="48"/>
    </row>
    <row r="23" spans="1:20" ht="15" hidden="1" customHeight="1" x14ac:dyDescent="0.25">
      <c r="A23" s="323"/>
      <c r="B23" s="246" t="s">
        <v>246</v>
      </c>
      <c r="C23" s="246" t="s">
        <v>247</v>
      </c>
      <c r="D23" s="300" t="s">
        <v>132</v>
      </c>
      <c r="E23" s="300" t="s">
        <v>133</v>
      </c>
      <c r="F23" s="300" t="s">
        <v>134</v>
      </c>
      <c r="G23" s="300" t="s">
        <v>135</v>
      </c>
      <c r="H23" s="300" t="s">
        <v>136</v>
      </c>
      <c r="I23" s="300" t="s">
        <v>137</v>
      </c>
      <c r="J23" s="300" t="s">
        <v>138</v>
      </c>
      <c r="K23" s="300" t="s">
        <v>139</v>
      </c>
      <c r="L23" s="300" t="s">
        <v>140</v>
      </c>
      <c r="M23" s="300" t="s">
        <v>141</v>
      </c>
      <c r="N23" s="300" t="s">
        <v>142</v>
      </c>
      <c r="O23" s="322"/>
      <c r="P23" s="322"/>
      <c r="Q23" s="322"/>
      <c r="R23" s="322"/>
      <c r="S23" s="322"/>
      <c r="T23" s="48"/>
    </row>
    <row r="24" spans="1:20" ht="15" hidden="1" customHeight="1" x14ac:dyDescent="0.25">
      <c r="A24" s="323"/>
      <c r="B24" s="75"/>
      <c r="C24" s="75"/>
      <c r="D24" s="328" t="e">
        <f>D21-Offering!#REF!</f>
        <v>#REF!</v>
      </c>
      <c r="E24" s="328">
        <f t="shared" ref="E24:N24" si="4">E21</f>
        <v>-88640.909090908826</v>
      </c>
      <c r="F24" s="328">
        <f t="shared" si="4"/>
        <v>894359.18181818235</v>
      </c>
      <c r="G24" s="328">
        <f t="shared" si="4"/>
        <v>1406490.5554545459</v>
      </c>
      <c r="H24" s="328">
        <f t="shared" si="4"/>
        <v>1450855.7763545457</v>
      </c>
      <c r="I24" s="328">
        <f t="shared" si="4"/>
        <v>1496057.6909435461</v>
      </c>
      <c r="J24" s="328">
        <f t="shared" si="4"/>
        <v>1479049.5274015504</v>
      </c>
      <c r="K24" s="328">
        <f t="shared" si="4"/>
        <v>1522557.5369061511</v>
      </c>
      <c r="L24" s="328">
        <f t="shared" si="4"/>
        <v>1566815.104815617</v>
      </c>
      <c r="M24" s="328">
        <f t="shared" si="4"/>
        <v>1611832.4941825711</v>
      </c>
      <c r="N24" s="328">
        <f t="shared" si="4"/>
        <v>1658209.5024321452</v>
      </c>
      <c r="O24" s="322"/>
      <c r="P24" s="322"/>
      <c r="Q24" s="322"/>
      <c r="R24" s="322"/>
      <c r="S24" s="322"/>
      <c r="T24" s="48"/>
    </row>
    <row r="25" spans="1:20" ht="15" hidden="1" customHeight="1" x14ac:dyDescent="0.25">
      <c r="A25" s="323"/>
      <c r="B25" s="270" t="s">
        <v>248</v>
      </c>
      <c r="C25" s="270" t="s">
        <v>249</v>
      </c>
      <c r="D25" s="334" t="e">
        <f>IRR(D23:N24)</f>
        <v>#VALUE!</v>
      </c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2"/>
      <c r="P25" s="322"/>
      <c r="Q25" s="322"/>
      <c r="R25" s="322"/>
      <c r="S25" s="322"/>
      <c r="T25" s="48"/>
    </row>
    <row r="26" spans="1:20" ht="15" hidden="1" customHeight="1" x14ac:dyDescent="0.25">
      <c r="A26" s="323"/>
      <c r="B26" s="270" t="s">
        <v>250</v>
      </c>
      <c r="C26" s="270" t="s">
        <v>251</v>
      </c>
      <c r="D26" s="329" t="e">
        <f>NPV(0.1,D24:N24)</f>
        <v>#REF!</v>
      </c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2"/>
      <c r="P26" s="322"/>
      <c r="Q26" s="322"/>
      <c r="R26" s="322"/>
      <c r="S26" s="322"/>
      <c r="T26" s="48"/>
    </row>
    <row r="27" spans="1:20" ht="15" customHeight="1" x14ac:dyDescent="0.25">
      <c r="A27" s="323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48"/>
    </row>
    <row r="28" spans="1:20" ht="15" customHeight="1" x14ac:dyDescent="0.25">
      <c r="A28" s="323"/>
      <c r="B28" s="324" t="s">
        <v>252</v>
      </c>
      <c r="C28" s="324" t="s">
        <v>253</v>
      </c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48"/>
    </row>
    <row r="29" spans="1:20" ht="15" customHeight="1" x14ac:dyDescent="0.25">
      <c r="A29" s="323"/>
      <c r="B29" s="335"/>
      <c r="C29" s="335"/>
      <c r="D29" s="10" t="s">
        <v>132</v>
      </c>
      <c r="E29" s="10" t="s">
        <v>133</v>
      </c>
      <c r="F29" s="10" t="s">
        <v>134</v>
      </c>
      <c r="G29" s="10" t="s">
        <v>135</v>
      </c>
      <c r="H29" s="10" t="s">
        <v>136</v>
      </c>
      <c r="I29" s="10" t="s">
        <v>137</v>
      </c>
      <c r="J29" s="10" t="s">
        <v>138</v>
      </c>
      <c r="K29" s="10" t="s">
        <v>139</v>
      </c>
      <c r="L29" s="10" t="s">
        <v>140</v>
      </c>
      <c r="M29" s="10" t="s">
        <v>141</v>
      </c>
      <c r="N29" s="10" t="s">
        <v>142</v>
      </c>
      <c r="O29" s="322"/>
      <c r="P29" s="322"/>
      <c r="Q29" s="322"/>
      <c r="R29" s="322"/>
      <c r="S29" s="322"/>
      <c r="T29" s="48"/>
    </row>
    <row r="30" spans="1:20" ht="15" customHeight="1" x14ac:dyDescent="0.25">
      <c r="A30" s="323"/>
      <c r="B30" s="14" t="s">
        <v>244</v>
      </c>
      <c r="C30" s="14" t="s">
        <v>254</v>
      </c>
      <c r="D30" s="336">
        <f>'P&amp;L and Cash Flow'!D58</f>
        <v>463363.63636363635</v>
      </c>
      <c r="E30" s="336">
        <f>'P&amp;L and Cash Flow'!E58</f>
        <v>911359.09090909117</v>
      </c>
      <c r="F30" s="336">
        <f>'P&amp;L and Cash Flow'!F58</f>
        <v>1344359.1818181823</v>
      </c>
      <c r="G30" s="336">
        <f>'P&amp;L and Cash Flow'!G58</f>
        <v>1426490.5554545457</v>
      </c>
      <c r="H30" s="336">
        <f>'P&amp;L and Cash Flow'!H58</f>
        <v>1471855.7763545457</v>
      </c>
      <c r="I30" s="336">
        <f>'P&amp;L and Cash Flow'!I58</f>
        <v>1518107.6909435461</v>
      </c>
      <c r="J30" s="336">
        <f>'P&amp;L and Cash Flow'!J58</f>
        <v>1502202.0274015502</v>
      </c>
      <c r="K30" s="336">
        <f>'P&amp;L and Cash Flow'!K58</f>
        <v>1546867.6619061511</v>
      </c>
      <c r="L30" s="336">
        <f>'P&amp;L and Cash Flow'!L58</f>
        <v>1592340.7360656171</v>
      </c>
      <c r="M30" s="336">
        <f>'P&amp;L and Cash Flow'!M58</f>
        <v>1638634.4069950709</v>
      </c>
      <c r="N30" s="336">
        <f>'P&amp;L and Cash Flow'!N58</f>
        <v>1352725.0531112086</v>
      </c>
      <c r="O30" s="322"/>
      <c r="P30" s="322"/>
      <c r="Q30" s="322"/>
      <c r="R30" s="322"/>
      <c r="S30" s="322"/>
      <c r="T30" s="48"/>
    </row>
    <row r="31" spans="1:20" ht="15" customHeight="1" x14ac:dyDescent="0.25">
      <c r="A31" s="323"/>
      <c r="B31" s="12" t="s">
        <v>207</v>
      </c>
      <c r="C31" s="12" t="s">
        <v>255</v>
      </c>
      <c r="D31" s="337">
        <f>'P&amp;L and Cash Flow'!D59</f>
        <v>164668.80000000002</v>
      </c>
      <c r="E31" s="337">
        <f>'P&amp;L and Cash Flow'!E59</f>
        <v>321566.42370349838</v>
      </c>
      <c r="F31" s="337">
        <f>'P&amp;L and Cash Flow'!F59</f>
        <v>321566.42370349838</v>
      </c>
      <c r="G31" s="337">
        <f>'P&amp;L and Cash Flow'!G59</f>
        <v>321566.42370349844</v>
      </c>
      <c r="H31" s="337">
        <f>'P&amp;L and Cash Flow'!H59</f>
        <v>321566.42370349832</v>
      </c>
      <c r="I31" s="337">
        <f>'P&amp;L and Cash Flow'!I59</f>
        <v>321566.42370349838</v>
      </c>
      <c r="J31" s="337">
        <f>'P&amp;L and Cash Flow'!J59</f>
        <v>321566.42370349838</v>
      </c>
      <c r="K31" s="337">
        <f>'P&amp;L and Cash Flow'!K59</f>
        <v>321566.42370349844</v>
      </c>
      <c r="L31" s="337">
        <f>'P&amp;L and Cash Flow'!L59</f>
        <v>297033.07317427034</v>
      </c>
      <c r="M31" s="337">
        <f>'P&amp;L and Cash Flow'!M59</f>
        <v>366909.37279120844</v>
      </c>
      <c r="N31" s="337">
        <f>'P&amp;L and Cash Flow'!N59</f>
        <v>37112.886001376166</v>
      </c>
      <c r="O31" s="322"/>
      <c r="P31" s="322"/>
      <c r="Q31" s="322"/>
      <c r="R31" s="322"/>
      <c r="S31" s="322"/>
      <c r="T31" s="48"/>
    </row>
    <row r="32" spans="1:20" ht="15" customHeight="1" x14ac:dyDescent="0.25">
      <c r="A32" s="323"/>
      <c r="B32" s="12" t="s">
        <v>209</v>
      </c>
      <c r="C32" s="12" t="s">
        <v>210</v>
      </c>
      <c r="D32" s="337">
        <f>Offering!C14</f>
        <v>1500000</v>
      </c>
      <c r="E32" s="337">
        <f>'P&amp;L and Cash Flow'!E60</f>
        <v>1000000</v>
      </c>
      <c r="F32" s="337">
        <f>'P&amp;L and Cash Flow'!F60</f>
        <v>450000</v>
      </c>
      <c r="G32" s="337">
        <f>'P&amp;L and Cash Flow'!G60</f>
        <v>20000</v>
      </c>
      <c r="H32" s="337">
        <f>'P&amp;L and Cash Flow'!H60</f>
        <v>21000</v>
      </c>
      <c r="I32" s="337">
        <f>'P&amp;L and Cash Flow'!I60</f>
        <v>22050</v>
      </c>
      <c r="J32" s="337">
        <f>'P&amp;L and Cash Flow'!J60</f>
        <v>23152.5</v>
      </c>
      <c r="K32" s="337">
        <f>'P&amp;L and Cash Flow'!K60</f>
        <v>24310.125</v>
      </c>
      <c r="L32" s="337">
        <f>'P&amp;L and Cash Flow'!L60</f>
        <v>25525.631250000002</v>
      </c>
      <c r="M32" s="337">
        <f>'P&amp;L and Cash Flow'!M60</f>
        <v>26801.912812500002</v>
      </c>
      <c r="N32" s="337">
        <f>'P&amp;L and Cash Flow'!N60</f>
        <v>28142.008453125003</v>
      </c>
      <c r="O32" s="322"/>
      <c r="P32" s="322"/>
      <c r="Q32" s="322"/>
      <c r="R32" s="322"/>
      <c r="S32" s="322"/>
      <c r="T32" s="48"/>
    </row>
    <row r="33" spans="1:20" ht="15" customHeight="1" x14ac:dyDescent="0.25">
      <c r="A33" s="323"/>
      <c r="B33" s="11" t="s">
        <v>211</v>
      </c>
      <c r="C33" s="11" t="s">
        <v>256</v>
      </c>
      <c r="D33" s="336">
        <f>D30-D31-D32</f>
        <v>-1201305.1636363636</v>
      </c>
      <c r="E33" s="336">
        <f t="shared" ref="E33:N33" si="5">E30-E31-E32</f>
        <v>-410207.33279440715</v>
      </c>
      <c r="F33" s="336">
        <f t="shared" si="5"/>
        <v>572792.75811468391</v>
      </c>
      <c r="G33" s="336">
        <f t="shared" si="5"/>
        <v>1084924.1317510472</v>
      </c>
      <c r="H33" s="336">
        <f t="shared" si="5"/>
        <v>1129289.3526510475</v>
      </c>
      <c r="I33" s="336">
        <f t="shared" si="5"/>
        <v>1174491.2672400477</v>
      </c>
      <c r="J33" s="336">
        <f t="shared" si="5"/>
        <v>1157483.1036980518</v>
      </c>
      <c r="K33" s="336">
        <f t="shared" si="5"/>
        <v>1200991.1132026527</v>
      </c>
      <c r="L33" s="336">
        <f t="shared" si="5"/>
        <v>1269782.0316413466</v>
      </c>
      <c r="M33" s="336">
        <f t="shared" si="5"/>
        <v>1244923.1213913623</v>
      </c>
      <c r="N33" s="336">
        <f t="shared" si="5"/>
        <v>1287470.1586567075</v>
      </c>
      <c r="O33" s="322"/>
      <c r="P33" s="322"/>
      <c r="Q33" s="322"/>
      <c r="R33" s="322"/>
      <c r="S33" s="322"/>
      <c r="T33" s="48"/>
    </row>
    <row r="34" spans="1:20" ht="15" customHeight="1" x14ac:dyDescent="0.25">
      <c r="A34" s="323"/>
      <c r="B34" s="338"/>
      <c r="C34" s="338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22"/>
      <c r="P34" s="322"/>
      <c r="Q34" s="322"/>
      <c r="R34" s="322"/>
      <c r="S34" s="322"/>
      <c r="T34" s="48"/>
    </row>
    <row r="35" spans="1:20" ht="15" customHeight="1" x14ac:dyDescent="0.25">
      <c r="A35" s="323"/>
      <c r="B35" s="12" t="s">
        <v>257</v>
      </c>
      <c r="C35" s="12" t="s">
        <v>258</v>
      </c>
      <c r="D35" s="337">
        <f>D33</f>
        <v>-1201305.1636363636</v>
      </c>
      <c r="E35" s="337">
        <f t="shared" ref="E35:N35" si="6">E33</f>
        <v>-410207.33279440715</v>
      </c>
      <c r="F35" s="337">
        <f t="shared" si="6"/>
        <v>572792.75811468391</v>
      </c>
      <c r="G35" s="337">
        <f t="shared" si="6"/>
        <v>1084924.1317510472</v>
      </c>
      <c r="H35" s="337">
        <f t="shared" si="6"/>
        <v>1129289.3526510475</v>
      </c>
      <c r="I35" s="337">
        <f t="shared" si="6"/>
        <v>1174491.2672400477</v>
      </c>
      <c r="J35" s="337">
        <f t="shared" si="6"/>
        <v>1157483.1036980518</v>
      </c>
      <c r="K35" s="337">
        <f t="shared" si="6"/>
        <v>1200991.1132026527</v>
      </c>
      <c r="L35" s="337">
        <f t="shared" si="6"/>
        <v>1269782.0316413466</v>
      </c>
      <c r="M35" s="337">
        <f t="shared" si="6"/>
        <v>1244923.1213913623</v>
      </c>
      <c r="N35" s="337">
        <f t="shared" si="6"/>
        <v>1287470.1586567075</v>
      </c>
      <c r="O35" s="322"/>
      <c r="P35" s="322"/>
      <c r="Q35" s="322"/>
      <c r="R35" s="322"/>
      <c r="S35" s="322"/>
      <c r="T35" s="48"/>
    </row>
    <row r="36" spans="1:20" ht="15" customHeight="1" x14ac:dyDescent="0.25">
      <c r="A36" s="323"/>
      <c r="B36" s="338"/>
      <c r="C36" s="338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P36" s="322"/>
      <c r="Q36" s="322"/>
      <c r="R36" s="322"/>
      <c r="S36" s="322"/>
      <c r="T36" s="48"/>
    </row>
    <row r="37" spans="1:20" ht="15" customHeight="1" x14ac:dyDescent="0.25">
      <c r="A37" s="323"/>
      <c r="B37" s="14" t="s">
        <v>259</v>
      </c>
      <c r="C37" s="12" t="s">
        <v>260</v>
      </c>
      <c r="D37" s="322"/>
      <c r="E37" s="341">
        <f>'P&amp;L and Cash Flow'!E56</f>
        <v>2.8341239126054201</v>
      </c>
      <c r="F37" s="341">
        <f>'P&amp;L and Cash Flow'!F56</f>
        <v>4.1806578135090193</v>
      </c>
      <c r="G37" s="341">
        <f>'P&amp;L and Cash Flow'!G56</f>
        <v>4.4360681038324037</v>
      </c>
      <c r="H37" s="341">
        <f>'P&amp;L and Cash Flow'!H56</f>
        <v>4.5771438429519513</v>
      </c>
      <c r="I37" s="341">
        <f>'P&amp;L and Cash Flow'!I56</f>
        <v>4.7209770020744566</v>
      </c>
      <c r="J37" s="341">
        <f>'P&amp;L and Cash Flow'!J56</f>
        <v>4.671513928912745</v>
      </c>
      <c r="K37" s="341">
        <f>'P&amp;L and Cash Flow'!K56</f>
        <v>4.8104141100640732</v>
      </c>
      <c r="L37" s="341">
        <f>'P&amp;L and Cash Flow'!L56</f>
        <v>5.3608196523334124</v>
      </c>
      <c r="M37" s="341">
        <f>'P&amp;L and Cash Flow'!M56</f>
        <v>4.4660467366352714</v>
      </c>
      <c r="N37" s="341">
        <f>'P&amp;L and Cash Flow'!N56</f>
        <v>0</v>
      </c>
      <c r="O37" s="340">
        <f>AVERAGE(F37:N37)</f>
        <v>4.1359601322570363</v>
      </c>
      <c r="P37" s="322"/>
      <c r="Q37" s="322"/>
      <c r="R37" s="322"/>
      <c r="S37" s="322"/>
      <c r="T37" s="48"/>
    </row>
    <row r="38" spans="1:20" ht="15" customHeight="1" x14ac:dyDescent="0.25">
      <c r="A38" s="323"/>
      <c r="B38" s="6"/>
      <c r="C38" s="6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22"/>
      <c r="P38" s="322"/>
      <c r="Q38" s="322"/>
      <c r="R38" s="322"/>
      <c r="S38" s="322"/>
      <c r="T38" s="48"/>
    </row>
    <row r="39" spans="1:20" ht="15" customHeight="1" x14ac:dyDescent="0.25">
      <c r="A39" s="323"/>
      <c r="B39" s="246" t="s">
        <v>261</v>
      </c>
      <c r="C39" s="246" t="s">
        <v>262</v>
      </c>
      <c r="D39" s="300" t="s">
        <v>132</v>
      </c>
      <c r="E39" s="300" t="s">
        <v>133</v>
      </c>
      <c r="F39" s="300" t="s">
        <v>134</v>
      </c>
      <c r="G39" s="300" t="s">
        <v>135</v>
      </c>
      <c r="H39" s="300" t="s">
        <v>136</v>
      </c>
      <c r="I39" s="300" t="s">
        <v>137</v>
      </c>
      <c r="J39" s="300" t="s">
        <v>138</v>
      </c>
      <c r="K39" s="300" t="s">
        <v>139</v>
      </c>
      <c r="L39" s="300" t="s">
        <v>140</v>
      </c>
      <c r="M39" s="300" t="s">
        <v>141</v>
      </c>
      <c r="N39" s="300" t="s">
        <v>142</v>
      </c>
      <c r="O39" s="322"/>
      <c r="P39" s="322"/>
      <c r="Q39" s="322"/>
      <c r="R39" s="322"/>
      <c r="S39" s="322"/>
      <c r="T39" s="48"/>
    </row>
    <row r="40" spans="1:20" ht="15" customHeight="1" x14ac:dyDescent="0.25">
      <c r="A40" s="323"/>
      <c r="B40" s="157" t="s">
        <v>263</v>
      </c>
      <c r="C40" s="157" t="s">
        <v>264</v>
      </c>
      <c r="D40" s="328">
        <f>D35</f>
        <v>-1201305.1636363636</v>
      </c>
      <c r="E40" s="328">
        <f t="shared" ref="E40:N40" si="7">E35</f>
        <v>-410207.33279440715</v>
      </c>
      <c r="F40" s="328">
        <f t="shared" si="7"/>
        <v>572792.75811468391</v>
      </c>
      <c r="G40" s="328">
        <f t="shared" si="7"/>
        <v>1084924.1317510472</v>
      </c>
      <c r="H40" s="328">
        <f t="shared" si="7"/>
        <v>1129289.3526510475</v>
      </c>
      <c r="I40" s="328">
        <f t="shared" si="7"/>
        <v>1174491.2672400477</v>
      </c>
      <c r="J40" s="328">
        <f t="shared" si="7"/>
        <v>1157483.1036980518</v>
      </c>
      <c r="K40" s="328">
        <f t="shared" si="7"/>
        <v>1200991.1132026527</v>
      </c>
      <c r="L40" s="328">
        <f t="shared" si="7"/>
        <v>1269782.0316413466</v>
      </c>
      <c r="M40" s="328">
        <f t="shared" si="7"/>
        <v>1244923.1213913623</v>
      </c>
      <c r="N40" s="328">
        <f t="shared" si="7"/>
        <v>1287470.1586567075</v>
      </c>
      <c r="O40" s="322"/>
      <c r="P40" s="322"/>
      <c r="Q40" s="322"/>
      <c r="R40" s="322"/>
      <c r="S40" s="322"/>
      <c r="T40" s="48"/>
    </row>
    <row r="41" spans="1:20" ht="15" customHeight="1" x14ac:dyDescent="0.25">
      <c r="A41" s="323"/>
      <c r="B41" s="342" t="s">
        <v>248</v>
      </c>
      <c r="C41" s="342" t="s">
        <v>249</v>
      </c>
      <c r="D41" s="334">
        <f>IRR(D40:N40)</f>
        <v>0.43488841925089639</v>
      </c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2"/>
      <c r="P41" s="322"/>
      <c r="Q41" s="322"/>
      <c r="R41" s="322"/>
      <c r="S41" s="322"/>
      <c r="T41" s="48"/>
    </row>
    <row r="42" spans="1:20" ht="15" customHeight="1" x14ac:dyDescent="0.25">
      <c r="A42" s="323"/>
      <c r="B42" s="342" t="s">
        <v>265</v>
      </c>
      <c r="C42" s="342" t="s">
        <v>251</v>
      </c>
      <c r="D42" s="329">
        <f>NPV(0.1,D40:N40)</f>
        <v>3728401.8659310672</v>
      </c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2"/>
      <c r="P42" s="322"/>
      <c r="Q42" s="322"/>
      <c r="R42" s="322"/>
      <c r="S42" s="322"/>
      <c r="T42" s="48"/>
    </row>
    <row r="43" spans="1:20" ht="15" customHeight="1" x14ac:dyDescent="0.25">
      <c r="A43" s="323"/>
      <c r="B43" s="343"/>
      <c r="C43" s="343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9"/>
      <c r="P43" s="329"/>
      <c r="Q43" s="329"/>
      <c r="R43" s="329"/>
      <c r="S43" s="329"/>
      <c r="T43" s="331"/>
    </row>
    <row r="44" spans="1:20" ht="15" customHeight="1" x14ac:dyDescent="0.25">
      <c r="A44" s="60"/>
      <c r="B44" s="344"/>
      <c r="C44" s="344"/>
      <c r="D44" s="344"/>
      <c r="E44" s="344"/>
      <c r="F44" s="344"/>
      <c r="G44" s="344"/>
      <c r="H44" s="344"/>
      <c r="I44" s="344"/>
      <c r="J44" s="344"/>
      <c r="K44" s="345"/>
      <c r="L44" s="345"/>
      <c r="M44" s="345"/>
      <c r="N44" s="345"/>
      <c r="O44" s="344"/>
      <c r="P44" s="344"/>
      <c r="Q44" s="344"/>
      <c r="R44" s="344"/>
      <c r="S44" s="344"/>
      <c r="T44" s="58"/>
    </row>
  </sheetData>
  <conditionalFormatting sqref="D10:N11 D16:N16 D18:N18 D22:N22">
    <cfRule type="cellIs" dxfId="7" priority="1" stopIfTrue="1" operator="lessThan">
      <formula>0</formula>
    </cfRule>
  </conditionalFormatting>
  <pageMargins left="0.19685" right="0.19685" top="0.39370100000000002" bottom="0.19685" header="0.3" footer="0.3"/>
  <pageSetup scale="80" orientation="landscape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T44"/>
  <sheetViews>
    <sheetView showGridLines="0" topLeftCell="A10" workbookViewId="0">
      <selection activeCell="J5" sqref="J5"/>
    </sheetView>
  </sheetViews>
  <sheetFormatPr defaultColWidth="8.85546875" defaultRowHeight="12.75" customHeight="1" x14ac:dyDescent="0.25"/>
  <cols>
    <col min="1" max="3" width="9.42578125" style="416" customWidth="1"/>
    <col min="4" max="4" width="11.28515625" style="416" customWidth="1"/>
    <col min="5" max="5" width="16.28515625" style="416" customWidth="1"/>
    <col min="6" max="6" width="14" style="416" bestFit="1" customWidth="1"/>
    <col min="7" max="7" width="13.28515625" style="416" bestFit="1" customWidth="1"/>
    <col min="8" max="8" width="10.85546875" style="416" bestFit="1" customWidth="1"/>
    <col min="9" max="9" width="18" style="416" bestFit="1" customWidth="1"/>
    <col min="10" max="10" width="8.5703125" style="416" bestFit="1" customWidth="1"/>
    <col min="11" max="11" width="13.140625" style="416" bestFit="1" customWidth="1"/>
    <col min="12" max="12" width="8.5703125" style="416" bestFit="1" customWidth="1"/>
    <col min="13" max="13" width="13.140625" style="416" bestFit="1" customWidth="1"/>
    <col min="14" max="14" width="9.5703125" style="416" bestFit="1" customWidth="1"/>
    <col min="15" max="15" width="13.140625" style="416" bestFit="1" customWidth="1"/>
    <col min="16" max="254" width="8.85546875" style="416" customWidth="1"/>
  </cols>
  <sheetData>
    <row r="1" spans="1:17" ht="15.75" customHeight="1" x14ac:dyDescent="0.25">
      <c r="A1" s="2" t="s">
        <v>465</v>
      </c>
      <c r="B1" s="417"/>
      <c r="C1" s="417"/>
      <c r="D1" s="417"/>
      <c r="E1" s="417"/>
      <c r="F1" s="417"/>
      <c r="G1" s="418"/>
      <c r="H1" s="418"/>
      <c r="I1" s="417"/>
      <c r="J1" s="417"/>
      <c r="K1" s="417"/>
      <c r="L1"/>
      <c r="M1"/>
      <c r="N1"/>
      <c r="O1"/>
    </row>
    <row r="2" spans="1:17" ht="15" customHeight="1" x14ac:dyDescent="0.25">
      <c r="A2" s="241"/>
      <c r="B2" s="75"/>
      <c r="C2" s="75"/>
      <c r="D2"/>
      <c r="E2"/>
      <c r="F2"/>
      <c r="G2"/>
      <c r="H2"/>
      <c r="I2"/>
      <c r="J2" s="530" t="s">
        <v>467</v>
      </c>
      <c r="K2" s="530" t="s">
        <v>468</v>
      </c>
      <c r="L2" s="530" t="s">
        <v>467</v>
      </c>
      <c r="M2" s="530" t="s">
        <v>468</v>
      </c>
      <c r="N2" s="530" t="s">
        <v>467</v>
      </c>
      <c r="O2" s="530" t="s">
        <v>468</v>
      </c>
      <c r="P2" s="530" t="s">
        <v>467</v>
      </c>
      <c r="Q2" s="530" t="s">
        <v>468</v>
      </c>
    </row>
    <row r="3" spans="1:17" ht="15" customHeight="1" x14ac:dyDescent="0.25">
      <c r="A3" s="267"/>
      <c r="B3" s="75"/>
      <c r="C3"/>
      <c r="D3"/>
      <c r="E3" t="s">
        <v>469</v>
      </c>
      <c r="F3" s="528">
        <v>330</v>
      </c>
      <c r="G3"/>
      <c r="H3"/>
      <c r="I3" t="s">
        <v>466</v>
      </c>
      <c r="J3" s="531">
        <f>J5*$F$3</f>
        <v>2475</v>
      </c>
      <c r="K3" s="532">
        <f t="shared" ref="K3:M3" si="0">J3*$F$5</f>
        <v>2351.25</v>
      </c>
      <c r="L3" s="531">
        <f>L5*$F$3</f>
        <v>4950</v>
      </c>
      <c r="M3" s="532">
        <f t="shared" si="0"/>
        <v>4702.5</v>
      </c>
      <c r="N3" s="531">
        <f>N5*$F$3</f>
        <v>7425</v>
      </c>
      <c r="O3" s="532">
        <f t="shared" ref="O3:Q3" si="1">N3*$F$5</f>
        <v>7053.75</v>
      </c>
      <c r="P3" s="531">
        <f>P5*$F$3</f>
        <v>9900</v>
      </c>
      <c r="Q3" s="532">
        <f t="shared" si="1"/>
        <v>9405</v>
      </c>
    </row>
    <row r="4" spans="1:17" ht="15" customHeight="1" x14ac:dyDescent="0.25">
      <c r="A4" s="241"/>
      <c r="B4" s="75"/>
      <c r="C4" s="75"/>
      <c r="D4"/>
      <c r="E4" t="s">
        <v>475</v>
      </c>
      <c r="F4" s="528">
        <f>F3/12</f>
        <v>27.5</v>
      </c>
      <c r="G4"/>
      <c r="H4"/>
      <c r="I4" t="s">
        <v>471</v>
      </c>
      <c r="J4" s="531">
        <f>J5*$F$4</f>
        <v>206.25</v>
      </c>
      <c r="K4" s="532">
        <f>J4*$F$5</f>
        <v>195.9375</v>
      </c>
      <c r="L4" s="531">
        <f>L5*$F$4</f>
        <v>412.5</v>
      </c>
      <c r="M4" s="532">
        <f>L4*$F$5</f>
        <v>391.875</v>
      </c>
      <c r="N4" s="531">
        <f>N5*$F$4</f>
        <v>618.75</v>
      </c>
      <c r="O4" s="532">
        <f>N4*$F$5</f>
        <v>587.8125</v>
      </c>
      <c r="P4" s="531">
        <f>P5*$F$4</f>
        <v>825</v>
      </c>
      <c r="Q4" s="532">
        <f>P4*$F$5</f>
        <v>783.75</v>
      </c>
    </row>
    <row r="5" spans="1:17" ht="15" customHeight="1" x14ac:dyDescent="0.25">
      <c r="A5" s="420"/>
      <c r="B5" s="75"/>
      <c r="C5" s="75"/>
      <c r="D5"/>
      <c r="E5" t="s">
        <v>476</v>
      </c>
      <c r="F5" s="529">
        <v>0.95</v>
      </c>
      <c r="G5"/>
      <c r="H5"/>
      <c r="I5" t="s">
        <v>472</v>
      </c>
      <c r="J5" s="573">
        <v>7.5</v>
      </c>
      <c r="K5" s="574">
        <f>J5*$F$5</f>
        <v>7.125</v>
      </c>
      <c r="L5" s="573">
        <v>15</v>
      </c>
      <c r="M5" s="574">
        <f>L5*0.55</f>
        <v>8.25</v>
      </c>
      <c r="N5" s="573">
        <v>22.5</v>
      </c>
      <c r="O5" s="574">
        <f>N5*0.55</f>
        <v>12.375000000000002</v>
      </c>
      <c r="P5" s="573">
        <v>30</v>
      </c>
      <c r="Q5" s="574">
        <f>P5*0.55</f>
        <v>16.5</v>
      </c>
    </row>
    <row r="6" spans="1:17" ht="15" customHeight="1" x14ac:dyDescent="0.25">
      <c r="A6" s="241"/>
      <c r="B6" s="75"/>
      <c r="C6" s="75"/>
      <c r="D6" s="75"/>
      <c r="E6" s="295"/>
      <c r="F6" s="421"/>
      <c r="G6" s="75"/>
      <c r="H6" s="422"/>
      <c r="I6" s="75"/>
      <c r="J6" s="576" t="s">
        <v>470</v>
      </c>
      <c r="K6" s="577"/>
      <c r="L6" s="576" t="s">
        <v>470</v>
      </c>
      <c r="M6" s="577"/>
      <c r="N6" s="576" t="s">
        <v>470</v>
      </c>
      <c r="O6" s="577"/>
      <c r="P6" s="576" t="s">
        <v>470</v>
      </c>
      <c r="Q6" s="577"/>
    </row>
    <row r="7" spans="1:17" ht="15" customHeight="1" x14ac:dyDescent="0.25">
      <c r="A7" s="423" t="s">
        <v>342</v>
      </c>
      <c r="B7" s="424">
        <v>80</v>
      </c>
      <c r="C7" s="425">
        <v>0</v>
      </c>
      <c r="D7" s="157" t="s">
        <v>343</v>
      </c>
      <c r="E7" s="426">
        <v>8000</v>
      </c>
      <c r="F7" s="157" t="s">
        <v>344</v>
      </c>
      <c r="G7" s="75"/>
      <c r="H7" s="427">
        <f>(B7*C7*E7)</f>
        <v>0</v>
      </c>
      <c r="I7" s="157" t="s">
        <v>345</v>
      </c>
      <c r="J7" s="533">
        <f>$H7/K$3</f>
        <v>0</v>
      </c>
      <c r="K7" s="527"/>
      <c r="L7" s="520">
        <f>J7</f>
        <v>0</v>
      </c>
      <c r="M7" s="527"/>
      <c r="N7" s="520">
        <f>J7</f>
        <v>0</v>
      </c>
      <c r="O7" s="527"/>
      <c r="P7" s="520">
        <f>L7</f>
        <v>0</v>
      </c>
      <c r="Q7" s="527"/>
    </row>
    <row r="8" spans="1:17" ht="15" customHeight="1" x14ac:dyDescent="0.25">
      <c r="A8" s="171"/>
      <c r="B8" s="370"/>
      <c r="C8" s="428"/>
      <c r="D8" s="370"/>
      <c r="E8" s="429"/>
      <c r="F8" s="370"/>
      <c r="G8" s="370"/>
      <c r="H8" s="430"/>
      <c r="I8" s="370"/>
      <c r="J8" s="515"/>
      <c r="K8" s="516"/>
      <c r="L8" s="515"/>
      <c r="M8" s="516"/>
      <c r="N8" s="515"/>
      <c r="O8" s="516"/>
      <c r="P8" s="515"/>
      <c r="Q8" s="516"/>
    </row>
    <row r="9" spans="1:17" ht="15" customHeight="1" x14ac:dyDescent="0.25">
      <c r="A9" s="431"/>
      <c r="B9" s="295"/>
      <c r="C9" s="432"/>
      <c r="D9" s="295"/>
      <c r="E9" s="421"/>
      <c r="F9" s="295"/>
      <c r="G9" s="295"/>
      <c r="H9" s="433"/>
      <c r="I9" s="295"/>
      <c r="J9" s="517"/>
      <c r="K9" s="514"/>
      <c r="L9" s="517"/>
      <c r="M9" s="514"/>
      <c r="N9" s="517"/>
      <c r="O9" s="514"/>
      <c r="P9" s="517"/>
      <c r="Q9" s="514"/>
    </row>
    <row r="10" spans="1:17" ht="15" customHeight="1" x14ac:dyDescent="0.25">
      <c r="A10" s="423" t="s">
        <v>346</v>
      </c>
      <c r="B10" s="424">
        <v>0</v>
      </c>
      <c r="C10" s="434">
        <v>2</v>
      </c>
      <c r="D10" s="157" t="s">
        <v>347</v>
      </c>
      <c r="E10" s="426">
        <f>F3</f>
        <v>330</v>
      </c>
      <c r="F10" s="157" t="s">
        <v>344</v>
      </c>
      <c r="G10" s="75"/>
      <c r="H10" s="75"/>
      <c r="I10" s="75"/>
      <c r="J10" s="518"/>
      <c r="K10" s="519"/>
      <c r="L10" s="518"/>
      <c r="M10" s="519"/>
      <c r="N10" s="518"/>
      <c r="O10" s="519"/>
      <c r="P10" s="518"/>
      <c r="Q10" s="519"/>
    </row>
    <row r="11" spans="1:17" ht="15" customHeight="1" x14ac:dyDescent="0.25">
      <c r="A11" s="241"/>
      <c r="B11" s="75"/>
      <c r="C11" s="75"/>
      <c r="D11" s="75"/>
      <c r="E11" s="75"/>
      <c r="F11" s="426">
        <f>B10*F3*3.785</f>
        <v>0</v>
      </c>
      <c r="G11" s="157" t="s">
        <v>348</v>
      </c>
      <c r="H11" s="435">
        <f>C10*F11/1000</f>
        <v>0</v>
      </c>
      <c r="I11" s="157" t="s">
        <v>345</v>
      </c>
      <c r="J11" s="520">
        <f>$H11/K$3</f>
        <v>0</v>
      </c>
      <c r="K11" s="519"/>
      <c r="L11" s="520">
        <f>$H11/M$3</f>
        <v>0</v>
      </c>
      <c r="M11" s="519"/>
      <c r="N11" s="520">
        <f>$H11/O$3</f>
        <v>0</v>
      </c>
      <c r="O11" s="519"/>
      <c r="P11" s="520">
        <f>$H11/Q$3</f>
        <v>0</v>
      </c>
      <c r="Q11" s="519"/>
    </row>
    <row r="12" spans="1:17" ht="15" customHeight="1" x14ac:dyDescent="0.25">
      <c r="A12" s="171"/>
      <c r="B12" s="370"/>
      <c r="C12" s="370"/>
      <c r="D12" s="370"/>
      <c r="E12" s="370"/>
      <c r="F12" s="429"/>
      <c r="G12" s="370"/>
      <c r="H12" s="163"/>
      <c r="I12" s="370"/>
      <c r="J12" s="515"/>
      <c r="K12" s="521"/>
      <c r="L12" s="515"/>
      <c r="M12" s="521"/>
      <c r="N12" s="515"/>
      <c r="O12" s="521"/>
      <c r="P12" s="515"/>
      <c r="Q12" s="521"/>
    </row>
    <row r="13" spans="1:17" ht="15" customHeight="1" x14ac:dyDescent="0.25">
      <c r="A13" s="431"/>
      <c r="B13" s="295"/>
      <c r="C13" s="295"/>
      <c r="D13" s="295"/>
      <c r="E13" s="295"/>
      <c r="F13" s="421"/>
      <c r="G13" s="295"/>
      <c r="H13" s="422"/>
      <c r="I13" s="295"/>
      <c r="J13" s="517"/>
      <c r="K13" s="522"/>
      <c r="L13" s="517"/>
      <c r="M13" s="522"/>
      <c r="N13" s="517"/>
      <c r="O13" s="522"/>
      <c r="P13" s="517"/>
      <c r="Q13" s="522"/>
    </row>
    <row r="14" spans="1:17" ht="15" customHeight="1" x14ac:dyDescent="0.25">
      <c r="A14" s="423" t="s">
        <v>349</v>
      </c>
      <c r="B14" s="75"/>
      <c r="C14" s="434"/>
      <c r="D14" s="157" t="s">
        <v>350</v>
      </c>
      <c r="E14" s="75"/>
      <c r="F14" s="75"/>
      <c r="G14" s="378"/>
      <c r="H14" s="434"/>
      <c r="I14" s="157" t="s">
        <v>345</v>
      </c>
      <c r="J14" s="520">
        <f>$H14/K$3</f>
        <v>0</v>
      </c>
      <c r="K14" s="519"/>
      <c r="L14" s="520">
        <f>$H14/M$3</f>
        <v>0</v>
      </c>
      <c r="M14" s="519"/>
      <c r="N14" s="520">
        <f>$H14/O$3</f>
        <v>0</v>
      </c>
      <c r="O14" s="519"/>
      <c r="P14" s="520">
        <f>$H14/Q$3</f>
        <v>0</v>
      </c>
      <c r="Q14" s="519"/>
    </row>
    <row r="15" spans="1:17" ht="15" customHeight="1" x14ac:dyDescent="0.25">
      <c r="A15" s="171"/>
      <c r="B15" s="370"/>
      <c r="C15" s="370"/>
      <c r="D15" s="370"/>
      <c r="E15" s="370"/>
      <c r="F15" s="370"/>
      <c r="G15" s="370"/>
      <c r="H15" s="436"/>
      <c r="I15" s="370"/>
      <c r="J15" s="515"/>
      <c r="K15" s="521"/>
      <c r="L15" s="515"/>
      <c r="M15" s="521"/>
      <c r="N15" s="515"/>
      <c r="O15" s="521"/>
      <c r="P15" s="515"/>
      <c r="Q15" s="521"/>
    </row>
    <row r="16" spans="1:17" ht="15" customHeight="1" x14ac:dyDescent="0.25">
      <c r="A16" s="431"/>
      <c r="B16" s="295"/>
      <c r="C16" s="295"/>
      <c r="D16" s="295"/>
      <c r="E16" s="295"/>
      <c r="F16" s="295"/>
      <c r="G16" s="295"/>
      <c r="H16" s="437"/>
      <c r="I16" s="295"/>
      <c r="J16" s="517"/>
      <c r="K16" s="522"/>
      <c r="L16" s="517"/>
      <c r="M16" s="522"/>
      <c r="N16" s="517"/>
      <c r="O16" s="522"/>
      <c r="P16" s="517"/>
      <c r="Q16" s="522"/>
    </row>
    <row r="17" spans="1:254" ht="15" customHeight="1" x14ac:dyDescent="0.25">
      <c r="A17" s="423" t="s">
        <v>351</v>
      </c>
      <c r="B17" s="246" t="s">
        <v>352</v>
      </c>
      <c r="C17" s="75"/>
      <c r="D17" s="426">
        <f>0.05*G3</f>
        <v>0</v>
      </c>
      <c r="E17" s="157" t="s">
        <v>353</v>
      </c>
      <c r="F17" s="434"/>
      <c r="G17" s="157" t="s">
        <v>341</v>
      </c>
      <c r="H17" s="438">
        <v>0</v>
      </c>
      <c r="I17" s="157" t="s">
        <v>345</v>
      </c>
      <c r="J17" s="520">
        <f>$H17/K$3</f>
        <v>0</v>
      </c>
      <c r="K17" s="519"/>
      <c r="L17" s="520">
        <f>$H17/M$3</f>
        <v>0</v>
      </c>
      <c r="M17" s="519"/>
      <c r="N17" s="520">
        <f>$H17/O$3</f>
        <v>0</v>
      </c>
      <c r="O17" s="519"/>
      <c r="P17" s="520">
        <f>$H17/Q$3</f>
        <v>0</v>
      </c>
      <c r="Q17" s="519"/>
    </row>
    <row r="18" spans="1:254" ht="15" customHeight="1" x14ac:dyDescent="0.25">
      <c r="A18" s="171"/>
      <c r="B18" s="370"/>
      <c r="C18" s="370"/>
      <c r="D18" s="429"/>
      <c r="E18" s="370"/>
      <c r="F18" s="436"/>
      <c r="G18" s="370"/>
      <c r="H18" s="436"/>
      <c r="I18" s="370"/>
      <c r="J18" s="515"/>
      <c r="K18" s="521"/>
      <c r="L18" s="515"/>
      <c r="M18" s="521"/>
      <c r="N18" s="515"/>
      <c r="O18" s="521"/>
      <c r="P18" s="515"/>
      <c r="Q18" s="521"/>
    </row>
    <row r="19" spans="1:254" ht="15" customHeight="1" x14ac:dyDescent="0.25">
      <c r="A19" s="431"/>
      <c r="B19" s="295"/>
      <c r="C19" s="295"/>
      <c r="D19" s="421"/>
      <c r="E19" s="295"/>
      <c r="F19" s="437"/>
      <c r="G19" s="295"/>
      <c r="H19" s="437"/>
      <c r="I19" s="295"/>
      <c r="J19" s="517"/>
      <c r="K19" s="522"/>
      <c r="L19" s="517"/>
      <c r="M19" s="522"/>
      <c r="N19" s="517"/>
      <c r="O19" s="522"/>
      <c r="P19" s="517"/>
      <c r="Q19" s="522"/>
    </row>
    <row r="20" spans="1:254" ht="15" customHeight="1" x14ac:dyDescent="0.25">
      <c r="A20" s="431"/>
      <c r="B20" s="295"/>
      <c r="C20" s="295"/>
      <c r="D20" s="295"/>
      <c r="E20" s="295"/>
      <c r="F20" s="295"/>
      <c r="G20" s="295"/>
      <c r="H20" s="437"/>
      <c r="I20" s="295"/>
      <c r="J20" s="517"/>
      <c r="K20" s="522"/>
      <c r="L20" s="517"/>
      <c r="M20" s="522"/>
      <c r="N20" s="517"/>
      <c r="O20" s="522"/>
      <c r="P20" s="517"/>
      <c r="Q20" s="522"/>
    </row>
    <row r="21" spans="1:254" ht="15" customHeight="1" x14ac:dyDescent="0.25">
      <c r="A21" s="423" t="s">
        <v>354</v>
      </c>
      <c r="B21" s="75"/>
      <c r="C21" s="75"/>
      <c r="D21" s="75"/>
      <c r="E21" s="75"/>
      <c r="F21" s="75"/>
      <c r="G21" s="75"/>
      <c r="H21" s="438">
        <v>50000</v>
      </c>
      <c r="I21" s="157" t="s">
        <v>345</v>
      </c>
      <c r="J21" s="520">
        <f>$H21/K$3</f>
        <v>21.26528442317916</v>
      </c>
      <c r="K21" s="519"/>
      <c r="L21" s="520">
        <f>$H21*1.5/M$3</f>
        <v>15.94896331738437</v>
      </c>
      <c r="M21" s="519"/>
      <c r="N21" s="520">
        <f>$H21*2/O$3</f>
        <v>14.17685628211944</v>
      </c>
      <c r="O21" s="519"/>
      <c r="P21" s="520">
        <f>$H21*2.5/Q$3</f>
        <v>13.290802764486974</v>
      </c>
      <c r="Q21" s="519"/>
    </row>
    <row r="22" spans="1:254" ht="15" customHeight="1" x14ac:dyDescent="0.25">
      <c r="A22" s="171"/>
      <c r="B22" s="370"/>
      <c r="C22" s="370"/>
      <c r="D22" s="370"/>
      <c r="E22" s="370"/>
      <c r="F22" s="370"/>
      <c r="G22" s="370"/>
      <c r="H22" s="436"/>
      <c r="I22" s="370"/>
      <c r="J22" s="515"/>
      <c r="K22" s="521"/>
      <c r="L22" s="515"/>
      <c r="M22" s="521"/>
      <c r="N22" s="515"/>
      <c r="O22" s="521"/>
      <c r="P22" s="515"/>
      <c r="Q22" s="521"/>
    </row>
    <row r="23" spans="1:254" ht="15" customHeight="1" x14ac:dyDescent="0.25">
      <c r="A23" s="431"/>
      <c r="B23" s="295"/>
      <c r="C23" s="295"/>
      <c r="D23" s="295"/>
      <c r="E23" s="295"/>
      <c r="F23" s="295"/>
      <c r="G23" s="295"/>
      <c r="H23" s="437"/>
      <c r="I23" s="295"/>
      <c r="J23" s="517"/>
      <c r="K23" s="522"/>
      <c r="L23" s="517"/>
      <c r="M23" s="522"/>
      <c r="N23" s="517"/>
      <c r="O23" s="522"/>
      <c r="P23" s="517"/>
      <c r="Q23" s="522"/>
    </row>
    <row r="24" spans="1:254" ht="15" customHeight="1" x14ac:dyDescent="0.25">
      <c r="A24" s="423" t="s">
        <v>355</v>
      </c>
      <c r="B24" s="75"/>
      <c r="C24" s="75"/>
      <c r="D24" s="375"/>
      <c r="E24" s="75"/>
      <c r="F24" s="75"/>
      <c r="G24" s="75"/>
      <c r="H24" s="438"/>
      <c r="I24" s="157" t="s">
        <v>345</v>
      </c>
      <c r="J24" s="520">
        <f>$H24/K$3</f>
        <v>0</v>
      </c>
      <c r="K24" s="519"/>
      <c r="L24" s="520">
        <f>$H24/M$3</f>
        <v>0</v>
      </c>
      <c r="M24" s="519"/>
      <c r="N24" s="520">
        <f>$H24/O$3</f>
        <v>0</v>
      </c>
      <c r="O24" s="519"/>
      <c r="P24" s="520">
        <f>$H24/Q$3</f>
        <v>0</v>
      </c>
      <c r="Q24" s="519"/>
    </row>
    <row r="25" spans="1:254" ht="15" customHeight="1" x14ac:dyDescent="0.25">
      <c r="A25" s="171"/>
      <c r="B25" s="370"/>
      <c r="C25" s="370"/>
      <c r="D25" s="370"/>
      <c r="E25" s="370"/>
      <c r="F25" s="370"/>
      <c r="G25" s="370"/>
      <c r="H25" s="436"/>
      <c r="I25" s="370"/>
      <c r="J25" s="515"/>
      <c r="K25" s="521"/>
      <c r="L25" s="515"/>
      <c r="M25" s="521"/>
      <c r="N25" s="515"/>
      <c r="O25" s="521"/>
      <c r="P25" s="515"/>
      <c r="Q25" s="521"/>
    </row>
    <row r="26" spans="1:254" ht="15" customHeight="1" x14ac:dyDescent="0.25">
      <c r="A26" s="431"/>
      <c r="B26" s="295"/>
      <c r="C26" s="295"/>
      <c r="D26" s="295"/>
      <c r="E26" s="295"/>
      <c r="F26" s="295"/>
      <c r="G26" s="295"/>
      <c r="H26" s="437"/>
      <c r="I26" s="295"/>
      <c r="J26" s="517"/>
      <c r="K26" s="522"/>
      <c r="L26" s="517"/>
      <c r="M26" s="522"/>
      <c r="N26" s="517"/>
      <c r="O26" s="522"/>
      <c r="P26" s="517"/>
      <c r="Q26" s="522"/>
    </row>
    <row r="27" spans="1:254" ht="15" customHeight="1" x14ac:dyDescent="0.25">
      <c r="A27" s="423" t="s">
        <v>356</v>
      </c>
      <c r="B27" s="75"/>
      <c r="C27" s="75"/>
      <c r="D27" s="75"/>
      <c r="E27" s="75"/>
      <c r="F27" s="75"/>
      <c r="G27" s="75"/>
      <c r="H27" s="439">
        <f>'Org-Salary Structure'!H12</f>
        <v>136300</v>
      </c>
      <c r="I27" s="157" t="s">
        <v>345</v>
      </c>
      <c r="J27" s="520">
        <f>$H27/K$3</f>
        <v>57.969165337586389</v>
      </c>
      <c r="K27" s="519"/>
      <c r="L27" s="520">
        <f>$H27*1.5/M$3</f>
        <v>43.476874003189792</v>
      </c>
      <c r="M27" s="519"/>
      <c r="N27" s="520">
        <f>$H27*2/O$3</f>
        <v>38.646110225057591</v>
      </c>
      <c r="O27" s="519"/>
      <c r="P27" s="520">
        <f>$H27*2.5/Q$3</f>
        <v>36.230728335991493</v>
      </c>
      <c r="Q27" s="519"/>
    </row>
    <row r="28" spans="1:254" ht="15" customHeight="1" x14ac:dyDescent="0.25">
      <c r="A28" s="241"/>
      <c r="B28" s="75"/>
      <c r="C28" s="75"/>
      <c r="D28" s="75"/>
      <c r="E28" s="75"/>
      <c r="F28" s="75"/>
      <c r="G28" s="75"/>
      <c r="H28" s="434"/>
      <c r="I28" s="75"/>
      <c r="J28" s="518"/>
      <c r="K28" s="519"/>
      <c r="L28" s="518"/>
      <c r="M28" s="519"/>
      <c r="N28" s="518"/>
      <c r="O28" s="519"/>
      <c r="P28" s="518"/>
      <c r="Q28" s="519"/>
    </row>
    <row r="29" spans="1:254" ht="15.75" customHeight="1" thickBot="1" x14ac:dyDescent="0.3">
      <c r="A29" s="440"/>
      <c r="B29" s="251"/>
      <c r="C29" s="251"/>
      <c r="D29" s="251"/>
      <c r="E29" s="251"/>
      <c r="F29" s="251"/>
      <c r="G29" s="251"/>
      <c r="H29" s="251"/>
      <c r="I29" s="251"/>
      <c r="J29" s="523"/>
      <c r="K29" s="524"/>
      <c r="L29" s="523"/>
      <c r="M29" s="524"/>
      <c r="N29" s="523"/>
      <c r="O29" s="524"/>
      <c r="P29" s="523"/>
      <c r="Q29" s="524"/>
    </row>
    <row r="30" spans="1:254" ht="15" customHeight="1" x14ac:dyDescent="0.25">
      <c r="A30" s="441" t="s">
        <v>473</v>
      </c>
      <c r="B30" s="73"/>
      <c r="C30" s="73"/>
      <c r="D30" s="73"/>
      <c r="E30" s="73"/>
      <c r="F30" s="73"/>
      <c r="G30" s="73"/>
      <c r="H30" s="442"/>
      <c r="I30" s="73"/>
      <c r="J30" s="520">
        <f>J7+J11+J14+J17+J21+J24+J27</f>
        <v>79.234449760765557</v>
      </c>
      <c r="K30" s="525"/>
      <c r="L30" s="520">
        <f>L7+L11+L14+L17+L21+L24+L27</f>
        <v>59.425837320574161</v>
      </c>
      <c r="M30" s="525"/>
      <c r="N30" s="520">
        <f>N7+N11+N14+N17+N21+N24+N27</f>
        <v>52.822966507177028</v>
      </c>
      <c r="O30" s="525"/>
      <c r="P30" s="520">
        <f>P7+P11+P14+P17+P21+P24+P27</f>
        <v>49.52153110047847</v>
      </c>
      <c r="Q30" s="525"/>
    </row>
    <row r="31" spans="1:254" ht="15" customHeight="1" x14ac:dyDescent="0.25">
      <c r="A31" s="241"/>
      <c r="B31" s="75"/>
      <c r="C31" s="75"/>
      <c r="D31" s="443"/>
      <c r="E31" s="75"/>
      <c r="F31" s="75"/>
      <c r="G31" s="75"/>
      <c r="H31" s="434"/>
      <c r="I31" s="75"/>
      <c r="J31" s="526"/>
      <c r="K31" s="519"/>
      <c r="L31" s="526"/>
      <c r="M31" s="519"/>
      <c r="N31" s="526"/>
      <c r="O31" s="519"/>
      <c r="P31" s="526"/>
      <c r="Q31" s="519"/>
    </row>
    <row r="32" spans="1:254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3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5.6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2.7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</sheetData>
  <mergeCells count="4">
    <mergeCell ref="J6:K6"/>
    <mergeCell ref="L6:M6"/>
    <mergeCell ref="N6:O6"/>
    <mergeCell ref="P6:Q6"/>
  </mergeCells>
  <conditionalFormatting sqref="H6">
    <cfRule type="cellIs" dxfId="6" priority="3" stopIfTrue="1" operator="lessThan">
      <formula>0</formula>
    </cfRule>
  </conditionalFormatting>
  <pageMargins left="0.2" right="0" top="0.58684999999999998" bottom="0.2" header="0.5" footer="0.5"/>
  <pageSetup scale="80" orientation="landscape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V62"/>
  <sheetViews>
    <sheetView showGridLines="0" workbookViewId="0">
      <selection activeCell="E18" sqref="E18"/>
    </sheetView>
  </sheetViews>
  <sheetFormatPr defaultColWidth="8.85546875" defaultRowHeight="12.75" customHeight="1" x14ac:dyDescent="0.25"/>
  <cols>
    <col min="1" max="2" width="39.7109375" style="458" customWidth="1"/>
    <col min="3" max="3" width="13.28515625" style="458" customWidth="1"/>
    <col min="4" max="4" width="11.140625" style="458" customWidth="1"/>
    <col min="5" max="5" width="15.85546875" style="458" customWidth="1"/>
    <col min="6" max="6" width="12.140625" style="458" customWidth="1"/>
    <col min="7" max="7" width="10.140625" style="458" customWidth="1"/>
    <col min="8" max="8" width="18.140625" style="458" customWidth="1"/>
    <col min="9" max="9" width="10.140625" style="458" customWidth="1"/>
    <col min="10" max="10" width="16.42578125" style="458" customWidth="1"/>
    <col min="11" max="11" width="12.28515625" style="458" customWidth="1"/>
    <col min="12" max="256" width="8.85546875" style="458" customWidth="1"/>
  </cols>
  <sheetData>
    <row r="1" spans="1:256" ht="15.75" customHeight="1" x14ac:dyDescent="0.25">
      <c r="A1" s="64" t="s">
        <v>374</v>
      </c>
      <c r="B1" s="64" t="s">
        <v>375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56" ht="15" customHeight="1" x14ac:dyDescent="0.25">
      <c r="A2" s="129"/>
      <c r="B2" s="129"/>
      <c r="C2" s="129"/>
      <c r="D2" s="129"/>
      <c r="E2" s="129"/>
      <c r="F2" s="129"/>
      <c r="G2" s="129"/>
      <c r="H2" s="129"/>
      <c r="I2" s="126"/>
      <c r="J2" s="126"/>
      <c r="K2" s="126"/>
      <c r="L2" s="126"/>
    </row>
    <row r="3" spans="1:256" ht="15" customHeight="1" x14ac:dyDescent="0.25">
      <c r="A3" s="459" t="s">
        <v>376</v>
      </c>
      <c r="B3" s="300" t="s">
        <v>377</v>
      </c>
      <c r="C3" s="300" t="s">
        <v>378</v>
      </c>
      <c r="D3" s="300" t="s">
        <v>379</v>
      </c>
      <c r="E3" s="300" t="s">
        <v>380</v>
      </c>
      <c r="F3" s="300" t="s">
        <v>381</v>
      </c>
      <c r="G3" s="10" t="s">
        <v>345</v>
      </c>
      <c r="H3" s="258"/>
      <c r="I3" s="257"/>
      <c r="J3" s="257"/>
      <c r="K3" s="257"/>
      <c r="IV3"/>
    </row>
    <row r="4" spans="1:256" ht="15" customHeight="1" x14ac:dyDescent="0.25">
      <c r="A4" s="444" t="s">
        <v>382</v>
      </c>
      <c r="B4" s="433">
        <v>60000</v>
      </c>
      <c r="C4" s="433">
        <f t="shared" ref="C4:C11" si="0">B4*0.45</f>
        <v>27000</v>
      </c>
      <c r="D4" s="433">
        <f t="shared" ref="D4:D11" si="1">C4+B4</f>
        <v>87000</v>
      </c>
      <c r="E4" s="433">
        <f t="shared" ref="E4:E11" si="2">D4/12</f>
        <v>7250</v>
      </c>
      <c r="F4" s="295">
        <v>0</v>
      </c>
      <c r="G4" s="433">
        <f t="shared" ref="G4:G11" si="3">F4*D4</f>
        <v>0</v>
      </c>
      <c r="H4" s="258"/>
      <c r="I4" s="257"/>
      <c r="J4" s="257"/>
      <c r="K4" s="257"/>
      <c r="IV4"/>
    </row>
    <row r="5" spans="1:256" ht="15" customHeight="1" x14ac:dyDescent="0.25">
      <c r="A5" s="423" t="s">
        <v>384</v>
      </c>
      <c r="B5" s="443">
        <v>15000</v>
      </c>
      <c r="C5" s="443">
        <f t="shared" si="0"/>
        <v>6750</v>
      </c>
      <c r="D5" s="443">
        <f t="shared" si="1"/>
        <v>21750</v>
      </c>
      <c r="E5" s="443">
        <f t="shared" si="2"/>
        <v>1812.5</v>
      </c>
      <c r="F5" s="75">
        <v>2</v>
      </c>
      <c r="G5" s="443">
        <f t="shared" si="3"/>
        <v>43500</v>
      </c>
      <c r="H5" s="258"/>
      <c r="I5" s="257"/>
      <c r="J5" s="257"/>
      <c r="K5" s="257"/>
      <c r="IV5"/>
    </row>
    <row r="6" spans="1:256" ht="15" customHeight="1" x14ac:dyDescent="0.25">
      <c r="A6" s="423" t="s">
        <v>386</v>
      </c>
      <c r="B6" s="443">
        <v>8000</v>
      </c>
      <c r="C6" s="443">
        <f t="shared" si="0"/>
        <v>3600</v>
      </c>
      <c r="D6" s="443">
        <f t="shared" si="1"/>
        <v>11600</v>
      </c>
      <c r="E6" s="443">
        <f t="shared" si="2"/>
        <v>966.66666666666663</v>
      </c>
      <c r="F6" s="75">
        <v>8</v>
      </c>
      <c r="G6" s="443">
        <f t="shared" si="3"/>
        <v>92800</v>
      </c>
      <c r="H6" s="258"/>
      <c r="I6" s="257"/>
      <c r="J6" s="257"/>
      <c r="K6" s="257"/>
      <c r="IV6"/>
    </row>
    <row r="7" spans="1:256" ht="15" customHeight="1" x14ac:dyDescent="0.25">
      <c r="A7" s="423" t="s">
        <v>388</v>
      </c>
      <c r="B7" s="443">
        <v>48000</v>
      </c>
      <c r="C7" s="443">
        <f t="shared" si="0"/>
        <v>21600</v>
      </c>
      <c r="D7" s="443">
        <f t="shared" si="1"/>
        <v>69600</v>
      </c>
      <c r="E7" s="443">
        <f t="shared" si="2"/>
        <v>5800</v>
      </c>
      <c r="F7" s="75">
        <v>0</v>
      </c>
      <c r="G7" s="443">
        <f t="shared" si="3"/>
        <v>0</v>
      </c>
      <c r="H7" s="258"/>
      <c r="I7" s="257"/>
      <c r="J7" s="257"/>
      <c r="K7" s="257"/>
      <c r="IV7"/>
    </row>
    <row r="8" spans="1:256" ht="15" customHeight="1" x14ac:dyDescent="0.25">
      <c r="A8" s="423" t="s">
        <v>390</v>
      </c>
      <c r="B8" s="443">
        <v>15000</v>
      </c>
      <c r="C8" s="443">
        <f t="shared" si="0"/>
        <v>6750</v>
      </c>
      <c r="D8" s="443">
        <f t="shared" si="1"/>
        <v>21750</v>
      </c>
      <c r="E8" s="443">
        <f t="shared" si="2"/>
        <v>1812.5</v>
      </c>
      <c r="F8" s="75">
        <v>0</v>
      </c>
      <c r="G8" s="443">
        <f t="shared" si="3"/>
        <v>0</v>
      </c>
      <c r="H8" s="258"/>
      <c r="I8" s="257"/>
      <c r="J8" s="257"/>
      <c r="K8" s="257"/>
      <c r="IV8"/>
    </row>
    <row r="9" spans="1:256" ht="15" customHeight="1" x14ac:dyDescent="0.25">
      <c r="A9" s="423" t="s">
        <v>392</v>
      </c>
      <c r="B9" s="443">
        <v>15000</v>
      </c>
      <c r="C9" s="443">
        <f t="shared" si="0"/>
        <v>6750</v>
      </c>
      <c r="D9" s="443">
        <f t="shared" si="1"/>
        <v>21750</v>
      </c>
      <c r="E9" s="443">
        <f t="shared" si="2"/>
        <v>1812.5</v>
      </c>
      <c r="F9" s="75">
        <v>0</v>
      </c>
      <c r="G9" s="443">
        <f t="shared" si="3"/>
        <v>0</v>
      </c>
      <c r="H9" s="258"/>
      <c r="I9" s="257"/>
      <c r="J9" s="257"/>
      <c r="K9" s="257"/>
      <c r="IV9"/>
    </row>
    <row r="10" spans="1:256" ht="15" customHeight="1" x14ac:dyDescent="0.25">
      <c r="A10" s="423" t="s">
        <v>394</v>
      </c>
      <c r="B10" s="443">
        <v>17500</v>
      </c>
      <c r="C10" s="443">
        <f t="shared" si="0"/>
        <v>7875</v>
      </c>
      <c r="D10" s="443">
        <f t="shared" si="1"/>
        <v>25375</v>
      </c>
      <c r="E10" s="443">
        <f t="shared" si="2"/>
        <v>2114.5833333333335</v>
      </c>
      <c r="F10" s="75">
        <v>0</v>
      </c>
      <c r="G10" s="443">
        <f t="shared" si="3"/>
        <v>0</v>
      </c>
      <c r="H10" s="258"/>
      <c r="I10" s="257"/>
      <c r="J10" s="257"/>
      <c r="K10" s="257"/>
      <c r="IV10"/>
    </row>
    <row r="11" spans="1:256" ht="15" x14ac:dyDescent="0.25">
      <c r="A11" s="460" t="s">
        <v>474</v>
      </c>
      <c r="B11" s="430">
        <v>12000</v>
      </c>
      <c r="C11" s="430">
        <f t="shared" si="0"/>
        <v>5400</v>
      </c>
      <c r="D11" s="430">
        <f t="shared" si="1"/>
        <v>17400</v>
      </c>
      <c r="E11" s="430">
        <f t="shared" si="2"/>
        <v>1450</v>
      </c>
      <c r="F11" s="370">
        <v>0</v>
      </c>
      <c r="G11" s="430">
        <f t="shared" si="3"/>
        <v>0</v>
      </c>
      <c r="H11" s="258"/>
      <c r="I11" s="257"/>
      <c r="J11" s="257"/>
      <c r="K11" s="257"/>
      <c r="IV11"/>
    </row>
    <row r="12" spans="1:256" ht="15" customHeight="1" x14ac:dyDescent="0.25">
      <c r="A12" s="431"/>
      <c r="B12" s="295"/>
      <c r="C12" s="295"/>
      <c r="D12" s="295"/>
      <c r="E12" s="295"/>
      <c r="F12" s="295"/>
      <c r="G12" s="462">
        <f>SUM(F4:F11)</f>
        <v>10</v>
      </c>
      <c r="H12" s="463">
        <f>SUM(G4:G11)</f>
        <v>136300</v>
      </c>
      <c r="I12" s="258"/>
      <c r="J12" s="257"/>
      <c r="K12" s="257"/>
      <c r="L12" s="257"/>
    </row>
    <row r="13" spans="1:256" ht="15" customHeight="1" x14ac:dyDescent="0.25">
      <c r="A13" s="241"/>
      <c r="B13" s="75"/>
      <c r="C13" s="75"/>
      <c r="D13" s="75"/>
      <c r="E13" s="75"/>
      <c r="F13" s="75"/>
      <c r="G13" s="75"/>
      <c r="H13" s="75"/>
      <c r="I13" s="258"/>
      <c r="J13" s="257"/>
      <c r="K13" s="257"/>
      <c r="L13" s="257"/>
    </row>
    <row r="14" spans="1:256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 x14ac:dyDescent="0.25">
      <c r="A28" s="464"/>
      <c r="B28" s="464"/>
      <c r="C28" s="464"/>
      <c r="D28" s="464"/>
      <c r="E28" s="464"/>
      <c r="F28" s="464"/>
      <c r="G28" s="464"/>
      <c r="H28" s="464"/>
      <c r="I28" s="129"/>
      <c r="J28" s="129"/>
      <c r="K28" s="129"/>
      <c r="L28" s="126"/>
    </row>
    <row r="29" spans="1:256" ht="15" customHeight="1" x14ac:dyDescent="0.25">
      <c r="A29" s="459" t="s">
        <v>421</v>
      </c>
      <c r="B29" s="300" t="s">
        <v>422</v>
      </c>
      <c r="C29" s="300" t="s">
        <v>423</v>
      </c>
      <c r="D29" s="300" t="s">
        <v>424</v>
      </c>
      <c r="E29" s="300" t="s">
        <v>425</v>
      </c>
      <c r="F29" s="300" t="s">
        <v>426</v>
      </c>
      <c r="G29" s="300" t="s">
        <v>427</v>
      </c>
      <c r="H29" s="300" t="s">
        <v>428</v>
      </c>
      <c r="I29" s="300" t="s">
        <v>429</v>
      </c>
      <c r="J29" s="139">
        <v>2018</v>
      </c>
      <c r="K29" s="139">
        <v>2019</v>
      </c>
      <c r="L29" s="259"/>
    </row>
    <row r="30" spans="1:256" ht="15" customHeight="1" x14ac:dyDescent="0.25">
      <c r="A30" s="444" t="s">
        <v>382</v>
      </c>
      <c r="B30" s="273" t="s">
        <v>383</v>
      </c>
      <c r="C30" s="295"/>
      <c r="D30" s="295"/>
      <c r="E30" s="295"/>
      <c r="F30" s="295"/>
      <c r="G30" s="295"/>
      <c r="H30" s="295">
        <v>1</v>
      </c>
      <c r="I30" s="295">
        <v>1</v>
      </c>
      <c r="J30" s="295"/>
      <c r="K30" s="295">
        <v>1</v>
      </c>
      <c r="L30" s="259"/>
    </row>
    <row r="31" spans="1:256" ht="15" customHeight="1" x14ac:dyDescent="0.25">
      <c r="A31" s="423" t="s">
        <v>384</v>
      </c>
      <c r="B31" s="157" t="s">
        <v>385</v>
      </c>
      <c r="C31" s="75"/>
      <c r="D31" s="75"/>
      <c r="E31" s="75"/>
      <c r="F31" s="75"/>
      <c r="G31" s="75"/>
      <c r="H31" s="75">
        <v>1</v>
      </c>
      <c r="I31" s="75">
        <v>3</v>
      </c>
      <c r="J31" s="75"/>
      <c r="K31" s="75">
        <v>6</v>
      </c>
      <c r="L31" s="259"/>
    </row>
    <row r="32" spans="1:256" ht="15" customHeight="1" x14ac:dyDescent="0.25">
      <c r="A32" s="423" t="s">
        <v>386</v>
      </c>
      <c r="B32" s="157" t="s">
        <v>387</v>
      </c>
      <c r="C32" s="75"/>
      <c r="D32" s="75"/>
      <c r="E32" s="75"/>
      <c r="F32" s="75"/>
      <c r="G32" s="75"/>
      <c r="H32" s="75"/>
      <c r="I32" s="75">
        <v>3</v>
      </c>
      <c r="J32" s="75"/>
      <c r="K32" s="75">
        <v>6</v>
      </c>
      <c r="L32" s="259"/>
    </row>
    <row r="33" spans="1:12" ht="15" customHeight="1" x14ac:dyDescent="0.25">
      <c r="A33" s="423" t="s">
        <v>388</v>
      </c>
      <c r="B33" s="157" t="s">
        <v>389</v>
      </c>
      <c r="C33" s="75"/>
      <c r="D33" s="75"/>
      <c r="E33" s="75"/>
      <c r="F33" s="75"/>
      <c r="G33" s="75"/>
      <c r="H33" s="75">
        <v>1</v>
      </c>
      <c r="I33" s="75">
        <v>1</v>
      </c>
      <c r="J33" s="75"/>
      <c r="K33" s="75">
        <v>1</v>
      </c>
      <c r="L33" s="259"/>
    </row>
    <row r="34" spans="1:12" ht="15" customHeight="1" x14ac:dyDescent="0.25">
      <c r="A34" s="423" t="s">
        <v>390</v>
      </c>
      <c r="B34" s="157" t="s">
        <v>391</v>
      </c>
      <c r="C34" s="75"/>
      <c r="D34" s="75"/>
      <c r="E34" s="75"/>
      <c r="F34" s="75"/>
      <c r="G34" s="75"/>
      <c r="H34" s="75"/>
      <c r="I34" s="75">
        <v>1</v>
      </c>
      <c r="J34" s="75"/>
      <c r="K34" s="75">
        <v>2</v>
      </c>
      <c r="L34" s="259"/>
    </row>
    <row r="35" spans="1:12" ht="15" customHeight="1" x14ac:dyDescent="0.25">
      <c r="A35" s="423" t="s">
        <v>392</v>
      </c>
      <c r="B35" s="157" t="s">
        <v>393</v>
      </c>
      <c r="C35" s="75"/>
      <c r="D35" s="75"/>
      <c r="E35" s="75"/>
      <c r="F35" s="75"/>
      <c r="G35" s="75"/>
      <c r="H35" s="75">
        <v>1</v>
      </c>
      <c r="I35" s="75">
        <v>1</v>
      </c>
      <c r="J35" s="75"/>
      <c r="K35" s="75">
        <v>2</v>
      </c>
      <c r="L35" s="259"/>
    </row>
    <row r="36" spans="1:12" ht="15" customHeight="1" x14ac:dyDescent="0.25">
      <c r="A36" s="423" t="s">
        <v>394</v>
      </c>
      <c r="B36" s="157" t="s">
        <v>395</v>
      </c>
      <c r="C36" s="75"/>
      <c r="D36" s="75"/>
      <c r="E36" s="75"/>
      <c r="F36" s="75"/>
      <c r="G36" s="75"/>
      <c r="H36" s="75"/>
      <c r="I36" s="75">
        <v>1</v>
      </c>
      <c r="J36" s="75"/>
      <c r="K36" s="75">
        <v>2</v>
      </c>
      <c r="L36" s="259"/>
    </row>
    <row r="37" spans="1:12" ht="25.5" customHeight="1" x14ac:dyDescent="0.25">
      <c r="A37" s="460" t="s">
        <v>396</v>
      </c>
      <c r="B37" s="461" t="s">
        <v>397</v>
      </c>
      <c r="C37" s="461" t="s">
        <v>430</v>
      </c>
      <c r="D37" s="465">
        <v>1</v>
      </c>
      <c r="E37" s="370">
        <v>2</v>
      </c>
      <c r="F37" s="370">
        <v>2</v>
      </c>
      <c r="G37" s="370">
        <v>3</v>
      </c>
      <c r="H37" s="370">
        <v>3</v>
      </c>
      <c r="I37" s="370">
        <v>4</v>
      </c>
      <c r="J37" s="370"/>
      <c r="K37" s="370">
        <v>6</v>
      </c>
      <c r="L37" s="259"/>
    </row>
    <row r="38" spans="1:12" ht="15" customHeight="1" x14ac:dyDescent="0.25">
      <c r="A38" s="444" t="s">
        <v>431</v>
      </c>
      <c r="B38" s="295"/>
      <c r="C38" s="295"/>
      <c r="D38" s="433">
        <f>D37*$E$11</f>
        <v>1450</v>
      </c>
      <c r="E38" s="433">
        <f>E37*$E$11</f>
        <v>2900</v>
      </c>
      <c r="F38" s="433">
        <f>F37*$E$11</f>
        <v>2900</v>
      </c>
      <c r="G38" s="433">
        <f>G37*$E$11</f>
        <v>4350</v>
      </c>
      <c r="H38" s="433">
        <f>H37*$E$11+H30*$E$4</f>
        <v>11600</v>
      </c>
      <c r="I38" s="433">
        <f>I37*$E$11+I30*$E$4+I31*$E$5+I32*$E$6+I33*$E$7+I34*$E$8+I35*$E$9+I36*$E$10</f>
        <v>32927.083333333336</v>
      </c>
      <c r="J38" s="433">
        <f>(F38*3+G38*3+H38*3+I38*3)/12</f>
        <v>12944.270833333334</v>
      </c>
      <c r="K38" s="433">
        <f>K37*$E$11+K30*$E$4+K31*$E$5+K32*$E$6+K33*$E$7+K34*$E$8+K35*$E$9+K36*$E$10</f>
        <v>49904.166666666664</v>
      </c>
      <c r="L38" s="259"/>
    </row>
    <row r="39" spans="1:12" ht="15" customHeight="1" x14ac:dyDescent="0.25">
      <c r="A39" s="241"/>
      <c r="B39" s="75"/>
      <c r="C39" s="75"/>
      <c r="D39" s="75"/>
      <c r="E39" s="75"/>
      <c r="F39" s="75"/>
      <c r="G39" s="75"/>
      <c r="H39" s="75"/>
      <c r="I39" s="75"/>
      <c r="J39" s="434">
        <f>I38*3+G38*3+F38*3+E38*3</f>
        <v>129231.25</v>
      </c>
      <c r="K39" s="75"/>
      <c r="L39" s="259"/>
    </row>
    <row r="40" spans="1:12" ht="15" customHeight="1" x14ac:dyDescent="0.25">
      <c r="A40" s="241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259"/>
    </row>
    <row r="41" spans="1:12" ht="15" customHeight="1" x14ac:dyDescent="0.25">
      <c r="A41" s="459" t="s">
        <v>398</v>
      </c>
      <c r="B41" s="139"/>
      <c r="C41" s="300" t="s">
        <v>423</v>
      </c>
      <c r="D41" s="300" t="s">
        <v>424</v>
      </c>
      <c r="E41" s="300" t="s">
        <v>425</v>
      </c>
      <c r="F41" s="300" t="s">
        <v>426</v>
      </c>
      <c r="G41" s="300" t="s">
        <v>427</v>
      </c>
      <c r="H41" s="300" t="s">
        <v>428</v>
      </c>
      <c r="I41" s="300" t="s">
        <v>429</v>
      </c>
      <c r="J41" s="139">
        <v>2018</v>
      </c>
      <c r="K41" s="139">
        <v>2019</v>
      </c>
      <c r="L41" s="259"/>
    </row>
    <row r="42" spans="1:12" ht="15" customHeight="1" x14ac:dyDescent="0.25">
      <c r="A42" s="444" t="s">
        <v>399</v>
      </c>
      <c r="B42" s="273" t="s">
        <v>399</v>
      </c>
      <c r="C42" s="273" t="s">
        <v>432</v>
      </c>
      <c r="D42" s="295"/>
      <c r="E42" s="295">
        <v>1</v>
      </c>
      <c r="F42" s="295">
        <v>1</v>
      </c>
      <c r="G42" s="295">
        <v>1</v>
      </c>
      <c r="H42" s="295">
        <v>1</v>
      </c>
      <c r="I42" s="295">
        <v>1</v>
      </c>
      <c r="J42" s="295"/>
      <c r="K42" s="295">
        <v>1</v>
      </c>
      <c r="L42" s="259"/>
    </row>
    <row r="43" spans="1:12" ht="15" customHeight="1" x14ac:dyDescent="0.25">
      <c r="A43" s="423" t="s">
        <v>400</v>
      </c>
      <c r="B43" s="157" t="s">
        <v>401</v>
      </c>
      <c r="C43" s="157" t="s">
        <v>433</v>
      </c>
      <c r="D43" s="75">
        <v>1</v>
      </c>
      <c r="E43" s="75">
        <v>1</v>
      </c>
      <c r="F43" s="75">
        <v>1</v>
      </c>
      <c r="G43" s="75">
        <v>1</v>
      </c>
      <c r="H43" s="75">
        <v>1</v>
      </c>
      <c r="I43" s="75">
        <v>1</v>
      </c>
      <c r="J43" s="75"/>
      <c r="K43" s="75">
        <v>1</v>
      </c>
      <c r="L43" s="259"/>
    </row>
    <row r="44" spans="1:12" ht="15" customHeight="1" x14ac:dyDescent="0.25">
      <c r="A44" s="423" t="s">
        <v>402</v>
      </c>
      <c r="B44" s="157" t="s">
        <v>403</v>
      </c>
      <c r="C44" s="157" t="s">
        <v>434</v>
      </c>
      <c r="D44" s="75"/>
      <c r="E44" s="75">
        <v>1</v>
      </c>
      <c r="F44" s="75">
        <v>1</v>
      </c>
      <c r="G44" s="75">
        <v>1</v>
      </c>
      <c r="H44" s="75">
        <v>1</v>
      </c>
      <c r="I44" s="75">
        <v>1</v>
      </c>
      <c r="J44" s="75"/>
      <c r="K44" s="75">
        <v>1</v>
      </c>
      <c r="L44" s="259"/>
    </row>
    <row r="45" spans="1:12" ht="15" customHeight="1" x14ac:dyDescent="0.25">
      <c r="A45" s="423" t="s">
        <v>404</v>
      </c>
      <c r="B45" s="157" t="s">
        <v>405</v>
      </c>
      <c r="C45" s="75"/>
      <c r="D45" s="75">
        <v>1</v>
      </c>
      <c r="E45" s="75">
        <v>1</v>
      </c>
      <c r="F45" s="75">
        <v>1</v>
      </c>
      <c r="G45" s="75">
        <v>1</v>
      </c>
      <c r="H45" s="75">
        <v>1</v>
      </c>
      <c r="I45" s="75">
        <v>1</v>
      </c>
      <c r="J45" s="75"/>
      <c r="K45" s="75">
        <v>1</v>
      </c>
      <c r="L45" s="259"/>
    </row>
    <row r="46" spans="1:12" ht="15" customHeight="1" x14ac:dyDescent="0.25">
      <c r="A46" s="423" t="s">
        <v>406</v>
      </c>
      <c r="B46" s="157" t="s">
        <v>407</v>
      </c>
      <c r="C46" s="75"/>
      <c r="D46" s="75"/>
      <c r="E46" s="75"/>
      <c r="F46" s="75"/>
      <c r="G46" s="75">
        <v>1</v>
      </c>
      <c r="H46" s="75">
        <v>1</v>
      </c>
      <c r="I46" s="75">
        <v>1</v>
      </c>
      <c r="J46" s="75"/>
      <c r="K46" s="75">
        <v>1</v>
      </c>
      <c r="L46" s="259"/>
    </row>
    <row r="47" spans="1:12" ht="15" customHeight="1" x14ac:dyDescent="0.25">
      <c r="A47" s="423" t="s">
        <v>435</v>
      </c>
      <c r="B47" s="157" t="s">
        <v>408</v>
      </c>
      <c r="C47" s="157" t="s">
        <v>436</v>
      </c>
      <c r="D47" s="75"/>
      <c r="E47" s="75">
        <v>1</v>
      </c>
      <c r="F47" s="75">
        <v>1</v>
      </c>
      <c r="G47" s="75">
        <v>1</v>
      </c>
      <c r="H47" s="75">
        <v>1</v>
      </c>
      <c r="I47" s="75">
        <v>1</v>
      </c>
      <c r="J47" s="75"/>
      <c r="K47" s="75">
        <v>1</v>
      </c>
      <c r="L47" s="259"/>
    </row>
    <row r="48" spans="1:12" ht="15" customHeight="1" x14ac:dyDescent="0.25">
      <c r="A48" s="423" t="s">
        <v>409</v>
      </c>
      <c r="B48" s="157" t="s">
        <v>410</v>
      </c>
      <c r="C48" s="75"/>
      <c r="D48" s="75">
        <v>2</v>
      </c>
      <c r="E48" s="75">
        <v>2</v>
      </c>
      <c r="F48" s="75">
        <v>3</v>
      </c>
      <c r="G48" s="75">
        <v>4</v>
      </c>
      <c r="H48" s="75">
        <v>5</v>
      </c>
      <c r="I48" s="75">
        <v>5</v>
      </c>
      <c r="J48" s="75"/>
      <c r="K48" s="75">
        <v>5</v>
      </c>
      <c r="L48" s="259"/>
    </row>
    <row r="49" spans="1:12" ht="15" customHeight="1" x14ac:dyDescent="0.25">
      <c r="A49" s="423" t="s">
        <v>411</v>
      </c>
      <c r="B49" s="157" t="s">
        <v>412</v>
      </c>
      <c r="C49" s="157" t="s">
        <v>437</v>
      </c>
      <c r="D49" s="75">
        <v>1</v>
      </c>
      <c r="E49" s="75">
        <v>1</v>
      </c>
      <c r="F49" s="75">
        <v>1</v>
      </c>
      <c r="G49" s="75">
        <v>1</v>
      </c>
      <c r="H49" s="75">
        <v>1</v>
      </c>
      <c r="I49" s="75">
        <v>1</v>
      </c>
      <c r="J49" s="75"/>
      <c r="K49" s="75">
        <v>1</v>
      </c>
      <c r="L49" s="259"/>
    </row>
    <row r="50" spans="1:12" ht="15" customHeight="1" x14ac:dyDescent="0.25">
      <c r="A50" s="423" t="s">
        <v>413</v>
      </c>
      <c r="B50" s="157" t="s">
        <v>414</v>
      </c>
      <c r="C50" s="157" t="s">
        <v>438</v>
      </c>
      <c r="D50" s="75">
        <v>1</v>
      </c>
      <c r="E50" s="75">
        <v>1</v>
      </c>
      <c r="F50" s="75">
        <v>1</v>
      </c>
      <c r="G50" s="75">
        <v>1</v>
      </c>
      <c r="H50" s="75">
        <v>1</v>
      </c>
      <c r="I50" s="75">
        <v>1</v>
      </c>
      <c r="J50" s="75"/>
      <c r="K50" s="75">
        <v>2</v>
      </c>
      <c r="L50" s="259"/>
    </row>
    <row r="51" spans="1:12" ht="15" customHeight="1" x14ac:dyDescent="0.25">
      <c r="A51" s="423" t="s">
        <v>415</v>
      </c>
      <c r="B51" s="157" t="s">
        <v>416</v>
      </c>
      <c r="C51" s="75"/>
      <c r="D51" s="75"/>
      <c r="E51" s="75"/>
      <c r="F51" s="75"/>
      <c r="G51" s="75"/>
      <c r="H51" s="75"/>
      <c r="I51" s="75">
        <v>1</v>
      </c>
      <c r="J51" s="75"/>
      <c r="K51" s="75">
        <v>1</v>
      </c>
      <c r="L51" s="259"/>
    </row>
    <row r="52" spans="1:12" ht="15" customHeight="1" x14ac:dyDescent="0.25">
      <c r="A52" s="423" t="s">
        <v>417</v>
      </c>
      <c r="B52" s="157" t="s">
        <v>418</v>
      </c>
      <c r="C52" s="157" t="s">
        <v>439</v>
      </c>
      <c r="D52" s="75">
        <v>1</v>
      </c>
      <c r="E52" s="75">
        <v>1</v>
      </c>
      <c r="F52" s="75">
        <v>1</v>
      </c>
      <c r="G52" s="75">
        <v>1</v>
      </c>
      <c r="H52" s="75">
        <v>1</v>
      </c>
      <c r="I52" s="75">
        <v>1</v>
      </c>
      <c r="J52" s="75"/>
      <c r="K52" s="75">
        <v>1</v>
      </c>
      <c r="L52" s="259"/>
    </row>
    <row r="53" spans="1:12" ht="15" customHeight="1" x14ac:dyDescent="0.25">
      <c r="A53" s="460" t="s">
        <v>419</v>
      </c>
      <c r="B53" s="461" t="s">
        <v>420</v>
      </c>
      <c r="C53" s="465"/>
      <c r="D53" s="465"/>
      <c r="E53" s="370">
        <v>1</v>
      </c>
      <c r="F53" s="370">
        <v>1</v>
      </c>
      <c r="G53" s="370">
        <v>1</v>
      </c>
      <c r="H53" s="370">
        <v>1</v>
      </c>
      <c r="I53" s="370">
        <v>1</v>
      </c>
      <c r="J53" s="370"/>
      <c r="K53" s="370">
        <v>1</v>
      </c>
      <c r="L53" s="259"/>
    </row>
    <row r="54" spans="1:12" ht="15" customHeight="1" x14ac:dyDescent="0.25">
      <c r="A54" s="444" t="s">
        <v>431</v>
      </c>
      <c r="B54" s="295"/>
      <c r="C54" s="295"/>
      <c r="D54" s="433">
        <f t="shared" ref="D54:I54" si="4">D42*$F$15+D43*$F$16+D45*$F$18+D48*$F$21+D49*$F$22+D50*$F$23+D51*$F$24+D52*$F$25+D53*$F$26+D44*$F$17+D46*$F$19+D47*$F$20</f>
        <v>0</v>
      </c>
      <c r="E54" s="433">
        <f t="shared" si="4"/>
        <v>0</v>
      </c>
      <c r="F54" s="433">
        <f t="shared" si="4"/>
        <v>0</v>
      </c>
      <c r="G54" s="433">
        <f t="shared" si="4"/>
        <v>0</v>
      </c>
      <c r="H54" s="433">
        <f t="shared" si="4"/>
        <v>0</v>
      </c>
      <c r="I54" s="433">
        <f t="shared" si="4"/>
        <v>0</v>
      </c>
      <c r="J54" s="433">
        <f>(F54*3+G54*3+H54*3+I54*3)/12</f>
        <v>0</v>
      </c>
      <c r="K54" s="433">
        <f>K42*$F$15+K43*$F$16+K45*$F$18+K48*$F$21+K49*$F$22+K50*$F$23+K51*$F$24+K52*$F$25+K53*$F$26+K44*$F$17+K46*$F$19+K47*$F$20</f>
        <v>0</v>
      </c>
      <c r="L54" s="259"/>
    </row>
    <row r="55" spans="1:12" ht="15" customHeight="1" x14ac:dyDescent="0.25">
      <c r="A55" s="241"/>
      <c r="B55" s="75"/>
      <c r="C55" s="75"/>
      <c r="D55" s="75"/>
      <c r="E55" s="75"/>
      <c r="F55" s="75"/>
      <c r="G55" s="75"/>
      <c r="H55" s="75"/>
      <c r="I55" s="75"/>
      <c r="J55" s="434">
        <f>I54*3+G54*3+F54*3+E54*3</f>
        <v>0</v>
      </c>
      <c r="K55" s="75"/>
      <c r="L55" s="259"/>
    </row>
    <row r="56" spans="1:12" ht="15" customHeight="1" x14ac:dyDescent="0.25">
      <c r="A56" s="241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259"/>
    </row>
    <row r="57" spans="1:12" ht="15" customHeight="1" x14ac:dyDescent="0.25">
      <c r="A57" s="466" t="s">
        <v>440</v>
      </c>
      <c r="B57" s="467" t="s">
        <v>441</v>
      </c>
      <c r="C57" s="467" t="s">
        <v>423</v>
      </c>
      <c r="D57" s="467" t="s">
        <v>424</v>
      </c>
      <c r="E57" s="300" t="s">
        <v>425</v>
      </c>
      <c r="F57" s="300" t="s">
        <v>426</v>
      </c>
      <c r="G57" s="300" t="s">
        <v>427</v>
      </c>
      <c r="H57" s="300" t="s">
        <v>428</v>
      </c>
      <c r="I57" s="300" t="s">
        <v>429</v>
      </c>
      <c r="J57" s="139">
        <v>2018</v>
      </c>
      <c r="K57" s="139">
        <v>2019</v>
      </c>
      <c r="L57" s="259"/>
    </row>
    <row r="58" spans="1:12" ht="15" customHeight="1" x14ac:dyDescent="0.25">
      <c r="A58" s="468" t="s">
        <v>442</v>
      </c>
      <c r="B58" s="469" t="s">
        <v>443</v>
      </c>
      <c r="C58" s="469" t="s">
        <v>444</v>
      </c>
      <c r="D58" s="419"/>
      <c r="E58" s="419">
        <v>1</v>
      </c>
      <c r="F58" s="419">
        <v>1</v>
      </c>
      <c r="G58" s="419">
        <v>1</v>
      </c>
      <c r="H58" s="419">
        <v>1</v>
      </c>
      <c r="I58" s="419">
        <v>1</v>
      </c>
      <c r="J58" s="419"/>
      <c r="K58" s="419"/>
      <c r="L58" s="259"/>
    </row>
    <row r="59" spans="1:12" ht="15" customHeight="1" x14ac:dyDescent="0.25">
      <c r="A59" s="431"/>
      <c r="B59" s="295"/>
      <c r="C59" s="295"/>
      <c r="D59" s="295"/>
      <c r="E59" s="433">
        <v>6666.666666666667</v>
      </c>
      <c r="F59" s="433">
        <v>6666.666666666667</v>
      </c>
      <c r="G59" s="433">
        <v>6666.666666666667</v>
      </c>
      <c r="H59" s="433">
        <v>6666.666666666667</v>
      </c>
      <c r="I59" s="433">
        <v>6666.666666666667</v>
      </c>
      <c r="J59" s="433"/>
      <c r="K59" s="295"/>
      <c r="L59" s="259"/>
    </row>
    <row r="60" spans="1:12" ht="15" customHeight="1" x14ac:dyDescent="0.25">
      <c r="A60" s="241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259"/>
    </row>
    <row r="61" spans="1:12" ht="15" customHeight="1" x14ac:dyDescent="0.25">
      <c r="A61" s="423" t="s">
        <v>445</v>
      </c>
      <c r="B61" s="157" t="s">
        <v>446</v>
      </c>
      <c r="C61" s="75"/>
      <c r="D61" s="443">
        <f t="shared" ref="D61:K61" si="5">(D38+D54+D59)</f>
        <v>1450</v>
      </c>
      <c r="E61" s="443">
        <f t="shared" si="5"/>
        <v>9566.6666666666679</v>
      </c>
      <c r="F61" s="443">
        <f t="shared" si="5"/>
        <v>9566.6666666666679</v>
      </c>
      <c r="G61" s="443">
        <f t="shared" si="5"/>
        <v>11016.666666666668</v>
      </c>
      <c r="H61" s="443">
        <f t="shared" si="5"/>
        <v>18266.666666666668</v>
      </c>
      <c r="I61" s="443">
        <f t="shared" si="5"/>
        <v>39593.75</v>
      </c>
      <c r="J61" s="443">
        <f t="shared" si="5"/>
        <v>12944.270833333334</v>
      </c>
      <c r="K61" s="443">
        <f t="shared" si="5"/>
        <v>49904.166666666664</v>
      </c>
      <c r="L61" s="259"/>
    </row>
    <row r="62" spans="1:12" ht="15" customHeight="1" x14ac:dyDescent="0.25">
      <c r="A62" s="470"/>
      <c r="B62" s="455"/>
      <c r="C62" s="455"/>
      <c r="D62" s="455"/>
      <c r="E62" s="455"/>
      <c r="F62" s="455"/>
      <c r="G62" s="455"/>
      <c r="H62" s="455"/>
      <c r="I62" s="455"/>
      <c r="J62" s="455"/>
      <c r="K62" s="455"/>
      <c r="L62" s="259"/>
    </row>
  </sheetData>
  <pageMargins left="0.19685" right="0.19685" top="0.19685" bottom="0.19685" header="0.5" footer="0.5"/>
  <pageSetup scale="74" orientation="landscape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112"/>
  <sheetViews>
    <sheetView showGridLines="0" workbookViewId="0">
      <selection activeCell="A2" sqref="A2"/>
    </sheetView>
  </sheetViews>
  <sheetFormatPr defaultColWidth="11.42578125" defaultRowHeight="15" customHeight="1" x14ac:dyDescent="0.25"/>
  <cols>
    <col min="1" max="1" width="2.85546875" style="357" customWidth="1"/>
    <col min="2" max="2" width="36.85546875" style="357" customWidth="1"/>
    <col min="3" max="3" width="36.85546875" style="357" hidden="1" customWidth="1"/>
    <col min="4" max="4" width="12" style="357" customWidth="1"/>
    <col min="5" max="5" width="14.5703125" style="357" bestFit="1" customWidth="1"/>
    <col min="6" max="11" width="11" style="357" customWidth="1"/>
    <col min="12" max="256" width="11.42578125" style="357" customWidth="1"/>
  </cols>
  <sheetData>
    <row r="1" spans="1:14" ht="15.75" customHeight="1" x14ac:dyDescent="0.25">
      <c r="A1" s="557" t="s">
        <v>491</v>
      </c>
      <c r="B1" s="3"/>
      <c r="C1" s="276" t="s">
        <v>273</v>
      </c>
      <c r="D1" s="3"/>
      <c r="E1" s="3"/>
      <c r="F1" s="3"/>
      <c r="G1" s="3"/>
      <c r="H1" s="3"/>
      <c r="I1" s="3"/>
      <c r="J1" s="3"/>
      <c r="K1" s="3"/>
      <c r="L1" s="3"/>
      <c r="M1" s="57"/>
      <c r="N1" s="59"/>
    </row>
    <row r="2" spans="1:14" ht="15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77"/>
      <c r="N2" s="70"/>
    </row>
    <row r="3" spans="1:14" ht="15.75" customHeight="1" x14ac:dyDescent="0.25">
      <c r="A3" s="5"/>
      <c r="B3" s="260" t="s">
        <v>274</v>
      </c>
      <c r="C3" s="260" t="s">
        <v>275</v>
      </c>
      <c r="D3" s="278" t="s">
        <v>133</v>
      </c>
      <c r="E3" s="278" t="s">
        <v>134</v>
      </c>
      <c r="F3" s="278" t="s">
        <v>135</v>
      </c>
      <c r="G3" s="278" t="s">
        <v>136</v>
      </c>
      <c r="H3" s="278" t="s">
        <v>137</v>
      </c>
      <c r="I3" s="278" t="s">
        <v>138</v>
      </c>
      <c r="J3" s="278" t="s">
        <v>139</v>
      </c>
      <c r="K3" s="278" t="s">
        <v>140</v>
      </c>
      <c r="L3" s="278" t="s">
        <v>141</v>
      </c>
      <c r="M3" s="278" t="s">
        <v>142</v>
      </c>
      <c r="N3" s="278" t="s">
        <v>488</v>
      </c>
    </row>
    <row r="4" spans="1:14" ht="15.75" customHeight="1" x14ac:dyDescent="0.25">
      <c r="A4" s="5"/>
      <c r="B4" s="342" t="s">
        <v>276</v>
      </c>
      <c r="C4" s="342" t="s">
        <v>277</v>
      </c>
      <c r="D4" s="358">
        <v>0.1</v>
      </c>
      <c r="E4" s="358">
        <f t="shared" ref="E4:N4" si="0">D4</f>
        <v>0.1</v>
      </c>
      <c r="F4" s="358">
        <f t="shared" si="0"/>
        <v>0.1</v>
      </c>
      <c r="G4" s="358">
        <f t="shared" si="0"/>
        <v>0.1</v>
      </c>
      <c r="H4" s="358">
        <f t="shared" si="0"/>
        <v>0.1</v>
      </c>
      <c r="I4" s="358">
        <f t="shared" si="0"/>
        <v>0.1</v>
      </c>
      <c r="J4" s="358">
        <f t="shared" si="0"/>
        <v>0.1</v>
      </c>
      <c r="K4" s="358">
        <f t="shared" si="0"/>
        <v>0.1</v>
      </c>
      <c r="L4" s="358">
        <f t="shared" si="0"/>
        <v>0.1</v>
      </c>
      <c r="M4" s="358">
        <f t="shared" si="0"/>
        <v>0.1</v>
      </c>
      <c r="N4" s="359">
        <f t="shared" si="0"/>
        <v>0.1</v>
      </c>
    </row>
    <row r="5" spans="1:14" ht="15.75" customHeight="1" x14ac:dyDescent="0.25">
      <c r="A5" s="5"/>
      <c r="B5" s="342" t="s">
        <v>278</v>
      </c>
      <c r="C5" s="342" t="s">
        <v>279</v>
      </c>
      <c r="D5" s="358">
        <v>0.1</v>
      </c>
      <c r="E5" s="358">
        <f t="shared" ref="E5:N5" si="1">D5</f>
        <v>0.1</v>
      </c>
      <c r="F5" s="358">
        <f t="shared" si="1"/>
        <v>0.1</v>
      </c>
      <c r="G5" s="358">
        <f t="shared" si="1"/>
        <v>0.1</v>
      </c>
      <c r="H5" s="358">
        <f t="shared" si="1"/>
        <v>0.1</v>
      </c>
      <c r="I5" s="358">
        <f t="shared" si="1"/>
        <v>0.1</v>
      </c>
      <c r="J5" s="358">
        <f t="shared" si="1"/>
        <v>0.1</v>
      </c>
      <c r="K5" s="358">
        <f t="shared" si="1"/>
        <v>0.1</v>
      </c>
      <c r="L5" s="358">
        <f t="shared" si="1"/>
        <v>0.1</v>
      </c>
      <c r="M5" s="358">
        <f t="shared" si="1"/>
        <v>0.1</v>
      </c>
      <c r="N5" s="359">
        <f t="shared" si="1"/>
        <v>0.1</v>
      </c>
    </row>
    <row r="6" spans="1:14" ht="15.75" customHeight="1" x14ac:dyDescent="0.25">
      <c r="A6" s="5"/>
      <c r="B6" s="342" t="s">
        <v>280</v>
      </c>
      <c r="C6" s="342" t="s">
        <v>281</v>
      </c>
      <c r="D6" s="358">
        <v>0.1</v>
      </c>
      <c r="E6" s="358">
        <f t="shared" ref="E6:N6" si="2">D6</f>
        <v>0.1</v>
      </c>
      <c r="F6" s="358">
        <f t="shared" si="2"/>
        <v>0.1</v>
      </c>
      <c r="G6" s="358">
        <f t="shared" si="2"/>
        <v>0.1</v>
      </c>
      <c r="H6" s="358">
        <f t="shared" si="2"/>
        <v>0.1</v>
      </c>
      <c r="I6" s="358">
        <f t="shared" si="2"/>
        <v>0.1</v>
      </c>
      <c r="J6" s="358">
        <f t="shared" si="2"/>
        <v>0.1</v>
      </c>
      <c r="K6" s="358">
        <f t="shared" si="2"/>
        <v>0.1</v>
      </c>
      <c r="L6" s="358">
        <f t="shared" si="2"/>
        <v>0.1</v>
      </c>
      <c r="M6" s="358">
        <f t="shared" si="2"/>
        <v>0.1</v>
      </c>
      <c r="N6" s="359">
        <f t="shared" si="2"/>
        <v>0.1</v>
      </c>
    </row>
    <row r="7" spans="1:14" ht="15.75" customHeight="1" x14ac:dyDescent="0.25">
      <c r="A7" s="5"/>
      <c r="B7" s="342" t="s">
        <v>282</v>
      </c>
      <c r="C7" s="342" t="s">
        <v>283</v>
      </c>
      <c r="D7" s="360">
        <f t="shared" ref="D7:N7" si="3">D48</f>
        <v>0.29497716894977166</v>
      </c>
      <c r="E7" s="360">
        <f t="shared" si="3"/>
        <v>0.44264382566826843</v>
      </c>
      <c r="F7" s="360">
        <f t="shared" si="3"/>
        <v>0.49892018466144344</v>
      </c>
      <c r="G7" s="360">
        <f t="shared" si="3"/>
        <v>0.52797326304807779</v>
      </c>
      <c r="H7" s="360">
        <f t="shared" si="3"/>
        <v>0.5366534497369031</v>
      </c>
      <c r="I7" s="360">
        <f t="shared" si="3"/>
        <v>0.54515301834604457</v>
      </c>
      <c r="J7" s="360">
        <f t="shared" si="3"/>
        <v>0.55347523616060545</v>
      </c>
      <c r="K7" s="360">
        <f t="shared" si="3"/>
        <v>0.56162329865067151</v>
      </c>
      <c r="L7" s="360">
        <f t="shared" si="3"/>
        <v>0.5696003306545806</v>
      </c>
      <c r="M7" s="360">
        <f t="shared" si="3"/>
        <v>0.57740938753241</v>
      </c>
      <c r="N7" s="361">
        <f t="shared" si="3"/>
        <v>0.58505345629006811</v>
      </c>
    </row>
    <row r="8" spans="1:14" ht="15.75" customHeight="1" x14ac:dyDescent="0.25">
      <c r="A8" s="5"/>
      <c r="B8" s="342" t="s">
        <v>284</v>
      </c>
      <c r="C8" s="342" t="s">
        <v>285</v>
      </c>
      <c r="D8" s="360">
        <f>-('P&amp;L and Cash Flow'!D35-D7)</f>
        <v>-0.12818596928185971</v>
      </c>
      <c r="E8" s="360">
        <f>-('P&amp;L and Cash Flow'!E35-E7)</f>
        <v>-0.10133748624213301</v>
      </c>
      <c r="F8" s="360">
        <f>-('P&amp;L and Cash Flow'!F35-F7)</f>
        <v>-9.1105420970646611E-2</v>
      </c>
      <c r="G8" s="360">
        <f>-('P&amp;L and Cash Flow'!G35-G7)</f>
        <v>-8.5823043082167705E-2</v>
      </c>
      <c r="H8" s="360">
        <f>-('P&amp;L and Cash Flow'!H35-H7)</f>
        <v>-8.4244827320563043E-2</v>
      </c>
      <c r="I8" s="360">
        <f>-('P&amp;L and Cash Flow'!I35-I7)</f>
        <v>-8.2699451209809927E-2</v>
      </c>
      <c r="J8" s="360">
        <f>-('P&amp;L and Cash Flow'!J35-J7)</f>
        <v>-8.1186320698071635E-2</v>
      </c>
      <c r="K8" s="360">
        <f>-('P&amp;L and Cash Flow'!K35-K7)</f>
        <v>-7.9704854790787039E-2</v>
      </c>
      <c r="L8" s="360">
        <f>-('P&amp;L and Cash Flow'!L35-L7)</f>
        <v>-7.8254485335530921E-2</v>
      </c>
      <c r="M8" s="360">
        <f>-('P&amp;L and Cash Flow'!M35-M7)</f>
        <v>-7.6834656812289071E-2</v>
      </c>
      <c r="N8" s="361">
        <f>-('P&amp;L and Cash Flow'!N35-N7)</f>
        <v>-7.5444826129078546E-2</v>
      </c>
    </row>
    <row r="9" spans="1:14" ht="15.75" customHeight="1" x14ac:dyDescent="0.25">
      <c r="A9" s="5"/>
      <c r="B9" s="342" t="s">
        <v>286</v>
      </c>
      <c r="C9" s="342" t="s">
        <v>287</v>
      </c>
      <c r="D9" s="358">
        <f>D6</f>
        <v>0.1</v>
      </c>
      <c r="E9" s="358">
        <f t="shared" ref="E9:N9" si="4">D9</f>
        <v>0.1</v>
      </c>
      <c r="F9" s="358">
        <f t="shared" si="4"/>
        <v>0.1</v>
      </c>
      <c r="G9" s="358">
        <f t="shared" si="4"/>
        <v>0.1</v>
      </c>
      <c r="H9" s="358">
        <f t="shared" si="4"/>
        <v>0.1</v>
      </c>
      <c r="I9" s="358">
        <f t="shared" si="4"/>
        <v>0.1</v>
      </c>
      <c r="J9" s="358">
        <f t="shared" si="4"/>
        <v>0.1</v>
      </c>
      <c r="K9" s="358">
        <f t="shared" si="4"/>
        <v>0.1</v>
      </c>
      <c r="L9" s="358">
        <f t="shared" si="4"/>
        <v>0.1</v>
      </c>
      <c r="M9" s="358">
        <f t="shared" si="4"/>
        <v>0.1</v>
      </c>
      <c r="N9" s="359">
        <f t="shared" si="4"/>
        <v>0.1</v>
      </c>
    </row>
    <row r="10" spans="1:14" ht="15.75" customHeight="1" x14ac:dyDescent="0.25">
      <c r="A10" s="5"/>
      <c r="B10" s="342" t="s">
        <v>288</v>
      </c>
      <c r="C10" s="342" t="s">
        <v>289</v>
      </c>
      <c r="D10" s="360">
        <f t="shared" ref="D10:N10" si="5">D56</f>
        <v>0.12788554033485539</v>
      </c>
      <c r="E10" s="360">
        <f t="shared" si="5"/>
        <v>8.015477780530228E-2</v>
      </c>
      <c r="F10" s="360">
        <f t="shared" si="5"/>
        <v>0.23238412005632131</v>
      </c>
      <c r="G10" s="360">
        <f t="shared" si="5"/>
        <v>0.26666339578815412</v>
      </c>
      <c r="H10" s="360">
        <f t="shared" si="5"/>
        <v>0.28046730536442888</v>
      </c>
      <c r="I10" s="360">
        <f t="shared" si="5"/>
        <v>0.29399013170636407</v>
      </c>
      <c r="J10" s="360">
        <f t="shared" si="5"/>
        <v>0.3072371120040559</v>
      </c>
      <c r="K10" s="360">
        <f t="shared" si="5"/>
        <v>0.32021337300699543</v>
      </c>
      <c r="L10" s="360">
        <f t="shared" si="5"/>
        <v>0.34354746338059655</v>
      </c>
      <c r="M10" s="360">
        <f t="shared" si="5"/>
        <v>0.34537327898935838</v>
      </c>
      <c r="N10" s="361">
        <f t="shared" si="5"/>
        <v>0.3525471622277489</v>
      </c>
    </row>
    <row r="11" spans="1:14" ht="15.75" customHeight="1" x14ac:dyDescent="0.25">
      <c r="A11" s="5"/>
      <c r="B11" s="342" t="s">
        <v>290</v>
      </c>
      <c r="C11" s="342" t="s">
        <v>291</v>
      </c>
      <c r="D11" s="360">
        <f>-('P&amp;L and Cash Flow'!D45-D56)</f>
        <v>-0.14489513214335131</v>
      </c>
      <c r="E11" s="360">
        <f>-('P&amp;L and Cash Flow'!E45-E56)</f>
        <v>-0.23449709454721779</v>
      </c>
      <c r="F11" s="360">
        <f>-('P&amp;L and Cash Flow'!F45-F56)</f>
        <v>-0.19514162370987104</v>
      </c>
      <c r="G11" s="360">
        <f>-('P&amp;L and Cash Flow'!G45-G56)</f>
        <v>-0.19411608460188967</v>
      </c>
      <c r="H11" s="360">
        <f>-('P&amp;L and Cash Flow'!H45-H56)</f>
        <v>-0.19710015353230176</v>
      </c>
      <c r="I11" s="360">
        <f>-('P&amp;L and Cash Flow'!I45-I56)</f>
        <v>-0.20031415290184612</v>
      </c>
      <c r="J11" s="360">
        <f>-('P&amp;L and Cash Flow'!J45-J56)</f>
        <v>-0.17857639465855957</v>
      </c>
      <c r="K11" s="360">
        <f>-('P&amp;L and Cash Flow'!K45-K56)</f>
        <v>-0.18183141782317996</v>
      </c>
      <c r="L11" s="360">
        <f>-('P&amp;L and Cash Flow'!L45-L56)</f>
        <v>-0.17487110352294338</v>
      </c>
      <c r="M11" s="360">
        <f>-('P&amp;L and Cash Flow'!M45-M56)</f>
        <v>-0.18956337681486773</v>
      </c>
      <c r="N11" s="361">
        <f>-('P&amp;L and Cash Flow'!N45-N56)</f>
        <v>-0.19485796447303666</v>
      </c>
    </row>
    <row r="12" spans="1:14" ht="15.75" customHeight="1" x14ac:dyDescent="0.25">
      <c r="A12" s="5"/>
      <c r="B12" s="342" t="s">
        <v>292</v>
      </c>
      <c r="C12" s="342" t="s">
        <v>293</v>
      </c>
      <c r="D12" s="362">
        <f t="shared" ref="D12:N12" si="6">D66</f>
        <v>1.7653617443012881</v>
      </c>
      <c r="E12" s="362">
        <f t="shared" si="6"/>
        <v>2.0755431873552883</v>
      </c>
      <c r="F12" s="362">
        <f t="shared" si="6"/>
        <v>3.181612956405405</v>
      </c>
      <c r="G12" s="362">
        <f t="shared" si="6"/>
        <v>3.4342220629920388</v>
      </c>
      <c r="H12" s="362">
        <f t="shared" si="6"/>
        <v>3.5604963189990673</v>
      </c>
      <c r="I12" s="362">
        <f t="shared" si="6"/>
        <v>3.6892255558688638</v>
      </c>
      <c r="J12" s="362">
        <f t="shared" si="6"/>
        <v>3.8204555701054503</v>
      </c>
      <c r="K12" s="362">
        <f t="shared" si="6"/>
        <v>3.9542329156502722</v>
      </c>
      <c r="L12" s="362">
        <f t="shared" si="6"/>
        <v>4.4284670998267721</v>
      </c>
      <c r="M12" s="362">
        <f t="shared" si="6"/>
        <v>3.7069171971923707</v>
      </c>
      <c r="N12" s="363">
        <f t="shared" si="6"/>
        <v>37.875514912003503</v>
      </c>
    </row>
    <row r="13" spans="1:14" ht="15.75" customHeight="1" x14ac:dyDescent="0.25">
      <c r="A13" s="5"/>
      <c r="B13" s="342" t="s">
        <v>294</v>
      </c>
      <c r="C13" s="342" t="s">
        <v>295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5" customHeight="1" x14ac:dyDescent="0.2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5" customHeight="1" x14ac:dyDescent="0.25">
      <c r="A15" s="8"/>
      <c r="B15" s="75"/>
      <c r="C15" s="75"/>
      <c r="D15" s="278" t="s">
        <v>133</v>
      </c>
      <c r="E15" s="278" t="s">
        <v>134</v>
      </c>
      <c r="F15" s="278" t="s">
        <v>135</v>
      </c>
      <c r="G15" s="278" t="s">
        <v>136</v>
      </c>
      <c r="H15" s="278" t="s">
        <v>137</v>
      </c>
      <c r="I15" s="278" t="s">
        <v>138</v>
      </c>
      <c r="J15" s="278" t="s">
        <v>139</v>
      </c>
      <c r="K15" s="278" t="s">
        <v>140</v>
      </c>
      <c r="L15" s="278" t="s">
        <v>141</v>
      </c>
      <c r="M15" s="278" t="s">
        <v>142</v>
      </c>
      <c r="N15" s="278" t="s">
        <v>488</v>
      </c>
    </row>
    <row r="16" spans="1:14" ht="15" customHeight="1" x14ac:dyDescent="0.25">
      <c r="A16" s="8"/>
      <c r="B16" s="246" t="s">
        <v>143</v>
      </c>
      <c r="C16" s="246" t="s">
        <v>144</v>
      </c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5"/>
    </row>
    <row r="17" spans="1:14" ht="15" customHeight="1" x14ac:dyDescent="0.25">
      <c r="A17" s="8"/>
      <c r="B17" s="270" t="s">
        <v>449</v>
      </c>
      <c r="C17" s="270" t="s">
        <v>145</v>
      </c>
      <c r="D17" s="153">
        <f>'P&amp;L and Cash Flow'!D5*(1-D4)</f>
        <v>891000</v>
      </c>
      <c r="E17" s="153">
        <f>'P&amp;L and Cash Flow'!E5*(1-E4)</f>
        <v>1363230.0000000002</v>
      </c>
      <c r="F17" s="153">
        <f>'P&amp;L and Cash Flow'!F5*(1-F4)</f>
        <v>1853992.8000000005</v>
      </c>
      <c r="G17" s="153">
        <f>'P&amp;L and Cash Flow'!G5*(1-G4)</f>
        <v>1891072.6560000004</v>
      </c>
      <c r="H17" s="153">
        <f>'P&amp;L and Cash Flow'!H5*(1-H4)</f>
        <v>1928894.1091200004</v>
      </c>
      <c r="I17" s="153">
        <f>'P&amp;L and Cash Flow'!I5*(1-I4)</f>
        <v>1967471.9913024008</v>
      </c>
      <c r="J17" s="153">
        <f>'P&amp;L and Cash Flow'!J5*(1-J4)</f>
        <v>2006821.4311284488</v>
      </c>
      <c r="K17" s="153">
        <f>'P&amp;L and Cash Flow'!K5*(1-K4)</f>
        <v>2046957.8597510178</v>
      </c>
      <c r="L17" s="153">
        <f>'P&amp;L and Cash Flow'!L5*(1-L4)</f>
        <v>2087897.0169460382</v>
      </c>
      <c r="M17" s="153">
        <f>'P&amp;L and Cash Flow'!M5*(1-M4)</f>
        <v>2129654.9572849586</v>
      </c>
      <c r="N17" s="153">
        <f>'P&amp;L and Cash Flow'!N5*(1-N4)</f>
        <v>2172248.0564306583</v>
      </c>
    </row>
    <row r="18" spans="1:14" ht="15" customHeight="1" x14ac:dyDescent="0.25">
      <c r="A18" s="8"/>
      <c r="B18" s="270" t="s">
        <v>450</v>
      </c>
      <c r="C18" s="270" t="s">
        <v>147</v>
      </c>
      <c r="D18" s="153">
        <f>'P&amp;L and Cash Flow'!D6*(1-D5)</f>
        <v>60750</v>
      </c>
      <c r="E18" s="153">
        <f>'P&amp;L and Cash Flow'!E6*(1-E5)</f>
        <v>92947.5</v>
      </c>
      <c r="F18" s="153">
        <f>'P&amp;L and Cash Flow'!F6*(1-F5)</f>
        <v>126408.6</v>
      </c>
      <c r="G18" s="153">
        <f>'P&amp;L and Cash Flow'!G6*(1-G5)</f>
        <v>128936.77200000001</v>
      </c>
      <c r="H18" s="153">
        <f>'P&amp;L and Cash Flow'!H6*(1-H5)</f>
        <v>131515.50744000004</v>
      </c>
      <c r="I18" s="153">
        <f>'P&amp;L and Cash Flow'!I6*(1-I5)</f>
        <v>134145.81758880004</v>
      </c>
      <c r="J18" s="153">
        <f>'P&amp;L and Cash Flow'!J6*(1-J5)</f>
        <v>136828.73394057603</v>
      </c>
      <c r="K18" s="153">
        <f>'P&amp;L and Cash Flow'!K6*(1-K5)</f>
        <v>139565.30861938759</v>
      </c>
      <c r="L18" s="153">
        <f>'P&amp;L and Cash Flow'!L6*(1-L5)</f>
        <v>142356.61479177533</v>
      </c>
      <c r="M18" s="153">
        <f>'P&amp;L and Cash Flow'!M6*(1-M5)</f>
        <v>145203.74708761083</v>
      </c>
      <c r="N18" s="153">
        <f>'P&amp;L and Cash Flow'!N6*(1-N5)</f>
        <v>148107.82202936304</v>
      </c>
    </row>
    <row r="19" spans="1:14" ht="15" customHeight="1" x14ac:dyDescent="0.25">
      <c r="A19" s="280"/>
      <c r="B19" s="270" t="s">
        <v>455</v>
      </c>
      <c r="C19" s="270" t="s">
        <v>296</v>
      </c>
      <c r="D19" s="153">
        <f>'P&amp;L and Cash Flow'!D7*(1-D6)</f>
        <v>33750</v>
      </c>
      <c r="E19" s="153">
        <f>'P&amp;L and Cash Flow'!E7*(1-E6)</f>
        <v>51637.5</v>
      </c>
      <c r="F19" s="153">
        <f>'P&amp;L and Cash Flow'!F7*(1-F6)</f>
        <v>70227</v>
      </c>
      <c r="G19" s="153">
        <f>'P&amp;L and Cash Flow'!G7*(1-G6)</f>
        <v>71631.540000000008</v>
      </c>
      <c r="H19" s="153">
        <f>'P&amp;L and Cash Flow'!H7*(1-H6)</f>
        <v>73064.170799999993</v>
      </c>
      <c r="I19" s="153">
        <f>'P&amp;L and Cash Flow'!I7*(1-I6)</f>
        <v>74525.454216000013</v>
      </c>
      <c r="J19" s="153">
        <f>'P&amp;L and Cash Flow'!J7*(1-J6)</f>
        <v>76015.963300320014</v>
      </c>
      <c r="K19" s="153">
        <f>'P&amp;L and Cash Flow'!K7*(1-K6)</f>
        <v>77536.282566326408</v>
      </c>
      <c r="L19" s="153">
        <f>'P&amp;L and Cash Flow'!L7*(1-L6)</f>
        <v>79087.008217652939</v>
      </c>
      <c r="M19" s="153">
        <f>'P&amp;L and Cash Flow'!M7*(1-M6)</f>
        <v>80668.748382006001</v>
      </c>
      <c r="N19" s="153">
        <f>'P&amp;L and Cash Flow'!N7*(1-N6)</f>
        <v>82282.123349646135</v>
      </c>
    </row>
    <row r="20" spans="1:14" ht="15" customHeight="1" x14ac:dyDescent="0.25">
      <c r="A20" s="8"/>
      <c r="B20" s="262" t="s">
        <v>149</v>
      </c>
      <c r="C20" s="262" t="s">
        <v>230</v>
      </c>
      <c r="D20" s="264">
        <f t="shared" ref="D20:N20" si="7">SUM(D17:D19)</f>
        <v>985500</v>
      </c>
      <c r="E20" s="264">
        <f t="shared" si="7"/>
        <v>1507815.0000000002</v>
      </c>
      <c r="F20" s="264">
        <f t="shared" si="7"/>
        <v>2050628.4000000006</v>
      </c>
      <c r="G20" s="264">
        <f t="shared" si="7"/>
        <v>2091640.9680000006</v>
      </c>
      <c r="H20" s="264">
        <f t="shared" si="7"/>
        <v>2133473.7873600004</v>
      </c>
      <c r="I20" s="264">
        <f t="shared" si="7"/>
        <v>2176143.2631072011</v>
      </c>
      <c r="J20" s="264">
        <f t="shared" si="7"/>
        <v>2219666.1283693449</v>
      </c>
      <c r="K20" s="264">
        <f t="shared" si="7"/>
        <v>2264059.4509367314</v>
      </c>
      <c r="L20" s="264">
        <f t="shared" si="7"/>
        <v>2309340.6399554661</v>
      </c>
      <c r="M20" s="264">
        <f t="shared" si="7"/>
        <v>2355527.4527545753</v>
      </c>
      <c r="N20" s="222">
        <f t="shared" si="7"/>
        <v>2402638.0018096673</v>
      </c>
    </row>
    <row r="21" spans="1:14" ht="8.1" customHeight="1" x14ac:dyDescent="0.25">
      <c r="A21" s="8"/>
      <c r="B21" s="75"/>
      <c r="C21" s="75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</row>
    <row r="22" spans="1:14" ht="15" customHeight="1" x14ac:dyDescent="0.25">
      <c r="A22" s="8"/>
      <c r="B22" s="246" t="s">
        <v>151</v>
      </c>
      <c r="C22" s="246" t="s">
        <v>152</v>
      </c>
      <c r="D22" s="265"/>
      <c r="E22" s="75"/>
      <c r="F22" s="75"/>
      <c r="G22" s="75"/>
      <c r="H22" s="75"/>
      <c r="I22" s="75"/>
      <c r="J22" s="75"/>
      <c r="K22" s="75"/>
      <c r="L22" s="75"/>
      <c r="M22" s="75"/>
      <c r="N22" s="303"/>
    </row>
    <row r="23" spans="1:14" ht="15" customHeight="1" x14ac:dyDescent="0.25">
      <c r="A23" s="8"/>
      <c r="B23" s="270" t="s">
        <v>456</v>
      </c>
      <c r="C23" s="270" t="s">
        <v>297</v>
      </c>
      <c r="D23" s="153">
        <f>'P&amp;L and Cash Flow'!D11*(1+D5)</f>
        <v>165000</v>
      </c>
      <c r="E23" s="153">
        <f>'P&amp;L and Cash Flow'!E11*(1+E5)</f>
        <v>247500.00000000003</v>
      </c>
      <c r="F23" s="153">
        <f>'P&amp;L and Cash Flow'!F11*(1+F5)</f>
        <v>330000</v>
      </c>
      <c r="G23" s="153">
        <f>'P&amp;L and Cash Flow'!G11*(1+G5)</f>
        <v>330000</v>
      </c>
      <c r="H23" s="153">
        <f>'P&amp;L and Cash Flow'!H11*(1+H5)</f>
        <v>330000</v>
      </c>
      <c r="I23" s="153">
        <f>'P&amp;L and Cash Flow'!I11*(1+I5)</f>
        <v>330000</v>
      </c>
      <c r="J23" s="153">
        <f>'P&amp;L and Cash Flow'!J11*(1+J5)</f>
        <v>330000</v>
      </c>
      <c r="K23" s="153">
        <f>'P&amp;L and Cash Flow'!K11*(1+K5)</f>
        <v>330000</v>
      </c>
      <c r="L23" s="153">
        <f>'P&amp;L and Cash Flow'!L11*(1+L5)</f>
        <v>330000</v>
      </c>
      <c r="M23" s="153">
        <f>'P&amp;L and Cash Flow'!M11*(1+M5)</f>
        <v>330000</v>
      </c>
      <c r="N23" s="153">
        <f>'P&amp;L and Cash Flow'!N11*(1+N5)</f>
        <v>330000</v>
      </c>
    </row>
    <row r="24" spans="1:14" ht="15" customHeight="1" x14ac:dyDescent="0.25">
      <c r="A24" s="8"/>
      <c r="B24" s="270" t="s">
        <v>155</v>
      </c>
      <c r="C24" s="270" t="s">
        <v>154</v>
      </c>
      <c r="D24" s="153">
        <f>'P&amp;L and Cash Flow'!D12*(1+D6)</f>
        <v>0</v>
      </c>
      <c r="E24" s="153">
        <f>'P&amp;L and Cash Flow'!E12*(1+E6)</f>
        <v>0</v>
      </c>
      <c r="F24" s="153">
        <f>'P&amp;L and Cash Flow'!F12*(1+F6)</f>
        <v>0</v>
      </c>
      <c r="G24" s="153">
        <f>'P&amp;L and Cash Flow'!G12*(1+G6)</f>
        <v>0</v>
      </c>
      <c r="H24" s="153">
        <f>'P&amp;L and Cash Flow'!H12*(1+H6)</f>
        <v>0</v>
      </c>
      <c r="I24" s="153">
        <f>'P&amp;L and Cash Flow'!I12*(1+I6)</f>
        <v>0</v>
      </c>
      <c r="J24" s="153">
        <f>'P&amp;L and Cash Flow'!J12*(1+J6)</f>
        <v>0</v>
      </c>
      <c r="K24" s="153">
        <f>'P&amp;L and Cash Flow'!K12*(1+K6)</f>
        <v>0</v>
      </c>
      <c r="L24" s="153">
        <f>'P&amp;L and Cash Flow'!L12*(1+L6)</f>
        <v>0</v>
      </c>
      <c r="M24" s="153">
        <f>'P&amp;L and Cash Flow'!M12*(1+M6)</f>
        <v>0</v>
      </c>
      <c r="N24" s="153">
        <f>'P&amp;L and Cash Flow'!N12*(1+N6)</f>
        <v>0</v>
      </c>
    </row>
    <row r="25" spans="1:14" ht="15" customHeight="1" x14ac:dyDescent="0.25">
      <c r="A25" s="8"/>
      <c r="B25" s="268" t="s">
        <v>157</v>
      </c>
      <c r="C25" s="268" t="s">
        <v>158</v>
      </c>
      <c r="D25" s="264">
        <f t="shared" ref="D25:N25" si="8">SUM(D23:D24)</f>
        <v>165000</v>
      </c>
      <c r="E25" s="264">
        <f t="shared" si="8"/>
        <v>247500.00000000003</v>
      </c>
      <c r="F25" s="264">
        <f t="shared" si="8"/>
        <v>330000</v>
      </c>
      <c r="G25" s="264">
        <f t="shared" si="8"/>
        <v>330000</v>
      </c>
      <c r="H25" s="264">
        <f t="shared" si="8"/>
        <v>330000</v>
      </c>
      <c r="I25" s="264">
        <f t="shared" si="8"/>
        <v>330000</v>
      </c>
      <c r="J25" s="264">
        <f t="shared" si="8"/>
        <v>330000</v>
      </c>
      <c r="K25" s="264">
        <f t="shared" si="8"/>
        <v>330000</v>
      </c>
      <c r="L25" s="264">
        <f t="shared" si="8"/>
        <v>330000</v>
      </c>
      <c r="M25" s="264">
        <f t="shared" si="8"/>
        <v>330000</v>
      </c>
      <c r="N25" s="222">
        <f t="shared" si="8"/>
        <v>330000</v>
      </c>
    </row>
    <row r="26" spans="1:14" ht="15" customHeight="1" x14ac:dyDescent="0.25">
      <c r="A26" s="8"/>
      <c r="B26" s="263"/>
      <c r="C26" s="263"/>
      <c r="D26" s="286">
        <f t="shared" ref="D26:N26" si="9">D25/D20</f>
        <v>0.16742770167427701</v>
      </c>
      <c r="E26" s="286">
        <f t="shared" si="9"/>
        <v>0.16414480556301667</v>
      </c>
      <c r="F26" s="286">
        <f t="shared" si="9"/>
        <v>0.16092627996374179</v>
      </c>
      <c r="G26" s="286">
        <f t="shared" si="9"/>
        <v>0.15777086270955079</v>
      </c>
      <c r="H26" s="286">
        <f t="shared" si="9"/>
        <v>0.15467731638191254</v>
      </c>
      <c r="I26" s="286">
        <f t="shared" si="9"/>
        <v>0.15164442782540441</v>
      </c>
      <c r="J26" s="286">
        <f t="shared" si="9"/>
        <v>0.14867100767196512</v>
      </c>
      <c r="K26" s="286">
        <f t="shared" si="9"/>
        <v>0.14575588987447563</v>
      </c>
      <c r="L26" s="286">
        <f t="shared" si="9"/>
        <v>0.14289793124948591</v>
      </c>
      <c r="M26" s="286">
        <f t="shared" si="9"/>
        <v>0.14009601102890776</v>
      </c>
      <c r="N26" s="287">
        <f t="shared" si="9"/>
        <v>0.13734903042049779</v>
      </c>
    </row>
    <row r="27" spans="1:14" ht="8.1" customHeight="1" x14ac:dyDescent="0.25">
      <c r="A27" s="8"/>
      <c r="B27" s="75"/>
      <c r="C27" s="75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3"/>
    </row>
    <row r="28" spans="1:14" ht="15" customHeight="1" x14ac:dyDescent="0.25">
      <c r="A28" s="8"/>
      <c r="B28" s="246" t="s">
        <v>159</v>
      </c>
      <c r="C28" s="246" t="s">
        <v>236</v>
      </c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6"/>
    </row>
    <row r="29" spans="1:14" ht="15" customHeight="1" x14ac:dyDescent="0.25">
      <c r="A29" s="8"/>
      <c r="B29" s="270" t="s">
        <v>479</v>
      </c>
      <c r="C29" s="270" t="s">
        <v>298</v>
      </c>
      <c r="D29" s="153">
        <f>'P&amp;L and Cash Flow'!D16*(1+D6)</f>
        <v>496800.00000000006</v>
      </c>
      <c r="E29" s="153">
        <f>'P&amp;L and Cash Flow'!E16*(1+E6)</f>
        <v>558900</v>
      </c>
      <c r="F29" s="153">
        <f>'P&amp;L and Cash Flow'!F16*(1+F6)</f>
        <v>662400</v>
      </c>
      <c r="G29" s="153">
        <f>'P&amp;L and Cash Flow'!G16*(1+G6)</f>
        <v>621000.00000000012</v>
      </c>
      <c r="H29" s="153">
        <f>'P&amp;L and Cash Flow'!H16*(1+H6)</f>
        <v>621000.00000000012</v>
      </c>
      <c r="I29" s="153">
        <f>'P&amp;L and Cash Flow'!I16*(1+I6)</f>
        <v>621000.00000000012</v>
      </c>
      <c r="J29" s="153">
        <f>'P&amp;L and Cash Flow'!J16*(1+J6)</f>
        <v>621000.00000000012</v>
      </c>
      <c r="K29" s="153">
        <f>'P&amp;L and Cash Flow'!K16*(1+K6)</f>
        <v>621000.00000000012</v>
      </c>
      <c r="L29" s="153">
        <f>'P&amp;L and Cash Flow'!L16*(1+L6)</f>
        <v>621000.00000000012</v>
      </c>
      <c r="M29" s="153">
        <f>'P&amp;L and Cash Flow'!M16*(1+M6)</f>
        <v>621000.00000000012</v>
      </c>
      <c r="N29" s="153">
        <f>'P&amp;L and Cash Flow'!N16*(1+N6)</f>
        <v>621000.00000000012</v>
      </c>
    </row>
    <row r="30" spans="1:14" ht="15" customHeight="1" x14ac:dyDescent="0.25">
      <c r="A30" s="8"/>
      <c r="B30" s="272" t="s">
        <v>161</v>
      </c>
      <c r="C30" s="270" t="s">
        <v>299</v>
      </c>
      <c r="D30" s="153">
        <f>'P&amp;L and Cash Flow'!D17*(1+D6)</f>
        <v>11000</v>
      </c>
      <c r="E30" s="153">
        <f>'P&amp;L and Cash Flow'!E17*(1+E6)</f>
        <v>11550.000000000002</v>
      </c>
      <c r="F30" s="153">
        <f>'P&amp;L and Cash Flow'!F17*(1+F6)</f>
        <v>12127.500000000002</v>
      </c>
      <c r="G30" s="153">
        <f>'P&amp;L and Cash Flow'!G17*(1+G6)</f>
        <v>12733.875000000002</v>
      </c>
      <c r="H30" s="153">
        <f>'P&amp;L and Cash Flow'!H17*(1+H6)</f>
        <v>13370.56875</v>
      </c>
      <c r="I30" s="153">
        <f>'P&amp;L and Cash Flow'!I17*(1+I6)</f>
        <v>14039.097187500003</v>
      </c>
      <c r="J30" s="153">
        <f>'P&amp;L and Cash Flow'!J17*(1+J6)</f>
        <v>14741.052046875002</v>
      </c>
      <c r="K30" s="153">
        <f>'P&amp;L and Cash Flow'!K17*(1+K6)</f>
        <v>15478.104649218752</v>
      </c>
      <c r="L30" s="153">
        <f>'P&amp;L and Cash Flow'!L17*(1+L6)</f>
        <v>16252.009881679691</v>
      </c>
      <c r="M30" s="153">
        <f>'P&amp;L and Cash Flow'!M17*(1+M6)</f>
        <v>17064.610375763677</v>
      </c>
      <c r="N30" s="153">
        <f>'P&amp;L and Cash Flow'!N17*(1+N6)</f>
        <v>17917.84089455186</v>
      </c>
    </row>
    <row r="31" spans="1:14" ht="15" customHeight="1" x14ac:dyDescent="0.25">
      <c r="A31" s="8"/>
      <c r="B31" s="262" t="s">
        <v>163</v>
      </c>
      <c r="C31" s="262" t="s">
        <v>164</v>
      </c>
      <c r="D31" s="264">
        <f t="shared" ref="D31:N31" si="10">SUM(D29:D30)</f>
        <v>507800.00000000006</v>
      </c>
      <c r="E31" s="264">
        <f t="shared" si="10"/>
        <v>570450</v>
      </c>
      <c r="F31" s="264">
        <f t="shared" si="10"/>
        <v>674527.5</v>
      </c>
      <c r="G31" s="264">
        <f t="shared" si="10"/>
        <v>633733.87500000012</v>
      </c>
      <c r="H31" s="264">
        <f t="shared" si="10"/>
        <v>634370.56875000009</v>
      </c>
      <c r="I31" s="264">
        <f t="shared" si="10"/>
        <v>635039.0971875001</v>
      </c>
      <c r="J31" s="264">
        <f t="shared" si="10"/>
        <v>635741.05204687512</v>
      </c>
      <c r="K31" s="264">
        <f t="shared" si="10"/>
        <v>636478.10464921885</v>
      </c>
      <c r="L31" s="264">
        <f t="shared" si="10"/>
        <v>637252.00988167978</v>
      </c>
      <c r="M31" s="264">
        <f t="shared" si="10"/>
        <v>638064.61037576385</v>
      </c>
      <c r="N31" s="222">
        <f t="shared" si="10"/>
        <v>638917.84089455195</v>
      </c>
    </row>
    <row r="32" spans="1:14" ht="15" customHeight="1" x14ac:dyDescent="0.25">
      <c r="A32" s="8"/>
      <c r="B32" s="263"/>
      <c r="C32" s="263"/>
      <c r="D32" s="286">
        <f t="shared" ref="D32:N32" si="11">D31/D20</f>
        <v>0.51527143581938106</v>
      </c>
      <c r="E32" s="286">
        <f t="shared" si="11"/>
        <v>0.37832890639766809</v>
      </c>
      <c r="F32" s="286">
        <f t="shared" si="11"/>
        <v>0.32893697366134195</v>
      </c>
      <c r="G32" s="286">
        <f t="shared" si="11"/>
        <v>0.30298406117277771</v>
      </c>
      <c r="H32" s="286">
        <f t="shared" si="11"/>
        <v>0.29734162777550777</v>
      </c>
      <c r="I32" s="286">
        <f t="shared" si="11"/>
        <v>0.29181860769624191</v>
      </c>
      <c r="J32" s="286">
        <f t="shared" si="11"/>
        <v>0.28641291765528532</v>
      </c>
      <c r="K32" s="286">
        <f t="shared" si="11"/>
        <v>0.281122522814444</v>
      </c>
      <c r="L32" s="286">
        <f t="shared" si="11"/>
        <v>0.27594543605051208</v>
      </c>
      <c r="M32" s="286">
        <f t="shared" si="11"/>
        <v>0.27087971724957199</v>
      </c>
      <c r="N32" s="287">
        <f t="shared" si="11"/>
        <v>0.26592347262189264</v>
      </c>
    </row>
    <row r="33" spans="1:14" ht="8.1" customHeight="1" x14ac:dyDescent="0.25">
      <c r="A33" s="8"/>
      <c r="B33" s="75"/>
      <c r="C33" s="75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9"/>
    </row>
    <row r="34" spans="1:14" ht="15" customHeight="1" x14ac:dyDescent="0.25">
      <c r="A34" s="290"/>
      <c r="B34" s="291" t="s">
        <v>165</v>
      </c>
      <c r="C34" s="291" t="s">
        <v>300</v>
      </c>
      <c r="D34" s="292">
        <f t="shared" ref="D34:N34" si="12">D25+D31</f>
        <v>672800</v>
      </c>
      <c r="E34" s="292">
        <f t="shared" si="12"/>
        <v>817950</v>
      </c>
      <c r="F34" s="292">
        <f t="shared" si="12"/>
        <v>1004527.5</v>
      </c>
      <c r="G34" s="292">
        <f t="shared" si="12"/>
        <v>963733.87500000012</v>
      </c>
      <c r="H34" s="292">
        <f t="shared" si="12"/>
        <v>964370.56875000009</v>
      </c>
      <c r="I34" s="292">
        <f t="shared" si="12"/>
        <v>965039.0971875001</v>
      </c>
      <c r="J34" s="292">
        <f t="shared" si="12"/>
        <v>965741.05204687512</v>
      </c>
      <c r="K34" s="292">
        <f t="shared" si="12"/>
        <v>966478.10464921885</v>
      </c>
      <c r="L34" s="292">
        <f t="shared" si="12"/>
        <v>967252.00988167978</v>
      </c>
      <c r="M34" s="292">
        <f t="shared" si="12"/>
        <v>968064.61037576385</v>
      </c>
      <c r="N34" s="293">
        <f t="shared" si="12"/>
        <v>968917.84089455195</v>
      </c>
    </row>
    <row r="35" spans="1:14" ht="8.1" customHeight="1" x14ac:dyDescent="0.25">
      <c r="A35" s="294"/>
      <c r="B35" s="295"/>
      <c r="C35" s="295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7"/>
    </row>
    <row r="36" spans="1:14" ht="15" customHeight="1" x14ac:dyDescent="0.25">
      <c r="A36" s="8"/>
      <c r="B36" s="268" t="s">
        <v>167</v>
      </c>
      <c r="C36" s="268" t="s">
        <v>168</v>
      </c>
      <c r="D36" s="298">
        <f t="shared" ref="D36:N36" si="13">D20-D34</f>
        <v>312700</v>
      </c>
      <c r="E36" s="298">
        <f t="shared" si="13"/>
        <v>689865.00000000023</v>
      </c>
      <c r="F36" s="298">
        <f t="shared" si="13"/>
        <v>1046100.9000000006</v>
      </c>
      <c r="G36" s="298">
        <f t="shared" si="13"/>
        <v>1127907.0930000003</v>
      </c>
      <c r="H36" s="298">
        <f t="shared" si="13"/>
        <v>1169103.2186100003</v>
      </c>
      <c r="I36" s="298">
        <f t="shared" si="13"/>
        <v>1211104.1659197011</v>
      </c>
      <c r="J36" s="298">
        <f t="shared" si="13"/>
        <v>1253925.0763224699</v>
      </c>
      <c r="K36" s="298">
        <f t="shared" si="13"/>
        <v>1297581.3462875127</v>
      </c>
      <c r="L36" s="298">
        <f t="shared" si="13"/>
        <v>1342088.6300737862</v>
      </c>
      <c r="M36" s="298">
        <f t="shared" si="13"/>
        <v>1387462.8423788114</v>
      </c>
      <c r="N36" s="299">
        <f t="shared" si="13"/>
        <v>1433720.1609151154</v>
      </c>
    </row>
    <row r="37" spans="1:14" ht="15" customHeight="1" x14ac:dyDescent="0.25">
      <c r="A37" s="8"/>
      <c r="B37" s="263"/>
      <c r="C37" s="263"/>
      <c r="D37" s="286">
        <f t="shared" ref="D37:N37" si="14">D36/D20</f>
        <v>0.31730086250634199</v>
      </c>
      <c r="E37" s="286">
        <f t="shared" si="14"/>
        <v>0.45752628803931528</v>
      </c>
      <c r="F37" s="286">
        <f t="shared" si="14"/>
        <v>0.51013674637491624</v>
      </c>
      <c r="G37" s="286">
        <f t="shared" si="14"/>
        <v>0.53924507611767147</v>
      </c>
      <c r="H37" s="286">
        <f t="shared" si="14"/>
        <v>0.54798105584257961</v>
      </c>
      <c r="I37" s="286">
        <f t="shared" si="14"/>
        <v>0.55653696447835366</v>
      </c>
      <c r="J37" s="286">
        <f t="shared" si="14"/>
        <v>0.56491607467274962</v>
      </c>
      <c r="K37" s="286">
        <f t="shared" si="14"/>
        <v>0.57312158731108043</v>
      </c>
      <c r="L37" s="286">
        <f t="shared" si="14"/>
        <v>0.58115663270000195</v>
      </c>
      <c r="M37" s="286">
        <f t="shared" si="14"/>
        <v>0.58902427172152028</v>
      </c>
      <c r="N37" s="287">
        <f t="shared" si="14"/>
        <v>0.59672749695760952</v>
      </c>
    </row>
    <row r="38" spans="1:14" ht="8.1" customHeight="1" x14ac:dyDescent="0.25">
      <c r="A38" s="8"/>
      <c r="B38" s="263"/>
      <c r="C38" s="263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9"/>
    </row>
    <row r="39" spans="1:14" ht="15" customHeight="1" x14ac:dyDescent="0.25">
      <c r="A39" s="8"/>
      <c r="B39" s="75"/>
      <c r="C39" s="75"/>
      <c r="D39" s="278" t="s">
        <v>133</v>
      </c>
      <c r="E39" s="278" t="s">
        <v>134</v>
      </c>
      <c r="F39" s="278" t="s">
        <v>135</v>
      </c>
      <c r="G39" s="278" t="s">
        <v>136</v>
      </c>
      <c r="H39" s="278" t="s">
        <v>137</v>
      </c>
      <c r="I39" s="278" t="s">
        <v>138</v>
      </c>
      <c r="J39" s="278" t="s">
        <v>139</v>
      </c>
      <c r="K39" s="278" t="s">
        <v>140</v>
      </c>
      <c r="L39" s="278" t="s">
        <v>141</v>
      </c>
      <c r="M39" s="278" t="s">
        <v>142</v>
      </c>
      <c r="N39" s="278" t="s">
        <v>488</v>
      </c>
    </row>
    <row r="40" spans="1:14" ht="15" customHeight="1" x14ac:dyDescent="0.25">
      <c r="A40" s="8"/>
      <c r="B40" s="246" t="s">
        <v>169</v>
      </c>
      <c r="C40" s="246" t="s">
        <v>301</v>
      </c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301"/>
    </row>
    <row r="41" spans="1:14" ht="15" customHeight="1" x14ac:dyDescent="0.25">
      <c r="A41" s="8"/>
      <c r="B41" s="270" t="s">
        <v>124</v>
      </c>
      <c r="C41" s="270" t="s">
        <v>171</v>
      </c>
      <c r="D41" s="153">
        <f>'P&amp;L and Cash Flow'!D28*(1+D$9)</f>
        <v>11000</v>
      </c>
      <c r="E41" s="153">
        <f>'P&amp;L and Cash Flow'!E28*(1+E$9)</f>
        <v>11220</v>
      </c>
      <c r="F41" s="153">
        <f>'P&amp;L and Cash Flow'!F28*(1+F$9)</f>
        <v>11444.400000000001</v>
      </c>
      <c r="G41" s="153">
        <f>'P&amp;L and Cash Flow'!G28*(1+G$9)</f>
        <v>11673.288</v>
      </c>
      <c r="H41" s="153">
        <f>'P&amp;L and Cash Flow'!H28*(1+H$9)</f>
        <v>11906.75376</v>
      </c>
      <c r="I41" s="153">
        <f>'P&amp;L and Cash Flow'!I28*(1+I$9)</f>
        <v>12144.888835199999</v>
      </c>
      <c r="J41" s="153">
        <f>'P&amp;L and Cash Flow'!J28*(1+J$9)</f>
        <v>12387.786611904001</v>
      </c>
      <c r="K41" s="153">
        <f>'P&amp;L and Cash Flow'!K28*(1+K$9)</f>
        <v>12635.542344142081</v>
      </c>
      <c r="L41" s="153">
        <f>'P&amp;L and Cash Flow'!L28*(1+L$9)</f>
        <v>12888.253191024922</v>
      </c>
      <c r="M41" s="153">
        <f>'P&amp;L and Cash Flow'!M28*(1+M$9)</f>
        <v>13146.018254845421</v>
      </c>
      <c r="N41" s="153">
        <f>'P&amp;L and Cash Flow'!N28*(1+N$9)</f>
        <v>13408.93861994233</v>
      </c>
    </row>
    <row r="42" spans="1:14" ht="15" customHeight="1" x14ac:dyDescent="0.25">
      <c r="A42" s="8"/>
      <c r="B42" s="270" t="s">
        <v>172</v>
      </c>
      <c r="C42" s="270" t="s">
        <v>125</v>
      </c>
      <c r="D42" s="153">
        <f>'P&amp;L and Cash Flow'!D29*(1+D$9)</f>
        <v>11000</v>
      </c>
      <c r="E42" s="153">
        <f>'P&amp;L and Cash Flow'!E29*(1+E$9)</f>
        <v>11220</v>
      </c>
      <c r="F42" s="153">
        <f>'P&amp;L and Cash Flow'!F29*(1+F$9)</f>
        <v>11556.6</v>
      </c>
      <c r="G42" s="153">
        <f>'P&amp;L and Cash Flow'!G29*(1+G$9)</f>
        <v>11903.298000000001</v>
      </c>
      <c r="H42" s="153">
        <f>'P&amp;L and Cash Flow'!H29*(1+H$9)</f>
        <v>12260.396940000002</v>
      </c>
      <c r="I42" s="153">
        <f>'P&amp;L and Cash Flow'!I29*(1+I$9)</f>
        <v>12628.208848200002</v>
      </c>
      <c r="J42" s="153">
        <f>'P&amp;L and Cash Flow'!J29*(1+J$9)</f>
        <v>13007.055113646002</v>
      </c>
      <c r="K42" s="153">
        <f>'P&amp;L and Cash Flow'!K29*(1+K$9)</f>
        <v>13397.266767055382</v>
      </c>
      <c r="L42" s="153">
        <f>'P&amp;L and Cash Flow'!L29*(1+L$9)</f>
        <v>13799.184770067044</v>
      </c>
      <c r="M42" s="153">
        <f>'P&amp;L and Cash Flow'!M29*(1+M$9)</f>
        <v>14213.160313169057</v>
      </c>
      <c r="N42" s="153">
        <f>'P&amp;L and Cash Flow'!N29*(1+N$9)</f>
        <v>14639.55512256413</v>
      </c>
    </row>
    <row r="43" spans="1:14" ht="15" customHeight="1" x14ac:dyDescent="0.25">
      <c r="A43" s="8"/>
      <c r="B43" s="272" t="s">
        <v>174</v>
      </c>
      <c r="C43" s="270" t="s">
        <v>302</v>
      </c>
      <c r="D43" s="153">
        <f>'P&amp;L and Cash Flow'!D30*(1+D$9)</f>
        <v>0</v>
      </c>
      <c r="E43" s="153">
        <f>'P&amp;L and Cash Flow'!E30*(1+E$9)</f>
        <v>0</v>
      </c>
      <c r="F43" s="153">
        <f>'P&amp;L and Cash Flow'!F30*(1+F$9)</f>
        <v>0</v>
      </c>
      <c r="G43" s="153">
        <f>'P&amp;L and Cash Flow'!G30*(1+G$9)</f>
        <v>0</v>
      </c>
      <c r="H43" s="153">
        <f>'P&amp;L and Cash Flow'!H30*(1+H$9)</f>
        <v>0</v>
      </c>
      <c r="I43" s="153">
        <f>'P&amp;L and Cash Flow'!I30*(1+I$9)</f>
        <v>0</v>
      </c>
      <c r="J43" s="153">
        <f>'P&amp;L and Cash Flow'!J30*(1+J$9)</f>
        <v>0</v>
      </c>
      <c r="K43" s="153">
        <f>'P&amp;L and Cash Flow'!K30*(1+K$9)</f>
        <v>0</v>
      </c>
      <c r="L43" s="153">
        <f>'P&amp;L and Cash Flow'!L30*(1+L$9)</f>
        <v>0</v>
      </c>
      <c r="M43" s="153">
        <f>'P&amp;L and Cash Flow'!M30*(1+M$9)</f>
        <v>0</v>
      </c>
      <c r="N43" s="153">
        <f>'P&amp;L and Cash Flow'!N30*(1+N$9)</f>
        <v>0</v>
      </c>
    </row>
    <row r="44" spans="1:14" ht="15" customHeight="1" x14ac:dyDescent="0.25">
      <c r="A44" s="8"/>
      <c r="B44" s="262" t="s">
        <v>176</v>
      </c>
      <c r="C44" s="262" t="s">
        <v>303</v>
      </c>
      <c r="D44" s="366">
        <f t="shared" ref="D44:N44" si="15">SUM(D41:D43)</f>
        <v>22000</v>
      </c>
      <c r="E44" s="366">
        <f t="shared" si="15"/>
        <v>22440</v>
      </c>
      <c r="F44" s="264">
        <f t="shared" si="15"/>
        <v>23001</v>
      </c>
      <c r="G44" s="264">
        <f t="shared" si="15"/>
        <v>23576.586000000003</v>
      </c>
      <c r="H44" s="264">
        <f t="shared" si="15"/>
        <v>24167.150700000002</v>
      </c>
      <c r="I44" s="264">
        <f t="shared" si="15"/>
        <v>24773.097683400003</v>
      </c>
      <c r="J44" s="264">
        <f t="shared" si="15"/>
        <v>25394.841725550003</v>
      </c>
      <c r="K44" s="264">
        <f t="shared" si="15"/>
        <v>26032.809111197465</v>
      </c>
      <c r="L44" s="264">
        <f t="shared" si="15"/>
        <v>26687.437961091964</v>
      </c>
      <c r="M44" s="264">
        <f t="shared" si="15"/>
        <v>27359.178568014479</v>
      </c>
      <c r="N44" s="222">
        <f t="shared" si="15"/>
        <v>28048.49374250646</v>
      </c>
    </row>
    <row r="45" spans="1:14" ht="15" customHeight="1" x14ac:dyDescent="0.25">
      <c r="A45" s="8"/>
      <c r="B45" s="263"/>
      <c r="C45" s="263"/>
      <c r="D45" s="286">
        <f t="shared" ref="D45:N45" si="16">D44/D20</f>
        <v>2.2323693556570268E-2</v>
      </c>
      <c r="E45" s="286">
        <f t="shared" si="16"/>
        <v>1.4882462371046843E-2</v>
      </c>
      <c r="F45" s="286">
        <f t="shared" si="16"/>
        <v>1.1216561713472803E-2</v>
      </c>
      <c r="G45" s="286">
        <f t="shared" si="16"/>
        <v>1.1271813069593691E-2</v>
      </c>
      <c r="H45" s="286">
        <f t="shared" si="16"/>
        <v>1.1327606105676544E-2</v>
      </c>
      <c r="I45" s="286">
        <f t="shared" si="16"/>
        <v>1.1383946132309227E-2</v>
      </c>
      <c r="J45" s="286">
        <f t="shared" si="16"/>
        <v>1.1440838512144195E-2</v>
      </c>
      <c r="K45" s="286">
        <f t="shared" si="16"/>
        <v>1.1498288660408921E-2</v>
      </c>
      <c r="L45" s="286">
        <f t="shared" si="16"/>
        <v>1.1556302045421333E-2</v>
      </c>
      <c r="M45" s="286">
        <f t="shared" si="16"/>
        <v>1.1614884189110344E-2</v>
      </c>
      <c r="N45" s="287">
        <f t="shared" si="16"/>
        <v>1.1674040667541399E-2</v>
      </c>
    </row>
    <row r="46" spans="1:14" ht="8.1" customHeight="1" x14ac:dyDescent="0.25">
      <c r="A46" s="8"/>
      <c r="B46" s="75"/>
      <c r="C46" s="7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6"/>
    </row>
    <row r="47" spans="1:14" ht="15" customHeight="1" x14ac:dyDescent="0.25">
      <c r="A47" s="8"/>
      <c r="B47" s="268" t="s">
        <v>178</v>
      </c>
      <c r="C47" s="268" t="s">
        <v>178</v>
      </c>
      <c r="D47" s="269">
        <f t="shared" ref="D47:N47" si="17">D36-D44</f>
        <v>290700</v>
      </c>
      <c r="E47" s="269">
        <f t="shared" si="17"/>
        <v>667425.00000000023</v>
      </c>
      <c r="F47" s="269">
        <f t="shared" si="17"/>
        <v>1023099.9000000006</v>
      </c>
      <c r="G47" s="269">
        <f t="shared" si="17"/>
        <v>1104330.5070000004</v>
      </c>
      <c r="H47" s="269">
        <f t="shared" si="17"/>
        <v>1144936.0679100002</v>
      </c>
      <c r="I47" s="269">
        <f t="shared" si="17"/>
        <v>1186331.0682363012</v>
      </c>
      <c r="J47" s="269">
        <f t="shared" si="17"/>
        <v>1228530.23459692</v>
      </c>
      <c r="K47" s="269">
        <f t="shared" si="17"/>
        <v>1271548.5371763152</v>
      </c>
      <c r="L47" s="269">
        <f t="shared" si="17"/>
        <v>1315401.1921126943</v>
      </c>
      <c r="M47" s="269">
        <f t="shared" si="17"/>
        <v>1360103.663810797</v>
      </c>
      <c r="N47" s="302">
        <f t="shared" si="17"/>
        <v>1405671.6671726089</v>
      </c>
    </row>
    <row r="48" spans="1:14" ht="15" customHeight="1" x14ac:dyDescent="0.25">
      <c r="A48" s="8"/>
      <c r="B48" s="263"/>
      <c r="C48" s="263"/>
      <c r="D48" s="286">
        <f t="shared" ref="D48:N48" si="18">D47/D20</f>
        <v>0.29497716894977166</v>
      </c>
      <c r="E48" s="286">
        <f t="shared" si="18"/>
        <v>0.44264382566826843</v>
      </c>
      <c r="F48" s="286">
        <f t="shared" si="18"/>
        <v>0.49892018466144344</v>
      </c>
      <c r="G48" s="286">
        <f t="shared" si="18"/>
        <v>0.52797326304807779</v>
      </c>
      <c r="H48" s="286">
        <f t="shared" si="18"/>
        <v>0.5366534497369031</v>
      </c>
      <c r="I48" s="286">
        <f t="shared" si="18"/>
        <v>0.54515301834604457</v>
      </c>
      <c r="J48" s="286">
        <f t="shared" si="18"/>
        <v>0.55347523616060545</v>
      </c>
      <c r="K48" s="286">
        <f t="shared" si="18"/>
        <v>0.56162329865067151</v>
      </c>
      <c r="L48" s="286">
        <f t="shared" si="18"/>
        <v>0.5696003306545806</v>
      </c>
      <c r="M48" s="286">
        <f t="shared" si="18"/>
        <v>0.57740938753241</v>
      </c>
      <c r="N48" s="287">
        <f t="shared" si="18"/>
        <v>0.58505345629006811</v>
      </c>
    </row>
    <row r="49" spans="1:14" ht="8.1" customHeight="1" x14ac:dyDescent="0.25">
      <c r="A49" s="8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303"/>
    </row>
    <row r="50" spans="1:14" ht="15" customHeight="1" x14ac:dyDescent="0.25">
      <c r="A50" s="8"/>
      <c r="B50" s="270" t="s">
        <v>304</v>
      </c>
      <c r="C50" s="270" t="s">
        <v>305</v>
      </c>
      <c r="D50" s="163">
        <f>'P&amp;L and Cash Flow'!D37+'P&amp;L and Cash Flow'!D43</f>
        <v>0</v>
      </c>
      <c r="E50" s="163">
        <f>'P&amp;L and Cash Flow'!E37+'P&amp;L and Cash Flow'!E43</f>
        <v>387359.34714020172</v>
      </c>
      <c r="F50" s="163">
        <f>'P&amp;L and Cash Flow'!F37+'P&amp;L and Cash Flow'!F43</f>
        <v>401314.38843873516</v>
      </c>
      <c r="G50" s="163">
        <f>'P&amp;L and Cash Flow'!G37+'P&amp;L and Cash Flow'!G43</f>
        <v>415948.35535736207</v>
      </c>
      <c r="H50" s="163">
        <f>'P&amp;L and Cash Flow'!H37+'P&amp;L and Cash Flow'!H43</f>
        <v>431796.93096261844</v>
      </c>
      <c r="I50" s="163">
        <f>'P&amp;L and Cash Flow'!I37+'P&amp;L and Cash Flow'!I43</f>
        <v>448655.33151015342</v>
      </c>
      <c r="J50" s="163">
        <f>'P&amp;L and Cash Flow'!J37+'P&amp;L and Cash Flow'!J43</f>
        <v>467524.15790566208</v>
      </c>
      <c r="K50" s="163">
        <f>'P&amp;L and Cash Flow'!K37+'P&amp;L and Cash Flow'!K43</f>
        <v>487653.48787802859</v>
      </c>
      <c r="L50" s="163">
        <f>'P&amp;L and Cash Flow'!L37+'P&amp;L and Cash Flow'!L43</f>
        <v>484920.18717289419</v>
      </c>
      <c r="M50" s="163">
        <f>'P&amp;L and Cash Flow'!M37+'P&amp;L and Cash Flow'!M43</f>
        <v>532996.43696573866</v>
      </c>
      <c r="N50" s="163">
        <f>'P&amp;L and Cash Flow'!N37+'P&amp;L and Cash Flow'!N43</f>
        <v>558626.45777406159</v>
      </c>
    </row>
    <row r="51" spans="1:14" ht="15" customHeight="1" x14ac:dyDescent="0.25">
      <c r="A51" s="8"/>
      <c r="B51" s="268" t="s">
        <v>306</v>
      </c>
      <c r="C51" s="268" t="s">
        <v>306</v>
      </c>
      <c r="D51" s="264">
        <f t="shared" ref="D51:N51" si="19">D47-D50</f>
        <v>290700</v>
      </c>
      <c r="E51" s="264">
        <f t="shared" si="19"/>
        <v>280065.65285979852</v>
      </c>
      <c r="F51" s="264">
        <f t="shared" si="19"/>
        <v>621785.51156126545</v>
      </c>
      <c r="G51" s="264">
        <f t="shared" si="19"/>
        <v>688382.15164263838</v>
      </c>
      <c r="H51" s="264">
        <f t="shared" si="19"/>
        <v>713139.13694738178</v>
      </c>
      <c r="I51" s="264">
        <f t="shared" si="19"/>
        <v>737675.73672614782</v>
      </c>
      <c r="J51" s="264">
        <f t="shared" si="19"/>
        <v>761006.07669125788</v>
      </c>
      <c r="K51" s="264">
        <f t="shared" si="19"/>
        <v>783895.04929828667</v>
      </c>
      <c r="L51" s="264">
        <f t="shared" si="19"/>
        <v>830481.00493980013</v>
      </c>
      <c r="M51" s="264">
        <f t="shared" si="19"/>
        <v>827107.22684505838</v>
      </c>
      <c r="N51" s="222">
        <f t="shared" si="19"/>
        <v>847045.2093985473</v>
      </c>
    </row>
    <row r="52" spans="1:14" ht="15" customHeight="1" x14ac:dyDescent="0.25">
      <c r="A52" s="8"/>
      <c r="B52" s="270" t="s">
        <v>181</v>
      </c>
      <c r="C52" s="270" t="s">
        <v>182</v>
      </c>
      <c r="D52" s="163">
        <f>'P&amp;L and Cash Flow'!D51</f>
        <v>164668.80000000002</v>
      </c>
      <c r="E52" s="163">
        <f>'P&amp;L and Cash Flow'!E51</f>
        <v>159207.07656329664</v>
      </c>
      <c r="F52" s="163">
        <f>'P&amp;L and Cash Flow'!F51</f>
        <v>145252.03526476322</v>
      </c>
      <c r="G52" s="163">
        <f>'P&amp;L and Cash Flow'!G51</f>
        <v>130618.06834613637</v>
      </c>
      <c r="H52" s="163">
        <f>'P&amp;L and Cash Flow'!H51</f>
        <v>114769.49274087991</v>
      </c>
      <c r="I52" s="163">
        <f>'P&amp;L and Cash Flow'!I51</f>
        <v>97911.092193344972</v>
      </c>
      <c r="J52" s="163">
        <f>'P&amp;L and Cash Flow'!J51</f>
        <v>79042.265797836299</v>
      </c>
      <c r="K52" s="163">
        <f>'P&amp;L and Cash Flow'!K51</f>
        <v>58912.935825469831</v>
      </c>
      <c r="L52" s="163">
        <f>'P&amp;L and Cash Flow'!L51</f>
        <v>37112.886001376166</v>
      </c>
      <c r="M52" s="163">
        <f>'P&amp;L and Cash Flow'!M51</f>
        <v>13569.986737759808</v>
      </c>
      <c r="N52" s="163">
        <f>'P&amp;L and Cash Flow'!N51</f>
        <v>0</v>
      </c>
    </row>
    <row r="53" spans="1:14" ht="15" customHeight="1" x14ac:dyDescent="0.25">
      <c r="A53" s="8"/>
      <c r="B53" s="268" t="s">
        <v>307</v>
      </c>
      <c r="C53" s="268" t="s">
        <v>307</v>
      </c>
      <c r="D53" s="149">
        <f t="shared" ref="D53:N53" si="20">D51-D52</f>
        <v>126031.19999999998</v>
      </c>
      <c r="E53" s="149">
        <f t="shared" si="20"/>
        <v>120858.57629650188</v>
      </c>
      <c r="F53" s="149">
        <f t="shared" si="20"/>
        <v>476533.47629650222</v>
      </c>
      <c r="G53" s="149">
        <f t="shared" si="20"/>
        <v>557764.08329650201</v>
      </c>
      <c r="H53" s="149">
        <f t="shared" si="20"/>
        <v>598369.64420650189</v>
      </c>
      <c r="I53" s="149">
        <f t="shared" si="20"/>
        <v>639764.64453280286</v>
      </c>
      <c r="J53" s="149">
        <f t="shared" si="20"/>
        <v>681963.81089342153</v>
      </c>
      <c r="K53" s="149">
        <f t="shared" si="20"/>
        <v>724982.11347281688</v>
      </c>
      <c r="L53" s="149">
        <f t="shared" si="20"/>
        <v>793368.11893842393</v>
      </c>
      <c r="M53" s="149">
        <f t="shared" si="20"/>
        <v>813537.2401072986</v>
      </c>
      <c r="N53" s="305">
        <f t="shared" si="20"/>
        <v>847045.2093985473</v>
      </c>
    </row>
    <row r="54" spans="1:14" ht="15" customHeight="1" x14ac:dyDescent="0.25">
      <c r="A54" s="8"/>
      <c r="B54" s="270" t="s">
        <v>185</v>
      </c>
      <c r="C54" s="270" t="s">
        <v>308</v>
      </c>
      <c r="D54" s="163">
        <v>0</v>
      </c>
      <c r="E54" s="163">
        <v>0</v>
      </c>
      <c r="F54" s="163">
        <v>0</v>
      </c>
      <c r="G54" s="163">
        <v>0</v>
      </c>
      <c r="H54" s="163">
        <v>0</v>
      </c>
      <c r="I54" s="163">
        <v>0</v>
      </c>
      <c r="J54" s="163">
        <v>0</v>
      </c>
      <c r="K54" s="163">
        <v>0</v>
      </c>
      <c r="L54" s="163">
        <v>0</v>
      </c>
      <c r="M54" s="163">
        <v>1</v>
      </c>
      <c r="N54" s="281">
        <v>2</v>
      </c>
    </row>
    <row r="55" spans="1:14" ht="15" customHeight="1" x14ac:dyDescent="0.25">
      <c r="A55" s="306"/>
      <c r="B55" s="268" t="s">
        <v>189</v>
      </c>
      <c r="C55" s="268" t="s">
        <v>309</v>
      </c>
      <c r="D55" s="264">
        <f t="shared" ref="D55:N55" si="21">D53-D54</f>
        <v>126031.19999999998</v>
      </c>
      <c r="E55" s="264">
        <f t="shared" si="21"/>
        <v>120858.57629650188</v>
      </c>
      <c r="F55" s="264">
        <f t="shared" si="21"/>
        <v>476533.47629650222</v>
      </c>
      <c r="G55" s="264">
        <f t="shared" si="21"/>
        <v>557764.08329650201</v>
      </c>
      <c r="H55" s="264">
        <f t="shared" si="21"/>
        <v>598369.64420650189</v>
      </c>
      <c r="I55" s="264">
        <f t="shared" si="21"/>
        <v>639764.64453280286</v>
      </c>
      <c r="J55" s="264">
        <f t="shared" si="21"/>
        <v>681963.81089342153</v>
      </c>
      <c r="K55" s="264">
        <f t="shared" si="21"/>
        <v>724982.11347281688</v>
      </c>
      <c r="L55" s="264">
        <f t="shared" si="21"/>
        <v>793368.11893842393</v>
      </c>
      <c r="M55" s="264">
        <f t="shared" si="21"/>
        <v>813536.2401072986</v>
      </c>
      <c r="N55" s="222">
        <f t="shared" si="21"/>
        <v>847043.2093985473</v>
      </c>
    </row>
    <row r="56" spans="1:14" ht="15" customHeight="1" x14ac:dyDescent="0.25">
      <c r="A56" s="306"/>
      <c r="B56" s="263"/>
      <c r="C56" s="263"/>
      <c r="D56" s="286">
        <f t="shared" ref="D56:N56" si="22">D55/D20</f>
        <v>0.12788554033485539</v>
      </c>
      <c r="E56" s="286">
        <f t="shared" si="22"/>
        <v>8.015477780530228E-2</v>
      </c>
      <c r="F56" s="286">
        <f t="shared" si="22"/>
        <v>0.23238412005632131</v>
      </c>
      <c r="G56" s="286">
        <f t="shared" si="22"/>
        <v>0.26666339578815412</v>
      </c>
      <c r="H56" s="286">
        <f t="shared" si="22"/>
        <v>0.28046730536442888</v>
      </c>
      <c r="I56" s="286">
        <f t="shared" si="22"/>
        <v>0.29399013170636407</v>
      </c>
      <c r="J56" s="286">
        <f t="shared" si="22"/>
        <v>0.3072371120040559</v>
      </c>
      <c r="K56" s="286">
        <f t="shared" si="22"/>
        <v>0.32021337300699543</v>
      </c>
      <c r="L56" s="286">
        <f t="shared" si="22"/>
        <v>0.34354746338059655</v>
      </c>
      <c r="M56" s="286">
        <f t="shared" si="22"/>
        <v>0.34537327898935838</v>
      </c>
      <c r="N56" s="287">
        <f t="shared" si="22"/>
        <v>0.3525471622277489</v>
      </c>
    </row>
    <row r="57" spans="1:14" ht="8.1" customHeight="1" x14ac:dyDescent="0.25">
      <c r="A57" s="8"/>
      <c r="B57" s="75"/>
      <c r="C57" s="75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98"/>
    </row>
    <row r="58" spans="1:14" ht="15" customHeight="1" x14ac:dyDescent="0.25">
      <c r="A58" s="8"/>
      <c r="B58" s="367" t="s">
        <v>191</v>
      </c>
      <c r="C58" s="368" t="s">
        <v>310</v>
      </c>
      <c r="D58" s="278" t="s">
        <v>133</v>
      </c>
      <c r="E58" s="278" t="s">
        <v>134</v>
      </c>
      <c r="F58" s="278" t="s">
        <v>135</v>
      </c>
      <c r="G58" s="278" t="s">
        <v>136</v>
      </c>
      <c r="H58" s="278" t="s">
        <v>137</v>
      </c>
      <c r="I58" s="278" t="s">
        <v>138</v>
      </c>
      <c r="J58" s="278" t="s">
        <v>139</v>
      </c>
      <c r="K58" s="278" t="s">
        <v>140</v>
      </c>
      <c r="L58" s="278" t="s">
        <v>141</v>
      </c>
      <c r="M58" s="278" t="s">
        <v>142</v>
      </c>
      <c r="N58" s="278" t="s">
        <v>488</v>
      </c>
    </row>
    <row r="59" spans="1:14" ht="15" customHeight="1" x14ac:dyDescent="0.25">
      <c r="A59" s="309"/>
      <c r="B59" s="270" t="s">
        <v>189</v>
      </c>
      <c r="C59" s="270" t="s">
        <v>309</v>
      </c>
      <c r="D59" s="310">
        <f t="shared" ref="D59:N59" si="23">D55</f>
        <v>126031.19999999998</v>
      </c>
      <c r="E59" s="310">
        <f t="shared" si="23"/>
        <v>120858.57629650188</v>
      </c>
      <c r="F59" s="310">
        <f t="shared" si="23"/>
        <v>476533.47629650222</v>
      </c>
      <c r="G59" s="310">
        <f t="shared" si="23"/>
        <v>557764.08329650201</v>
      </c>
      <c r="H59" s="310">
        <f t="shared" si="23"/>
        <v>598369.64420650189</v>
      </c>
      <c r="I59" s="310">
        <f t="shared" si="23"/>
        <v>639764.64453280286</v>
      </c>
      <c r="J59" s="310">
        <f t="shared" si="23"/>
        <v>681963.81089342153</v>
      </c>
      <c r="K59" s="310">
        <f t="shared" si="23"/>
        <v>724982.11347281688</v>
      </c>
      <c r="L59" s="310">
        <f t="shared" si="23"/>
        <v>793368.11893842393</v>
      </c>
      <c r="M59" s="310">
        <f t="shared" si="23"/>
        <v>813536.2401072986</v>
      </c>
      <c r="N59" s="311">
        <f t="shared" si="23"/>
        <v>847043.2093985473</v>
      </c>
    </row>
    <row r="60" spans="1:14" ht="15" customHeight="1" x14ac:dyDescent="0.25">
      <c r="A60" s="8"/>
      <c r="B60" s="270" t="s">
        <v>311</v>
      </c>
      <c r="C60" s="270" t="s">
        <v>312</v>
      </c>
      <c r="D60" s="312">
        <f t="shared" ref="D60:N60" si="24">D50</f>
        <v>0</v>
      </c>
      <c r="E60" s="312">
        <f t="shared" si="24"/>
        <v>387359.34714020172</v>
      </c>
      <c r="F60" s="312">
        <f t="shared" si="24"/>
        <v>401314.38843873516</v>
      </c>
      <c r="G60" s="312">
        <f t="shared" si="24"/>
        <v>415948.35535736207</v>
      </c>
      <c r="H60" s="312">
        <f t="shared" si="24"/>
        <v>431796.93096261844</v>
      </c>
      <c r="I60" s="312">
        <f t="shared" si="24"/>
        <v>448655.33151015342</v>
      </c>
      <c r="J60" s="312">
        <f t="shared" si="24"/>
        <v>467524.15790566208</v>
      </c>
      <c r="K60" s="312">
        <f t="shared" si="24"/>
        <v>487653.48787802859</v>
      </c>
      <c r="L60" s="312">
        <f t="shared" si="24"/>
        <v>484920.18717289419</v>
      </c>
      <c r="M60" s="312">
        <f t="shared" si="24"/>
        <v>532996.43696573866</v>
      </c>
      <c r="N60" s="313">
        <f t="shared" si="24"/>
        <v>558626.45777406159</v>
      </c>
    </row>
    <row r="61" spans="1:14" ht="15" customHeight="1" x14ac:dyDescent="0.25">
      <c r="A61" s="8"/>
      <c r="B61" s="270" t="s">
        <v>198</v>
      </c>
      <c r="C61" s="270" t="s">
        <v>199</v>
      </c>
      <c r="D61" s="314">
        <f t="shared" ref="D61:N61" si="25">D52</f>
        <v>164668.80000000002</v>
      </c>
      <c r="E61" s="314">
        <f t="shared" si="25"/>
        <v>159207.07656329664</v>
      </c>
      <c r="F61" s="314">
        <f t="shared" si="25"/>
        <v>145252.03526476322</v>
      </c>
      <c r="G61" s="314">
        <f t="shared" si="25"/>
        <v>130618.06834613637</v>
      </c>
      <c r="H61" s="314">
        <f t="shared" si="25"/>
        <v>114769.49274087991</v>
      </c>
      <c r="I61" s="314">
        <f t="shared" si="25"/>
        <v>97911.092193344972</v>
      </c>
      <c r="J61" s="314">
        <f t="shared" si="25"/>
        <v>79042.265797836299</v>
      </c>
      <c r="K61" s="314">
        <f t="shared" si="25"/>
        <v>58912.935825469831</v>
      </c>
      <c r="L61" s="314">
        <f t="shared" si="25"/>
        <v>37112.886001376166</v>
      </c>
      <c r="M61" s="314">
        <f t="shared" si="25"/>
        <v>13569.986737759808</v>
      </c>
      <c r="N61" s="315">
        <f t="shared" si="25"/>
        <v>0</v>
      </c>
    </row>
    <row r="62" spans="1:14" ht="15" customHeight="1" x14ac:dyDescent="0.25">
      <c r="A62" s="8"/>
      <c r="B62" s="268" t="s">
        <v>200</v>
      </c>
      <c r="C62" s="268" t="s">
        <v>313</v>
      </c>
      <c r="D62" s="310">
        <f t="shared" ref="D62:N62" si="26">SUM(D59:D61)</f>
        <v>290700</v>
      </c>
      <c r="E62" s="310">
        <f t="shared" si="26"/>
        <v>667425.00000000023</v>
      </c>
      <c r="F62" s="310">
        <f t="shared" si="26"/>
        <v>1023099.9000000006</v>
      </c>
      <c r="G62" s="310">
        <f t="shared" si="26"/>
        <v>1104330.5070000004</v>
      </c>
      <c r="H62" s="310">
        <f t="shared" si="26"/>
        <v>1144936.0679100002</v>
      </c>
      <c r="I62" s="310">
        <f t="shared" si="26"/>
        <v>1186331.0682363014</v>
      </c>
      <c r="J62" s="310">
        <f t="shared" si="26"/>
        <v>1228530.2345969197</v>
      </c>
      <c r="K62" s="310">
        <f t="shared" si="26"/>
        <v>1271548.5371763154</v>
      </c>
      <c r="L62" s="310">
        <f t="shared" si="26"/>
        <v>1315401.1921126943</v>
      </c>
      <c r="M62" s="310">
        <f t="shared" si="26"/>
        <v>1360102.663810797</v>
      </c>
      <c r="N62" s="311">
        <f t="shared" si="26"/>
        <v>1405669.6671726089</v>
      </c>
    </row>
    <row r="63" spans="1:14" ht="15" customHeight="1" x14ac:dyDescent="0.25">
      <c r="A63" s="8"/>
      <c r="B63" s="316"/>
      <c r="C63" s="316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3"/>
    </row>
    <row r="64" spans="1:14" ht="15" customHeight="1" x14ac:dyDescent="0.25">
      <c r="A64" s="8"/>
      <c r="B64" s="268" t="s">
        <v>314</v>
      </c>
      <c r="C64" s="268" t="s">
        <v>315</v>
      </c>
      <c r="D64" s="312">
        <f>'P&amp;L and Cash Flow'!D54</f>
        <v>164668.80000000002</v>
      </c>
      <c r="E64" s="312">
        <f>'P&amp;L and Cash Flow'!E54</f>
        <v>321566.42370349838</v>
      </c>
      <c r="F64" s="312">
        <f>'P&amp;L and Cash Flow'!F54</f>
        <v>321566.42370349838</v>
      </c>
      <c r="G64" s="312">
        <f>'P&amp;L and Cash Flow'!G54</f>
        <v>321566.42370349844</v>
      </c>
      <c r="H64" s="312">
        <f>'P&amp;L and Cash Flow'!H54</f>
        <v>321566.42370349832</v>
      </c>
      <c r="I64" s="312">
        <f>'P&amp;L and Cash Flow'!I54</f>
        <v>321566.42370349838</v>
      </c>
      <c r="J64" s="312">
        <f>'P&amp;L and Cash Flow'!J54</f>
        <v>321566.42370349838</v>
      </c>
      <c r="K64" s="312">
        <f>'P&amp;L and Cash Flow'!K54</f>
        <v>321566.42370349844</v>
      </c>
      <c r="L64" s="312">
        <f>'P&amp;L and Cash Flow'!L54</f>
        <v>297033.07317427034</v>
      </c>
      <c r="M64" s="312">
        <f>'P&amp;L and Cash Flow'!M54</f>
        <v>366909.37279120844</v>
      </c>
      <c r="N64" s="313">
        <f>'P&amp;L and Cash Flow'!N54</f>
        <v>37112.886001376166</v>
      </c>
    </row>
    <row r="65" spans="1:14" ht="15" customHeight="1" x14ac:dyDescent="0.25">
      <c r="A65" s="8"/>
      <c r="B65" s="316"/>
      <c r="C65" s="316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3"/>
    </row>
    <row r="66" spans="1:14" ht="15" customHeight="1" x14ac:dyDescent="0.25">
      <c r="A66" s="8"/>
      <c r="B66" s="268" t="s">
        <v>204</v>
      </c>
      <c r="C66" s="268" t="s">
        <v>260</v>
      </c>
      <c r="D66" s="317">
        <f t="shared" ref="D66:N66" si="27">D62/D64</f>
        <v>1.7653617443012881</v>
      </c>
      <c r="E66" s="317">
        <f t="shared" si="27"/>
        <v>2.0755431873552883</v>
      </c>
      <c r="F66" s="317">
        <f t="shared" si="27"/>
        <v>3.181612956405405</v>
      </c>
      <c r="G66" s="317">
        <f t="shared" si="27"/>
        <v>3.4342220629920388</v>
      </c>
      <c r="H66" s="317">
        <f t="shared" si="27"/>
        <v>3.5604963189990673</v>
      </c>
      <c r="I66" s="317">
        <f t="shared" si="27"/>
        <v>3.6892255558688638</v>
      </c>
      <c r="J66" s="317">
        <f t="shared" si="27"/>
        <v>3.8204555701054503</v>
      </c>
      <c r="K66" s="317">
        <f t="shared" si="27"/>
        <v>3.9542329156502722</v>
      </c>
      <c r="L66" s="317">
        <f t="shared" si="27"/>
        <v>4.4284670998267721</v>
      </c>
      <c r="M66" s="317">
        <f t="shared" si="27"/>
        <v>3.7069171971923707</v>
      </c>
      <c r="N66" s="369">
        <f t="shared" si="27"/>
        <v>37.875514912003503</v>
      </c>
    </row>
    <row r="67" spans="1:14" ht="15" customHeight="1" x14ac:dyDescent="0.25">
      <c r="A67" s="8"/>
      <c r="B67" s="316"/>
      <c r="C67" s="316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3"/>
    </row>
    <row r="68" spans="1:14" ht="15" customHeight="1" x14ac:dyDescent="0.25">
      <c r="A68" s="8"/>
      <c r="B68" s="270" t="s">
        <v>200</v>
      </c>
      <c r="C68" s="270" t="s">
        <v>313</v>
      </c>
      <c r="D68" s="153">
        <f t="shared" ref="D68:N68" si="28">D62</f>
        <v>290700</v>
      </c>
      <c r="E68" s="153">
        <f t="shared" si="28"/>
        <v>667425.00000000023</v>
      </c>
      <c r="F68" s="153">
        <f t="shared" si="28"/>
        <v>1023099.9000000006</v>
      </c>
      <c r="G68" s="153">
        <f t="shared" si="28"/>
        <v>1104330.5070000004</v>
      </c>
      <c r="H68" s="153">
        <f t="shared" si="28"/>
        <v>1144936.0679100002</v>
      </c>
      <c r="I68" s="153">
        <f t="shared" si="28"/>
        <v>1186331.0682363014</v>
      </c>
      <c r="J68" s="153">
        <f t="shared" si="28"/>
        <v>1228530.2345969197</v>
      </c>
      <c r="K68" s="153">
        <f t="shared" si="28"/>
        <v>1271548.5371763154</v>
      </c>
      <c r="L68" s="153">
        <f t="shared" si="28"/>
        <v>1315401.1921126943</v>
      </c>
      <c r="M68" s="153">
        <f t="shared" si="28"/>
        <v>1360102.663810797</v>
      </c>
      <c r="N68" s="198">
        <f t="shared" si="28"/>
        <v>1405669.6671726089</v>
      </c>
    </row>
    <row r="69" spans="1:14" ht="15" customHeight="1" x14ac:dyDescent="0.25">
      <c r="A69" s="8"/>
      <c r="B69" s="270" t="s">
        <v>207</v>
      </c>
      <c r="C69" s="270" t="s">
        <v>316</v>
      </c>
      <c r="D69" s="153">
        <f t="shared" ref="D69:N69" si="29">D64</f>
        <v>164668.80000000002</v>
      </c>
      <c r="E69" s="153">
        <f t="shared" si="29"/>
        <v>321566.42370349838</v>
      </c>
      <c r="F69" s="153">
        <f t="shared" si="29"/>
        <v>321566.42370349838</v>
      </c>
      <c r="G69" s="153">
        <f t="shared" si="29"/>
        <v>321566.42370349844</v>
      </c>
      <c r="H69" s="153">
        <f t="shared" si="29"/>
        <v>321566.42370349832</v>
      </c>
      <c r="I69" s="153">
        <f t="shared" si="29"/>
        <v>321566.42370349838</v>
      </c>
      <c r="J69" s="153">
        <f t="shared" si="29"/>
        <v>321566.42370349838</v>
      </c>
      <c r="K69" s="153">
        <f t="shared" si="29"/>
        <v>321566.42370349844</v>
      </c>
      <c r="L69" s="153">
        <f t="shared" si="29"/>
        <v>297033.07317427034</v>
      </c>
      <c r="M69" s="153">
        <f t="shared" si="29"/>
        <v>366909.37279120844</v>
      </c>
      <c r="N69" s="198">
        <f t="shared" si="29"/>
        <v>37112.886001376166</v>
      </c>
    </row>
    <row r="70" spans="1:14" ht="15" customHeight="1" x14ac:dyDescent="0.25">
      <c r="A70" s="8"/>
      <c r="B70" s="270" t="s">
        <v>209</v>
      </c>
      <c r="C70" s="270" t="s">
        <v>210</v>
      </c>
      <c r="D70" s="153">
        <f>'P&amp;L and Cash Flow'!D60</f>
        <v>3558360</v>
      </c>
      <c r="E70" s="153">
        <f>'P&amp;L and Cash Flow'!E60</f>
        <v>1000000</v>
      </c>
      <c r="F70" s="153">
        <f>'P&amp;L and Cash Flow'!F60</f>
        <v>450000</v>
      </c>
      <c r="G70" s="153">
        <f>'P&amp;L and Cash Flow'!G60</f>
        <v>20000</v>
      </c>
      <c r="H70" s="153">
        <f>'P&amp;L and Cash Flow'!H60</f>
        <v>21000</v>
      </c>
      <c r="I70" s="153">
        <f>'P&amp;L and Cash Flow'!I60</f>
        <v>22050</v>
      </c>
      <c r="J70" s="153">
        <f>'P&amp;L and Cash Flow'!J60</f>
        <v>23152.5</v>
      </c>
      <c r="K70" s="153">
        <f>'P&amp;L and Cash Flow'!K60</f>
        <v>24310.125</v>
      </c>
      <c r="L70" s="153">
        <f>'P&amp;L and Cash Flow'!L60</f>
        <v>25525.631250000002</v>
      </c>
      <c r="M70" s="153">
        <f>'P&amp;L and Cash Flow'!M60</f>
        <v>26801.912812500002</v>
      </c>
      <c r="N70" s="153">
        <f>'P&amp;L and Cash Flow'!N60</f>
        <v>28142.008453125003</v>
      </c>
    </row>
    <row r="71" spans="1:14" ht="15" customHeight="1" x14ac:dyDescent="0.25">
      <c r="A71" s="8"/>
      <c r="B71" s="270" t="s">
        <v>213</v>
      </c>
      <c r="C71" s="270" t="s">
        <v>254</v>
      </c>
      <c r="D71" s="149">
        <f>D68-D69-D70</f>
        <v>-3432328.8</v>
      </c>
      <c r="E71" s="149">
        <f t="shared" ref="E71:N71" si="30">E68-E69-E70</f>
        <v>-654141.42370349821</v>
      </c>
      <c r="F71" s="149">
        <f t="shared" si="30"/>
        <v>251533.47629650217</v>
      </c>
      <c r="G71" s="149">
        <f t="shared" si="30"/>
        <v>762764.08329650201</v>
      </c>
      <c r="H71" s="149">
        <f t="shared" si="30"/>
        <v>802369.64420650189</v>
      </c>
      <c r="I71" s="149">
        <f t="shared" si="30"/>
        <v>842714.64453280298</v>
      </c>
      <c r="J71" s="149">
        <f t="shared" si="30"/>
        <v>883811.31089342129</v>
      </c>
      <c r="K71" s="149">
        <f t="shared" si="30"/>
        <v>925671.988472817</v>
      </c>
      <c r="L71" s="149">
        <f t="shared" si="30"/>
        <v>992842.48768842395</v>
      </c>
      <c r="M71" s="149">
        <f t="shared" si="30"/>
        <v>966391.37820708856</v>
      </c>
      <c r="N71" s="149">
        <f t="shared" si="30"/>
        <v>1340414.7727181078</v>
      </c>
    </row>
    <row r="72" spans="1:14" ht="15" customHeight="1" x14ac:dyDescent="0.25">
      <c r="A72" s="8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303"/>
    </row>
    <row r="73" spans="1:14" ht="15" customHeight="1" x14ac:dyDescent="0.25">
      <c r="A73" s="8"/>
      <c r="B73" s="268" t="s">
        <v>215</v>
      </c>
      <c r="C73" s="268" t="s">
        <v>216</v>
      </c>
      <c r="D73" s="269">
        <f>D71</f>
        <v>-3432328.8</v>
      </c>
      <c r="E73" s="269">
        <f t="shared" ref="E73:N73" si="31">E71</f>
        <v>-654141.42370349821</v>
      </c>
      <c r="F73" s="269">
        <f t="shared" si="31"/>
        <v>251533.47629650217</v>
      </c>
      <c r="G73" s="269">
        <f t="shared" si="31"/>
        <v>762764.08329650201</v>
      </c>
      <c r="H73" s="269">
        <f t="shared" si="31"/>
        <v>802369.64420650189</v>
      </c>
      <c r="I73" s="269">
        <f t="shared" si="31"/>
        <v>842714.64453280298</v>
      </c>
      <c r="J73" s="269">
        <f t="shared" si="31"/>
        <v>883811.31089342129</v>
      </c>
      <c r="K73" s="269">
        <f t="shared" si="31"/>
        <v>925671.988472817</v>
      </c>
      <c r="L73" s="269">
        <f t="shared" si="31"/>
        <v>992842.48768842395</v>
      </c>
      <c r="M73" s="269">
        <f t="shared" si="31"/>
        <v>966391.37820708856</v>
      </c>
      <c r="N73" s="302">
        <f t="shared" si="31"/>
        <v>1340414.7727181078</v>
      </c>
    </row>
    <row r="74" spans="1:14" ht="15" customHeight="1" x14ac:dyDescent="0.25">
      <c r="A74" s="8"/>
      <c r="B74" s="271"/>
      <c r="C74" s="271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98"/>
    </row>
    <row r="75" spans="1:14" ht="15" customHeight="1" x14ac:dyDescent="0.25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</row>
    <row r="76" spans="1:14" ht="15" customHeight="1" x14ac:dyDescent="0.25">
      <c r="A76" s="8"/>
      <c r="B76" s="324" t="s">
        <v>219</v>
      </c>
      <c r="C76" s="324" t="s">
        <v>317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</row>
    <row r="77" spans="1:14" ht="15" customHeight="1" x14ac:dyDescent="0.25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</row>
    <row r="78" spans="1:14" ht="15" customHeight="1" x14ac:dyDescent="0.25">
      <c r="A78" s="8"/>
      <c r="B78" s="326" t="s">
        <v>223</v>
      </c>
      <c r="C78" s="326" t="s">
        <v>224</v>
      </c>
      <c r="D78" s="278" t="s">
        <v>133</v>
      </c>
      <c r="E78" s="278" t="s">
        <v>134</v>
      </c>
      <c r="F78" s="278" t="s">
        <v>135</v>
      </c>
      <c r="G78" s="278" t="s">
        <v>136</v>
      </c>
      <c r="H78" s="278" t="s">
        <v>137</v>
      </c>
      <c r="I78" s="278" t="s">
        <v>138</v>
      </c>
      <c r="J78" s="278" t="s">
        <v>139</v>
      </c>
      <c r="K78" s="278" t="s">
        <v>140</v>
      </c>
      <c r="L78" s="278" t="s">
        <v>141</v>
      </c>
      <c r="M78" s="278" t="s">
        <v>142</v>
      </c>
      <c r="N78" s="278" t="s">
        <v>488</v>
      </c>
    </row>
    <row r="79" spans="1:14" ht="15" customHeight="1" x14ac:dyDescent="0.25">
      <c r="A79" s="8"/>
      <c r="B79" s="270" t="s">
        <v>449</v>
      </c>
      <c r="C79" s="327" t="s">
        <v>147</v>
      </c>
      <c r="D79" s="312">
        <f>D17</f>
        <v>891000</v>
      </c>
      <c r="E79" s="312">
        <f t="shared" ref="E79:N79" si="32">E17</f>
        <v>1363230.0000000002</v>
      </c>
      <c r="F79" s="312">
        <f t="shared" si="32"/>
        <v>1853992.8000000005</v>
      </c>
      <c r="G79" s="312">
        <f t="shared" si="32"/>
        <v>1891072.6560000004</v>
      </c>
      <c r="H79" s="312">
        <f t="shared" si="32"/>
        <v>1928894.1091200004</v>
      </c>
      <c r="I79" s="312">
        <f t="shared" si="32"/>
        <v>1967471.9913024008</v>
      </c>
      <c r="J79" s="312">
        <f t="shared" si="32"/>
        <v>2006821.4311284488</v>
      </c>
      <c r="K79" s="312">
        <f t="shared" si="32"/>
        <v>2046957.8597510178</v>
      </c>
      <c r="L79" s="312">
        <f t="shared" si="32"/>
        <v>2087897.0169460382</v>
      </c>
      <c r="M79" s="312">
        <f t="shared" si="32"/>
        <v>2129654.9572849586</v>
      </c>
      <c r="N79" s="312">
        <f t="shared" si="32"/>
        <v>2172248.0564306583</v>
      </c>
    </row>
    <row r="80" spans="1:14" ht="15" customHeight="1" x14ac:dyDescent="0.25">
      <c r="A80" s="8"/>
      <c r="B80" s="270" t="s">
        <v>450</v>
      </c>
      <c r="C80" s="270" t="s">
        <v>226</v>
      </c>
      <c r="D80" s="312">
        <f t="shared" ref="D80:N81" si="33">D18</f>
        <v>60750</v>
      </c>
      <c r="E80" s="312">
        <f t="shared" si="33"/>
        <v>92947.5</v>
      </c>
      <c r="F80" s="312">
        <f t="shared" si="33"/>
        <v>126408.6</v>
      </c>
      <c r="G80" s="312">
        <f t="shared" si="33"/>
        <v>128936.77200000001</v>
      </c>
      <c r="H80" s="312">
        <f t="shared" si="33"/>
        <v>131515.50744000004</v>
      </c>
      <c r="I80" s="312">
        <f t="shared" si="33"/>
        <v>134145.81758880004</v>
      </c>
      <c r="J80" s="312">
        <f t="shared" si="33"/>
        <v>136828.73394057603</v>
      </c>
      <c r="K80" s="312">
        <f t="shared" si="33"/>
        <v>139565.30861938759</v>
      </c>
      <c r="L80" s="312">
        <f t="shared" si="33"/>
        <v>142356.61479177533</v>
      </c>
      <c r="M80" s="312">
        <f t="shared" si="33"/>
        <v>145203.74708761083</v>
      </c>
      <c r="N80" s="312">
        <f t="shared" si="33"/>
        <v>148107.82202936304</v>
      </c>
    </row>
    <row r="81" spans="1:256" ht="15" customHeight="1" x14ac:dyDescent="0.25">
      <c r="A81" s="8"/>
      <c r="B81" s="270" t="s">
        <v>455</v>
      </c>
      <c r="C81" s="270" t="s">
        <v>228</v>
      </c>
      <c r="D81" s="312">
        <f t="shared" si="33"/>
        <v>33750</v>
      </c>
      <c r="E81" s="312">
        <f t="shared" si="33"/>
        <v>51637.5</v>
      </c>
      <c r="F81" s="312">
        <f t="shared" si="33"/>
        <v>70227</v>
      </c>
      <c r="G81" s="312">
        <f t="shared" si="33"/>
        <v>71631.540000000008</v>
      </c>
      <c r="H81" s="312">
        <f t="shared" si="33"/>
        <v>73064.170799999993</v>
      </c>
      <c r="I81" s="312">
        <f t="shared" si="33"/>
        <v>74525.454216000013</v>
      </c>
      <c r="J81" s="312">
        <f t="shared" si="33"/>
        <v>76015.963300320014</v>
      </c>
      <c r="K81" s="312">
        <f t="shared" si="33"/>
        <v>77536.282566326408</v>
      </c>
      <c r="L81" s="312">
        <f t="shared" si="33"/>
        <v>79087.008217652939</v>
      </c>
      <c r="M81" s="312">
        <f t="shared" si="33"/>
        <v>80668.748382006001</v>
      </c>
      <c r="N81" s="312">
        <f t="shared" si="33"/>
        <v>82282.123349646135</v>
      </c>
    </row>
    <row r="82" spans="1:256" ht="15" customHeight="1" x14ac:dyDescent="0.25">
      <c r="A82" s="8"/>
      <c r="B82" s="332" t="s">
        <v>149</v>
      </c>
      <c r="C82" s="332" t="s">
        <v>230</v>
      </c>
      <c r="D82" s="264">
        <f t="shared" ref="D82:N82" si="34">SUM(D79:D81)</f>
        <v>985500</v>
      </c>
      <c r="E82" s="264">
        <f t="shared" si="34"/>
        <v>1507815.0000000002</v>
      </c>
      <c r="F82" s="264">
        <f t="shared" si="34"/>
        <v>2050628.4000000006</v>
      </c>
      <c r="G82" s="264">
        <f t="shared" si="34"/>
        <v>2091640.9680000006</v>
      </c>
      <c r="H82" s="264">
        <f t="shared" si="34"/>
        <v>2133473.7873600004</v>
      </c>
      <c r="I82" s="264">
        <f t="shared" si="34"/>
        <v>2176143.2631072011</v>
      </c>
      <c r="J82" s="264">
        <f t="shared" si="34"/>
        <v>2219666.1283693449</v>
      </c>
      <c r="K82" s="264">
        <f t="shared" si="34"/>
        <v>2264059.4509367314</v>
      </c>
      <c r="L82" s="264">
        <f t="shared" si="34"/>
        <v>2309340.6399554661</v>
      </c>
      <c r="M82" s="264">
        <f t="shared" si="34"/>
        <v>2355527.4527545753</v>
      </c>
      <c r="N82" s="222">
        <f t="shared" si="34"/>
        <v>2402638.0018096673</v>
      </c>
    </row>
    <row r="83" spans="1:256" ht="15" customHeight="1" x14ac:dyDescent="0.25">
      <c r="A83" s="8"/>
      <c r="B83" s="75"/>
      <c r="C83" s="75"/>
      <c r="D83" s="75"/>
      <c r="E83" s="153"/>
      <c r="F83" s="153"/>
      <c r="G83" s="153"/>
      <c r="H83" s="153"/>
      <c r="I83" s="153"/>
      <c r="J83" s="153"/>
      <c r="K83" s="153"/>
      <c r="L83" s="153"/>
      <c r="M83" s="153"/>
      <c r="N83" s="198"/>
    </row>
    <row r="84" spans="1:256" ht="15" customHeight="1" x14ac:dyDescent="0.25">
      <c r="A84" s="8"/>
      <c r="B84" s="326" t="s">
        <v>231</v>
      </c>
      <c r="C84" s="326" t="s">
        <v>232</v>
      </c>
      <c r="D84" s="316"/>
      <c r="E84" s="153"/>
      <c r="F84" s="153"/>
      <c r="G84" s="153"/>
      <c r="H84" s="153"/>
      <c r="I84" s="153"/>
      <c r="J84" s="153"/>
      <c r="K84" s="153"/>
      <c r="L84" s="153"/>
      <c r="M84" s="153"/>
      <c r="N84" s="198"/>
    </row>
    <row r="85" spans="1:256" ht="15" customHeight="1" x14ac:dyDescent="0.25">
      <c r="A85" s="8"/>
      <c r="B85" s="555" t="s">
        <v>157</v>
      </c>
      <c r="C85" s="327" t="s">
        <v>318</v>
      </c>
      <c r="D85" s="312">
        <f>D25</f>
        <v>165000</v>
      </c>
      <c r="E85" s="312">
        <f t="shared" ref="E85:N85" si="35">E25</f>
        <v>247500.00000000003</v>
      </c>
      <c r="F85" s="312">
        <f t="shared" si="35"/>
        <v>330000</v>
      </c>
      <c r="G85" s="312">
        <f t="shared" si="35"/>
        <v>330000</v>
      </c>
      <c r="H85" s="312">
        <f t="shared" si="35"/>
        <v>330000</v>
      </c>
      <c r="I85" s="312">
        <f t="shared" si="35"/>
        <v>330000</v>
      </c>
      <c r="J85" s="312">
        <f t="shared" si="35"/>
        <v>330000</v>
      </c>
      <c r="K85" s="312">
        <f t="shared" si="35"/>
        <v>330000</v>
      </c>
      <c r="L85" s="312">
        <f t="shared" si="35"/>
        <v>330000</v>
      </c>
      <c r="M85" s="312">
        <f t="shared" si="35"/>
        <v>330000</v>
      </c>
      <c r="N85" s="312">
        <f t="shared" si="35"/>
        <v>330000</v>
      </c>
      <c r="O85"/>
    </row>
    <row r="86" spans="1:256" ht="15" customHeight="1" x14ac:dyDescent="0.25">
      <c r="A86" s="8"/>
      <c r="B86" s="270" t="s">
        <v>163</v>
      </c>
      <c r="C86" s="270" t="s">
        <v>319</v>
      </c>
      <c r="D86" s="312">
        <f>D31</f>
        <v>507800.00000000006</v>
      </c>
      <c r="E86" s="312">
        <f t="shared" ref="E86:N86" si="36">E31</f>
        <v>570450</v>
      </c>
      <c r="F86" s="312">
        <f t="shared" si="36"/>
        <v>674527.5</v>
      </c>
      <c r="G86" s="312">
        <f t="shared" si="36"/>
        <v>633733.87500000012</v>
      </c>
      <c r="H86" s="312">
        <f t="shared" si="36"/>
        <v>634370.56875000009</v>
      </c>
      <c r="I86" s="312">
        <f t="shared" si="36"/>
        <v>635039.0971875001</v>
      </c>
      <c r="J86" s="312">
        <f t="shared" si="36"/>
        <v>635741.05204687512</v>
      </c>
      <c r="K86" s="312">
        <f t="shared" si="36"/>
        <v>636478.10464921885</v>
      </c>
      <c r="L86" s="312">
        <f t="shared" si="36"/>
        <v>637252.00988167978</v>
      </c>
      <c r="M86" s="312">
        <f t="shared" si="36"/>
        <v>638064.61037576385</v>
      </c>
      <c r="N86" s="312">
        <f t="shared" si="36"/>
        <v>638917.84089455195</v>
      </c>
      <c r="O86"/>
    </row>
    <row r="87" spans="1:256" ht="15" customHeight="1" x14ac:dyDescent="0.25">
      <c r="A87" s="8"/>
      <c r="B87" s="270" t="s">
        <v>176</v>
      </c>
      <c r="C87" s="270"/>
      <c r="D87" s="312">
        <f>D44</f>
        <v>22000</v>
      </c>
      <c r="E87" s="312">
        <f t="shared" ref="E87:N87" si="37">E44</f>
        <v>22440</v>
      </c>
      <c r="F87" s="312">
        <f t="shared" si="37"/>
        <v>23001</v>
      </c>
      <c r="G87" s="312">
        <f t="shared" si="37"/>
        <v>23576.586000000003</v>
      </c>
      <c r="H87" s="312">
        <f t="shared" si="37"/>
        <v>24167.150700000002</v>
      </c>
      <c r="I87" s="312">
        <f t="shared" si="37"/>
        <v>24773.097683400003</v>
      </c>
      <c r="J87" s="312">
        <f t="shared" si="37"/>
        <v>25394.841725550003</v>
      </c>
      <c r="K87" s="312">
        <f t="shared" si="37"/>
        <v>26032.809111197465</v>
      </c>
      <c r="L87" s="312">
        <f t="shared" si="37"/>
        <v>26687.437961091964</v>
      </c>
      <c r="M87" s="312">
        <f t="shared" si="37"/>
        <v>27359.178568014479</v>
      </c>
      <c r="N87" s="312">
        <f t="shared" si="37"/>
        <v>28048.49374250646</v>
      </c>
      <c r="O87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  <c r="AB87" s="471"/>
      <c r="AC87" s="471"/>
      <c r="AD87" s="471"/>
      <c r="AE87" s="471"/>
      <c r="AF87" s="471"/>
      <c r="AG87" s="471"/>
      <c r="AH87" s="471"/>
      <c r="AI87" s="471"/>
      <c r="AJ87" s="471"/>
      <c r="AK87" s="471"/>
      <c r="AL87" s="471"/>
      <c r="AM87" s="471"/>
      <c r="AN87" s="471"/>
      <c r="AO87" s="471"/>
      <c r="AP87" s="471"/>
      <c r="AQ87" s="471"/>
      <c r="AR87" s="471"/>
      <c r="AS87" s="471"/>
      <c r="AT87" s="471"/>
      <c r="AU87" s="471"/>
      <c r="AV87" s="471"/>
      <c r="AW87" s="471"/>
      <c r="AX87" s="471"/>
      <c r="AY87" s="471"/>
      <c r="AZ87" s="471"/>
      <c r="BA87" s="471"/>
      <c r="BB87" s="471"/>
      <c r="BC87" s="471"/>
      <c r="BD87" s="471"/>
      <c r="BE87" s="471"/>
      <c r="BF87" s="471"/>
      <c r="BG87" s="471"/>
      <c r="BH87" s="471"/>
      <c r="BI87" s="471"/>
      <c r="BJ87" s="471"/>
      <c r="BK87" s="471"/>
      <c r="BL87" s="471"/>
      <c r="BM87" s="471"/>
      <c r="BN87" s="471"/>
      <c r="BO87" s="471"/>
      <c r="BP87" s="471"/>
      <c r="BQ87" s="471"/>
      <c r="BR87" s="471"/>
      <c r="BS87" s="471"/>
      <c r="BT87" s="471"/>
      <c r="BU87" s="471"/>
      <c r="BV87" s="471"/>
      <c r="BW87" s="471"/>
      <c r="BX87" s="471"/>
      <c r="BY87" s="471"/>
      <c r="BZ87" s="471"/>
      <c r="CA87" s="471"/>
      <c r="CB87" s="471"/>
      <c r="CC87" s="471"/>
      <c r="CD87" s="471"/>
      <c r="CE87" s="471"/>
      <c r="CF87" s="471"/>
      <c r="CG87" s="471"/>
      <c r="CH87" s="471"/>
      <c r="CI87" s="471"/>
      <c r="CJ87" s="471"/>
      <c r="CK87" s="471"/>
      <c r="CL87" s="471"/>
      <c r="CM87" s="471"/>
      <c r="CN87" s="471"/>
      <c r="CO87" s="471"/>
      <c r="CP87" s="471"/>
      <c r="CQ87" s="471"/>
      <c r="CR87" s="471"/>
      <c r="CS87" s="471"/>
      <c r="CT87" s="471"/>
      <c r="CU87" s="471"/>
      <c r="CV87" s="471"/>
      <c r="CW87" s="471"/>
      <c r="CX87" s="471"/>
      <c r="CY87" s="471"/>
      <c r="CZ87" s="471"/>
      <c r="DA87" s="471"/>
      <c r="DB87" s="471"/>
      <c r="DC87" s="471"/>
      <c r="DD87" s="471"/>
      <c r="DE87" s="471"/>
      <c r="DF87" s="471"/>
      <c r="DG87" s="471"/>
      <c r="DH87" s="471"/>
      <c r="DI87" s="471"/>
      <c r="DJ87" s="471"/>
      <c r="DK87" s="471"/>
      <c r="DL87" s="471"/>
      <c r="DM87" s="471"/>
      <c r="DN87" s="471"/>
      <c r="DO87" s="471"/>
      <c r="DP87" s="471"/>
      <c r="DQ87" s="471"/>
      <c r="DR87" s="471"/>
      <c r="DS87" s="471"/>
      <c r="DT87" s="471"/>
      <c r="DU87" s="471"/>
      <c r="DV87" s="471"/>
      <c r="DW87" s="471"/>
      <c r="DX87" s="471"/>
      <c r="DY87" s="471"/>
      <c r="DZ87" s="471"/>
      <c r="EA87" s="471"/>
      <c r="EB87" s="471"/>
      <c r="EC87" s="471"/>
      <c r="ED87" s="471"/>
      <c r="EE87" s="471"/>
      <c r="EF87" s="471"/>
      <c r="EG87" s="471"/>
      <c r="EH87" s="471"/>
      <c r="EI87" s="471"/>
      <c r="EJ87" s="471"/>
      <c r="EK87" s="471"/>
      <c r="EL87" s="471"/>
      <c r="EM87" s="471"/>
      <c r="EN87" s="471"/>
      <c r="EO87" s="471"/>
      <c r="EP87" s="471"/>
      <c r="EQ87" s="471"/>
      <c r="ER87" s="471"/>
      <c r="ES87" s="471"/>
      <c r="ET87" s="471"/>
      <c r="EU87" s="471"/>
      <c r="EV87" s="471"/>
      <c r="EW87" s="471"/>
      <c r="EX87" s="471"/>
      <c r="EY87" s="471"/>
      <c r="EZ87" s="471"/>
      <c r="FA87" s="471"/>
      <c r="FB87" s="471"/>
      <c r="FC87" s="471"/>
      <c r="FD87" s="471"/>
      <c r="FE87" s="471"/>
      <c r="FF87" s="471"/>
      <c r="FG87" s="471"/>
      <c r="FH87" s="471"/>
      <c r="FI87" s="471"/>
      <c r="FJ87" s="471"/>
      <c r="FK87" s="471"/>
      <c r="FL87" s="471"/>
      <c r="FM87" s="471"/>
      <c r="FN87" s="471"/>
      <c r="FO87" s="471"/>
      <c r="FP87" s="471"/>
      <c r="FQ87" s="471"/>
      <c r="FR87" s="471"/>
      <c r="FS87" s="471"/>
      <c r="FT87" s="471"/>
      <c r="FU87" s="471"/>
      <c r="FV87" s="471"/>
      <c r="FW87" s="471"/>
      <c r="FX87" s="471"/>
      <c r="FY87" s="471"/>
      <c r="FZ87" s="471"/>
      <c r="GA87" s="471"/>
      <c r="GB87" s="471"/>
      <c r="GC87" s="471"/>
      <c r="GD87" s="471"/>
      <c r="GE87" s="471"/>
      <c r="GF87" s="471"/>
      <c r="GG87" s="471"/>
      <c r="GH87" s="471"/>
      <c r="GI87" s="471"/>
      <c r="GJ87" s="471"/>
      <c r="GK87" s="471"/>
      <c r="GL87" s="471"/>
      <c r="GM87" s="471"/>
      <c r="GN87" s="471"/>
      <c r="GO87" s="471"/>
      <c r="GP87" s="471"/>
      <c r="GQ87" s="471"/>
      <c r="GR87" s="471"/>
      <c r="GS87" s="471"/>
      <c r="GT87" s="471"/>
      <c r="GU87" s="471"/>
      <c r="GV87" s="471"/>
      <c r="GW87" s="471"/>
      <c r="GX87" s="471"/>
      <c r="GY87" s="471"/>
      <c r="GZ87" s="471"/>
      <c r="HA87" s="471"/>
      <c r="HB87" s="471"/>
      <c r="HC87" s="471"/>
      <c r="HD87" s="471"/>
      <c r="HE87" s="471"/>
      <c r="HF87" s="471"/>
      <c r="HG87" s="471"/>
      <c r="HH87" s="471"/>
      <c r="HI87" s="471"/>
      <c r="HJ87" s="471"/>
      <c r="HK87" s="471"/>
      <c r="HL87" s="471"/>
      <c r="HM87" s="471"/>
      <c r="HN87" s="471"/>
      <c r="HO87" s="471"/>
      <c r="HP87" s="471"/>
      <c r="HQ87" s="471"/>
      <c r="HR87" s="471"/>
      <c r="HS87" s="471"/>
      <c r="HT87" s="471"/>
      <c r="HU87" s="471"/>
      <c r="HV87" s="471"/>
      <c r="HW87" s="471"/>
      <c r="HX87" s="471"/>
      <c r="HY87" s="471"/>
      <c r="HZ87" s="471"/>
      <c r="IA87" s="471"/>
      <c r="IB87" s="471"/>
      <c r="IC87" s="471"/>
      <c r="ID87" s="471"/>
      <c r="IE87" s="471"/>
      <c r="IF87" s="471"/>
      <c r="IG87" s="471"/>
      <c r="IH87" s="471"/>
      <c r="II87" s="471"/>
      <c r="IJ87" s="471"/>
      <c r="IK87" s="471"/>
      <c r="IL87" s="471"/>
      <c r="IM87" s="471"/>
      <c r="IN87" s="471"/>
      <c r="IO87" s="471"/>
      <c r="IP87" s="471"/>
      <c r="IQ87" s="471"/>
      <c r="IR87" s="471"/>
      <c r="IS87" s="471"/>
      <c r="IT87" s="471"/>
      <c r="IU87" s="471"/>
      <c r="IV87" s="471"/>
    </row>
    <row r="88" spans="1:256" ht="15" customHeight="1" x14ac:dyDescent="0.25">
      <c r="A88" s="8"/>
      <c r="B88" s="332" t="s">
        <v>239</v>
      </c>
      <c r="C88" s="332" t="s">
        <v>240</v>
      </c>
      <c r="D88" s="264">
        <f>D85+D86+D87</f>
        <v>694800</v>
      </c>
      <c r="E88" s="264">
        <f t="shared" ref="E88:N88" si="38">E85+E86+E87</f>
        <v>840390</v>
      </c>
      <c r="F88" s="264">
        <f t="shared" si="38"/>
        <v>1027528.5</v>
      </c>
      <c r="G88" s="264">
        <f t="shared" si="38"/>
        <v>987310.46100000013</v>
      </c>
      <c r="H88" s="264">
        <f t="shared" si="38"/>
        <v>988537.71945000009</v>
      </c>
      <c r="I88" s="264">
        <f t="shared" si="38"/>
        <v>989812.19487090013</v>
      </c>
      <c r="J88" s="264">
        <f t="shared" si="38"/>
        <v>991135.89377242513</v>
      </c>
      <c r="K88" s="264">
        <f t="shared" si="38"/>
        <v>992510.91376041633</v>
      </c>
      <c r="L88" s="264">
        <f t="shared" si="38"/>
        <v>993939.44784277177</v>
      </c>
      <c r="M88" s="264">
        <f t="shared" si="38"/>
        <v>995423.78894377837</v>
      </c>
      <c r="N88" s="264">
        <f t="shared" si="38"/>
        <v>996966.33463705843</v>
      </c>
      <c r="O88"/>
    </row>
    <row r="89" spans="1:256" ht="15" customHeight="1" x14ac:dyDescent="0.25">
      <c r="A89" s="8"/>
      <c r="B89" s="75"/>
      <c r="C89" s="75"/>
      <c r="D89" s="75"/>
      <c r="E89" s="153"/>
      <c r="F89" s="153"/>
      <c r="G89" s="153"/>
      <c r="H89" s="153"/>
      <c r="I89" s="153"/>
      <c r="J89" s="153"/>
      <c r="K89" s="153"/>
      <c r="L89" s="153"/>
      <c r="M89" s="153"/>
      <c r="N89" s="198"/>
    </row>
    <row r="90" spans="1:256" ht="15" customHeight="1" x14ac:dyDescent="0.25">
      <c r="A90" s="8"/>
      <c r="B90" s="246" t="s">
        <v>178</v>
      </c>
      <c r="C90" s="246" t="s">
        <v>178</v>
      </c>
      <c r="D90" s="269">
        <f t="shared" ref="D90:N90" si="39">D82-D88</f>
        <v>290700</v>
      </c>
      <c r="E90" s="269">
        <f t="shared" si="39"/>
        <v>667425.00000000023</v>
      </c>
      <c r="F90" s="269">
        <f t="shared" si="39"/>
        <v>1023099.9000000006</v>
      </c>
      <c r="G90" s="269">
        <f t="shared" si="39"/>
        <v>1104330.5070000004</v>
      </c>
      <c r="H90" s="269">
        <f t="shared" si="39"/>
        <v>1144936.0679100002</v>
      </c>
      <c r="I90" s="269">
        <f t="shared" si="39"/>
        <v>1186331.068236301</v>
      </c>
      <c r="J90" s="269">
        <f t="shared" si="39"/>
        <v>1228530.2345969197</v>
      </c>
      <c r="K90" s="269">
        <f t="shared" si="39"/>
        <v>1271548.5371763152</v>
      </c>
      <c r="L90" s="269">
        <f t="shared" si="39"/>
        <v>1315401.1921126945</v>
      </c>
      <c r="M90" s="269">
        <f t="shared" si="39"/>
        <v>1360103.663810797</v>
      </c>
      <c r="N90" s="302">
        <f t="shared" si="39"/>
        <v>1405671.6671726089</v>
      </c>
    </row>
    <row r="91" spans="1:256" ht="15" customHeight="1" x14ac:dyDescent="0.25">
      <c r="A91" s="8"/>
      <c r="B91" s="75"/>
      <c r="C91" s="75"/>
      <c r="D91" s="75"/>
      <c r="E91" s="153"/>
      <c r="F91" s="153"/>
      <c r="G91" s="153"/>
      <c r="H91" s="153"/>
      <c r="I91" s="153"/>
      <c r="J91" s="153"/>
      <c r="K91" s="153"/>
      <c r="L91" s="153"/>
      <c r="M91" s="153"/>
      <c r="N91" s="198"/>
    </row>
    <row r="92" spans="1:256" ht="15" customHeight="1" x14ac:dyDescent="0.25">
      <c r="A92" s="8"/>
      <c r="B92" s="157" t="s">
        <v>320</v>
      </c>
      <c r="C92" s="157" t="s">
        <v>321</v>
      </c>
      <c r="D92" s="153">
        <f>D54</f>
        <v>0</v>
      </c>
      <c r="E92" s="153">
        <f t="shared" ref="E92:N92" si="40">E54</f>
        <v>0</v>
      </c>
      <c r="F92" s="153">
        <f t="shared" si="40"/>
        <v>0</v>
      </c>
      <c r="G92" s="153">
        <f t="shared" si="40"/>
        <v>0</v>
      </c>
      <c r="H92" s="153">
        <f t="shared" si="40"/>
        <v>0</v>
      </c>
      <c r="I92" s="153">
        <f t="shared" si="40"/>
        <v>0</v>
      </c>
      <c r="J92" s="153">
        <f t="shared" si="40"/>
        <v>0</v>
      </c>
      <c r="K92" s="153">
        <f t="shared" si="40"/>
        <v>0</v>
      </c>
      <c r="L92" s="153">
        <f t="shared" si="40"/>
        <v>0</v>
      </c>
      <c r="M92" s="153">
        <f t="shared" si="40"/>
        <v>1</v>
      </c>
      <c r="N92" s="153">
        <f t="shared" si="40"/>
        <v>2</v>
      </c>
    </row>
    <row r="93" spans="1:256" ht="15" customHeight="1" x14ac:dyDescent="0.25">
      <c r="A93" s="8"/>
      <c r="B93" s="261" t="s">
        <v>209</v>
      </c>
      <c r="C93" s="261" t="s">
        <v>210</v>
      </c>
      <c r="D93" s="163">
        <f>D70</f>
        <v>3558360</v>
      </c>
      <c r="E93" s="163">
        <f t="shared" ref="E93:N93" si="41">E70</f>
        <v>1000000</v>
      </c>
      <c r="F93" s="163">
        <f t="shared" si="41"/>
        <v>450000</v>
      </c>
      <c r="G93" s="163">
        <f t="shared" si="41"/>
        <v>20000</v>
      </c>
      <c r="H93" s="163">
        <f t="shared" si="41"/>
        <v>21000</v>
      </c>
      <c r="I93" s="163">
        <f t="shared" si="41"/>
        <v>22050</v>
      </c>
      <c r="J93" s="163">
        <f t="shared" si="41"/>
        <v>23152.5</v>
      </c>
      <c r="K93" s="163">
        <f t="shared" si="41"/>
        <v>24310.125</v>
      </c>
      <c r="L93" s="163">
        <f t="shared" si="41"/>
        <v>25525.631250000002</v>
      </c>
      <c r="M93" s="163">
        <f t="shared" si="41"/>
        <v>26801.912812500002</v>
      </c>
      <c r="N93" s="163">
        <f t="shared" si="41"/>
        <v>28142.008453125003</v>
      </c>
    </row>
    <row r="94" spans="1:256" ht="15" customHeight="1" x14ac:dyDescent="0.25">
      <c r="A94" s="8"/>
      <c r="B94" s="273" t="s">
        <v>244</v>
      </c>
      <c r="C94" s="273" t="s">
        <v>254</v>
      </c>
      <c r="D94" s="149">
        <f t="shared" ref="D94:N94" si="42">D90-D92-D93</f>
        <v>-3267660</v>
      </c>
      <c r="E94" s="149">
        <f t="shared" si="42"/>
        <v>-332574.99999999977</v>
      </c>
      <c r="F94" s="149">
        <f t="shared" si="42"/>
        <v>573099.90000000061</v>
      </c>
      <c r="G94" s="149">
        <f t="shared" si="42"/>
        <v>1084330.5070000004</v>
      </c>
      <c r="H94" s="149">
        <f t="shared" si="42"/>
        <v>1123936.0679100002</v>
      </c>
      <c r="I94" s="149">
        <f t="shared" si="42"/>
        <v>1164281.068236301</v>
      </c>
      <c r="J94" s="149">
        <f t="shared" si="42"/>
        <v>1205377.7345969197</v>
      </c>
      <c r="K94" s="149">
        <f t="shared" si="42"/>
        <v>1247238.4121763152</v>
      </c>
      <c r="L94" s="149">
        <f t="shared" si="42"/>
        <v>1289875.5608626944</v>
      </c>
      <c r="M94" s="149">
        <f t="shared" si="42"/>
        <v>1333300.750998297</v>
      </c>
      <c r="N94" s="305">
        <f t="shared" si="42"/>
        <v>1377527.658719484</v>
      </c>
    </row>
    <row r="95" spans="1:256" ht="15" customHeight="1" x14ac:dyDescent="0.25">
      <c r="A95" s="8"/>
      <c r="B95" s="75"/>
      <c r="C95" s="75"/>
      <c r="D95" s="75"/>
      <c r="E95" s="153"/>
      <c r="F95" s="153"/>
      <c r="G95" s="153"/>
      <c r="H95" s="153"/>
      <c r="I95" s="153"/>
      <c r="J95" s="153"/>
      <c r="K95" s="153"/>
      <c r="L95" s="153"/>
      <c r="M95" s="153"/>
      <c r="N95" s="198"/>
    </row>
    <row r="96" spans="1:256" ht="15" customHeight="1" x14ac:dyDescent="0.25">
      <c r="A96" s="8"/>
      <c r="B96" s="157" t="s">
        <v>246</v>
      </c>
      <c r="C96" s="157" t="s">
        <v>322</v>
      </c>
      <c r="D96" s="278" t="s">
        <v>133</v>
      </c>
      <c r="E96" s="278" t="s">
        <v>134</v>
      </c>
      <c r="F96" s="278" t="s">
        <v>135</v>
      </c>
      <c r="G96" s="278" t="s">
        <v>136</v>
      </c>
      <c r="H96" s="278" t="s">
        <v>137</v>
      </c>
      <c r="I96" s="278" t="s">
        <v>138</v>
      </c>
      <c r="J96" s="278" t="s">
        <v>139</v>
      </c>
      <c r="K96" s="278" t="s">
        <v>140</v>
      </c>
      <c r="L96" s="278" t="s">
        <v>141</v>
      </c>
      <c r="M96" s="278" t="s">
        <v>142</v>
      </c>
      <c r="N96" s="278" t="s">
        <v>488</v>
      </c>
    </row>
    <row r="97" spans="1:14" ht="15" customHeight="1" x14ac:dyDescent="0.25">
      <c r="A97" s="8"/>
      <c r="B97" s="75"/>
      <c r="C97" s="75"/>
      <c r="D97" s="149">
        <f>D94</f>
        <v>-3267660</v>
      </c>
      <c r="E97" s="149">
        <f t="shared" ref="E97:N97" si="43">E94</f>
        <v>-332574.99999999977</v>
      </c>
      <c r="F97" s="149">
        <f t="shared" si="43"/>
        <v>573099.90000000061</v>
      </c>
      <c r="G97" s="149">
        <f t="shared" si="43"/>
        <v>1084330.5070000004</v>
      </c>
      <c r="H97" s="149">
        <f t="shared" si="43"/>
        <v>1123936.0679100002</v>
      </c>
      <c r="I97" s="149">
        <f t="shared" si="43"/>
        <v>1164281.068236301</v>
      </c>
      <c r="J97" s="149">
        <f t="shared" si="43"/>
        <v>1205377.7345969197</v>
      </c>
      <c r="K97" s="149">
        <f t="shared" si="43"/>
        <v>1247238.4121763152</v>
      </c>
      <c r="L97" s="149">
        <f t="shared" si="43"/>
        <v>1289875.5608626944</v>
      </c>
      <c r="M97" s="149">
        <f t="shared" si="43"/>
        <v>1333300.750998297</v>
      </c>
      <c r="N97" s="305">
        <f t="shared" si="43"/>
        <v>1377527.658719484</v>
      </c>
    </row>
    <row r="98" spans="1:14" ht="15" customHeight="1" x14ac:dyDescent="0.25">
      <c r="A98" s="8"/>
      <c r="B98" s="555" t="s">
        <v>248</v>
      </c>
      <c r="C98" s="270" t="s">
        <v>249</v>
      </c>
      <c r="D98" s="371">
        <f>IRR(D97:M97)</f>
        <v>0.18608748388396035</v>
      </c>
      <c r="E98" s="322"/>
      <c r="F98" s="153"/>
      <c r="G98" s="153"/>
      <c r="H98" s="153"/>
      <c r="I98" s="153"/>
      <c r="J98" s="153"/>
      <c r="K98" s="153"/>
      <c r="L98" s="153"/>
      <c r="M98" s="153"/>
      <c r="N98" s="198"/>
    </row>
    <row r="99" spans="1:14" ht="15" customHeight="1" x14ac:dyDescent="0.25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</row>
    <row r="100" spans="1:14" ht="15" customHeight="1" x14ac:dyDescent="0.25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</row>
    <row r="101" spans="1:14" ht="15" customHeight="1" x14ac:dyDescent="0.25">
      <c r="A101" s="8"/>
      <c r="B101" s="324" t="s">
        <v>252</v>
      </c>
      <c r="C101" s="324" t="s">
        <v>253</v>
      </c>
      <c r="D101" s="372"/>
      <c r="E101" s="6"/>
      <c r="F101" s="6"/>
      <c r="G101" s="6"/>
      <c r="H101" s="6"/>
      <c r="I101" s="6"/>
      <c r="J101" s="6"/>
      <c r="K101" s="6"/>
      <c r="L101" s="6"/>
      <c r="M101" s="6"/>
      <c r="N101" s="7"/>
    </row>
    <row r="102" spans="1:14" ht="15" customHeight="1" x14ac:dyDescent="0.25">
      <c r="A102" s="8"/>
      <c r="B102" s="335"/>
      <c r="C102" s="335"/>
      <c r="D102" s="278" t="s">
        <v>133</v>
      </c>
      <c r="E102" s="278" t="s">
        <v>134</v>
      </c>
      <c r="F102" s="278" t="s">
        <v>135</v>
      </c>
      <c r="G102" s="278" t="s">
        <v>136</v>
      </c>
      <c r="H102" s="278" t="s">
        <v>137</v>
      </c>
      <c r="I102" s="278" t="s">
        <v>138</v>
      </c>
      <c r="J102" s="278" t="s">
        <v>139</v>
      </c>
      <c r="K102" s="278" t="s">
        <v>140</v>
      </c>
      <c r="L102" s="278" t="s">
        <v>141</v>
      </c>
      <c r="M102" s="278" t="s">
        <v>142</v>
      </c>
      <c r="N102" s="278" t="s">
        <v>488</v>
      </c>
    </row>
    <row r="103" spans="1:14" ht="15" customHeight="1" x14ac:dyDescent="0.25">
      <c r="A103" s="8"/>
      <c r="B103" s="157" t="s">
        <v>244</v>
      </c>
      <c r="C103" s="157" t="s">
        <v>254</v>
      </c>
      <c r="D103" s="149">
        <f>D94+Offering!C16</f>
        <v>-1209300</v>
      </c>
      <c r="E103" s="310">
        <f t="shared" ref="E103:N103" si="44">E94</f>
        <v>-332574.99999999977</v>
      </c>
      <c r="F103" s="310">
        <f t="shared" si="44"/>
        <v>573099.90000000061</v>
      </c>
      <c r="G103" s="310">
        <f t="shared" si="44"/>
        <v>1084330.5070000004</v>
      </c>
      <c r="H103" s="310">
        <f t="shared" si="44"/>
        <v>1123936.0679100002</v>
      </c>
      <c r="I103" s="310">
        <f t="shared" si="44"/>
        <v>1164281.068236301</v>
      </c>
      <c r="J103" s="310">
        <f t="shared" si="44"/>
        <v>1205377.7345969197</v>
      </c>
      <c r="K103" s="310">
        <f t="shared" si="44"/>
        <v>1247238.4121763152</v>
      </c>
      <c r="L103" s="310">
        <f t="shared" si="44"/>
        <v>1289875.5608626944</v>
      </c>
      <c r="M103" s="310">
        <f t="shared" si="44"/>
        <v>1333300.750998297</v>
      </c>
      <c r="N103" s="311">
        <f t="shared" si="44"/>
        <v>1377527.658719484</v>
      </c>
    </row>
    <row r="104" spans="1:14" ht="15" customHeight="1" x14ac:dyDescent="0.25">
      <c r="A104" s="8"/>
      <c r="B104" s="373" t="s">
        <v>207</v>
      </c>
      <c r="C104" s="373" t="s">
        <v>255</v>
      </c>
      <c r="D104" s="153">
        <f>D69</f>
        <v>164668.80000000002</v>
      </c>
      <c r="E104" s="153">
        <f t="shared" ref="E104:N104" si="45">E69</f>
        <v>321566.42370349838</v>
      </c>
      <c r="F104" s="153">
        <f t="shared" si="45"/>
        <v>321566.42370349838</v>
      </c>
      <c r="G104" s="153">
        <f t="shared" si="45"/>
        <v>321566.42370349844</v>
      </c>
      <c r="H104" s="153">
        <f t="shared" si="45"/>
        <v>321566.42370349832</v>
      </c>
      <c r="I104" s="153">
        <f t="shared" si="45"/>
        <v>321566.42370349838</v>
      </c>
      <c r="J104" s="153">
        <f t="shared" si="45"/>
        <v>321566.42370349838</v>
      </c>
      <c r="K104" s="153">
        <f t="shared" si="45"/>
        <v>321566.42370349844</v>
      </c>
      <c r="L104" s="153">
        <f t="shared" si="45"/>
        <v>297033.07317427034</v>
      </c>
      <c r="M104" s="153">
        <f t="shared" si="45"/>
        <v>366909.37279120844</v>
      </c>
      <c r="N104" s="153">
        <f t="shared" si="45"/>
        <v>37112.886001376166</v>
      </c>
    </row>
    <row r="105" spans="1:14" ht="15" customHeight="1" x14ac:dyDescent="0.25">
      <c r="A105" s="8"/>
      <c r="B105" s="373" t="s">
        <v>325</v>
      </c>
      <c r="C105" s="373" t="s">
        <v>326</v>
      </c>
      <c r="D105" s="149">
        <f>D103-D104</f>
        <v>-1373968.8</v>
      </c>
      <c r="E105" s="149">
        <f t="shared" ref="E105:N105" si="46">E103-E104</f>
        <v>-654141.42370349821</v>
      </c>
      <c r="F105" s="149">
        <f t="shared" si="46"/>
        <v>251533.47629650222</v>
      </c>
      <c r="G105" s="149">
        <f t="shared" si="46"/>
        <v>762764.08329650201</v>
      </c>
      <c r="H105" s="149">
        <f t="shared" si="46"/>
        <v>802369.64420650189</v>
      </c>
      <c r="I105" s="149">
        <f t="shared" si="46"/>
        <v>842714.64453280251</v>
      </c>
      <c r="J105" s="149">
        <f t="shared" si="46"/>
        <v>883811.31089342129</v>
      </c>
      <c r="K105" s="149">
        <f t="shared" si="46"/>
        <v>925671.98847281677</v>
      </c>
      <c r="L105" s="149">
        <f t="shared" si="46"/>
        <v>992842.48768842407</v>
      </c>
      <c r="M105" s="149">
        <f t="shared" si="46"/>
        <v>966391.37820708856</v>
      </c>
      <c r="N105" s="149">
        <f t="shared" si="46"/>
        <v>1340414.7727181078</v>
      </c>
    </row>
    <row r="106" spans="1:14" ht="15" customHeight="1" x14ac:dyDescent="0.25">
      <c r="A106" s="8"/>
      <c r="B106" s="374"/>
      <c r="C106" s="374"/>
      <c r="D106" s="374"/>
      <c r="E106" s="375"/>
      <c r="F106" s="375"/>
      <c r="G106" s="375"/>
      <c r="H106" s="375"/>
      <c r="I106" s="375"/>
      <c r="J106" s="375"/>
      <c r="K106" s="375"/>
      <c r="L106" s="375"/>
      <c r="M106" s="375"/>
      <c r="N106" s="376"/>
    </row>
    <row r="107" spans="1:14" ht="15" customHeight="1" x14ac:dyDescent="0.25">
      <c r="A107" s="8"/>
      <c r="B107" s="157" t="s">
        <v>327</v>
      </c>
      <c r="C107" s="157" t="s">
        <v>328</v>
      </c>
      <c r="D107" s="75"/>
      <c r="E107" s="377">
        <f>E103/E104</f>
        <v>-1.0342342218746441</v>
      </c>
      <c r="F107" s="377">
        <f t="shared" ref="F107:N107" si="47">F103/F104</f>
        <v>1.7822131222519353</v>
      </c>
      <c r="G107" s="377">
        <f t="shared" si="47"/>
        <v>3.3720265148074402</v>
      </c>
      <c r="H107" s="377">
        <f t="shared" si="47"/>
        <v>3.4951909934052385</v>
      </c>
      <c r="I107" s="377">
        <f t="shared" si="47"/>
        <v>3.6206549639953423</v>
      </c>
      <c r="J107" s="377">
        <f t="shared" si="47"/>
        <v>3.7484564486382546</v>
      </c>
      <c r="K107" s="377">
        <f t="shared" si="47"/>
        <v>3.8786338381097156</v>
      </c>
      <c r="L107" s="377">
        <f t="shared" si="47"/>
        <v>4.3425317830042447</v>
      </c>
      <c r="M107" s="377">
        <f t="shared" si="47"/>
        <v>3.6338694235456837</v>
      </c>
      <c r="N107" s="377">
        <f t="shared" si="47"/>
        <v>37.117233584809455</v>
      </c>
    </row>
    <row r="108" spans="1:14" ht="15" customHeight="1" x14ac:dyDescent="0.25">
      <c r="A108" s="8"/>
      <c r="B108" s="75"/>
      <c r="C108" s="75"/>
      <c r="D108" s="75"/>
      <c r="E108" s="378"/>
      <c r="F108" s="378"/>
      <c r="G108" s="378"/>
      <c r="H108" s="378"/>
      <c r="I108" s="378"/>
      <c r="J108" s="378"/>
      <c r="K108" s="378"/>
      <c r="L108" s="378"/>
      <c r="M108" s="378"/>
      <c r="N108" s="379"/>
    </row>
    <row r="109" spans="1:14" ht="15" customHeight="1" x14ac:dyDescent="0.25">
      <c r="A109" s="8"/>
      <c r="B109" s="157" t="s">
        <v>261</v>
      </c>
      <c r="C109" s="157" t="s">
        <v>262</v>
      </c>
      <c r="D109" s="278" t="s">
        <v>133</v>
      </c>
      <c r="E109" s="278" t="s">
        <v>134</v>
      </c>
      <c r="F109" s="278" t="s">
        <v>135</v>
      </c>
      <c r="G109" s="278" t="s">
        <v>136</v>
      </c>
      <c r="H109" s="278" t="s">
        <v>137</v>
      </c>
      <c r="I109" s="278" t="s">
        <v>138</v>
      </c>
      <c r="J109" s="278" t="s">
        <v>139</v>
      </c>
      <c r="K109" s="278" t="s">
        <v>140</v>
      </c>
      <c r="L109" s="278" t="s">
        <v>141</v>
      </c>
      <c r="M109" s="278" t="s">
        <v>142</v>
      </c>
      <c r="N109" s="278" t="s">
        <v>488</v>
      </c>
    </row>
    <row r="110" spans="1:14" ht="15" customHeight="1" x14ac:dyDescent="0.25">
      <c r="A110" s="8"/>
      <c r="B110" s="75"/>
      <c r="C110" s="75"/>
      <c r="D110" s="149">
        <f>D105</f>
        <v>-1373968.8</v>
      </c>
      <c r="E110" s="149">
        <f t="shared" ref="E110:N110" si="48">E105</f>
        <v>-654141.42370349821</v>
      </c>
      <c r="F110" s="149">
        <f t="shared" si="48"/>
        <v>251533.47629650222</v>
      </c>
      <c r="G110" s="149">
        <f t="shared" si="48"/>
        <v>762764.08329650201</v>
      </c>
      <c r="H110" s="149">
        <f t="shared" si="48"/>
        <v>802369.64420650189</v>
      </c>
      <c r="I110" s="149">
        <f t="shared" si="48"/>
        <v>842714.64453280251</v>
      </c>
      <c r="J110" s="149">
        <f t="shared" si="48"/>
        <v>883811.31089342129</v>
      </c>
      <c r="K110" s="149">
        <f t="shared" si="48"/>
        <v>925671.98847281677</v>
      </c>
      <c r="L110" s="149">
        <f t="shared" si="48"/>
        <v>992842.48768842407</v>
      </c>
      <c r="M110" s="149">
        <f t="shared" si="48"/>
        <v>966391.37820708856</v>
      </c>
      <c r="N110" s="149">
        <f t="shared" si="48"/>
        <v>1340414.7727181078</v>
      </c>
    </row>
    <row r="111" spans="1:14" ht="15" customHeight="1" x14ac:dyDescent="0.25">
      <c r="A111" s="8"/>
      <c r="B111" s="342" t="s">
        <v>323</v>
      </c>
      <c r="C111" s="342" t="s">
        <v>249</v>
      </c>
      <c r="D111" s="371">
        <f>IRR(D110:N110)</f>
        <v>0.2658383406622562</v>
      </c>
      <c r="E111" s="48"/>
      <c r="F111" s="323"/>
      <c r="G111" s="6"/>
      <c r="H111" s="6"/>
      <c r="I111" s="6"/>
      <c r="J111" s="6"/>
      <c r="K111" s="6"/>
      <c r="L111" s="339"/>
      <c r="M111" s="6"/>
      <c r="N111" s="58"/>
    </row>
    <row r="112" spans="1:14" ht="15" customHeight="1" x14ac:dyDescent="0.25">
      <c r="A112" s="380"/>
      <c r="B112" s="381" t="s">
        <v>324</v>
      </c>
      <c r="C112" s="344"/>
      <c r="D112" s="382"/>
      <c r="E112" s="62"/>
      <c r="F112" s="62"/>
      <c r="G112" s="62"/>
      <c r="H112" s="62"/>
      <c r="I112" s="62"/>
      <c r="J112" s="62"/>
      <c r="K112" s="62"/>
      <c r="L112" s="62"/>
      <c r="M112" s="62"/>
      <c r="N112" s="57"/>
    </row>
  </sheetData>
  <conditionalFormatting sqref="D12:N12 D33:N34 D36:N36 D38:N38 F44:N44 D47:N47 D57:N57 D59:N62 D64:N64 D66:N66 D73:N74 E83:N84 E89:N89 D90:N90 E91:N91 D94:N94 E95:N95 D97:N97 F98:N98 D17:N20 D23:N25 D29:N31 D41:N43 D50:N55 D68:N71 D79:N82 D85:N88 D103:N105 E107:N107 D110:N110">
    <cfRule type="cellIs" dxfId="5" priority="1" stopIfTrue="1" operator="lessThan">
      <formula>0</formula>
    </cfRule>
  </conditionalFormatting>
  <pageMargins left="0.2" right="0.2" top="0.59" bottom="0.2" header="0.5" footer="0.5"/>
  <pageSetup scale="80" orientation="landscape" r:id="rId1"/>
  <headerFooter>
    <oddFooter>&amp;C&amp;"Helvetica,Regular"&amp;12&amp;K000000&amp;P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148"/>
  <sheetViews>
    <sheetView showGridLines="0" workbookViewId="0">
      <selection activeCell="P19" sqref="P19"/>
    </sheetView>
  </sheetViews>
  <sheetFormatPr defaultColWidth="11.42578125" defaultRowHeight="15" customHeight="1" x14ac:dyDescent="0.25"/>
  <cols>
    <col min="1" max="1" width="34.85546875" style="407" customWidth="1"/>
    <col min="2" max="2" width="11.42578125" style="407" customWidth="1"/>
    <col min="3" max="3" width="11.85546875" style="407" customWidth="1"/>
    <col min="4" max="4" width="1.85546875" style="407" customWidth="1"/>
    <col min="5" max="5" width="6.85546875" style="407" customWidth="1"/>
    <col min="6" max="6" width="11.42578125" style="407" customWidth="1"/>
    <col min="7" max="7" width="11.85546875" style="407" customWidth="1"/>
    <col min="8" max="9" width="11.42578125" style="407" customWidth="1"/>
    <col min="10" max="10" width="11.85546875" style="407" customWidth="1"/>
    <col min="11" max="256" width="11.42578125" style="407" customWidth="1"/>
  </cols>
  <sheetData>
    <row r="1" spans="1:12" ht="15.75" customHeight="1" x14ac:dyDescent="0.25">
      <c r="A1" s="557" t="s">
        <v>492</v>
      </c>
      <c r="B1" s="3"/>
      <c r="C1" s="3"/>
      <c r="D1" s="3"/>
      <c r="E1" s="3"/>
      <c r="F1" s="3"/>
      <c r="G1" s="3"/>
      <c r="H1" s="3"/>
      <c r="I1" s="3"/>
      <c r="J1" s="3"/>
      <c r="K1" s="57"/>
      <c r="L1" s="59"/>
    </row>
    <row r="2" spans="1:12" ht="15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57"/>
      <c r="L2" s="59"/>
    </row>
    <row r="3" spans="1:12" ht="16.5" customHeight="1" x14ac:dyDescent="0.25">
      <c r="A3" s="383"/>
      <c r="B3" s="384"/>
      <c r="C3" s="384"/>
      <c r="D3" s="6"/>
      <c r="E3" s="6"/>
      <c r="F3" s="408">
        <v>43465</v>
      </c>
      <c r="G3" s="6"/>
      <c r="H3" s="6"/>
      <c r="I3" s="6"/>
      <c r="J3" s="6"/>
      <c r="K3" s="57"/>
      <c r="L3" s="59"/>
    </row>
    <row r="4" spans="1:12" ht="15.75" customHeight="1" x14ac:dyDescent="0.25">
      <c r="A4" s="385" t="s">
        <v>340</v>
      </c>
      <c r="B4" s="39"/>
      <c r="C4" s="386">
        <f>Offering!C16</f>
        <v>2058360</v>
      </c>
      <c r="D4" s="387"/>
      <c r="E4" s="260" t="s">
        <v>329</v>
      </c>
      <c r="F4" s="260" t="s">
        <v>330</v>
      </c>
      <c r="G4" s="260" t="s">
        <v>331</v>
      </c>
      <c r="H4" s="260" t="s">
        <v>332</v>
      </c>
      <c r="I4" s="260" t="s">
        <v>333</v>
      </c>
      <c r="J4" s="260" t="s">
        <v>334</v>
      </c>
      <c r="K4" s="57"/>
      <c r="L4" s="59"/>
    </row>
    <row r="5" spans="1:12" ht="15" customHeight="1" x14ac:dyDescent="0.25">
      <c r="A5" s="388" t="s">
        <v>335</v>
      </c>
      <c r="B5" s="6"/>
      <c r="C5" s="389">
        <v>120</v>
      </c>
      <c r="D5" s="387"/>
      <c r="E5" s="390">
        <v>1</v>
      </c>
      <c r="F5" s="409">
        <v>43496</v>
      </c>
      <c r="G5" s="410">
        <f>C4</f>
        <v>2058360</v>
      </c>
      <c r="H5" s="391">
        <f>(G5*$C$9)*(F5-F3)/365</f>
        <v>13985.569315068495</v>
      </c>
      <c r="I5" s="392"/>
      <c r="J5" s="393">
        <f t="shared" ref="J5:J36" si="0">G5-I5</f>
        <v>2058360</v>
      </c>
      <c r="K5" s="57"/>
      <c r="L5" s="59"/>
    </row>
    <row r="6" spans="1:12" ht="15.75" customHeight="1" x14ac:dyDescent="0.25">
      <c r="A6" s="394" t="s">
        <v>336</v>
      </c>
      <c r="B6" s="6"/>
      <c r="C6" s="389">
        <v>12</v>
      </c>
      <c r="D6" s="387"/>
      <c r="E6" s="390">
        <v>2</v>
      </c>
      <c r="F6" s="411">
        <v>43524</v>
      </c>
      <c r="G6" s="393">
        <f t="shared" ref="G6:G16" si="1">J5</f>
        <v>2058360</v>
      </c>
      <c r="H6" s="395">
        <f t="shared" ref="H6:H37" si="2">(G6*$C$9)*(F6-F5)/365</f>
        <v>12632.127123287672</v>
      </c>
      <c r="I6" s="392"/>
      <c r="J6" s="393">
        <f t="shared" si="0"/>
        <v>2058360</v>
      </c>
      <c r="K6" s="57"/>
      <c r="L6" s="59"/>
    </row>
    <row r="7" spans="1:12" ht="15.75" customHeight="1" x14ac:dyDescent="0.25">
      <c r="A7" s="394" t="s">
        <v>337</v>
      </c>
      <c r="B7" s="6"/>
      <c r="C7" s="389">
        <f>C5-C6</f>
        <v>108</v>
      </c>
      <c r="D7" s="387"/>
      <c r="E7" s="390">
        <v>3</v>
      </c>
      <c r="F7" s="409">
        <v>43555</v>
      </c>
      <c r="G7" s="393">
        <f t="shared" si="1"/>
        <v>2058360</v>
      </c>
      <c r="H7" s="395">
        <f t="shared" si="2"/>
        <v>13985.569315068495</v>
      </c>
      <c r="I7" s="392"/>
      <c r="J7" s="393">
        <f t="shared" si="0"/>
        <v>2058360</v>
      </c>
      <c r="K7" s="57"/>
      <c r="L7" s="59"/>
    </row>
    <row r="8" spans="1:12" ht="15.75" customHeight="1" x14ac:dyDescent="0.25">
      <c r="A8" s="394" t="s">
        <v>338</v>
      </c>
      <c r="B8" s="6"/>
      <c r="C8" s="396">
        <f>PMT(C9/12,C7,-C4)</f>
        <v>26797.201975291533</v>
      </c>
      <c r="D8" s="387"/>
      <c r="E8" s="390">
        <v>4</v>
      </c>
      <c r="F8" s="409">
        <v>43585</v>
      </c>
      <c r="G8" s="393">
        <f t="shared" si="1"/>
        <v>2058360</v>
      </c>
      <c r="H8" s="395">
        <f t="shared" si="2"/>
        <v>13534.421917808222</v>
      </c>
      <c r="I8" s="392"/>
      <c r="J8" s="393">
        <f t="shared" si="0"/>
        <v>2058360</v>
      </c>
      <c r="K8" s="57"/>
      <c r="L8" s="59"/>
    </row>
    <row r="9" spans="1:12" ht="16.5" customHeight="1" x14ac:dyDescent="0.25">
      <c r="A9" s="397" t="s">
        <v>339</v>
      </c>
      <c r="B9" s="384"/>
      <c r="C9" s="398">
        <f>Offering!C21</f>
        <v>0.08</v>
      </c>
      <c r="D9" s="387"/>
      <c r="E9" s="390">
        <v>5</v>
      </c>
      <c r="F9" s="411">
        <v>43616</v>
      </c>
      <c r="G9" s="393">
        <f t="shared" si="1"/>
        <v>2058360</v>
      </c>
      <c r="H9" s="395">
        <f t="shared" si="2"/>
        <v>13985.569315068495</v>
      </c>
      <c r="I9" s="392"/>
      <c r="J9" s="393">
        <f t="shared" si="0"/>
        <v>2058360</v>
      </c>
      <c r="K9" s="57"/>
      <c r="L9" s="59"/>
    </row>
    <row r="10" spans="1:12" ht="15.75" customHeight="1" x14ac:dyDescent="0.25">
      <c r="A10" s="399"/>
      <c r="B10" s="39"/>
      <c r="C10" s="39"/>
      <c r="D10" s="6"/>
      <c r="E10" s="390">
        <v>6</v>
      </c>
      <c r="F10" s="409">
        <v>43646</v>
      </c>
      <c r="G10" s="393">
        <f t="shared" si="1"/>
        <v>2058360</v>
      </c>
      <c r="H10" s="395">
        <f t="shared" si="2"/>
        <v>13534.421917808222</v>
      </c>
      <c r="I10" s="392"/>
      <c r="J10" s="393">
        <f t="shared" si="0"/>
        <v>2058360</v>
      </c>
      <c r="K10" s="57"/>
      <c r="L10" s="59"/>
    </row>
    <row r="11" spans="1:12" ht="15.75" customHeight="1" x14ac:dyDescent="0.25">
      <c r="A11"/>
      <c r="B11"/>
      <c r="C11"/>
      <c r="D11"/>
      <c r="E11" s="390">
        <v>7</v>
      </c>
      <c r="F11" s="409">
        <v>43677</v>
      </c>
      <c r="G11" s="393">
        <f t="shared" si="1"/>
        <v>2058360</v>
      </c>
      <c r="H11" s="395">
        <f t="shared" si="2"/>
        <v>13985.569315068495</v>
      </c>
      <c r="I11" s="392"/>
      <c r="J11" s="393">
        <f t="shared" si="0"/>
        <v>2058360</v>
      </c>
      <c r="K11" s="57"/>
      <c r="L11" s="59"/>
    </row>
    <row r="12" spans="1:12" ht="15.75" customHeight="1" x14ac:dyDescent="0.25">
      <c r="A12"/>
      <c r="B12"/>
      <c r="C12"/>
      <c r="D12"/>
      <c r="E12" s="390">
        <v>8</v>
      </c>
      <c r="F12" s="411">
        <v>43708</v>
      </c>
      <c r="G12" s="393">
        <f t="shared" si="1"/>
        <v>2058360</v>
      </c>
      <c r="H12" s="395">
        <f t="shared" si="2"/>
        <v>13985.569315068495</v>
      </c>
      <c r="I12" s="392"/>
      <c r="J12" s="393">
        <f t="shared" si="0"/>
        <v>2058360</v>
      </c>
      <c r="K12" s="57"/>
      <c r="L12" s="59"/>
    </row>
    <row r="13" spans="1:12" ht="15" customHeight="1" x14ac:dyDescent="0.25">
      <c r="A13"/>
      <c r="B13"/>
      <c r="C13"/>
      <c r="D13"/>
      <c r="E13" s="390">
        <v>9</v>
      </c>
      <c r="F13" s="409">
        <v>43738</v>
      </c>
      <c r="G13" s="393">
        <f t="shared" si="1"/>
        <v>2058360</v>
      </c>
      <c r="H13" s="395">
        <f t="shared" si="2"/>
        <v>13534.421917808222</v>
      </c>
      <c r="I13" s="392"/>
      <c r="J13" s="393">
        <f t="shared" si="0"/>
        <v>2058360</v>
      </c>
      <c r="K13" s="57"/>
      <c r="L13" s="59"/>
    </row>
    <row r="14" spans="1:12" ht="15.75" customHeight="1" x14ac:dyDescent="0.25">
      <c r="A14"/>
      <c r="B14"/>
      <c r="C14"/>
      <c r="D14"/>
      <c r="E14" s="390">
        <v>10</v>
      </c>
      <c r="F14" s="409">
        <v>43769</v>
      </c>
      <c r="G14" s="393">
        <f t="shared" si="1"/>
        <v>2058360</v>
      </c>
      <c r="H14" s="395">
        <f t="shared" si="2"/>
        <v>13985.569315068495</v>
      </c>
      <c r="I14" s="392"/>
      <c r="J14" s="393">
        <f t="shared" si="0"/>
        <v>2058360</v>
      </c>
      <c r="K14" s="57"/>
      <c r="L14" s="59"/>
    </row>
    <row r="15" spans="1:12" ht="15.75" customHeight="1" x14ac:dyDescent="0.25">
      <c r="A15"/>
      <c r="B15"/>
      <c r="C15"/>
      <c r="D15"/>
      <c r="E15" s="390">
        <v>11</v>
      </c>
      <c r="F15" s="411">
        <v>43799</v>
      </c>
      <c r="G15" s="393">
        <f t="shared" si="1"/>
        <v>2058360</v>
      </c>
      <c r="H15" s="395">
        <f t="shared" si="2"/>
        <v>13534.421917808222</v>
      </c>
      <c r="I15" s="392"/>
      <c r="J15" s="393">
        <f t="shared" si="0"/>
        <v>2058360</v>
      </c>
      <c r="K15" s="57"/>
      <c r="L15" s="59"/>
    </row>
    <row r="16" spans="1:12" ht="15.75" customHeight="1" x14ac:dyDescent="0.25">
      <c r="A16"/>
      <c r="B16"/>
      <c r="C16"/>
      <c r="D16"/>
      <c r="E16" s="412">
        <v>12</v>
      </c>
      <c r="F16" s="409">
        <v>43830</v>
      </c>
      <c r="G16" s="413">
        <f t="shared" si="1"/>
        <v>2058360</v>
      </c>
      <c r="H16" s="414">
        <f t="shared" si="2"/>
        <v>13985.569315068495</v>
      </c>
      <c r="I16" s="415"/>
      <c r="J16" s="413">
        <f t="shared" si="0"/>
        <v>2058360</v>
      </c>
      <c r="K16" s="57"/>
      <c r="L16" s="59"/>
    </row>
    <row r="17" spans="1:12" ht="16.5" customHeight="1" x14ac:dyDescent="0.25">
      <c r="A17"/>
      <c r="B17"/>
      <c r="C17"/>
      <c r="D17"/>
      <c r="E17" s="404">
        <v>13</v>
      </c>
      <c r="F17" s="409">
        <v>43861</v>
      </c>
      <c r="G17" s="355">
        <f>C4</f>
        <v>2058360</v>
      </c>
      <c r="H17" s="355">
        <f t="shared" si="2"/>
        <v>13985.569315068495</v>
      </c>
      <c r="I17" s="355">
        <f>$C$8-H17</f>
        <v>12811.632660223038</v>
      </c>
      <c r="J17" s="355">
        <f t="shared" si="0"/>
        <v>2045548.3673397771</v>
      </c>
      <c r="K17" s="59"/>
      <c r="L17" s="59"/>
    </row>
    <row r="18" spans="1:12" ht="15.6" customHeight="1" x14ac:dyDescent="0.25">
      <c r="A18"/>
      <c r="B18"/>
      <c r="C18"/>
      <c r="D18"/>
      <c r="E18" s="401">
        <v>14</v>
      </c>
      <c r="F18" s="411">
        <v>43890</v>
      </c>
      <c r="G18" s="347">
        <f t="shared" ref="G18:G49" si="3">J17</f>
        <v>2045548.3673397771</v>
      </c>
      <c r="H18" s="347">
        <f t="shared" si="2"/>
        <v>13001.841677337763</v>
      </c>
      <c r="I18" s="347">
        <f t="shared" ref="I18:I28" si="4">$C$8-H18</f>
        <v>13795.36029795377</v>
      </c>
      <c r="J18" s="347">
        <f t="shared" si="0"/>
        <v>2031753.0070418234</v>
      </c>
      <c r="K18" s="59"/>
      <c r="L18" s="59"/>
    </row>
    <row r="19" spans="1:12" ht="15" customHeight="1" x14ac:dyDescent="0.25">
      <c r="A19" s="8"/>
      <c r="B19" s="6"/>
      <c r="C19" s="6"/>
      <c r="D19" s="6"/>
      <c r="E19" s="401">
        <v>15</v>
      </c>
      <c r="F19" s="409">
        <v>43921</v>
      </c>
      <c r="G19" s="347">
        <f t="shared" si="3"/>
        <v>2031753.0070418234</v>
      </c>
      <c r="H19" s="347">
        <f t="shared" si="2"/>
        <v>13804.787554695127</v>
      </c>
      <c r="I19" s="347">
        <f t="shared" si="4"/>
        <v>12992.414420596406</v>
      </c>
      <c r="J19" s="347">
        <f t="shared" si="0"/>
        <v>2018760.592621227</v>
      </c>
      <c r="K19" s="59"/>
      <c r="L19" s="59"/>
    </row>
    <row r="20" spans="1:12" ht="15" customHeight="1" x14ac:dyDescent="0.25">
      <c r="A20" s="8"/>
      <c r="B20" s="6"/>
      <c r="C20" s="6"/>
      <c r="D20" s="6"/>
      <c r="E20" s="401">
        <v>16</v>
      </c>
      <c r="F20" s="409">
        <v>43951</v>
      </c>
      <c r="G20" s="347">
        <f t="shared" si="3"/>
        <v>2018760.592621227</v>
      </c>
      <c r="H20" s="347">
        <f t="shared" si="2"/>
        <v>13274.042252851903</v>
      </c>
      <c r="I20" s="347">
        <f t="shared" si="4"/>
        <v>13523.15972243963</v>
      </c>
      <c r="J20" s="347">
        <f t="shared" si="0"/>
        <v>2005237.4328987873</v>
      </c>
      <c r="K20" s="59"/>
      <c r="L20" s="59"/>
    </row>
    <row r="21" spans="1:12" ht="15" customHeight="1" x14ac:dyDescent="0.25">
      <c r="A21" s="8"/>
      <c r="B21" s="6"/>
      <c r="C21" s="6"/>
      <c r="D21" s="6"/>
      <c r="E21" s="401">
        <v>17</v>
      </c>
      <c r="F21" s="411">
        <v>43982</v>
      </c>
      <c r="G21" s="347">
        <f t="shared" si="3"/>
        <v>2005237.4328987873</v>
      </c>
      <c r="H21" s="347">
        <f t="shared" si="2"/>
        <v>13624.626941339704</v>
      </c>
      <c r="I21" s="347">
        <f t="shared" si="4"/>
        <v>13172.575033951829</v>
      </c>
      <c r="J21" s="347">
        <f t="shared" si="0"/>
        <v>1992064.8578648355</v>
      </c>
      <c r="K21" s="59"/>
      <c r="L21" s="59"/>
    </row>
    <row r="22" spans="1:12" ht="15" customHeight="1" x14ac:dyDescent="0.25">
      <c r="A22" s="8"/>
      <c r="B22" s="6"/>
      <c r="C22" s="6"/>
      <c r="D22" s="6"/>
      <c r="E22" s="401">
        <v>18</v>
      </c>
      <c r="F22" s="409">
        <v>44012</v>
      </c>
      <c r="G22" s="347">
        <f t="shared" si="3"/>
        <v>1992064.8578648355</v>
      </c>
      <c r="H22" s="347">
        <f t="shared" si="2"/>
        <v>13098.508654453715</v>
      </c>
      <c r="I22" s="347">
        <f t="shared" si="4"/>
        <v>13698.693320837818</v>
      </c>
      <c r="J22" s="347">
        <f t="shared" si="0"/>
        <v>1978366.1645439977</v>
      </c>
      <c r="K22" s="59"/>
      <c r="L22" s="59"/>
    </row>
    <row r="23" spans="1:12" ht="15" customHeight="1" x14ac:dyDescent="0.25">
      <c r="A23" s="8"/>
      <c r="B23" s="6"/>
      <c r="C23" s="6"/>
      <c r="D23" s="6"/>
      <c r="E23" s="401">
        <v>19</v>
      </c>
      <c r="F23" s="409">
        <v>44043</v>
      </c>
      <c r="G23" s="347">
        <f t="shared" si="3"/>
        <v>1978366.1645439977</v>
      </c>
      <c r="H23" s="347">
        <f t="shared" si="2"/>
        <v>13442.049556353739</v>
      </c>
      <c r="I23" s="347">
        <f t="shared" si="4"/>
        <v>13355.152418937794</v>
      </c>
      <c r="J23" s="347">
        <f t="shared" si="0"/>
        <v>1965011.01212506</v>
      </c>
      <c r="K23" s="59"/>
      <c r="L23" s="347">
        <f>SUM(H23:H34)</f>
        <v>152198.2490162488</v>
      </c>
    </row>
    <row r="24" spans="1:12" ht="15" customHeight="1" x14ac:dyDescent="0.25">
      <c r="A24" s="8"/>
      <c r="B24" s="6"/>
      <c r="C24" s="6"/>
      <c r="D24" s="6"/>
      <c r="E24" s="401">
        <v>20</v>
      </c>
      <c r="F24" s="411">
        <v>44074</v>
      </c>
      <c r="G24" s="347">
        <f t="shared" si="3"/>
        <v>1965011.01212506</v>
      </c>
      <c r="H24" s="347">
        <f t="shared" si="2"/>
        <v>13351.307698822326</v>
      </c>
      <c r="I24" s="347">
        <f t="shared" si="4"/>
        <v>13445.894276469207</v>
      </c>
      <c r="J24" s="347">
        <f t="shared" si="0"/>
        <v>1951565.1178485907</v>
      </c>
      <c r="K24" s="59"/>
      <c r="L24" s="59"/>
    </row>
    <row r="25" spans="1:12" ht="15" customHeight="1" x14ac:dyDescent="0.25">
      <c r="A25" s="8"/>
      <c r="B25" s="6"/>
      <c r="C25" s="6"/>
      <c r="D25" s="6"/>
      <c r="E25" s="401">
        <v>21</v>
      </c>
      <c r="F25" s="409">
        <v>44104</v>
      </c>
      <c r="G25" s="347">
        <f t="shared" si="3"/>
        <v>1951565.1178485907</v>
      </c>
      <c r="H25" s="347">
        <f t="shared" si="2"/>
        <v>12832.208994072926</v>
      </c>
      <c r="I25" s="347">
        <f t="shared" si="4"/>
        <v>13964.992981218607</v>
      </c>
      <c r="J25" s="347">
        <f t="shared" si="0"/>
        <v>1937600.1248673722</v>
      </c>
      <c r="K25" s="59"/>
      <c r="L25" s="59"/>
    </row>
    <row r="26" spans="1:12" ht="15" customHeight="1" x14ac:dyDescent="0.25">
      <c r="A26" s="8"/>
      <c r="B26" s="6"/>
      <c r="C26" s="6"/>
      <c r="D26" s="6"/>
      <c r="E26" s="401">
        <v>22</v>
      </c>
      <c r="F26" s="409">
        <v>44135</v>
      </c>
      <c r="G26" s="347">
        <f t="shared" si="3"/>
        <v>1937600.1248673722</v>
      </c>
      <c r="H26" s="347">
        <f t="shared" si="2"/>
        <v>13165.063862112554</v>
      </c>
      <c r="I26" s="347">
        <f t="shared" si="4"/>
        <v>13632.138113178979</v>
      </c>
      <c r="J26" s="347">
        <f t="shared" si="0"/>
        <v>1923967.9867541932</v>
      </c>
      <c r="K26" s="59"/>
      <c r="L26" s="59"/>
    </row>
    <row r="27" spans="1:12" ht="15" customHeight="1" x14ac:dyDescent="0.25">
      <c r="A27" s="8"/>
      <c r="B27" s="6"/>
      <c r="C27" s="6"/>
      <c r="D27" s="6"/>
      <c r="E27" s="401">
        <v>23</v>
      </c>
      <c r="F27" s="411">
        <v>44165</v>
      </c>
      <c r="G27" s="347">
        <f t="shared" si="3"/>
        <v>1923967.9867541932</v>
      </c>
      <c r="H27" s="347">
        <f t="shared" si="2"/>
        <v>12650.74840605497</v>
      </c>
      <c r="I27" s="347">
        <f t="shared" si="4"/>
        <v>14146.453569236563</v>
      </c>
      <c r="J27" s="347">
        <f t="shared" si="0"/>
        <v>1909821.5331849565</v>
      </c>
      <c r="K27" s="59"/>
      <c r="L27" s="59"/>
    </row>
    <row r="28" spans="1:12" ht="15" customHeight="1" x14ac:dyDescent="0.25">
      <c r="A28" s="8"/>
      <c r="B28" s="6"/>
      <c r="C28" s="6"/>
      <c r="D28" s="6"/>
      <c r="E28" s="402">
        <v>24</v>
      </c>
      <c r="F28" s="409">
        <v>44196</v>
      </c>
      <c r="G28" s="403">
        <f t="shared" si="3"/>
        <v>1909821.5331849565</v>
      </c>
      <c r="H28" s="403">
        <f t="shared" si="2"/>
        <v>12976.321650133405</v>
      </c>
      <c r="I28" s="403">
        <f t="shared" si="4"/>
        <v>13820.880325158128</v>
      </c>
      <c r="J28" s="403">
        <f t="shared" si="0"/>
        <v>1896000.6528597984</v>
      </c>
      <c r="K28" s="59"/>
      <c r="L28" s="59"/>
    </row>
    <row r="29" spans="1:12" ht="15" customHeight="1" x14ac:dyDescent="0.25">
      <c r="A29" s="8"/>
      <c r="B29" s="6"/>
      <c r="C29" s="6"/>
      <c r="D29" s="6"/>
      <c r="E29" s="404">
        <v>25</v>
      </c>
      <c r="F29" s="409">
        <v>44227</v>
      </c>
      <c r="G29" s="355">
        <f t="shared" si="3"/>
        <v>1896000.6528597984</v>
      </c>
      <c r="H29" s="355">
        <f t="shared" si="2"/>
        <v>12882.415394773423</v>
      </c>
      <c r="I29" s="405">
        <f>$C$8-H29</f>
        <v>13914.78658051811</v>
      </c>
      <c r="J29" s="406">
        <f t="shared" si="0"/>
        <v>1882085.8662792803</v>
      </c>
      <c r="K29" s="57"/>
      <c r="L29" s="59"/>
    </row>
    <row r="30" spans="1:12" ht="15" customHeight="1" x14ac:dyDescent="0.25">
      <c r="A30" s="8"/>
      <c r="B30" s="6"/>
      <c r="C30" s="6"/>
      <c r="D30" s="6"/>
      <c r="E30" s="401">
        <v>26</v>
      </c>
      <c r="F30" s="411">
        <v>44255</v>
      </c>
      <c r="G30" s="347">
        <f t="shared" si="3"/>
        <v>1882085.8662792803</v>
      </c>
      <c r="H30" s="347">
        <f t="shared" si="2"/>
        <v>11550.335179357775</v>
      </c>
      <c r="I30" s="347">
        <f t="shared" ref="I30:I60" si="5">$C$8-H30</f>
        <v>15246.866795933758</v>
      </c>
      <c r="J30" s="400">
        <f t="shared" si="0"/>
        <v>1866838.9994833465</v>
      </c>
      <c r="K30" s="59"/>
      <c r="L30" s="59"/>
    </row>
    <row r="31" spans="1:12" ht="15" customHeight="1" x14ac:dyDescent="0.25">
      <c r="A31" s="8"/>
      <c r="B31" s="6"/>
      <c r="C31" s="6"/>
      <c r="D31" s="6"/>
      <c r="E31" s="401">
        <v>27</v>
      </c>
      <c r="F31" s="409">
        <v>44286</v>
      </c>
      <c r="G31" s="347">
        <f t="shared" si="3"/>
        <v>1866838.9994833465</v>
      </c>
      <c r="H31" s="347">
        <f t="shared" si="2"/>
        <v>12684.275941695067</v>
      </c>
      <c r="I31" s="347">
        <f t="shared" si="5"/>
        <v>14112.926033596466</v>
      </c>
      <c r="J31" s="347">
        <f t="shared" si="0"/>
        <v>1852726.07344975</v>
      </c>
      <c r="K31" s="59"/>
      <c r="L31" s="59"/>
    </row>
    <row r="32" spans="1:12" ht="15" customHeight="1" x14ac:dyDescent="0.25">
      <c r="A32" s="8"/>
      <c r="B32" s="6"/>
      <c r="C32" s="6"/>
      <c r="D32" s="6"/>
      <c r="E32" s="401">
        <v>28</v>
      </c>
      <c r="F32" s="409">
        <v>44316</v>
      </c>
      <c r="G32" s="347">
        <f t="shared" si="3"/>
        <v>1852726.07344975</v>
      </c>
      <c r="H32" s="347">
        <f t="shared" si="2"/>
        <v>12182.30842816274</v>
      </c>
      <c r="I32" s="347">
        <f t="shared" si="5"/>
        <v>14614.893547128793</v>
      </c>
      <c r="J32" s="347">
        <f t="shared" si="0"/>
        <v>1838111.1799026211</v>
      </c>
      <c r="K32" s="59"/>
      <c r="L32" s="59"/>
    </row>
    <row r="33" spans="1:12" ht="15" customHeight="1" x14ac:dyDescent="0.25">
      <c r="A33" s="8"/>
      <c r="B33" s="6"/>
      <c r="C33" s="6"/>
      <c r="D33" s="6"/>
      <c r="E33" s="401">
        <v>29</v>
      </c>
      <c r="F33" s="411">
        <v>44347</v>
      </c>
      <c r="G33" s="347">
        <f t="shared" si="3"/>
        <v>1838111.1799026211</v>
      </c>
      <c r="H33" s="347">
        <f t="shared" si="2"/>
        <v>12489.084181256163</v>
      </c>
      <c r="I33" s="347">
        <f t="shared" si="5"/>
        <v>14308.11779403537</v>
      </c>
      <c r="J33" s="347">
        <f t="shared" si="0"/>
        <v>1823803.0621085856</v>
      </c>
      <c r="K33" s="59"/>
      <c r="L33" s="59"/>
    </row>
    <row r="34" spans="1:12" ht="15" customHeight="1" x14ac:dyDescent="0.25">
      <c r="A34" s="8"/>
      <c r="B34" s="6"/>
      <c r="C34" s="6"/>
      <c r="D34" s="6"/>
      <c r="E34" s="401">
        <v>30</v>
      </c>
      <c r="F34" s="409">
        <v>44377</v>
      </c>
      <c r="G34" s="347">
        <f t="shared" si="3"/>
        <v>1823803.0621085856</v>
      </c>
      <c r="H34" s="347">
        <f t="shared" si="2"/>
        <v>11992.129723453716</v>
      </c>
      <c r="I34" s="347">
        <f t="shared" si="5"/>
        <v>14805.072251837817</v>
      </c>
      <c r="J34" s="347">
        <f t="shared" si="0"/>
        <v>1808997.9898567479</v>
      </c>
      <c r="K34" s="59"/>
      <c r="L34" s="59"/>
    </row>
    <row r="35" spans="1:12" ht="15" customHeight="1" x14ac:dyDescent="0.25">
      <c r="A35" s="8"/>
      <c r="B35" s="6"/>
      <c r="C35" s="6"/>
      <c r="D35" s="6"/>
      <c r="E35" s="401">
        <v>31</v>
      </c>
      <c r="F35" s="409">
        <v>44408</v>
      </c>
      <c r="G35" s="347">
        <f t="shared" si="3"/>
        <v>1808997.9898567479</v>
      </c>
      <c r="H35" s="347">
        <f t="shared" si="2"/>
        <v>12291.274013273247</v>
      </c>
      <c r="I35" s="347">
        <f t="shared" si="5"/>
        <v>14505.927962018286</v>
      </c>
      <c r="J35" s="347">
        <f t="shared" si="0"/>
        <v>1794492.0618947297</v>
      </c>
      <c r="K35" s="59"/>
      <c r="L35" s="347">
        <f>SUM(H35:H46)+SUM(I35:I46)</f>
        <v>321566.42370349844</v>
      </c>
    </row>
    <row r="36" spans="1:12" ht="15" customHeight="1" x14ac:dyDescent="0.25">
      <c r="A36" s="8"/>
      <c r="B36" s="6"/>
      <c r="C36" s="6"/>
      <c r="D36" s="6"/>
      <c r="E36" s="401">
        <v>32</v>
      </c>
      <c r="F36" s="411">
        <v>44439</v>
      </c>
      <c r="G36" s="347">
        <f t="shared" si="3"/>
        <v>1794492.0618947297</v>
      </c>
      <c r="H36" s="347">
        <f t="shared" si="2"/>
        <v>12192.713187668302</v>
      </c>
      <c r="I36" s="347">
        <f t="shared" si="5"/>
        <v>14604.488787623231</v>
      </c>
      <c r="J36" s="347">
        <f t="shared" si="0"/>
        <v>1779887.5731071066</v>
      </c>
      <c r="K36" s="59"/>
      <c r="L36" s="59"/>
    </row>
    <row r="37" spans="1:12" ht="15" customHeight="1" x14ac:dyDescent="0.25">
      <c r="A37" s="8"/>
      <c r="B37" s="6"/>
      <c r="C37" s="6"/>
      <c r="D37" s="6"/>
      <c r="E37" s="401">
        <v>33</v>
      </c>
      <c r="F37" s="409">
        <v>44469</v>
      </c>
      <c r="G37" s="347">
        <f t="shared" si="3"/>
        <v>1779887.5731071066</v>
      </c>
      <c r="H37" s="347">
        <f t="shared" si="2"/>
        <v>11703.370343717963</v>
      </c>
      <c r="I37" s="347">
        <f t="shared" si="5"/>
        <v>15093.83163157357</v>
      </c>
      <c r="J37" s="347">
        <f t="shared" ref="J37:J68" si="6">G37-I37</f>
        <v>1764793.741475533</v>
      </c>
      <c r="K37" s="59"/>
      <c r="L37" s="59"/>
    </row>
    <row r="38" spans="1:12" ht="15" customHeight="1" x14ac:dyDescent="0.25">
      <c r="A38" s="8"/>
      <c r="B38" s="6"/>
      <c r="C38" s="6"/>
      <c r="D38" s="6"/>
      <c r="E38" s="401">
        <v>34</v>
      </c>
      <c r="F38" s="409">
        <v>44500</v>
      </c>
      <c r="G38" s="347">
        <f t="shared" si="3"/>
        <v>1764793.741475533</v>
      </c>
      <c r="H38" s="347">
        <f t="shared" ref="H38:H69" si="7">(G38*$C$9)*(F38-F37)/365</f>
        <v>11990.927339340609</v>
      </c>
      <c r="I38" s="347">
        <f t="shared" si="5"/>
        <v>14806.274635950924</v>
      </c>
      <c r="J38" s="347">
        <f t="shared" si="6"/>
        <v>1749987.466839582</v>
      </c>
      <c r="K38" s="59"/>
      <c r="L38" s="59"/>
    </row>
    <row r="39" spans="1:12" ht="15" customHeight="1" x14ac:dyDescent="0.25">
      <c r="A39" s="8"/>
      <c r="B39" s="6"/>
      <c r="C39" s="6"/>
      <c r="D39" s="6"/>
      <c r="E39" s="401">
        <v>35</v>
      </c>
      <c r="F39" s="411">
        <v>44530</v>
      </c>
      <c r="G39" s="347">
        <f t="shared" si="3"/>
        <v>1749987.466839582</v>
      </c>
      <c r="H39" s="347">
        <f t="shared" si="7"/>
        <v>11506.766905246564</v>
      </c>
      <c r="I39" s="347">
        <f t="shared" si="5"/>
        <v>15290.435070044969</v>
      </c>
      <c r="J39" s="347">
        <f t="shared" si="6"/>
        <v>1734697.0317695369</v>
      </c>
      <c r="K39" s="59"/>
      <c r="L39" s="59"/>
    </row>
    <row r="40" spans="1:12" ht="15" customHeight="1" x14ac:dyDescent="0.25">
      <c r="A40" s="8"/>
      <c r="B40" s="6"/>
      <c r="C40" s="6"/>
      <c r="D40" s="6"/>
      <c r="E40" s="402">
        <v>36</v>
      </c>
      <c r="F40" s="409">
        <v>44561</v>
      </c>
      <c r="G40" s="403">
        <f t="shared" si="3"/>
        <v>1734697.0317695369</v>
      </c>
      <c r="H40" s="403">
        <f t="shared" si="7"/>
        <v>11786.434626817676</v>
      </c>
      <c r="I40" s="403">
        <f t="shared" si="5"/>
        <v>15010.767348473857</v>
      </c>
      <c r="J40" s="403">
        <f t="shared" si="6"/>
        <v>1719686.264421063</v>
      </c>
      <c r="K40" s="59"/>
      <c r="L40" s="59"/>
    </row>
    <row r="41" spans="1:12" ht="15" customHeight="1" x14ac:dyDescent="0.25">
      <c r="A41" s="8"/>
      <c r="B41" s="6"/>
      <c r="C41" s="6"/>
      <c r="D41" s="6"/>
      <c r="E41" s="404">
        <v>37</v>
      </c>
      <c r="F41" s="409">
        <v>44592</v>
      </c>
      <c r="G41" s="355">
        <f t="shared" si="3"/>
        <v>1719686.264421063</v>
      </c>
      <c r="H41" s="355">
        <f t="shared" si="7"/>
        <v>11684.443659628045</v>
      </c>
      <c r="I41" s="355">
        <f t="shared" si="5"/>
        <v>15112.758315663488</v>
      </c>
      <c r="J41" s="355">
        <f t="shared" si="6"/>
        <v>1704573.5061053995</v>
      </c>
      <c r="K41" s="59"/>
      <c r="L41" s="59"/>
    </row>
    <row r="42" spans="1:12" ht="15" customHeight="1" x14ac:dyDescent="0.25">
      <c r="A42" s="8"/>
      <c r="B42" s="6"/>
      <c r="C42" s="6"/>
      <c r="D42" s="6"/>
      <c r="E42" s="401">
        <v>38</v>
      </c>
      <c r="F42" s="411">
        <v>44620</v>
      </c>
      <c r="G42" s="347">
        <f t="shared" si="3"/>
        <v>1704573.5061053995</v>
      </c>
      <c r="H42" s="347">
        <f t="shared" si="7"/>
        <v>10460.944256646833</v>
      </c>
      <c r="I42" s="347">
        <f t="shared" si="5"/>
        <v>16336.2577186447</v>
      </c>
      <c r="J42" s="347">
        <f t="shared" si="6"/>
        <v>1688237.2483867547</v>
      </c>
      <c r="K42" s="59"/>
      <c r="L42" s="59"/>
    </row>
    <row r="43" spans="1:12" ht="15" customHeight="1" x14ac:dyDescent="0.25">
      <c r="A43" s="8"/>
      <c r="B43" s="6"/>
      <c r="C43" s="6"/>
      <c r="D43" s="6"/>
      <c r="E43" s="401">
        <v>39</v>
      </c>
      <c r="F43" s="409">
        <v>44651</v>
      </c>
      <c r="G43" s="347">
        <f t="shared" si="3"/>
        <v>1688237.2483867547</v>
      </c>
      <c r="H43" s="347">
        <f t="shared" si="7"/>
        <v>11470.762673970279</v>
      </c>
      <c r="I43" s="347">
        <f t="shared" si="5"/>
        <v>15326.439301321254</v>
      </c>
      <c r="J43" s="347">
        <f t="shared" si="6"/>
        <v>1672910.8090854334</v>
      </c>
      <c r="K43" s="59"/>
      <c r="L43" s="59"/>
    </row>
    <row r="44" spans="1:12" ht="15" customHeight="1" x14ac:dyDescent="0.25">
      <c r="A44" s="8"/>
      <c r="B44" s="6"/>
      <c r="C44" s="6"/>
      <c r="D44" s="6"/>
      <c r="E44" s="401">
        <v>40</v>
      </c>
      <c r="F44" s="409">
        <v>44681</v>
      </c>
      <c r="G44" s="347">
        <f t="shared" si="3"/>
        <v>1672910.8090854334</v>
      </c>
      <c r="H44" s="347">
        <f t="shared" si="7"/>
        <v>10999.96148439737</v>
      </c>
      <c r="I44" s="347">
        <f t="shared" si="5"/>
        <v>15797.240490894163</v>
      </c>
      <c r="J44" s="347">
        <f t="shared" si="6"/>
        <v>1657113.5685945393</v>
      </c>
      <c r="K44" s="59"/>
      <c r="L44" s="59"/>
    </row>
    <row r="45" spans="1:12" ht="15" customHeight="1" x14ac:dyDescent="0.25">
      <c r="A45" s="8"/>
      <c r="B45" s="6"/>
      <c r="C45" s="6"/>
      <c r="D45" s="6"/>
      <c r="E45" s="401">
        <v>41</v>
      </c>
      <c r="F45" s="411">
        <v>44712</v>
      </c>
      <c r="G45" s="347">
        <f t="shared" si="3"/>
        <v>1657113.5685945393</v>
      </c>
      <c r="H45" s="347">
        <f t="shared" si="7"/>
        <v>11259.292192094403</v>
      </c>
      <c r="I45" s="347">
        <f t="shared" si="5"/>
        <v>15537.90978319713</v>
      </c>
      <c r="J45" s="347">
        <f t="shared" si="6"/>
        <v>1641575.6588113422</v>
      </c>
      <c r="K45" s="59"/>
      <c r="L45" s="59"/>
    </row>
    <row r="46" spans="1:12" ht="15" customHeight="1" x14ac:dyDescent="0.25">
      <c r="A46" s="8"/>
      <c r="B46" s="6"/>
      <c r="C46" s="6"/>
      <c r="D46" s="6"/>
      <c r="E46" s="401">
        <v>42</v>
      </c>
      <c r="F46" s="409">
        <v>44742</v>
      </c>
      <c r="G46" s="347">
        <f t="shared" si="3"/>
        <v>1641575.6588113422</v>
      </c>
      <c r="H46" s="347">
        <f t="shared" si="7"/>
        <v>10793.922140129373</v>
      </c>
      <c r="I46" s="347">
        <f t="shared" si="5"/>
        <v>16003.27983516216</v>
      </c>
      <c r="J46" s="347">
        <f t="shared" si="6"/>
        <v>1625572.37897618</v>
      </c>
      <c r="K46" s="59"/>
      <c r="L46" s="59"/>
    </row>
    <row r="47" spans="1:12" ht="15" customHeight="1" x14ac:dyDescent="0.25">
      <c r="A47" s="8"/>
      <c r="B47" s="6"/>
      <c r="C47" s="6"/>
      <c r="D47" s="6"/>
      <c r="E47" s="401">
        <v>43</v>
      </c>
      <c r="F47" s="409">
        <v>44773</v>
      </c>
      <c r="G47" s="347">
        <f t="shared" si="3"/>
        <v>1625572.37897618</v>
      </c>
      <c r="H47" s="347">
        <f t="shared" si="7"/>
        <v>11044.984931125826</v>
      </c>
      <c r="I47" s="347">
        <f t="shared" si="5"/>
        <v>15752.217044165707</v>
      </c>
      <c r="J47" s="347">
        <f t="shared" si="6"/>
        <v>1609820.1619320144</v>
      </c>
      <c r="K47" s="59"/>
      <c r="L47" s="59"/>
    </row>
    <row r="48" spans="1:12" ht="15" customHeight="1" x14ac:dyDescent="0.25">
      <c r="A48" s="8"/>
      <c r="B48" s="6"/>
      <c r="C48" s="6"/>
      <c r="D48" s="6"/>
      <c r="E48" s="401">
        <v>44</v>
      </c>
      <c r="F48" s="411">
        <v>44804</v>
      </c>
      <c r="G48" s="347">
        <f t="shared" si="3"/>
        <v>1609820.1619320144</v>
      </c>
      <c r="H48" s="347">
        <f t="shared" si="7"/>
        <v>10937.956168743549</v>
      </c>
      <c r="I48" s="347">
        <f t="shared" si="5"/>
        <v>15859.245806547984</v>
      </c>
      <c r="J48" s="347">
        <f t="shared" si="6"/>
        <v>1593960.9161254663</v>
      </c>
      <c r="K48" s="59"/>
      <c r="L48" s="59"/>
    </row>
    <row r="49" spans="1:12" ht="15" customHeight="1" x14ac:dyDescent="0.25">
      <c r="A49" s="8"/>
      <c r="B49" s="6"/>
      <c r="C49" s="6"/>
      <c r="D49" s="6"/>
      <c r="E49" s="401">
        <v>45</v>
      </c>
      <c r="F49" s="409">
        <v>44834</v>
      </c>
      <c r="G49" s="347">
        <f t="shared" si="3"/>
        <v>1593960.9161254663</v>
      </c>
      <c r="H49" s="347">
        <f t="shared" si="7"/>
        <v>10480.838900551013</v>
      </c>
      <c r="I49" s="347">
        <f t="shared" si="5"/>
        <v>16316.36307474052</v>
      </c>
      <c r="J49" s="347">
        <f t="shared" si="6"/>
        <v>1577644.5530507257</v>
      </c>
      <c r="K49" s="59"/>
      <c r="L49" s="59"/>
    </row>
    <row r="50" spans="1:12" ht="15" customHeight="1" x14ac:dyDescent="0.25">
      <c r="A50" s="8"/>
      <c r="B50" s="6"/>
      <c r="C50" s="6"/>
      <c r="D50" s="6"/>
      <c r="E50" s="401">
        <v>46</v>
      </c>
      <c r="F50" s="409">
        <v>44865</v>
      </c>
      <c r="G50" s="347">
        <f t="shared" ref="G50:G81" si="8">J49</f>
        <v>1577644.5530507257</v>
      </c>
      <c r="H50" s="347">
        <f t="shared" si="7"/>
        <v>10719.338333056985</v>
      </c>
      <c r="I50" s="347">
        <f t="shared" si="5"/>
        <v>16077.863642234548</v>
      </c>
      <c r="J50" s="347">
        <f t="shared" si="6"/>
        <v>1561566.6894084911</v>
      </c>
      <c r="K50" s="59"/>
      <c r="L50" s="59"/>
    </row>
    <row r="51" spans="1:12" ht="15" customHeight="1" x14ac:dyDescent="0.25">
      <c r="A51" s="8"/>
      <c r="B51" s="6"/>
      <c r="C51" s="6"/>
      <c r="D51" s="6"/>
      <c r="E51" s="401">
        <v>47</v>
      </c>
      <c r="F51" s="411">
        <v>44895</v>
      </c>
      <c r="G51" s="347">
        <f t="shared" si="8"/>
        <v>1561566.6894084911</v>
      </c>
      <c r="H51" s="347">
        <f t="shared" si="7"/>
        <v>10267.835765973641</v>
      </c>
      <c r="I51" s="347">
        <f t="shared" si="5"/>
        <v>16529.366209317894</v>
      </c>
      <c r="J51" s="347">
        <f t="shared" si="6"/>
        <v>1545037.3231991732</v>
      </c>
      <c r="K51" s="59"/>
      <c r="L51" s="59"/>
    </row>
    <row r="52" spans="1:12" ht="15" customHeight="1" x14ac:dyDescent="0.25">
      <c r="A52" s="8"/>
      <c r="B52" s="6"/>
      <c r="C52" s="6"/>
      <c r="D52" s="6"/>
      <c r="E52" s="402">
        <v>48</v>
      </c>
      <c r="F52" s="409">
        <v>44926</v>
      </c>
      <c r="G52" s="403">
        <f t="shared" si="8"/>
        <v>1545037.3231991732</v>
      </c>
      <c r="H52" s="403">
        <f t="shared" si="7"/>
        <v>10497.787839819041</v>
      </c>
      <c r="I52" s="403">
        <f t="shared" si="5"/>
        <v>16299.414135472492</v>
      </c>
      <c r="J52" s="403">
        <f t="shared" si="6"/>
        <v>1528737.9090637008</v>
      </c>
      <c r="K52" s="59"/>
      <c r="L52" s="59"/>
    </row>
    <row r="53" spans="1:12" ht="15" customHeight="1" x14ac:dyDescent="0.25">
      <c r="A53" s="8"/>
      <c r="B53" s="6"/>
      <c r="C53" s="6"/>
      <c r="D53" s="6"/>
      <c r="E53" s="404">
        <v>49</v>
      </c>
      <c r="F53" s="409">
        <v>44957</v>
      </c>
      <c r="G53" s="355">
        <f t="shared" si="8"/>
        <v>1528737.9090637008</v>
      </c>
      <c r="H53" s="355">
        <f t="shared" si="7"/>
        <v>10387.041135556105</v>
      </c>
      <c r="I53" s="355">
        <f t="shared" si="5"/>
        <v>16410.160839735428</v>
      </c>
      <c r="J53" s="355">
        <f t="shared" si="6"/>
        <v>1512327.7482239653</v>
      </c>
      <c r="K53" s="59"/>
      <c r="L53" s="59"/>
    </row>
    <row r="54" spans="1:12" ht="15" customHeight="1" x14ac:dyDescent="0.25">
      <c r="A54" s="8"/>
      <c r="B54" s="6"/>
      <c r="C54" s="6"/>
      <c r="D54" s="6"/>
      <c r="E54" s="401">
        <v>50</v>
      </c>
      <c r="F54" s="411">
        <v>44985</v>
      </c>
      <c r="G54" s="347">
        <f t="shared" si="8"/>
        <v>1512327.7482239653</v>
      </c>
      <c r="H54" s="347">
        <f t="shared" si="7"/>
        <v>9281.1346740320078</v>
      </c>
      <c r="I54" s="347">
        <f t="shared" si="5"/>
        <v>17516.067301259525</v>
      </c>
      <c r="J54" s="347">
        <f t="shared" si="6"/>
        <v>1494811.6809227057</v>
      </c>
      <c r="K54" s="59"/>
      <c r="L54" s="59"/>
    </row>
    <row r="55" spans="1:12" ht="15" customHeight="1" x14ac:dyDescent="0.25">
      <c r="A55" s="8"/>
      <c r="B55" s="6"/>
      <c r="C55" s="6"/>
      <c r="D55" s="6"/>
      <c r="E55" s="401">
        <v>51</v>
      </c>
      <c r="F55" s="409">
        <v>45016</v>
      </c>
      <c r="G55" s="347">
        <f t="shared" si="8"/>
        <v>1494811.6809227057</v>
      </c>
      <c r="H55" s="347">
        <f t="shared" si="7"/>
        <v>10156.528681337835</v>
      </c>
      <c r="I55" s="347">
        <f t="shared" si="5"/>
        <v>16640.673293953696</v>
      </c>
      <c r="J55" s="347">
        <f t="shared" si="6"/>
        <v>1478171.0076287519</v>
      </c>
      <c r="K55" s="59"/>
      <c r="L55" s="59"/>
    </row>
    <row r="56" spans="1:12" ht="15" customHeight="1" x14ac:dyDescent="0.25">
      <c r="A56" s="8"/>
      <c r="B56" s="6"/>
      <c r="C56" s="6"/>
      <c r="D56" s="6"/>
      <c r="E56" s="401">
        <v>52</v>
      </c>
      <c r="F56" s="409">
        <v>45046</v>
      </c>
      <c r="G56" s="347">
        <f t="shared" si="8"/>
        <v>1478171.0076287519</v>
      </c>
      <c r="H56" s="347">
        <f t="shared" si="7"/>
        <v>9719.4805981068621</v>
      </c>
      <c r="I56" s="347">
        <f t="shared" si="5"/>
        <v>17077.721377184673</v>
      </c>
      <c r="J56" s="347">
        <f t="shared" si="6"/>
        <v>1461093.2862515673</v>
      </c>
      <c r="K56" s="59"/>
      <c r="L56" s="59"/>
    </row>
    <row r="57" spans="1:12" ht="15" customHeight="1" x14ac:dyDescent="0.25">
      <c r="A57" s="8"/>
      <c r="B57" s="6"/>
      <c r="C57" s="6"/>
      <c r="D57" s="6"/>
      <c r="E57" s="401">
        <v>53</v>
      </c>
      <c r="F57" s="411">
        <v>45077</v>
      </c>
      <c r="G57" s="347">
        <f t="shared" si="8"/>
        <v>1461093.2862515673</v>
      </c>
      <c r="H57" s="347">
        <f t="shared" si="7"/>
        <v>9927.4283559010601</v>
      </c>
      <c r="I57" s="347">
        <f t="shared" si="5"/>
        <v>16869.773619390471</v>
      </c>
      <c r="J57" s="347">
        <f t="shared" si="6"/>
        <v>1444223.5126321767</v>
      </c>
      <c r="K57" s="59"/>
      <c r="L57" s="59"/>
    </row>
    <row r="58" spans="1:12" ht="15" customHeight="1" x14ac:dyDescent="0.25">
      <c r="A58" s="8"/>
      <c r="B58" s="6"/>
      <c r="C58" s="6"/>
      <c r="D58" s="6"/>
      <c r="E58" s="401">
        <v>54</v>
      </c>
      <c r="F58" s="409">
        <v>45107</v>
      </c>
      <c r="G58" s="347">
        <f t="shared" si="8"/>
        <v>1444223.5126321767</v>
      </c>
      <c r="H58" s="347">
        <f t="shared" si="7"/>
        <v>9496.2641926499309</v>
      </c>
      <c r="I58" s="347">
        <f t="shared" si="5"/>
        <v>17300.937782641602</v>
      </c>
      <c r="J58" s="347">
        <f t="shared" si="6"/>
        <v>1426922.5748495352</v>
      </c>
      <c r="K58" s="59"/>
      <c r="L58" s="59"/>
    </row>
    <row r="59" spans="1:12" ht="15" customHeight="1" x14ac:dyDescent="0.25">
      <c r="A59" s="8"/>
      <c r="B59" s="6"/>
      <c r="C59" s="6"/>
      <c r="D59" s="6"/>
      <c r="E59" s="401">
        <v>55</v>
      </c>
      <c r="F59" s="409">
        <v>45138</v>
      </c>
      <c r="G59" s="347">
        <f t="shared" si="8"/>
        <v>1426922.5748495352</v>
      </c>
      <c r="H59" s="347">
        <f t="shared" si="7"/>
        <v>9695.2547551420485</v>
      </c>
      <c r="I59" s="347">
        <f t="shared" si="5"/>
        <v>17101.947220149486</v>
      </c>
      <c r="J59" s="347">
        <f t="shared" si="6"/>
        <v>1409820.6276293858</v>
      </c>
      <c r="K59" s="59"/>
      <c r="L59" s="59"/>
    </row>
    <row r="60" spans="1:12" ht="15" customHeight="1" x14ac:dyDescent="0.25">
      <c r="A60" s="8"/>
      <c r="B60" s="6"/>
      <c r="C60" s="6"/>
      <c r="D60" s="6"/>
      <c r="E60" s="401">
        <v>56</v>
      </c>
      <c r="F60" s="411">
        <v>45169</v>
      </c>
      <c r="G60" s="347">
        <f t="shared" si="8"/>
        <v>1409820.6276293858</v>
      </c>
      <c r="H60" s="347">
        <f t="shared" si="7"/>
        <v>9579.0552233448689</v>
      </c>
      <c r="I60" s="347">
        <f t="shared" si="5"/>
        <v>17218.146751946664</v>
      </c>
      <c r="J60" s="347">
        <f t="shared" si="6"/>
        <v>1392602.480877439</v>
      </c>
      <c r="K60" s="59"/>
      <c r="L60" s="59"/>
    </row>
    <row r="61" spans="1:12" ht="15" customHeight="1" x14ac:dyDescent="0.25">
      <c r="A61" s="8"/>
      <c r="B61" s="6"/>
      <c r="C61" s="6"/>
      <c r="D61" s="6"/>
      <c r="E61" s="401">
        <v>57</v>
      </c>
      <c r="F61" s="409">
        <v>45199</v>
      </c>
      <c r="G61" s="347">
        <f t="shared" si="8"/>
        <v>1392602.480877439</v>
      </c>
      <c r="H61" s="347">
        <f t="shared" si="7"/>
        <v>9156.8382304269981</v>
      </c>
      <c r="I61" s="347">
        <f t="shared" ref="I61:I92" si="9">$C$8-H61</f>
        <v>17640.363744864535</v>
      </c>
      <c r="J61" s="347">
        <f t="shared" si="6"/>
        <v>1374962.1171325746</v>
      </c>
      <c r="K61" s="59"/>
      <c r="L61" s="59"/>
    </row>
    <row r="62" spans="1:12" ht="15" customHeight="1" x14ac:dyDescent="0.25">
      <c r="A62" s="8"/>
      <c r="B62" s="6"/>
      <c r="C62" s="6"/>
      <c r="D62" s="6"/>
      <c r="E62" s="401">
        <v>58</v>
      </c>
      <c r="F62" s="409">
        <v>45230</v>
      </c>
      <c r="G62" s="347">
        <f t="shared" si="8"/>
        <v>1374962.1171325746</v>
      </c>
      <c r="H62" s="347">
        <f t="shared" si="7"/>
        <v>9342.2083575035194</v>
      </c>
      <c r="I62" s="347">
        <f t="shared" si="9"/>
        <v>17454.993617788015</v>
      </c>
      <c r="J62" s="347">
        <f t="shared" si="6"/>
        <v>1357507.1235147866</v>
      </c>
      <c r="K62" s="59"/>
      <c r="L62" s="59"/>
    </row>
    <row r="63" spans="1:12" ht="15" customHeight="1" x14ac:dyDescent="0.25">
      <c r="A63" s="8"/>
      <c r="B63" s="6"/>
      <c r="C63" s="6"/>
      <c r="D63" s="6"/>
      <c r="E63" s="401">
        <v>59</v>
      </c>
      <c r="F63" s="411">
        <v>45260</v>
      </c>
      <c r="G63" s="347">
        <f t="shared" si="8"/>
        <v>1357507.1235147866</v>
      </c>
      <c r="H63" s="347">
        <f t="shared" si="7"/>
        <v>8926.0742368095562</v>
      </c>
      <c r="I63" s="347">
        <f t="shared" si="9"/>
        <v>17871.127738481977</v>
      </c>
      <c r="J63" s="347">
        <f t="shared" si="6"/>
        <v>1339635.9957763045</v>
      </c>
      <c r="K63" s="59"/>
      <c r="L63" s="59"/>
    </row>
    <row r="64" spans="1:12" ht="15" customHeight="1" x14ac:dyDescent="0.25">
      <c r="A64" s="8"/>
      <c r="B64" s="6"/>
      <c r="C64" s="6"/>
      <c r="D64" s="6"/>
      <c r="E64" s="402">
        <v>60</v>
      </c>
      <c r="F64" s="409">
        <v>45291</v>
      </c>
      <c r="G64" s="403">
        <f t="shared" si="8"/>
        <v>1339635.9957763045</v>
      </c>
      <c r="H64" s="403">
        <f t="shared" si="7"/>
        <v>9102.184300069137</v>
      </c>
      <c r="I64" s="403">
        <f t="shared" si="9"/>
        <v>17695.017675222396</v>
      </c>
      <c r="J64" s="403">
        <f t="shared" si="6"/>
        <v>1321940.9781010821</v>
      </c>
      <c r="K64" s="59"/>
      <c r="L64" s="59"/>
    </row>
    <row r="65" spans="1:12" ht="15" customHeight="1" x14ac:dyDescent="0.25">
      <c r="A65" s="8"/>
      <c r="B65" s="6"/>
      <c r="C65" s="6"/>
      <c r="D65" s="6"/>
      <c r="E65" s="404">
        <v>61</v>
      </c>
      <c r="F65" s="409">
        <v>45322</v>
      </c>
      <c r="G65" s="355">
        <f t="shared" si="8"/>
        <v>1321940.9781010821</v>
      </c>
      <c r="H65" s="355">
        <f t="shared" si="7"/>
        <v>8981.9551388785858</v>
      </c>
      <c r="I65" s="355">
        <f t="shared" si="9"/>
        <v>17815.246836412945</v>
      </c>
      <c r="J65" s="355">
        <f t="shared" si="6"/>
        <v>1304125.7312646692</v>
      </c>
      <c r="K65" s="59"/>
      <c r="L65" s="59"/>
    </row>
    <row r="66" spans="1:12" ht="15" customHeight="1" x14ac:dyDescent="0.25">
      <c r="A66" s="8"/>
      <c r="B66" s="6"/>
      <c r="C66" s="6"/>
      <c r="D66" s="6"/>
      <c r="E66" s="401">
        <v>62</v>
      </c>
      <c r="F66" s="411">
        <v>45351</v>
      </c>
      <c r="G66" s="347">
        <f t="shared" si="8"/>
        <v>1304125.7312646692</v>
      </c>
      <c r="H66" s="347">
        <f t="shared" si="7"/>
        <v>8289.2375247507734</v>
      </c>
      <c r="I66" s="347">
        <f t="shared" si="9"/>
        <v>18507.96445054076</v>
      </c>
      <c r="J66" s="347">
        <f t="shared" si="6"/>
        <v>1285617.7668141285</v>
      </c>
      <c r="K66" s="59"/>
      <c r="L66" s="59"/>
    </row>
    <row r="67" spans="1:12" ht="15" customHeight="1" x14ac:dyDescent="0.25">
      <c r="A67" s="8"/>
      <c r="B67" s="6"/>
      <c r="C67" s="6"/>
      <c r="D67" s="6"/>
      <c r="E67" s="401">
        <v>63</v>
      </c>
      <c r="F67" s="409">
        <v>45382</v>
      </c>
      <c r="G67" s="347">
        <f t="shared" si="8"/>
        <v>1285617.7668141285</v>
      </c>
      <c r="H67" s="347">
        <f t="shared" si="7"/>
        <v>8735.1563334220245</v>
      </c>
      <c r="I67" s="347">
        <f t="shared" si="9"/>
        <v>18062.04564186951</v>
      </c>
      <c r="J67" s="347">
        <f t="shared" si="6"/>
        <v>1267555.721172259</v>
      </c>
      <c r="K67" s="59"/>
      <c r="L67" s="59"/>
    </row>
    <row r="68" spans="1:12" ht="15" customHeight="1" x14ac:dyDescent="0.25">
      <c r="A68" s="8"/>
      <c r="B68" s="6"/>
      <c r="C68" s="6"/>
      <c r="D68" s="6"/>
      <c r="E68" s="401">
        <v>64</v>
      </c>
      <c r="F68" s="409">
        <v>45412</v>
      </c>
      <c r="G68" s="347">
        <f t="shared" si="8"/>
        <v>1267555.721172259</v>
      </c>
      <c r="H68" s="347">
        <f t="shared" si="7"/>
        <v>8334.6129611326614</v>
      </c>
      <c r="I68" s="347">
        <f t="shared" si="9"/>
        <v>18462.589014158872</v>
      </c>
      <c r="J68" s="347">
        <f t="shared" si="6"/>
        <v>1249093.1321581001</v>
      </c>
      <c r="K68" s="59"/>
      <c r="L68" s="59"/>
    </row>
    <row r="69" spans="1:12" ht="15" customHeight="1" x14ac:dyDescent="0.25">
      <c r="A69" s="8"/>
      <c r="B69" s="6"/>
      <c r="C69" s="6"/>
      <c r="D69" s="6"/>
      <c r="E69" s="401">
        <v>65</v>
      </c>
      <c r="F69" s="411">
        <v>45443</v>
      </c>
      <c r="G69" s="347">
        <f t="shared" si="8"/>
        <v>1249093.1321581001</v>
      </c>
      <c r="H69" s="347">
        <f t="shared" si="7"/>
        <v>8486.988952745447</v>
      </c>
      <c r="I69" s="347">
        <f t="shared" si="9"/>
        <v>18310.213022546086</v>
      </c>
      <c r="J69" s="347">
        <f t="shared" ref="J69:J100" si="10">G69-I69</f>
        <v>1230782.919135554</v>
      </c>
      <c r="K69" s="59"/>
      <c r="L69" s="59"/>
    </row>
    <row r="70" spans="1:12" ht="15" customHeight="1" x14ac:dyDescent="0.25">
      <c r="A70" s="8"/>
      <c r="B70" s="6"/>
      <c r="C70" s="6"/>
      <c r="D70" s="6"/>
      <c r="E70" s="401">
        <v>66</v>
      </c>
      <c r="F70" s="409">
        <v>45473</v>
      </c>
      <c r="G70" s="347">
        <f t="shared" si="8"/>
        <v>1230782.919135554</v>
      </c>
      <c r="H70" s="347">
        <f t="shared" ref="H70:H101" si="11">(G70*$C$9)*(F70-F69)/365</f>
        <v>8092.8191943159718</v>
      </c>
      <c r="I70" s="347">
        <f t="shared" si="9"/>
        <v>18704.38278097556</v>
      </c>
      <c r="J70" s="347">
        <f t="shared" si="10"/>
        <v>1212078.5363545783</v>
      </c>
      <c r="K70" s="59"/>
      <c r="L70" s="59"/>
    </row>
    <row r="71" spans="1:12" ht="15" customHeight="1" x14ac:dyDescent="0.25">
      <c r="A71" s="8"/>
      <c r="B71" s="6"/>
      <c r="C71" s="6"/>
      <c r="D71" s="6"/>
      <c r="E71" s="401">
        <v>67</v>
      </c>
      <c r="F71" s="409">
        <v>45504</v>
      </c>
      <c r="G71" s="347">
        <f t="shared" si="8"/>
        <v>1212078.5363545783</v>
      </c>
      <c r="H71" s="347">
        <f t="shared" si="11"/>
        <v>8235.4925209845333</v>
      </c>
      <c r="I71" s="347">
        <f t="shared" si="9"/>
        <v>18561.709454306998</v>
      </c>
      <c r="J71" s="347">
        <f t="shared" si="10"/>
        <v>1193516.8269002712</v>
      </c>
      <c r="K71" s="59"/>
      <c r="L71" s="59"/>
    </row>
    <row r="72" spans="1:12" ht="15" customHeight="1" x14ac:dyDescent="0.25">
      <c r="A72" s="8"/>
      <c r="B72" s="6"/>
      <c r="C72" s="6"/>
      <c r="D72" s="6"/>
      <c r="E72" s="401">
        <v>68</v>
      </c>
      <c r="F72" s="411">
        <v>45535</v>
      </c>
      <c r="G72" s="347">
        <f t="shared" si="8"/>
        <v>1193516.8269002712</v>
      </c>
      <c r="H72" s="347">
        <f t="shared" si="11"/>
        <v>8109.3746046922543</v>
      </c>
      <c r="I72" s="347">
        <f t="shared" si="9"/>
        <v>18687.82737059928</v>
      </c>
      <c r="J72" s="347">
        <f t="shared" si="10"/>
        <v>1174828.9995296719</v>
      </c>
      <c r="K72" s="59"/>
      <c r="L72" s="59"/>
    </row>
    <row r="73" spans="1:12" ht="15" customHeight="1" x14ac:dyDescent="0.25">
      <c r="A73" s="8"/>
      <c r="B73" s="6"/>
      <c r="C73" s="6"/>
      <c r="D73" s="6"/>
      <c r="E73" s="401">
        <v>69</v>
      </c>
      <c r="F73" s="409">
        <v>45565</v>
      </c>
      <c r="G73" s="347">
        <f t="shared" si="8"/>
        <v>1174828.9995296719</v>
      </c>
      <c r="H73" s="347">
        <f t="shared" si="11"/>
        <v>7724.9030106060618</v>
      </c>
      <c r="I73" s="347">
        <f t="shared" si="9"/>
        <v>19072.298964685469</v>
      </c>
      <c r="J73" s="347">
        <f t="shared" si="10"/>
        <v>1155756.7005649863</v>
      </c>
      <c r="K73" s="59"/>
      <c r="L73" s="59"/>
    </row>
    <row r="74" spans="1:12" ht="15" customHeight="1" x14ac:dyDescent="0.25">
      <c r="A74" s="8"/>
      <c r="B74" s="6"/>
      <c r="C74" s="6"/>
      <c r="D74" s="6"/>
      <c r="E74" s="401">
        <v>70</v>
      </c>
      <c r="F74" s="409">
        <v>45596</v>
      </c>
      <c r="G74" s="347">
        <f t="shared" si="8"/>
        <v>1155756.7005649863</v>
      </c>
      <c r="H74" s="347">
        <f t="shared" si="11"/>
        <v>7852.8126504141546</v>
      </c>
      <c r="I74" s="347">
        <f t="shared" si="9"/>
        <v>18944.389324877378</v>
      </c>
      <c r="J74" s="347">
        <f t="shared" si="10"/>
        <v>1136812.3112401089</v>
      </c>
      <c r="K74" s="59"/>
      <c r="L74" s="59"/>
    </row>
    <row r="75" spans="1:12" ht="15" customHeight="1" x14ac:dyDescent="0.25">
      <c r="A75" s="8"/>
      <c r="B75" s="6"/>
      <c r="C75" s="6"/>
      <c r="D75" s="6"/>
      <c r="E75" s="401">
        <v>71</v>
      </c>
      <c r="F75" s="411">
        <v>45626</v>
      </c>
      <c r="G75" s="347">
        <f t="shared" si="8"/>
        <v>1136812.3112401089</v>
      </c>
      <c r="H75" s="347">
        <f t="shared" si="11"/>
        <v>7474.9302656883883</v>
      </c>
      <c r="I75" s="347">
        <f t="shared" si="9"/>
        <v>19322.271709603145</v>
      </c>
      <c r="J75" s="347">
        <f t="shared" si="10"/>
        <v>1117490.0395305057</v>
      </c>
      <c r="K75" s="59"/>
      <c r="L75" s="59"/>
    </row>
    <row r="76" spans="1:12" ht="15" customHeight="1" x14ac:dyDescent="0.25">
      <c r="A76" s="8"/>
      <c r="B76" s="6"/>
      <c r="C76" s="6"/>
      <c r="D76" s="6"/>
      <c r="E76" s="402">
        <v>72</v>
      </c>
      <c r="F76" s="409">
        <v>45657</v>
      </c>
      <c r="G76" s="403">
        <f t="shared" si="8"/>
        <v>1117490.0395305057</v>
      </c>
      <c r="H76" s="403">
        <f t="shared" si="11"/>
        <v>7592.80903571412</v>
      </c>
      <c r="I76" s="403">
        <f t="shared" si="9"/>
        <v>19204.392939577414</v>
      </c>
      <c r="J76" s="403">
        <f t="shared" si="10"/>
        <v>1098285.6465909283</v>
      </c>
      <c r="K76" s="59"/>
      <c r="L76" s="59"/>
    </row>
    <row r="77" spans="1:12" ht="15" customHeight="1" x14ac:dyDescent="0.25">
      <c r="A77" s="8"/>
      <c r="B77" s="6"/>
      <c r="C77" s="6"/>
      <c r="D77" s="6"/>
      <c r="E77" s="404">
        <v>73</v>
      </c>
      <c r="F77" s="409">
        <v>45688</v>
      </c>
      <c r="G77" s="355">
        <f t="shared" si="8"/>
        <v>1098285.6465909283</v>
      </c>
      <c r="H77" s="355">
        <f t="shared" si="11"/>
        <v>7462.3243932753485</v>
      </c>
      <c r="I77" s="355">
        <f t="shared" si="9"/>
        <v>19334.877582016183</v>
      </c>
      <c r="J77" s="355">
        <f t="shared" si="10"/>
        <v>1078950.7690089121</v>
      </c>
      <c r="K77" s="59"/>
      <c r="L77" s="59"/>
    </row>
    <row r="78" spans="1:12" ht="15" customHeight="1" x14ac:dyDescent="0.25">
      <c r="A78" s="8"/>
      <c r="B78" s="6"/>
      <c r="C78" s="6"/>
      <c r="D78" s="6"/>
      <c r="E78" s="401">
        <v>74</v>
      </c>
      <c r="F78" s="411">
        <v>45716</v>
      </c>
      <c r="G78" s="347">
        <f t="shared" si="8"/>
        <v>1078950.7690089121</v>
      </c>
      <c r="H78" s="347">
        <f t="shared" si="11"/>
        <v>6621.5060892601741</v>
      </c>
      <c r="I78" s="347">
        <f t="shared" si="9"/>
        <v>20175.695886031361</v>
      </c>
      <c r="J78" s="347">
        <f t="shared" si="10"/>
        <v>1058775.0731228809</v>
      </c>
      <c r="K78" s="59"/>
      <c r="L78" s="59"/>
    </row>
    <row r="79" spans="1:12" ht="15" customHeight="1" x14ac:dyDescent="0.25">
      <c r="A79" s="8"/>
      <c r="B79" s="6"/>
      <c r="C79" s="6"/>
      <c r="D79" s="6"/>
      <c r="E79" s="401">
        <v>75</v>
      </c>
      <c r="F79" s="409">
        <v>45747</v>
      </c>
      <c r="G79" s="347">
        <f t="shared" si="8"/>
        <v>1058775.0731228809</v>
      </c>
      <c r="H79" s="347">
        <f t="shared" si="11"/>
        <v>7193.8689899856017</v>
      </c>
      <c r="I79" s="347">
        <f t="shared" si="9"/>
        <v>19603.332985305933</v>
      </c>
      <c r="J79" s="347">
        <f t="shared" si="10"/>
        <v>1039171.740137575</v>
      </c>
      <c r="K79" s="59"/>
      <c r="L79" s="59"/>
    </row>
    <row r="80" spans="1:12" ht="15" customHeight="1" x14ac:dyDescent="0.25">
      <c r="A80" s="8"/>
      <c r="B80" s="6"/>
      <c r="C80" s="6"/>
      <c r="D80" s="6"/>
      <c r="E80" s="401">
        <v>76</v>
      </c>
      <c r="F80" s="409">
        <v>45777</v>
      </c>
      <c r="G80" s="347">
        <f t="shared" si="8"/>
        <v>1039171.740137575</v>
      </c>
      <c r="H80" s="347">
        <f t="shared" si="11"/>
        <v>6832.9100721374789</v>
      </c>
      <c r="I80" s="347">
        <f t="shared" si="9"/>
        <v>19964.291903154055</v>
      </c>
      <c r="J80" s="347">
        <f t="shared" si="10"/>
        <v>1019207.4482344209</v>
      </c>
      <c r="K80" s="59"/>
      <c r="L80" s="59"/>
    </row>
    <row r="81" spans="1:12" ht="15" customHeight="1" x14ac:dyDescent="0.25">
      <c r="A81" s="8"/>
      <c r="B81" s="6"/>
      <c r="C81" s="6"/>
      <c r="D81" s="6"/>
      <c r="E81" s="401">
        <v>77</v>
      </c>
      <c r="F81" s="411">
        <v>45808</v>
      </c>
      <c r="G81" s="347">
        <f t="shared" si="8"/>
        <v>1019207.4482344209</v>
      </c>
      <c r="H81" s="347">
        <f t="shared" si="11"/>
        <v>6925.0259496475719</v>
      </c>
      <c r="I81" s="347">
        <f t="shared" si="9"/>
        <v>19872.176025643959</v>
      </c>
      <c r="J81" s="347">
        <f t="shared" si="10"/>
        <v>999335.27220877691</v>
      </c>
      <c r="K81" s="59"/>
      <c r="L81" s="59"/>
    </row>
    <row r="82" spans="1:12" ht="15" customHeight="1" x14ac:dyDescent="0.25">
      <c r="A82" s="8"/>
      <c r="B82" s="6"/>
      <c r="C82" s="6"/>
      <c r="D82" s="6"/>
      <c r="E82" s="401">
        <v>78</v>
      </c>
      <c r="F82" s="409">
        <v>45838</v>
      </c>
      <c r="G82" s="347">
        <f t="shared" ref="G82:G113" si="12">J81</f>
        <v>999335.27220877691</v>
      </c>
      <c r="H82" s="347">
        <f t="shared" si="11"/>
        <v>6570.9716528796298</v>
      </c>
      <c r="I82" s="347">
        <f t="shared" si="9"/>
        <v>20226.230322411902</v>
      </c>
      <c r="J82" s="347">
        <f t="shared" si="10"/>
        <v>979109.04188636504</v>
      </c>
      <c r="K82" s="59"/>
      <c r="L82" s="59"/>
    </row>
    <row r="83" spans="1:12" ht="15" customHeight="1" x14ac:dyDescent="0.25">
      <c r="A83" s="8"/>
      <c r="B83" s="6"/>
      <c r="C83" s="6"/>
      <c r="D83" s="6"/>
      <c r="E83" s="401">
        <v>79</v>
      </c>
      <c r="F83" s="409">
        <v>45869</v>
      </c>
      <c r="G83" s="347">
        <f t="shared" si="12"/>
        <v>979109.04188636504</v>
      </c>
      <c r="H83" s="347">
        <f t="shared" si="11"/>
        <v>6652.5765037758501</v>
      </c>
      <c r="I83" s="347">
        <f t="shared" si="9"/>
        <v>20144.625471515683</v>
      </c>
      <c r="J83" s="347">
        <f t="shared" si="10"/>
        <v>958964.41641484934</v>
      </c>
      <c r="K83" s="59"/>
      <c r="L83" s="59"/>
    </row>
    <row r="84" spans="1:12" ht="15" customHeight="1" x14ac:dyDescent="0.25">
      <c r="A84" s="8"/>
      <c r="B84" s="6"/>
      <c r="C84" s="6"/>
      <c r="D84" s="6"/>
      <c r="E84" s="401">
        <v>80</v>
      </c>
      <c r="F84" s="411">
        <v>45900</v>
      </c>
      <c r="G84" s="347">
        <f t="shared" si="12"/>
        <v>958964.41641484934</v>
      </c>
      <c r="H84" s="347">
        <f t="shared" si="11"/>
        <v>6515.7034320789771</v>
      </c>
      <c r="I84" s="347">
        <f t="shared" si="9"/>
        <v>20281.498543212554</v>
      </c>
      <c r="J84" s="347">
        <f t="shared" si="10"/>
        <v>938682.9178716368</v>
      </c>
      <c r="K84" s="59"/>
      <c r="L84" s="59"/>
    </row>
    <row r="85" spans="1:12" ht="15" customHeight="1" x14ac:dyDescent="0.25">
      <c r="A85" s="8"/>
      <c r="B85" s="6"/>
      <c r="C85" s="6"/>
      <c r="D85" s="6"/>
      <c r="E85" s="401">
        <v>81</v>
      </c>
      <c r="F85" s="409">
        <v>45930</v>
      </c>
      <c r="G85" s="347">
        <f t="shared" si="12"/>
        <v>938682.9178716368</v>
      </c>
      <c r="H85" s="347">
        <f t="shared" si="11"/>
        <v>6172.1616517587081</v>
      </c>
      <c r="I85" s="347">
        <f t="shared" si="9"/>
        <v>20625.040323532827</v>
      </c>
      <c r="J85" s="347">
        <f t="shared" si="10"/>
        <v>918057.87754810392</v>
      </c>
      <c r="K85" s="59"/>
      <c r="L85" s="59"/>
    </row>
    <row r="86" spans="1:12" ht="15" customHeight="1" x14ac:dyDescent="0.25">
      <c r="A86" s="8"/>
      <c r="B86" s="6"/>
      <c r="C86" s="6"/>
      <c r="D86" s="6"/>
      <c r="E86" s="401">
        <v>82</v>
      </c>
      <c r="F86" s="409">
        <v>45961</v>
      </c>
      <c r="G86" s="347">
        <f t="shared" si="12"/>
        <v>918057.87754810392</v>
      </c>
      <c r="H86" s="347">
        <f t="shared" si="11"/>
        <v>6237.7631132035558</v>
      </c>
      <c r="I86" s="347">
        <f t="shared" si="9"/>
        <v>20559.438862087976</v>
      </c>
      <c r="J86" s="347">
        <f t="shared" si="10"/>
        <v>897498.4386860159</v>
      </c>
      <c r="K86" s="59"/>
      <c r="L86" s="59"/>
    </row>
    <row r="87" spans="1:12" ht="15" customHeight="1" x14ac:dyDescent="0.25">
      <c r="A87" s="8"/>
      <c r="B87" s="6"/>
      <c r="C87" s="6"/>
      <c r="D87" s="6"/>
      <c r="E87" s="401">
        <v>83</v>
      </c>
      <c r="F87" s="411">
        <v>45991</v>
      </c>
      <c r="G87" s="347">
        <f t="shared" si="12"/>
        <v>897498.4386860159</v>
      </c>
      <c r="H87" s="347">
        <f t="shared" si="11"/>
        <v>5901.3595968395557</v>
      </c>
      <c r="I87" s="347">
        <f t="shared" si="9"/>
        <v>20895.842378451976</v>
      </c>
      <c r="J87" s="347">
        <f t="shared" si="10"/>
        <v>876602.59630756394</v>
      </c>
      <c r="K87" s="59"/>
      <c r="L87" s="59"/>
    </row>
    <row r="88" spans="1:12" ht="15" customHeight="1" x14ac:dyDescent="0.25">
      <c r="A88" s="8"/>
      <c r="B88" s="6"/>
      <c r="C88" s="6"/>
      <c r="D88" s="6"/>
      <c r="E88" s="402">
        <v>84</v>
      </c>
      <c r="F88" s="409">
        <v>46022</v>
      </c>
      <c r="G88" s="403">
        <f t="shared" si="12"/>
        <v>876602.59630756394</v>
      </c>
      <c r="H88" s="403">
        <f t="shared" si="11"/>
        <v>5956.0943529938586</v>
      </c>
      <c r="I88" s="403">
        <f t="shared" si="9"/>
        <v>20841.107622297674</v>
      </c>
      <c r="J88" s="403">
        <f t="shared" si="10"/>
        <v>855761.48868526623</v>
      </c>
      <c r="K88" s="59"/>
      <c r="L88" s="59"/>
    </row>
    <row r="89" spans="1:12" ht="15" customHeight="1" x14ac:dyDescent="0.25">
      <c r="A89" s="8"/>
      <c r="B89" s="6"/>
      <c r="C89" s="6"/>
      <c r="D89" s="6"/>
      <c r="E89" s="404">
        <v>85</v>
      </c>
      <c r="F89" s="409">
        <v>46053</v>
      </c>
      <c r="G89" s="355">
        <f t="shared" si="12"/>
        <v>855761.48868526623</v>
      </c>
      <c r="H89" s="355">
        <f t="shared" si="11"/>
        <v>5814.4890190122187</v>
      </c>
      <c r="I89" s="355">
        <f t="shared" si="9"/>
        <v>20982.712956279312</v>
      </c>
      <c r="J89" s="355">
        <f t="shared" si="10"/>
        <v>834778.77572898695</v>
      </c>
      <c r="K89" s="59"/>
      <c r="L89" s="59"/>
    </row>
    <row r="90" spans="1:12" ht="15" customHeight="1" x14ac:dyDescent="0.25">
      <c r="A90" s="8"/>
      <c r="B90" s="6"/>
      <c r="C90" s="6"/>
      <c r="D90" s="6"/>
      <c r="E90" s="401">
        <v>86</v>
      </c>
      <c r="F90" s="411">
        <v>46081</v>
      </c>
      <c r="G90" s="347">
        <f t="shared" si="12"/>
        <v>834778.77572898695</v>
      </c>
      <c r="H90" s="347">
        <f t="shared" si="11"/>
        <v>5123.0259113230968</v>
      </c>
      <c r="I90" s="347">
        <f t="shared" si="9"/>
        <v>21674.176063968436</v>
      </c>
      <c r="J90" s="347">
        <f t="shared" si="10"/>
        <v>813104.5996650185</v>
      </c>
      <c r="K90" s="59"/>
      <c r="L90" s="59"/>
    </row>
    <row r="91" spans="1:12" ht="15" customHeight="1" x14ac:dyDescent="0.25">
      <c r="A91" s="8"/>
      <c r="B91" s="6"/>
      <c r="C91" s="6"/>
      <c r="D91" s="6"/>
      <c r="E91" s="401">
        <v>87</v>
      </c>
      <c r="F91" s="409">
        <v>46112</v>
      </c>
      <c r="G91" s="347">
        <f t="shared" si="12"/>
        <v>813104.5996650185</v>
      </c>
      <c r="H91" s="347">
        <f t="shared" si="11"/>
        <v>5524.6559100527284</v>
      </c>
      <c r="I91" s="347">
        <f t="shared" si="9"/>
        <v>21272.546065238806</v>
      </c>
      <c r="J91" s="347">
        <f t="shared" si="10"/>
        <v>791832.05359977973</v>
      </c>
      <c r="K91" s="59"/>
      <c r="L91" s="59"/>
    </row>
    <row r="92" spans="1:12" ht="15" customHeight="1" x14ac:dyDescent="0.25">
      <c r="A92" s="8"/>
      <c r="B92" s="6"/>
      <c r="C92" s="6"/>
      <c r="D92" s="6"/>
      <c r="E92" s="401">
        <v>88</v>
      </c>
      <c r="F92" s="409">
        <v>46142</v>
      </c>
      <c r="G92" s="347">
        <f t="shared" si="12"/>
        <v>791832.05359977973</v>
      </c>
      <c r="H92" s="347">
        <f t="shared" si="11"/>
        <v>5206.5669277793731</v>
      </c>
      <c r="I92" s="347">
        <f t="shared" si="9"/>
        <v>21590.635047512158</v>
      </c>
      <c r="J92" s="347">
        <f t="shared" si="10"/>
        <v>770241.4185522676</v>
      </c>
      <c r="K92" s="59"/>
      <c r="L92" s="59"/>
    </row>
    <row r="93" spans="1:12" ht="15" customHeight="1" x14ac:dyDescent="0.25">
      <c r="A93" s="8"/>
      <c r="B93" s="6"/>
      <c r="C93" s="6"/>
      <c r="D93" s="6"/>
      <c r="E93" s="401">
        <v>89</v>
      </c>
      <c r="F93" s="411">
        <v>46173</v>
      </c>
      <c r="G93" s="347">
        <f t="shared" si="12"/>
        <v>770241.4185522676</v>
      </c>
      <c r="H93" s="347">
        <f t="shared" si="11"/>
        <v>5233.4211452318459</v>
      </c>
      <c r="I93" s="347">
        <f t="shared" ref="I93:I124" si="13">$C$8-H93</f>
        <v>21563.780830059688</v>
      </c>
      <c r="J93" s="347">
        <f t="shared" si="10"/>
        <v>748677.63772220793</v>
      </c>
      <c r="K93" s="59"/>
      <c r="L93" s="59"/>
    </row>
    <row r="94" spans="1:12" ht="15" customHeight="1" x14ac:dyDescent="0.25">
      <c r="A94" s="8"/>
      <c r="B94" s="6"/>
      <c r="C94" s="6"/>
      <c r="D94" s="6"/>
      <c r="E94" s="401">
        <v>90</v>
      </c>
      <c r="F94" s="409">
        <v>46203</v>
      </c>
      <c r="G94" s="347">
        <f t="shared" si="12"/>
        <v>748677.63772220793</v>
      </c>
      <c r="H94" s="347">
        <f t="shared" si="11"/>
        <v>4922.8118644747919</v>
      </c>
      <c r="I94" s="347">
        <f t="shared" si="13"/>
        <v>21874.390110816741</v>
      </c>
      <c r="J94" s="347">
        <f t="shared" si="10"/>
        <v>726803.24761139124</v>
      </c>
      <c r="K94" s="59"/>
      <c r="L94" s="59"/>
    </row>
    <row r="95" spans="1:12" ht="15" customHeight="1" x14ac:dyDescent="0.25">
      <c r="A95" s="8"/>
      <c r="B95" s="6"/>
      <c r="C95" s="6"/>
      <c r="D95" s="6"/>
      <c r="E95" s="401">
        <v>91</v>
      </c>
      <c r="F95" s="409">
        <v>46234</v>
      </c>
      <c r="G95" s="347">
        <f t="shared" si="12"/>
        <v>726803.24761139124</v>
      </c>
      <c r="H95" s="347">
        <f t="shared" si="11"/>
        <v>4938.2796002089053</v>
      </c>
      <c r="I95" s="347">
        <f t="shared" si="13"/>
        <v>21858.922375082628</v>
      </c>
      <c r="J95" s="347">
        <f t="shared" si="10"/>
        <v>704944.32523630862</v>
      </c>
      <c r="K95" s="59"/>
      <c r="L95" s="59"/>
    </row>
    <row r="96" spans="1:12" ht="15" customHeight="1" x14ac:dyDescent="0.25">
      <c r="A96" s="8"/>
      <c r="B96" s="6"/>
      <c r="C96" s="6"/>
      <c r="D96" s="6"/>
      <c r="E96" s="401">
        <v>92</v>
      </c>
      <c r="F96" s="411">
        <v>46265</v>
      </c>
      <c r="G96" s="347">
        <f t="shared" si="12"/>
        <v>704944.32523630862</v>
      </c>
      <c r="H96" s="347">
        <f t="shared" si="11"/>
        <v>4789.7587029754668</v>
      </c>
      <c r="I96" s="347">
        <f t="shared" si="13"/>
        <v>22007.443272316064</v>
      </c>
      <c r="J96" s="347">
        <f t="shared" si="10"/>
        <v>682936.88196399261</v>
      </c>
      <c r="K96" s="59"/>
      <c r="L96" s="59"/>
    </row>
    <row r="97" spans="1:12" ht="15" customHeight="1" x14ac:dyDescent="0.25">
      <c r="A97" s="8"/>
      <c r="B97" s="6"/>
      <c r="C97" s="6"/>
      <c r="D97" s="6"/>
      <c r="E97" s="401">
        <v>93</v>
      </c>
      <c r="F97" s="409">
        <v>46295</v>
      </c>
      <c r="G97" s="347">
        <f t="shared" si="12"/>
        <v>682936.88196399261</v>
      </c>
      <c r="H97" s="347">
        <f t="shared" si="11"/>
        <v>4490.5438814070749</v>
      </c>
      <c r="I97" s="347">
        <f t="shared" si="13"/>
        <v>22306.658093884456</v>
      </c>
      <c r="J97" s="347">
        <f t="shared" si="10"/>
        <v>660630.22387010814</v>
      </c>
      <c r="K97" s="59"/>
      <c r="L97" s="59"/>
    </row>
    <row r="98" spans="1:12" ht="15" customHeight="1" x14ac:dyDescent="0.25">
      <c r="A98" s="8"/>
      <c r="B98" s="6"/>
      <c r="C98" s="6"/>
      <c r="D98" s="6"/>
      <c r="E98" s="401">
        <v>94</v>
      </c>
      <c r="F98" s="409">
        <v>46326</v>
      </c>
      <c r="G98" s="347">
        <f t="shared" si="12"/>
        <v>660630.22387010814</v>
      </c>
      <c r="H98" s="347">
        <f t="shared" si="11"/>
        <v>4488.665630679091</v>
      </c>
      <c r="I98" s="347">
        <f t="shared" si="13"/>
        <v>22308.536344612443</v>
      </c>
      <c r="J98" s="347">
        <f t="shared" si="10"/>
        <v>638321.68752549565</v>
      </c>
      <c r="K98" s="59"/>
      <c r="L98" s="59"/>
    </row>
    <row r="99" spans="1:12" ht="15" customHeight="1" x14ac:dyDescent="0.25">
      <c r="A99" s="8"/>
      <c r="B99" s="6"/>
      <c r="C99" s="6"/>
      <c r="D99" s="6"/>
      <c r="E99" s="401">
        <v>95</v>
      </c>
      <c r="F99" s="411">
        <v>46356</v>
      </c>
      <c r="G99" s="347">
        <f t="shared" si="12"/>
        <v>638321.68752549565</v>
      </c>
      <c r="H99" s="347">
        <f t="shared" si="11"/>
        <v>4197.1836987977795</v>
      </c>
      <c r="I99" s="347">
        <f t="shared" si="13"/>
        <v>22600.018276493753</v>
      </c>
      <c r="J99" s="347">
        <f t="shared" si="10"/>
        <v>615721.66924900189</v>
      </c>
      <c r="K99" s="59"/>
      <c r="L99" s="59"/>
    </row>
    <row r="100" spans="1:12" ht="15" customHeight="1" x14ac:dyDescent="0.25">
      <c r="A100" s="8"/>
      <c r="B100" s="6"/>
      <c r="C100" s="6"/>
      <c r="D100" s="6"/>
      <c r="E100" s="402">
        <v>96</v>
      </c>
      <c r="F100" s="409">
        <v>46387</v>
      </c>
      <c r="G100" s="403">
        <f t="shared" si="12"/>
        <v>615721.66924900189</v>
      </c>
      <c r="H100" s="403">
        <f t="shared" si="11"/>
        <v>4183.5335335274658</v>
      </c>
      <c r="I100" s="403">
        <f t="shared" si="13"/>
        <v>22613.668441764068</v>
      </c>
      <c r="J100" s="403">
        <f t="shared" si="10"/>
        <v>593108.00080723781</v>
      </c>
      <c r="K100" s="59"/>
      <c r="L100" s="59"/>
    </row>
    <row r="101" spans="1:12" ht="15" customHeight="1" x14ac:dyDescent="0.25">
      <c r="A101" s="8"/>
      <c r="B101" s="6"/>
      <c r="C101" s="6"/>
      <c r="D101" s="6"/>
      <c r="E101" s="404">
        <v>97</v>
      </c>
      <c r="F101" s="409">
        <v>46418</v>
      </c>
      <c r="G101" s="355">
        <f t="shared" si="12"/>
        <v>593108.00080723781</v>
      </c>
      <c r="H101" s="355">
        <f t="shared" si="11"/>
        <v>4029.8844986354793</v>
      </c>
      <c r="I101" s="355">
        <f t="shared" si="13"/>
        <v>22767.317476656055</v>
      </c>
      <c r="J101" s="355">
        <f t="shared" ref="J101:J132" si="14">G101-I101</f>
        <v>570340.68333058176</v>
      </c>
      <c r="K101" s="59"/>
      <c r="L101" s="59"/>
    </row>
    <row r="102" spans="1:12" ht="15" customHeight="1" x14ac:dyDescent="0.25">
      <c r="A102" s="8"/>
      <c r="B102" s="6"/>
      <c r="C102" s="6"/>
      <c r="D102" s="6"/>
      <c r="E102" s="401">
        <v>98</v>
      </c>
      <c r="F102" s="411">
        <v>46446</v>
      </c>
      <c r="G102" s="347">
        <f t="shared" si="12"/>
        <v>570340.68333058176</v>
      </c>
      <c r="H102" s="347">
        <f t="shared" ref="H102:H133" si="15">(G102*$C$9)*(F102-F101)/365</f>
        <v>3500.1729607137072</v>
      </c>
      <c r="I102" s="347">
        <f t="shared" si="13"/>
        <v>23297.029014577827</v>
      </c>
      <c r="J102" s="347">
        <f t="shared" si="14"/>
        <v>547043.6543160039</v>
      </c>
      <c r="K102" s="59"/>
      <c r="L102" s="59"/>
    </row>
    <row r="103" spans="1:12" ht="15" customHeight="1" x14ac:dyDescent="0.25">
      <c r="A103" s="8"/>
      <c r="B103" s="6"/>
      <c r="C103" s="6"/>
      <c r="D103" s="6"/>
      <c r="E103" s="401">
        <v>99</v>
      </c>
      <c r="F103" s="409">
        <v>46477</v>
      </c>
      <c r="G103" s="347">
        <f t="shared" si="12"/>
        <v>547043.6543160039</v>
      </c>
      <c r="H103" s="347">
        <f t="shared" si="15"/>
        <v>3716.8993498731224</v>
      </c>
      <c r="I103" s="347">
        <f t="shared" si="13"/>
        <v>23080.302625418411</v>
      </c>
      <c r="J103" s="347">
        <f t="shared" si="14"/>
        <v>523963.35169058549</v>
      </c>
      <c r="K103" s="59"/>
      <c r="L103" s="59"/>
    </row>
    <row r="104" spans="1:12" ht="15" customHeight="1" x14ac:dyDescent="0.25">
      <c r="A104" s="8"/>
      <c r="B104" s="6"/>
      <c r="C104" s="6"/>
      <c r="D104" s="6"/>
      <c r="E104" s="401">
        <v>100</v>
      </c>
      <c r="F104" s="409">
        <v>46507</v>
      </c>
      <c r="G104" s="347">
        <f t="shared" si="12"/>
        <v>523963.35169058549</v>
      </c>
      <c r="H104" s="347">
        <f t="shared" si="15"/>
        <v>3445.2384768696029</v>
      </c>
      <c r="I104" s="347">
        <f t="shared" si="13"/>
        <v>23351.96349842193</v>
      </c>
      <c r="J104" s="347">
        <f t="shared" si="14"/>
        <v>500611.38819216355</v>
      </c>
      <c r="K104" s="59"/>
      <c r="L104" s="59"/>
    </row>
    <row r="105" spans="1:12" ht="15" customHeight="1" x14ac:dyDescent="0.25">
      <c r="A105" s="8"/>
      <c r="B105" s="6"/>
      <c r="C105" s="6"/>
      <c r="D105" s="6"/>
      <c r="E105" s="401">
        <v>101</v>
      </c>
      <c r="F105" s="411">
        <v>46538</v>
      </c>
      <c r="G105" s="347">
        <f t="shared" si="12"/>
        <v>500611.38819216355</v>
      </c>
      <c r="H105" s="347">
        <f t="shared" si="15"/>
        <v>3401.4143636070294</v>
      </c>
      <c r="I105" s="347">
        <f t="shared" si="13"/>
        <v>23395.787611684504</v>
      </c>
      <c r="J105" s="347">
        <f t="shared" si="14"/>
        <v>477215.60058047902</v>
      </c>
      <c r="K105" s="59"/>
      <c r="L105" s="59"/>
    </row>
    <row r="106" spans="1:12" ht="15" customHeight="1" x14ac:dyDescent="0.25">
      <c r="A106" s="8"/>
      <c r="B106" s="6"/>
      <c r="C106" s="6"/>
      <c r="D106" s="6"/>
      <c r="E106" s="401">
        <v>102</v>
      </c>
      <c r="F106" s="409">
        <v>46568</v>
      </c>
      <c r="G106" s="347">
        <f t="shared" si="12"/>
        <v>477215.60058047902</v>
      </c>
      <c r="H106" s="347">
        <f t="shared" si="15"/>
        <v>3137.856003816848</v>
      </c>
      <c r="I106" s="347">
        <f t="shared" si="13"/>
        <v>23659.345971474686</v>
      </c>
      <c r="J106" s="347">
        <f t="shared" si="14"/>
        <v>453556.25460900436</v>
      </c>
      <c r="K106" s="59"/>
      <c r="L106" s="59"/>
    </row>
    <row r="107" spans="1:12" ht="15" customHeight="1" x14ac:dyDescent="0.25">
      <c r="A107" s="8"/>
      <c r="B107" s="6"/>
      <c r="C107" s="6"/>
      <c r="D107" s="6"/>
      <c r="E107" s="401">
        <v>103</v>
      </c>
      <c r="F107" s="409">
        <v>46599</v>
      </c>
      <c r="G107" s="347">
        <f t="shared" si="12"/>
        <v>453556.25460900436</v>
      </c>
      <c r="H107" s="347">
        <f t="shared" si="15"/>
        <v>3081.6972915899473</v>
      </c>
      <c r="I107" s="347">
        <f t="shared" si="13"/>
        <v>23715.504683701587</v>
      </c>
      <c r="J107" s="347">
        <f t="shared" si="14"/>
        <v>429840.74992530275</v>
      </c>
      <c r="K107" s="59"/>
      <c r="L107" s="59"/>
    </row>
    <row r="108" spans="1:12" ht="15" customHeight="1" x14ac:dyDescent="0.25">
      <c r="A108" s="8"/>
      <c r="B108" s="6"/>
      <c r="C108" s="6"/>
      <c r="D108" s="6"/>
      <c r="E108" s="401">
        <v>104</v>
      </c>
      <c r="F108" s="411">
        <v>46630</v>
      </c>
      <c r="G108" s="347">
        <f t="shared" si="12"/>
        <v>429840.74992530275</v>
      </c>
      <c r="H108" s="347">
        <f t="shared" si="15"/>
        <v>2920.5618077116465</v>
      </c>
      <c r="I108" s="347">
        <f t="shared" si="13"/>
        <v>23876.640167579888</v>
      </c>
      <c r="J108" s="347">
        <f t="shared" si="14"/>
        <v>405964.10975772288</v>
      </c>
      <c r="K108" s="59"/>
      <c r="L108" s="59"/>
    </row>
    <row r="109" spans="1:12" ht="15" customHeight="1" x14ac:dyDescent="0.25">
      <c r="A109" s="8"/>
      <c r="B109" s="6"/>
      <c r="C109" s="6"/>
      <c r="D109" s="6"/>
      <c r="E109" s="401">
        <v>105</v>
      </c>
      <c r="F109" s="409">
        <v>46660</v>
      </c>
      <c r="G109" s="347">
        <f t="shared" si="12"/>
        <v>405964.10975772288</v>
      </c>
      <c r="H109" s="347">
        <f t="shared" si="15"/>
        <v>2669.3530504617393</v>
      </c>
      <c r="I109" s="347">
        <f t="shared" si="13"/>
        <v>24127.848924829792</v>
      </c>
      <c r="J109" s="347">
        <f t="shared" si="14"/>
        <v>381836.26083289308</v>
      </c>
      <c r="K109" s="59"/>
      <c r="L109" s="59"/>
    </row>
    <row r="110" spans="1:12" ht="15" customHeight="1" x14ac:dyDescent="0.25">
      <c r="A110" s="8"/>
      <c r="B110" s="6"/>
      <c r="C110" s="6"/>
      <c r="D110" s="6"/>
      <c r="E110" s="401">
        <v>106</v>
      </c>
      <c r="F110" s="409">
        <v>46691</v>
      </c>
      <c r="G110" s="347">
        <f t="shared" si="12"/>
        <v>381836.26083289308</v>
      </c>
      <c r="H110" s="347">
        <f t="shared" si="15"/>
        <v>2594.3943201796574</v>
      </c>
      <c r="I110" s="347">
        <f t="shared" si="13"/>
        <v>24202.807655111876</v>
      </c>
      <c r="J110" s="347">
        <f t="shared" si="14"/>
        <v>357633.45317778119</v>
      </c>
      <c r="K110" s="59"/>
      <c r="L110" s="59"/>
    </row>
    <row r="111" spans="1:12" ht="15" customHeight="1" x14ac:dyDescent="0.25">
      <c r="A111" s="8"/>
      <c r="B111" s="6"/>
      <c r="C111" s="6"/>
      <c r="D111" s="6"/>
      <c r="E111" s="401">
        <v>107</v>
      </c>
      <c r="F111" s="411">
        <v>46721</v>
      </c>
      <c r="G111" s="347">
        <f t="shared" si="12"/>
        <v>357633.45317778119</v>
      </c>
      <c r="H111" s="347">
        <f t="shared" si="15"/>
        <v>2351.5624318539039</v>
      </c>
      <c r="I111" s="347">
        <f t="shared" si="13"/>
        <v>24445.639543437628</v>
      </c>
      <c r="J111" s="347">
        <f t="shared" si="14"/>
        <v>333187.81363434356</v>
      </c>
      <c r="K111" s="59"/>
      <c r="L111" s="59"/>
    </row>
    <row r="112" spans="1:12" ht="15" customHeight="1" x14ac:dyDescent="0.25">
      <c r="A112" s="8"/>
      <c r="B112" s="6"/>
      <c r="C112" s="6"/>
      <c r="D112" s="6"/>
      <c r="E112" s="402">
        <v>108</v>
      </c>
      <c r="F112" s="409">
        <v>46752</v>
      </c>
      <c r="G112" s="403">
        <f t="shared" si="12"/>
        <v>333187.81363434356</v>
      </c>
      <c r="H112" s="403">
        <f t="shared" si="15"/>
        <v>2263.8514460634847</v>
      </c>
      <c r="I112" s="403">
        <f t="shared" si="13"/>
        <v>24533.35052922805</v>
      </c>
      <c r="J112" s="403">
        <f t="shared" si="14"/>
        <v>308654.46310511552</v>
      </c>
      <c r="K112" s="59"/>
      <c r="L112" s="59"/>
    </row>
    <row r="113" spans="1:12" ht="15" customHeight="1" x14ac:dyDescent="0.25">
      <c r="A113" s="8"/>
      <c r="B113" s="6"/>
      <c r="C113" s="6"/>
      <c r="D113" s="6"/>
      <c r="E113" s="404">
        <v>109</v>
      </c>
      <c r="F113" s="409">
        <v>46783</v>
      </c>
      <c r="G113" s="355">
        <f t="shared" si="12"/>
        <v>308654.46310511552</v>
      </c>
      <c r="H113" s="355">
        <f t="shared" si="15"/>
        <v>2097.1590917827025</v>
      </c>
      <c r="I113" s="355">
        <f t="shared" si="13"/>
        <v>24700.042883508831</v>
      </c>
      <c r="J113" s="355">
        <f t="shared" si="14"/>
        <v>283954.42022160668</v>
      </c>
      <c r="K113" s="59"/>
      <c r="L113" s="59"/>
    </row>
    <row r="114" spans="1:12" ht="15" customHeight="1" x14ac:dyDescent="0.25">
      <c r="A114" s="8"/>
      <c r="B114" s="6"/>
      <c r="C114" s="6"/>
      <c r="D114" s="6"/>
      <c r="E114" s="401">
        <v>110</v>
      </c>
      <c r="F114" s="411">
        <v>46812</v>
      </c>
      <c r="G114" s="347">
        <f t="shared" ref="G114:G148" si="16">J113</f>
        <v>283954.42022160668</v>
      </c>
      <c r="H114" s="347">
        <f t="shared" si="15"/>
        <v>1804.8609723674726</v>
      </c>
      <c r="I114" s="347">
        <f t="shared" si="13"/>
        <v>24992.341002924062</v>
      </c>
      <c r="J114" s="347">
        <f t="shared" si="14"/>
        <v>258962.0792186826</v>
      </c>
      <c r="K114" s="59"/>
      <c r="L114" s="59"/>
    </row>
    <row r="115" spans="1:12" ht="15" customHeight="1" x14ac:dyDescent="0.25">
      <c r="A115" s="8"/>
      <c r="B115" s="6"/>
      <c r="C115" s="6"/>
      <c r="D115" s="6"/>
      <c r="E115" s="401">
        <v>111</v>
      </c>
      <c r="F115" s="409">
        <v>46843</v>
      </c>
      <c r="G115" s="347">
        <f t="shared" si="16"/>
        <v>258962.0792186826</v>
      </c>
      <c r="H115" s="347">
        <f t="shared" si="15"/>
        <v>1759.5231683899531</v>
      </c>
      <c r="I115" s="347">
        <f t="shared" si="13"/>
        <v>25037.678806901578</v>
      </c>
      <c r="J115" s="347">
        <f t="shared" si="14"/>
        <v>233924.40041178101</v>
      </c>
      <c r="K115" s="59"/>
      <c r="L115" s="59"/>
    </row>
    <row r="116" spans="1:12" ht="15" customHeight="1" x14ac:dyDescent="0.25">
      <c r="A116" s="8"/>
      <c r="B116" s="6"/>
      <c r="C116" s="6"/>
      <c r="D116" s="6"/>
      <c r="E116" s="401">
        <v>112</v>
      </c>
      <c r="F116" s="409">
        <v>46873</v>
      </c>
      <c r="G116" s="347">
        <f t="shared" si="16"/>
        <v>233924.40041178101</v>
      </c>
      <c r="H116" s="347">
        <f t="shared" si="15"/>
        <v>1538.1330438034915</v>
      </c>
      <c r="I116" s="347">
        <f t="shared" si="13"/>
        <v>25259.06893148804</v>
      </c>
      <c r="J116" s="347">
        <f t="shared" si="14"/>
        <v>208665.33148029298</v>
      </c>
      <c r="K116" s="59"/>
      <c r="L116" s="59"/>
    </row>
    <row r="117" spans="1:12" ht="15" customHeight="1" x14ac:dyDescent="0.25">
      <c r="A117" s="8"/>
      <c r="B117" s="6"/>
      <c r="C117" s="6"/>
      <c r="D117" s="6"/>
      <c r="E117" s="401">
        <v>113</v>
      </c>
      <c r="F117" s="411">
        <v>46904</v>
      </c>
      <c r="G117" s="347">
        <f t="shared" si="16"/>
        <v>208665.33148029298</v>
      </c>
      <c r="H117" s="347">
        <f t="shared" si="15"/>
        <v>1417.7808823866483</v>
      </c>
      <c r="I117" s="347">
        <f t="shared" si="13"/>
        <v>25379.421092904886</v>
      </c>
      <c r="J117" s="347">
        <f t="shared" si="14"/>
        <v>183285.91038738808</v>
      </c>
      <c r="K117" s="59"/>
      <c r="L117" s="59"/>
    </row>
    <row r="118" spans="1:12" ht="15" customHeight="1" x14ac:dyDescent="0.25">
      <c r="A118" s="8"/>
      <c r="B118" s="6"/>
      <c r="C118" s="6"/>
      <c r="D118" s="6"/>
      <c r="E118" s="401">
        <v>114</v>
      </c>
      <c r="F118" s="409">
        <v>46934</v>
      </c>
      <c r="G118" s="347">
        <f t="shared" si="16"/>
        <v>183285.91038738808</v>
      </c>
      <c r="H118" s="347">
        <f t="shared" si="15"/>
        <v>1205.1676299444696</v>
      </c>
      <c r="I118" s="347">
        <f t="shared" si="13"/>
        <v>25592.034345347063</v>
      </c>
      <c r="J118" s="347">
        <f t="shared" si="14"/>
        <v>157693.87604204103</v>
      </c>
      <c r="K118" s="59"/>
      <c r="L118" s="59"/>
    </row>
    <row r="119" spans="1:12" ht="15" customHeight="1" x14ac:dyDescent="0.25">
      <c r="A119" s="8"/>
      <c r="B119" s="6"/>
      <c r="C119" s="6"/>
      <c r="D119" s="6"/>
      <c r="E119" s="401">
        <v>115</v>
      </c>
      <c r="F119" s="409">
        <v>46965</v>
      </c>
      <c r="G119" s="347">
        <f t="shared" si="16"/>
        <v>157693.87604204103</v>
      </c>
      <c r="H119" s="347">
        <f t="shared" si="15"/>
        <v>1071.4542810527719</v>
      </c>
      <c r="I119" s="347">
        <f t="shared" si="13"/>
        <v>25725.747694238762</v>
      </c>
      <c r="J119" s="347">
        <f t="shared" si="14"/>
        <v>131968.12834780227</v>
      </c>
      <c r="K119" s="59"/>
      <c r="L119" s="59"/>
    </row>
    <row r="120" spans="1:12" ht="15" customHeight="1" x14ac:dyDescent="0.25">
      <c r="A120" s="8"/>
      <c r="B120" s="6"/>
      <c r="C120" s="6"/>
      <c r="D120" s="6"/>
      <c r="E120" s="401">
        <v>116</v>
      </c>
      <c r="F120" s="411">
        <v>46996</v>
      </c>
      <c r="G120" s="347">
        <f t="shared" si="16"/>
        <v>131968.12834780227</v>
      </c>
      <c r="H120" s="347">
        <f t="shared" si="15"/>
        <v>896.66015973301285</v>
      </c>
      <c r="I120" s="347">
        <f t="shared" si="13"/>
        <v>25900.541815558521</v>
      </c>
      <c r="J120" s="347">
        <f t="shared" si="14"/>
        <v>106067.58653224375</v>
      </c>
      <c r="K120" s="59"/>
      <c r="L120" s="59"/>
    </row>
    <row r="121" spans="1:12" ht="15" customHeight="1" x14ac:dyDescent="0.25">
      <c r="A121" s="8"/>
      <c r="B121" s="6"/>
      <c r="C121" s="6"/>
      <c r="D121" s="6"/>
      <c r="E121" s="401">
        <v>117</v>
      </c>
      <c r="F121" s="409">
        <v>47026</v>
      </c>
      <c r="G121" s="347">
        <f t="shared" si="16"/>
        <v>106067.58653224375</v>
      </c>
      <c r="H121" s="347">
        <f t="shared" si="15"/>
        <v>697.43070596543828</v>
      </c>
      <c r="I121" s="347">
        <f t="shared" si="13"/>
        <v>26099.771269326095</v>
      </c>
      <c r="J121" s="347">
        <f t="shared" si="14"/>
        <v>79967.815262917647</v>
      </c>
      <c r="K121" s="59"/>
      <c r="L121" s="59"/>
    </row>
    <row r="122" spans="1:12" ht="15" customHeight="1" x14ac:dyDescent="0.25">
      <c r="A122" s="8"/>
      <c r="B122" s="6"/>
      <c r="C122" s="6"/>
      <c r="D122" s="6"/>
      <c r="E122" s="401">
        <v>118</v>
      </c>
      <c r="F122" s="409">
        <v>47057</v>
      </c>
      <c r="G122" s="347">
        <f t="shared" si="16"/>
        <v>79967.815262917647</v>
      </c>
      <c r="H122" s="347">
        <f t="shared" si="15"/>
        <v>543.34296397818014</v>
      </c>
      <c r="I122" s="347">
        <f t="shared" si="13"/>
        <v>26253.859011313354</v>
      </c>
      <c r="J122" s="347">
        <f t="shared" si="14"/>
        <v>53713.956251604293</v>
      </c>
      <c r="K122" s="59"/>
      <c r="L122" s="59"/>
    </row>
    <row r="123" spans="1:12" ht="15" customHeight="1" x14ac:dyDescent="0.25">
      <c r="A123" s="8"/>
      <c r="B123" s="6"/>
      <c r="C123" s="6"/>
      <c r="D123" s="6"/>
      <c r="E123" s="401">
        <v>119</v>
      </c>
      <c r="F123" s="411">
        <v>47087</v>
      </c>
      <c r="G123" s="347">
        <f t="shared" si="16"/>
        <v>53713.956251604293</v>
      </c>
      <c r="H123" s="347">
        <f t="shared" si="15"/>
        <v>353.18765754479534</v>
      </c>
      <c r="I123" s="347">
        <f t="shared" si="13"/>
        <v>26444.014317746736</v>
      </c>
      <c r="J123" s="347">
        <f t="shared" si="14"/>
        <v>27269.941933857557</v>
      </c>
      <c r="K123" s="59"/>
      <c r="L123" s="59"/>
    </row>
    <row r="124" spans="1:12" ht="15" customHeight="1" x14ac:dyDescent="0.25">
      <c r="A124" s="8"/>
      <c r="B124" s="6"/>
      <c r="C124" s="6"/>
      <c r="D124" s="6"/>
      <c r="E124" s="402">
        <v>120</v>
      </c>
      <c r="F124" s="409">
        <v>47118</v>
      </c>
      <c r="G124" s="403">
        <f t="shared" si="16"/>
        <v>27269.941933857557</v>
      </c>
      <c r="H124" s="403">
        <f t="shared" si="15"/>
        <v>185.28618081086779</v>
      </c>
      <c r="I124" s="403">
        <f t="shared" si="13"/>
        <v>26611.915794480665</v>
      </c>
      <c r="J124" s="403">
        <f t="shared" si="14"/>
        <v>658.02613937689239</v>
      </c>
      <c r="K124" s="59"/>
      <c r="L124" s="59"/>
    </row>
    <row r="125" spans="1:12" ht="15" customHeight="1" x14ac:dyDescent="0.25">
      <c r="A125" s="8"/>
      <c r="B125" s="6"/>
      <c r="C125" s="6"/>
      <c r="D125" s="6"/>
      <c r="E125" s="404">
        <v>121</v>
      </c>
      <c r="F125" s="409">
        <v>47149</v>
      </c>
      <c r="G125" s="355">
        <f t="shared" si="16"/>
        <v>658.02613937689239</v>
      </c>
      <c r="H125" s="355">
        <f t="shared" si="15"/>
        <v>4.4709721250813512</v>
      </c>
      <c r="I125" s="355">
        <f t="shared" ref="I125:I148" si="17">$C$8-H125</f>
        <v>26792.731003166453</v>
      </c>
      <c r="J125" s="355">
        <f t="shared" si="14"/>
        <v>-26134.70486378956</v>
      </c>
      <c r="K125" s="59"/>
      <c r="L125" s="59"/>
    </row>
    <row r="126" spans="1:12" ht="15" customHeight="1" x14ac:dyDescent="0.25">
      <c r="A126" s="8"/>
      <c r="B126" s="6"/>
      <c r="C126" s="6"/>
      <c r="D126" s="6"/>
      <c r="E126" s="401">
        <v>122</v>
      </c>
      <c r="F126" s="411">
        <v>47177</v>
      </c>
      <c r="G126" s="347">
        <f t="shared" si="16"/>
        <v>-26134.70486378956</v>
      </c>
      <c r="H126" s="347">
        <f t="shared" si="15"/>
        <v>-160.38832573942088</v>
      </c>
      <c r="I126" s="347">
        <f t="shared" si="17"/>
        <v>26957.590301030952</v>
      </c>
      <c r="J126" s="347">
        <f t="shared" si="14"/>
        <v>-53092.295164820513</v>
      </c>
      <c r="K126" s="59"/>
      <c r="L126" s="59"/>
    </row>
    <row r="127" spans="1:12" ht="15" customHeight="1" x14ac:dyDescent="0.25">
      <c r="A127" s="8"/>
      <c r="B127" s="6"/>
      <c r="C127" s="6"/>
      <c r="D127" s="6"/>
      <c r="E127" s="401">
        <v>123</v>
      </c>
      <c r="F127" s="409">
        <v>47208</v>
      </c>
      <c r="G127" s="347">
        <f t="shared" si="16"/>
        <v>-53092.295164820513</v>
      </c>
      <c r="H127" s="347">
        <f t="shared" si="15"/>
        <v>-360.73669043494493</v>
      </c>
      <c r="I127" s="347">
        <f t="shared" si="17"/>
        <v>27157.938665726477</v>
      </c>
      <c r="J127" s="347">
        <f t="shared" si="14"/>
        <v>-80250.233830546989</v>
      </c>
      <c r="K127" s="59"/>
      <c r="L127" s="59"/>
    </row>
    <row r="128" spans="1:12" ht="15" customHeight="1" x14ac:dyDescent="0.25">
      <c r="A128" s="8"/>
      <c r="B128" s="6"/>
      <c r="C128" s="6"/>
      <c r="D128" s="6"/>
      <c r="E128" s="401">
        <v>124</v>
      </c>
      <c r="F128" s="409">
        <v>47238</v>
      </c>
      <c r="G128" s="347">
        <f t="shared" si="16"/>
        <v>-80250.233830546989</v>
      </c>
      <c r="H128" s="347">
        <f t="shared" si="15"/>
        <v>-527.67277039263774</v>
      </c>
      <c r="I128" s="347">
        <f t="shared" si="17"/>
        <v>27324.87474568417</v>
      </c>
      <c r="J128" s="347">
        <f t="shared" si="14"/>
        <v>-107575.10857623116</v>
      </c>
      <c r="K128" s="59"/>
      <c r="L128" s="59"/>
    </row>
    <row r="129" spans="1:12" ht="15" customHeight="1" x14ac:dyDescent="0.25">
      <c r="A129" s="8"/>
      <c r="B129" s="6"/>
      <c r="C129" s="6"/>
      <c r="D129" s="6"/>
      <c r="E129" s="401">
        <v>125</v>
      </c>
      <c r="F129" s="411">
        <v>47269</v>
      </c>
      <c r="G129" s="347">
        <f t="shared" si="16"/>
        <v>-107575.10857623116</v>
      </c>
      <c r="H129" s="347">
        <f t="shared" si="15"/>
        <v>-730.92128566863903</v>
      </c>
      <c r="I129" s="347">
        <f t="shared" si="17"/>
        <v>27528.123260960172</v>
      </c>
      <c r="J129" s="347">
        <f t="shared" si="14"/>
        <v>-135103.23183719133</v>
      </c>
      <c r="K129" s="59"/>
      <c r="L129" s="59"/>
    </row>
    <row r="130" spans="1:12" ht="15" customHeight="1" x14ac:dyDescent="0.25">
      <c r="A130" s="8"/>
      <c r="B130" s="6"/>
      <c r="C130" s="6"/>
      <c r="D130" s="6"/>
      <c r="E130" s="401">
        <v>126</v>
      </c>
      <c r="F130" s="409">
        <v>47299</v>
      </c>
      <c r="G130" s="347">
        <f t="shared" si="16"/>
        <v>-135103.23183719133</v>
      </c>
      <c r="H130" s="347">
        <f t="shared" si="15"/>
        <v>-888.35001755961434</v>
      </c>
      <c r="I130" s="347">
        <f t="shared" si="17"/>
        <v>27685.551992851146</v>
      </c>
      <c r="J130" s="347">
        <f t="shared" si="14"/>
        <v>-162788.78383004246</v>
      </c>
      <c r="K130" s="59"/>
      <c r="L130" s="59"/>
    </row>
    <row r="131" spans="1:12" ht="15" customHeight="1" x14ac:dyDescent="0.25">
      <c r="A131" s="8"/>
      <c r="B131" s="6"/>
      <c r="C131" s="6"/>
      <c r="D131" s="6"/>
      <c r="E131" s="401">
        <v>127</v>
      </c>
      <c r="F131" s="409">
        <v>47330</v>
      </c>
      <c r="G131" s="347">
        <f t="shared" si="16"/>
        <v>-162788.78383004246</v>
      </c>
      <c r="H131" s="347">
        <f t="shared" si="15"/>
        <v>-1106.0717367082336</v>
      </c>
      <c r="I131" s="347">
        <f t="shared" si="17"/>
        <v>27903.273711999766</v>
      </c>
      <c r="J131" s="347">
        <f t="shared" si="14"/>
        <v>-190692.05754204222</v>
      </c>
      <c r="K131" s="59"/>
      <c r="L131" s="59"/>
    </row>
    <row r="132" spans="1:12" ht="15" customHeight="1" x14ac:dyDescent="0.25">
      <c r="A132" s="8"/>
      <c r="B132" s="6"/>
      <c r="C132" s="6"/>
      <c r="D132" s="6"/>
      <c r="E132" s="401">
        <v>128</v>
      </c>
      <c r="F132" s="411">
        <v>47361</v>
      </c>
      <c r="G132" s="347">
        <f t="shared" si="16"/>
        <v>-190692.05754204222</v>
      </c>
      <c r="H132" s="347">
        <f t="shared" si="15"/>
        <v>-1295.6611032993553</v>
      </c>
      <c r="I132" s="347">
        <f t="shared" si="17"/>
        <v>28092.86307859089</v>
      </c>
      <c r="J132" s="347">
        <f t="shared" si="14"/>
        <v>-218784.92062063311</v>
      </c>
      <c r="K132" s="59"/>
      <c r="L132" s="59"/>
    </row>
    <row r="133" spans="1:12" ht="15" customHeight="1" x14ac:dyDescent="0.25">
      <c r="A133" s="8"/>
      <c r="B133" s="6"/>
      <c r="C133" s="6"/>
      <c r="D133" s="6"/>
      <c r="E133" s="401">
        <v>129</v>
      </c>
      <c r="F133" s="409">
        <v>47391</v>
      </c>
      <c r="G133" s="347">
        <f t="shared" si="16"/>
        <v>-218784.92062063311</v>
      </c>
      <c r="H133" s="347">
        <f t="shared" si="15"/>
        <v>-1438.5857794233409</v>
      </c>
      <c r="I133" s="347">
        <f t="shared" si="17"/>
        <v>28235.787754714875</v>
      </c>
      <c r="J133" s="347">
        <f t="shared" ref="J133:J148" si="18">G133-I133</f>
        <v>-247020.70837534798</v>
      </c>
      <c r="K133" s="59"/>
      <c r="L133" s="59"/>
    </row>
    <row r="134" spans="1:12" ht="15" customHeight="1" x14ac:dyDescent="0.25">
      <c r="A134" s="8"/>
      <c r="B134" s="6"/>
      <c r="C134" s="6"/>
      <c r="D134" s="6"/>
      <c r="E134" s="401">
        <v>130</v>
      </c>
      <c r="F134" s="409">
        <v>47422</v>
      </c>
      <c r="G134" s="347">
        <f t="shared" si="16"/>
        <v>-247020.70837534798</v>
      </c>
      <c r="H134" s="347">
        <f t="shared" ref="H134:H148" si="19">(G134*$C$9)*(F134-F133)/365</f>
        <v>-1678.387278824282</v>
      </c>
      <c r="I134" s="347">
        <f t="shared" si="17"/>
        <v>28475.589254115814</v>
      </c>
      <c r="J134" s="347">
        <f t="shared" si="18"/>
        <v>-275496.29762946378</v>
      </c>
      <c r="K134" s="59"/>
      <c r="L134" s="59"/>
    </row>
    <row r="135" spans="1:12" ht="15" customHeight="1" x14ac:dyDescent="0.25">
      <c r="A135" s="8"/>
      <c r="B135" s="6"/>
      <c r="C135" s="6"/>
      <c r="D135" s="6"/>
      <c r="E135" s="401">
        <v>131</v>
      </c>
      <c r="F135" s="411">
        <v>47452</v>
      </c>
      <c r="G135" s="347">
        <f t="shared" si="16"/>
        <v>-275496.29762946378</v>
      </c>
      <c r="H135" s="347">
        <f t="shared" si="19"/>
        <v>-1811.4825049608578</v>
      </c>
      <c r="I135" s="347">
        <f t="shared" si="17"/>
        <v>28608.684480252392</v>
      </c>
      <c r="J135" s="347">
        <f t="shared" si="18"/>
        <v>-304104.98210971616</v>
      </c>
      <c r="K135" s="59"/>
      <c r="L135" s="59"/>
    </row>
    <row r="136" spans="1:12" ht="15" customHeight="1" x14ac:dyDescent="0.25">
      <c r="A136" s="8"/>
      <c r="B136" s="6"/>
      <c r="C136" s="6"/>
      <c r="D136" s="6"/>
      <c r="E136" s="402">
        <v>132</v>
      </c>
      <c r="F136" s="409">
        <v>47483</v>
      </c>
      <c r="G136" s="403">
        <f t="shared" si="16"/>
        <v>-304104.98210971616</v>
      </c>
      <c r="H136" s="347">
        <f t="shared" si="19"/>
        <v>-2066.2475496769757</v>
      </c>
      <c r="I136" s="403">
        <f t="shared" si="17"/>
        <v>28863.44952496851</v>
      </c>
      <c r="J136" s="403">
        <f t="shared" si="18"/>
        <v>-332968.43163468468</v>
      </c>
      <c r="K136" s="59"/>
      <c r="L136" s="59"/>
    </row>
    <row r="137" spans="1:12" ht="15" customHeight="1" x14ac:dyDescent="0.25">
      <c r="A137" s="8"/>
      <c r="B137" s="6"/>
      <c r="C137" s="6"/>
      <c r="D137" s="6"/>
      <c r="E137" s="404">
        <v>133</v>
      </c>
      <c r="F137" s="59"/>
      <c r="G137" s="355">
        <f t="shared" si="16"/>
        <v>-332968.43163468468</v>
      </c>
      <c r="H137" s="347">
        <f t="shared" si="19"/>
        <v>3465280.0086158323</v>
      </c>
      <c r="I137" s="355">
        <f t="shared" si="17"/>
        <v>-3438482.8066405407</v>
      </c>
      <c r="J137" s="355">
        <f t="shared" si="18"/>
        <v>3105514.3750058562</v>
      </c>
      <c r="K137" s="59"/>
      <c r="L137" s="59"/>
    </row>
    <row r="138" spans="1:12" ht="15" customHeight="1" x14ac:dyDescent="0.25">
      <c r="A138" s="8"/>
      <c r="B138" s="6"/>
      <c r="C138" s="6"/>
      <c r="D138" s="6"/>
      <c r="E138" s="401">
        <v>134</v>
      </c>
      <c r="F138" s="59"/>
      <c r="G138" s="347">
        <f t="shared" si="16"/>
        <v>3105514.3750058562</v>
      </c>
      <c r="H138" s="347">
        <f t="shared" si="19"/>
        <v>0</v>
      </c>
      <c r="I138" s="347">
        <f t="shared" si="17"/>
        <v>26797.201975291533</v>
      </c>
      <c r="J138" s="347">
        <f t="shared" si="18"/>
        <v>3078717.1730305646</v>
      </c>
      <c r="K138" s="59"/>
      <c r="L138" s="59"/>
    </row>
    <row r="139" spans="1:12" ht="15" customHeight="1" x14ac:dyDescent="0.25">
      <c r="A139" s="8"/>
      <c r="B139" s="6"/>
      <c r="C139" s="6"/>
      <c r="D139" s="6"/>
      <c r="E139" s="401">
        <v>135</v>
      </c>
      <c r="F139" s="59"/>
      <c r="G139" s="347">
        <f t="shared" si="16"/>
        <v>3078717.1730305646</v>
      </c>
      <c r="H139" s="347">
        <f t="shared" si="19"/>
        <v>0</v>
      </c>
      <c r="I139" s="347">
        <f t="shared" si="17"/>
        <v>26797.201975291533</v>
      </c>
      <c r="J139" s="347">
        <f t="shared" si="18"/>
        <v>3051919.971055273</v>
      </c>
      <c r="K139" s="59"/>
      <c r="L139" s="59"/>
    </row>
    <row r="140" spans="1:12" ht="15" customHeight="1" x14ac:dyDescent="0.25">
      <c r="A140" s="8"/>
      <c r="B140" s="6"/>
      <c r="C140" s="6"/>
      <c r="D140" s="6"/>
      <c r="E140" s="401">
        <v>136</v>
      </c>
      <c r="F140" s="59"/>
      <c r="G140" s="347">
        <f t="shared" si="16"/>
        <v>3051919.971055273</v>
      </c>
      <c r="H140" s="347">
        <f t="shared" si="19"/>
        <v>0</v>
      </c>
      <c r="I140" s="347">
        <f t="shared" si="17"/>
        <v>26797.201975291533</v>
      </c>
      <c r="J140" s="347">
        <f t="shared" si="18"/>
        <v>3025122.7690799814</v>
      </c>
      <c r="K140" s="59"/>
      <c r="L140" s="59"/>
    </row>
    <row r="141" spans="1:12" ht="15" customHeight="1" x14ac:dyDescent="0.25">
      <c r="A141" s="8"/>
      <c r="B141" s="6"/>
      <c r="C141" s="6"/>
      <c r="D141" s="6"/>
      <c r="E141" s="401">
        <v>137</v>
      </c>
      <c r="F141" s="59"/>
      <c r="G141" s="347">
        <f t="shared" si="16"/>
        <v>3025122.7690799814</v>
      </c>
      <c r="H141" s="347">
        <f t="shared" si="19"/>
        <v>0</v>
      </c>
      <c r="I141" s="347">
        <f t="shared" si="17"/>
        <v>26797.201975291533</v>
      </c>
      <c r="J141" s="347">
        <f t="shared" si="18"/>
        <v>2998325.5671046898</v>
      </c>
      <c r="K141" s="59"/>
      <c r="L141" s="59"/>
    </row>
    <row r="142" spans="1:12" ht="15" customHeight="1" x14ac:dyDescent="0.25">
      <c r="A142" s="8"/>
      <c r="B142" s="6"/>
      <c r="C142" s="6"/>
      <c r="D142" s="6"/>
      <c r="E142" s="401">
        <v>138</v>
      </c>
      <c r="F142" s="59"/>
      <c r="G142" s="347">
        <f t="shared" si="16"/>
        <v>2998325.5671046898</v>
      </c>
      <c r="H142" s="347">
        <f t="shared" si="19"/>
        <v>0</v>
      </c>
      <c r="I142" s="347">
        <f t="shared" si="17"/>
        <v>26797.201975291533</v>
      </c>
      <c r="J142" s="347">
        <f t="shared" si="18"/>
        <v>2971528.3651293982</v>
      </c>
      <c r="K142" s="59"/>
      <c r="L142" s="59"/>
    </row>
    <row r="143" spans="1:12" ht="15" customHeight="1" x14ac:dyDescent="0.25">
      <c r="A143" s="8"/>
      <c r="B143" s="6"/>
      <c r="C143" s="6"/>
      <c r="D143" s="6"/>
      <c r="E143" s="401">
        <v>139</v>
      </c>
      <c r="F143" s="59"/>
      <c r="G143" s="347">
        <f t="shared" si="16"/>
        <v>2971528.3651293982</v>
      </c>
      <c r="H143" s="347">
        <f t="shared" si="19"/>
        <v>0</v>
      </c>
      <c r="I143" s="347">
        <f t="shared" si="17"/>
        <v>26797.201975291533</v>
      </c>
      <c r="J143" s="347">
        <f t="shared" si="18"/>
        <v>2944731.1631541066</v>
      </c>
      <c r="K143" s="59"/>
      <c r="L143" s="59"/>
    </row>
    <row r="144" spans="1:12" ht="15" customHeight="1" x14ac:dyDescent="0.25">
      <c r="A144" s="8"/>
      <c r="B144" s="6"/>
      <c r="C144" s="6"/>
      <c r="D144" s="6"/>
      <c r="E144" s="401">
        <v>140</v>
      </c>
      <c r="F144" s="59"/>
      <c r="G144" s="347">
        <f t="shared" si="16"/>
        <v>2944731.1631541066</v>
      </c>
      <c r="H144" s="347">
        <f t="shared" si="19"/>
        <v>0</v>
      </c>
      <c r="I144" s="347">
        <f t="shared" si="17"/>
        <v>26797.201975291533</v>
      </c>
      <c r="J144" s="347">
        <f t="shared" si="18"/>
        <v>2917933.961178815</v>
      </c>
      <c r="K144" s="59"/>
      <c r="L144" s="59"/>
    </row>
    <row r="145" spans="1:12" ht="15" customHeight="1" x14ac:dyDescent="0.25">
      <c r="A145" s="8"/>
      <c r="B145" s="6"/>
      <c r="C145" s="6"/>
      <c r="D145" s="6"/>
      <c r="E145" s="401">
        <v>141</v>
      </c>
      <c r="F145" s="59"/>
      <c r="G145" s="347">
        <f t="shared" si="16"/>
        <v>2917933.961178815</v>
      </c>
      <c r="H145" s="347">
        <f t="shared" si="19"/>
        <v>0</v>
      </c>
      <c r="I145" s="347">
        <f t="shared" si="17"/>
        <v>26797.201975291533</v>
      </c>
      <c r="J145" s="347">
        <f t="shared" si="18"/>
        <v>2891136.7592035234</v>
      </c>
      <c r="K145" s="59"/>
      <c r="L145" s="59"/>
    </row>
    <row r="146" spans="1:12" ht="15" customHeight="1" x14ac:dyDescent="0.25">
      <c r="A146" s="8"/>
      <c r="B146" s="6"/>
      <c r="C146" s="6"/>
      <c r="D146" s="6"/>
      <c r="E146" s="401">
        <v>142</v>
      </c>
      <c r="F146" s="59"/>
      <c r="G146" s="347">
        <f t="shared" si="16"/>
        <v>2891136.7592035234</v>
      </c>
      <c r="H146" s="347">
        <f t="shared" si="19"/>
        <v>0</v>
      </c>
      <c r="I146" s="347">
        <f t="shared" si="17"/>
        <v>26797.201975291533</v>
      </c>
      <c r="J146" s="347">
        <f t="shared" si="18"/>
        <v>2864339.5572282318</v>
      </c>
      <c r="K146" s="59"/>
      <c r="L146" s="59"/>
    </row>
    <row r="147" spans="1:12" ht="15" customHeight="1" x14ac:dyDescent="0.25">
      <c r="A147" s="8"/>
      <c r="B147" s="6"/>
      <c r="C147" s="6"/>
      <c r="D147" s="6"/>
      <c r="E147" s="401">
        <v>143</v>
      </c>
      <c r="F147" s="59"/>
      <c r="G147" s="347">
        <f t="shared" si="16"/>
        <v>2864339.5572282318</v>
      </c>
      <c r="H147" s="347">
        <f t="shared" si="19"/>
        <v>0</v>
      </c>
      <c r="I147" s="347">
        <f t="shared" si="17"/>
        <v>26797.201975291533</v>
      </c>
      <c r="J147" s="347">
        <f t="shared" si="18"/>
        <v>2837542.3552529402</v>
      </c>
      <c r="K147" s="59"/>
      <c r="L147" s="59"/>
    </row>
    <row r="148" spans="1:12" ht="15" customHeight="1" x14ac:dyDescent="0.25">
      <c r="A148" s="380"/>
      <c r="B148" s="62"/>
      <c r="C148" s="62"/>
      <c r="D148" s="62"/>
      <c r="E148" s="402">
        <v>144</v>
      </c>
      <c r="F148" s="59"/>
      <c r="G148" s="403">
        <f t="shared" si="16"/>
        <v>2837542.3552529402</v>
      </c>
      <c r="H148" s="347">
        <f t="shared" si="19"/>
        <v>0</v>
      </c>
      <c r="I148" s="403">
        <f t="shared" si="17"/>
        <v>26797.201975291533</v>
      </c>
      <c r="J148" s="403">
        <f t="shared" si="18"/>
        <v>2810745.1532776486</v>
      </c>
      <c r="K148" s="59"/>
      <c r="L148" s="59"/>
    </row>
  </sheetData>
  <conditionalFormatting sqref="C4 C8 L23 L35 G29:J148 G5:H28 J5:J28">
    <cfRule type="cellIs" dxfId="4" priority="2" stopIfTrue="1" operator="lessThan">
      <formula>0</formula>
    </cfRule>
  </conditionalFormatting>
  <conditionalFormatting sqref="I17:I28">
    <cfRule type="cellIs" dxfId="3" priority="1" stopIfTrue="1" operator="lessThan">
      <formula>0</formula>
    </cfRule>
  </conditionalFormatting>
  <pageMargins left="0.2" right="0.2" top="0.39" bottom="0.2" header="0.5" footer="0.5"/>
  <pageSetup scale="90"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Offering</vt:lpstr>
      <vt:lpstr>Key Assumptions</vt:lpstr>
      <vt:lpstr>Investment Plan</vt:lpstr>
      <vt:lpstr>P&amp;L and Cash Flow</vt:lpstr>
      <vt:lpstr>Summary CF </vt:lpstr>
      <vt:lpstr>Ops Cost </vt:lpstr>
      <vt:lpstr>Org-Salary Structure</vt:lpstr>
      <vt:lpstr>Sensitivity</vt:lpstr>
      <vt:lpstr>Sr Debt Service 2019 </vt:lpstr>
      <vt:lpstr>Margins</vt:lpstr>
      <vt:lpstr>Graphs</vt:lpstr>
      <vt:lpstr> Crude Oil-Base Oil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Metalub</dc:creator>
  <cp:lastModifiedBy>Luke</cp:lastModifiedBy>
  <dcterms:created xsi:type="dcterms:W3CDTF">2017-11-06T16:51:36Z</dcterms:created>
  <dcterms:modified xsi:type="dcterms:W3CDTF">2018-02-20T21:59:22Z</dcterms:modified>
</cp:coreProperties>
</file>