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870" windowHeight="9135" tabRatio="867" activeTab="6"/>
  </bookViews>
  <sheets>
    <sheet name="ข้อกำหนด" sheetId="1" r:id="rId1"/>
    <sheet name="พื้นยื่น" sheetId="2" r:id="rId2"/>
    <sheet name="พื้นวางบนดิน" sheetId="3" r:id="rId3"/>
    <sheet name="พื้นสำเร็จรูป" sheetId="4" r:id="rId4"/>
    <sheet name="พื้นทางเดียว" sheetId="5" r:id="rId5"/>
    <sheet name="พื้นทางสองทาง" sheetId="6" r:id="rId6"/>
    <sheet name="บันได" sheetId="7" r:id="rId7"/>
    <sheet name="คานไม่รับแรงดึง" sheetId="8" r:id="rId8"/>
    <sheet name="คานรับแรงดึง" sheetId="9" r:id="rId9"/>
    <sheet name="คานยื่น" sheetId="10" r:id="rId10"/>
    <sheet name="เสาเหลี่ยม" sheetId="11" r:id="rId11"/>
    <sheet name="เสากลม" sheetId="12" r:id="rId12"/>
    <sheet name="ฐานรากแผ่" sheetId="13" r:id="rId13"/>
    <sheet name="ฐานรากเสาเข็ม" sheetId="14" r:id="rId14"/>
  </sheets>
  <externalReferences>
    <externalReference r:id="rId17"/>
  </externalReferences>
  <definedNames/>
  <calcPr fullCalcOnLoad="1"/>
</workbook>
</file>

<file path=xl/comments10.xml><?xml version="1.0" encoding="utf-8"?>
<comments xmlns="http://schemas.openxmlformats.org/spreadsheetml/2006/main">
  <authors>
    <author>MoZarD</author>
  </authors>
  <commentList>
    <comment ref="B6" authorId="0">
      <text>
        <r>
          <rPr>
            <b/>
            <sz val="8"/>
            <rFont val="Tahoma"/>
            <family val="0"/>
          </rPr>
          <t>1=(wS/3)
2= (wS/3)/((3-m^2)/2)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 xml:space="preserve">Rbd^2
</t>
        </r>
      </text>
    </comment>
    <comment ref="B11" authorId="0">
      <text>
        <r>
          <rPr>
            <b/>
            <sz val="8"/>
            <rFont val="Tahoma"/>
            <family val="0"/>
          </rPr>
          <t>Mc/fs.j.d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MoZarD</author>
  </authors>
  <commentList>
    <comment ref="A8" authorId="0">
      <text>
        <r>
          <rPr>
            <b/>
            <sz val="8"/>
            <rFont val="Tahoma"/>
            <family val="0"/>
          </rPr>
          <t xml:space="preserve">wL^2/2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(M/Rb)^0.5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sz val="8"/>
            <rFont val="Tahoma"/>
            <family val="0"/>
          </rPr>
          <t xml:space="preserve">M/(fs.j.d)
</t>
        </r>
      </text>
    </comment>
    <comment ref="A12" authorId="0">
      <text>
        <r>
          <rPr>
            <b/>
            <sz val="8"/>
            <rFont val="Tahoma"/>
            <family val="0"/>
          </rPr>
          <t xml:space="preserve">(1.615*fc'^0.5))/D
</t>
        </r>
        <r>
          <rPr>
            <sz val="8"/>
            <rFont val="Tahoma"/>
            <family val="0"/>
          </rPr>
          <t xml:space="preserve">
</t>
        </r>
      </text>
    </comment>
    <comment ref="A13" authorId="0">
      <text>
        <r>
          <rPr>
            <sz val="8"/>
            <rFont val="Tahoma"/>
            <family val="0"/>
          </rPr>
          <t xml:space="preserve">เหล็กข้ออ้อยไม่น้อยกว่า 30 cm.
เหล็กกลม 60 cm.
</t>
        </r>
      </text>
    </comment>
  </commentList>
</comments>
</file>

<file path=xl/comments5.xml><?xml version="1.0" encoding="utf-8"?>
<comments xmlns="http://schemas.openxmlformats.org/spreadsheetml/2006/main">
  <authors>
    <author>MoZarD</author>
  </authors>
  <commentList>
    <comment ref="B5" authorId="0">
      <text>
        <r>
          <rPr>
            <b/>
            <sz val="8"/>
            <rFont val="Tahoma"/>
            <family val="0"/>
          </rPr>
          <t xml:space="preserve">S/20
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WL^2/8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(M/Rb)^0.5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sz val="8"/>
            <rFont val="Tahoma"/>
            <family val="0"/>
          </rPr>
          <t xml:space="preserve">M/(fs.j.d)
</t>
        </r>
      </text>
    </comment>
  </commentList>
</comments>
</file>

<file path=xl/comments6.xml><?xml version="1.0" encoding="utf-8"?>
<comments xmlns="http://schemas.openxmlformats.org/spreadsheetml/2006/main">
  <authors>
    <author>MoZarD</author>
  </authors>
  <commentList>
    <comment ref="B12" authorId="0">
      <text>
        <r>
          <rPr>
            <b/>
            <sz val="8"/>
            <rFont val="Tahoma"/>
            <family val="0"/>
          </rPr>
          <t xml:space="preserve">Cws^2
</t>
        </r>
      </text>
    </comment>
    <comment ref="B13" authorId="0">
      <text>
        <r>
          <rPr>
            <b/>
            <sz val="8"/>
            <rFont val="Tahoma"/>
            <family val="0"/>
          </rPr>
          <t>Cws^2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M-/fs.j.d
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M-/fs.j.d
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M-/fs.j.d
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M-/fs.j.d
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Cws^2
</t>
        </r>
      </text>
    </comment>
    <comment ref="F13" authorId="0">
      <text>
        <r>
          <rPr>
            <b/>
            <sz val="8"/>
            <rFont val="Tahoma"/>
            <family val="0"/>
          </rPr>
          <t>Cws^2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MoZarD</author>
  </authors>
  <commentList>
    <comment ref="B12" authorId="0">
      <text>
        <r>
          <rPr>
            <b/>
            <sz val="8"/>
            <rFont val="Tahoma"/>
            <family val="0"/>
          </rPr>
          <t>WL^2/8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(M/Rb)^0.5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sz val="8"/>
            <rFont val="Tahoma"/>
            <family val="0"/>
          </rPr>
          <t xml:space="preserve">M/(fs.j.d)
</t>
        </r>
      </text>
    </comment>
  </commentList>
</comments>
</file>

<file path=xl/comments8.xml><?xml version="1.0" encoding="utf-8"?>
<comments xmlns="http://schemas.openxmlformats.org/spreadsheetml/2006/main">
  <authors>
    <author>MoZarD</author>
  </authors>
  <commentList>
    <comment ref="A6" authorId="0">
      <text>
        <r>
          <rPr>
            <b/>
            <sz val="8"/>
            <rFont val="Tahoma"/>
            <family val="0"/>
          </rPr>
          <t>1=(wS/3)
2= (wS/3)/((3-m^2)/2)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Rbd^2
</t>
        </r>
      </text>
    </comment>
    <comment ref="A12" authorId="0">
      <text>
        <r>
          <rPr>
            <b/>
            <sz val="8"/>
            <rFont val="Tahoma"/>
            <family val="0"/>
          </rPr>
          <t>Mc/fs.j.d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MoZarD</author>
  </authors>
  <commentList>
    <comment ref="B6" authorId="0">
      <text>
        <r>
          <rPr>
            <b/>
            <sz val="8"/>
            <rFont val="Tahoma"/>
            <family val="0"/>
          </rPr>
          <t>1=(wS/3)
2= (wS/3)/((3-m^2)/2)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Rbd^2
</t>
        </r>
      </text>
    </comment>
    <comment ref="B13" authorId="0">
      <text>
        <r>
          <rPr>
            <b/>
            <sz val="8"/>
            <rFont val="Tahoma"/>
            <family val="0"/>
          </rPr>
          <t>Mc/fs.j.d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M'/fs(d-d')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<sst xmlns="http://schemas.openxmlformats.org/spreadsheetml/2006/main" count="507" uniqueCount="172">
  <si>
    <t>รายการคำนวนโครงสร้างอาคารบ้านพักอาศัย</t>
  </si>
  <si>
    <t>ข้อกำหนดที่ใช้ออกแบบ</t>
  </si>
  <si>
    <t>กำลังอัดประลัยของคอนกรีต (fc')</t>
  </si>
  <si>
    <t>กำลังอัดใช้งานของคอนกรีต (fc)</t>
  </si>
  <si>
    <t>ksc.</t>
  </si>
  <si>
    <t>น้ำหนักบรรทุกจร</t>
  </si>
  <si>
    <t>น้ำหนักผนังอิฐมอญครึ่งแผ่นฉบเรียบ</t>
  </si>
  <si>
    <t>น้ำหนักผนังคอนกรีตบล็อกกลวงฉาบเรียบ</t>
  </si>
  <si>
    <t>น้ำหนักกระเบื้องโมเนียรวมโครงเหล็ก</t>
  </si>
  <si>
    <t>น้ำหนักคอนกรีต</t>
  </si>
  <si>
    <t>กำลังครากของเหล็กรูปพรรณ (Fy)</t>
  </si>
  <si>
    <t>หน่วยแรงดึง, อัด, ดัดของเหล็กรูปพรรณ</t>
  </si>
  <si>
    <t>หน่วยแรงเฉือนของเหล็กรูปพรรณ</t>
  </si>
  <si>
    <t>โมดูลัสยืดหยุ่นของเหล็กรูปพรรณ</t>
  </si>
  <si>
    <t>หน่วยแรงเฉือนลวดเชื่อม E60</t>
  </si>
  <si>
    <t>หน่วยแรงเฉือนสลักเกลียว (A307)</t>
  </si>
  <si>
    <t>หน่วยแรงดึงสลักเกลียว (A307)</t>
  </si>
  <si>
    <t xml:space="preserve"> n=            </t>
  </si>
  <si>
    <t xml:space="preserve">  k=          </t>
  </si>
  <si>
    <t xml:space="preserve">  j=        </t>
  </si>
  <si>
    <t xml:space="preserve"> R=</t>
  </si>
  <si>
    <t xml:space="preserve"> เหล็กข้ออ้อย</t>
  </si>
  <si>
    <t xml:space="preserve">  n=</t>
  </si>
  <si>
    <t xml:space="preserve"> k=</t>
  </si>
  <si>
    <t xml:space="preserve"> j=</t>
  </si>
  <si>
    <t xml:space="preserve">  R=</t>
  </si>
  <si>
    <t>ค่าคงที่ของ</t>
  </si>
  <si>
    <t xml:space="preserve">เหล็กเส้นกลม  </t>
  </si>
  <si>
    <t>แรงดึงประลัยของเหล็กเส้นกลม SR24 (fy)</t>
  </si>
  <si>
    <t>แรงดึงใช้งานของเหล็กเส้นกลม  (fs)</t>
  </si>
  <si>
    <t>แรงดึงประลัยของเหล็กข้ออ้อย(fs)</t>
  </si>
  <si>
    <t>แรงดึงประลัยของเหล็กข้ออ้อยSD30 (fy)</t>
  </si>
  <si>
    <t>หน่วยแรงยึดเหนี่ยวเหล็กเส้นกลม  Uall</t>
  </si>
  <si>
    <t>หน่วยแรงยึดเหนี่ยวเหล็กข้ออ้อย Uall</t>
  </si>
  <si>
    <t>kg/m^2</t>
  </si>
  <si>
    <t>น้ำหนักผนังอิฐมวลเบาฉาบเรียบหนา 10 cm</t>
  </si>
  <si>
    <t>m.</t>
  </si>
  <si>
    <t>ความหนา (D)       =</t>
  </si>
  <si>
    <t>ระยะหุ้มคอนกรีต  =</t>
  </si>
  <si>
    <t>cm.</t>
  </si>
  <si>
    <t>นน.กระทำ</t>
  </si>
  <si>
    <t>DL =</t>
  </si>
  <si>
    <t>LL =</t>
  </si>
  <si>
    <t>FL =</t>
  </si>
  <si>
    <t>Mmax</t>
  </si>
  <si>
    <t>กว้าง (L)                =</t>
  </si>
  <si>
    <t>ยาว (S)                 =</t>
  </si>
  <si>
    <t>Chack  d</t>
  </si>
  <si>
    <t xml:space="preserve">As </t>
  </si>
  <si>
    <t>ใช้เหล็ก RB</t>
  </si>
  <si>
    <t>cm^2</t>
  </si>
  <si>
    <t xml:space="preserve">mm.  </t>
  </si>
  <si>
    <t>cm^2  @</t>
  </si>
  <si>
    <t>mm.  As=</t>
  </si>
  <si>
    <t>Ast</t>
  </si>
  <si>
    <t xml:space="preserve">cm^2 </t>
  </si>
  <si>
    <r>
      <t xml:space="preserve">Chack    </t>
    </r>
    <r>
      <rPr>
        <sz val="20"/>
        <rFont val="Angsana New"/>
        <family val="1"/>
      </rPr>
      <t>u</t>
    </r>
    <r>
      <rPr>
        <sz val="12"/>
        <rFont val="Angsana New"/>
        <family val="1"/>
      </rPr>
      <t>a</t>
    </r>
  </si>
  <si>
    <t>check ระยะเหล็กล้วง</t>
  </si>
  <si>
    <t>รายการคำนวนออกแบบพื้นยื่น</t>
  </si>
  <si>
    <t>RB</t>
  </si>
  <si>
    <t>mm  @</t>
  </si>
  <si>
    <t>t  =</t>
  </si>
  <si>
    <t>กั้นรอยต่อหนา 2 cm. ตลอดแนว</t>
  </si>
  <si>
    <t>รายการคำนวนออกแบบพื้นวางบนดิน</t>
  </si>
  <si>
    <t>รายการคำนวนออกแบบแผ่นพื้นสำเร็จรูป</t>
  </si>
  <si>
    <t>L  =</t>
  </si>
  <si>
    <t>ม.</t>
  </si>
  <si>
    <t>รวม W</t>
  </si>
  <si>
    <t>** เลือกใช้แผ่นพื้นท้องเรียบกว้าง  35 cm.  เทคอนกรีตทับหน้าหนา 5 cm. ใช้ลวด PC. Wire Ø 4 mm.</t>
  </si>
  <si>
    <t xml:space="preserve">สามารถ รับ นน. บรรทุกได้ </t>
  </si>
  <si>
    <t>Ast    =</t>
  </si>
  <si>
    <t xml:space="preserve"> topping   =</t>
  </si>
  <si>
    <t>mm.   As=</t>
  </si>
  <si>
    <t xml:space="preserve">หรือเลือกใช้ลวดเหล็กอัดแรง (wiremes) Ø 4 mm. @ 0.25 # </t>
  </si>
  <si>
    <t>S =</t>
  </si>
  <si>
    <t>L =</t>
  </si>
  <si>
    <t xml:space="preserve">m. </t>
  </si>
  <si>
    <t>D =</t>
  </si>
  <si>
    <t>W =</t>
  </si>
  <si>
    <t>Mmax =</t>
  </si>
  <si>
    <t>mm.  @</t>
  </si>
  <si>
    <t>รายการคำนวนออกแบบพื้นสองทาง</t>
  </si>
  <si>
    <t>รายการคำนวนออกแบบพื้นทางเดียว</t>
  </si>
  <si>
    <t xml:space="preserve">D = </t>
  </si>
  <si>
    <t xml:space="preserve">d = </t>
  </si>
  <si>
    <t>ใช้ความหนา =</t>
  </si>
  <si>
    <t>m =</t>
  </si>
  <si>
    <t>m - =</t>
  </si>
  <si>
    <t>m+ =</t>
  </si>
  <si>
    <t>Mmax- =</t>
  </si>
  <si>
    <t>Mmax+ =</t>
  </si>
  <si>
    <t>kg.m</t>
  </si>
  <si>
    <t>check  d =</t>
  </si>
  <si>
    <t>As-  =</t>
  </si>
  <si>
    <t>cm.^2</t>
  </si>
  <si>
    <t>As+  =</t>
  </si>
  <si>
    <t>ส.ป.ส. สูงสุด ออกแบบด้านสั้น</t>
  </si>
  <si>
    <t>ส.ป.ส. สูงสุด ออกแบบด้านยาว</t>
  </si>
  <si>
    <t>ด้านสั้น</t>
  </si>
  <si>
    <t>ด้านยาว</t>
  </si>
  <si>
    <t>h =</t>
  </si>
  <si>
    <t>r =</t>
  </si>
  <si>
    <t>ทุกมุม</t>
  </si>
  <si>
    <t>b =</t>
  </si>
  <si>
    <t>WL =</t>
  </si>
  <si>
    <t>BL =</t>
  </si>
  <si>
    <t>kg/m</t>
  </si>
  <si>
    <t>นน.จากพื้น</t>
  </si>
  <si>
    <t>LL</t>
  </si>
  <si>
    <t>DL</t>
  </si>
  <si>
    <t>S</t>
  </si>
  <si>
    <t>L</t>
  </si>
  <si>
    <t>m</t>
  </si>
  <si>
    <t>kg</t>
  </si>
  <si>
    <t>kg.</t>
  </si>
  <si>
    <t>P</t>
  </si>
  <si>
    <t>a</t>
  </si>
  <si>
    <t>b</t>
  </si>
  <si>
    <t>Vmax =</t>
  </si>
  <si>
    <t>Mc =</t>
  </si>
  <si>
    <t>M' =</t>
  </si>
  <si>
    <t>As1 =</t>
  </si>
  <si>
    <t>As2 =</t>
  </si>
  <si>
    <t>As =</t>
  </si>
  <si>
    <t>เหล็กเสริมหัวเสา</t>
  </si>
  <si>
    <t>DB</t>
  </si>
  <si>
    <t>mm  As. =</t>
  </si>
  <si>
    <t>mm.</t>
  </si>
  <si>
    <t>เหล็กเสริมท้องคาน</t>
  </si>
  <si>
    <t>v =</t>
  </si>
  <si>
    <t>kcs.</t>
  </si>
  <si>
    <t>Vc =</t>
  </si>
  <si>
    <t>s =</t>
  </si>
  <si>
    <t>ใช้เหล็กปลอก</t>
  </si>
  <si>
    <t xml:space="preserve">RB </t>
  </si>
  <si>
    <t>mm .  @</t>
  </si>
  <si>
    <t>มีผนัง</t>
  </si>
  <si>
    <t>รายการคำนวนออกแบบคาน RB6A</t>
  </si>
  <si>
    <t>ออกแบบเสา C1  ชั้นบนถึงหลังคา</t>
  </si>
  <si>
    <t>น้ำหนักที่กระทำบนหัวเสา</t>
  </si>
  <si>
    <t>=</t>
  </si>
  <si>
    <t>ขนาดของเสาที่ออกแบบ</t>
  </si>
  <si>
    <t>ด้าน &lt;h &gt;</t>
  </si>
  <si>
    <t>cm</t>
  </si>
  <si>
    <t>ด้าน &lt; b &gt;</t>
  </si>
  <si>
    <t>พื้นที่หน้าตัดเสา : (Ag)</t>
  </si>
  <si>
    <t>Reinf. steel used</t>
  </si>
  <si>
    <t>เลือกขนาดเหล็ก (mm.)</t>
  </si>
  <si>
    <t>จำนวนเหล็ก</t>
  </si>
  <si>
    <t>พื้นที่หน้าตัดเหล็ก ตร.ซม.</t>
  </si>
  <si>
    <t>ขนาดของเหล็กปลอก</t>
  </si>
  <si>
    <t>mm @</t>
  </si>
  <si>
    <t>ระยะห่างของเหล็กปลอก</t>
  </si>
  <si>
    <t>เท่าของเส้นผ่าศูนย์กลางเหล็กยืน</t>
  </si>
  <si>
    <t>เท่าของเส้นผ่าศูนย์กลางของเหล็กปลอก</t>
  </si>
  <si>
    <t>ด้านที่แคบที่สุดของเสา</t>
  </si>
  <si>
    <t xml:space="preserve">  (Ast)</t>
  </si>
  <si>
    <t>ตร.ซม.</t>
  </si>
  <si>
    <t xml:space="preserve"> (Pg) = Ast/Ag</t>
  </si>
  <si>
    <t>%</t>
  </si>
  <si>
    <t xml:space="preserve"> P = 0.85 Ag ( 0.25 fc' + fs Pg )</t>
  </si>
  <si>
    <t xml:space="preserve"> ( 0.85 Ag .25 fc')</t>
  </si>
  <si>
    <t>กก.</t>
  </si>
  <si>
    <t>( 0.85 Ag fs Pg )</t>
  </si>
  <si>
    <t>น้ำหนักที่ออกแบบคำนวณ</t>
  </si>
  <si>
    <t>mm.     @</t>
  </si>
  <si>
    <t>รายการคำนวนออกแบบคาน B4</t>
  </si>
  <si>
    <t>รายการคำนวนออกแบบคาน B7</t>
  </si>
  <si>
    <t>d) =</t>
  </si>
  <si>
    <t>W.</t>
  </si>
  <si>
    <t>เลือกใช้</t>
  </si>
  <si>
    <t>รายการคำนวนออกแบบบันได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</si>
</sst>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"/>
    <numFmt numFmtId="189" formatCode="0.000"/>
    <numFmt numFmtId="190" formatCode="0.00000"/>
    <numFmt numFmtId="191" formatCode="0.000000"/>
    <numFmt numFmtId="192" formatCode="0.0000000"/>
    <numFmt numFmtId="193" formatCode="0.00_)"/>
    <numFmt numFmtId="194" formatCode="#,##0_);\(#,##0\)"/>
    <numFmt numFmtId="195" formatCode="0.000_)"/>
    <numFmt numFmtId="196" formatCode="0_)"/>
    <numFmt numFmtId="197" formatCode="0.0000_)"/>
    <numFmt numFmtId="198" formatCode="#,##0.00_ ;\-#,##0.00\ "/>
    <numFmt numFmtId="199" formatCode="_(* #,##0.00_);_(* \(#,##0.00\);_(* &quot;-&quot;??_);_(@_)"/>
    <numFmt numFmtId="200" formatCode="#,##0_ ;\-#,##0\ 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</numFmts>
  <fonts count="49">
    <font>
      <sz val="14"/>
      <name val="Angsana New"/>
      <family val="0"/>
    </font>
    <font>
      <sz val="8"/>
      <name val="Angsana New"/>
      <family val="0"/>
    </font>
    <font>
      <u val="single"/>
      <sz val="14"/>
      <color indexed="12"/>
      <name val="Angsana New"/>
      <family val="0"/>
    </font>
    <font>
      <u val="single"/>
      <sz val="14"/>
      <color indexed="36"/>
      <name val="Angsana New"/>
      <family val="0"/>
    </font>
    <font>
      <b/>
      <sz val="14"/>
      <name val="Angsana New"/>
      <family val="1"/>
    </font>
    <font>
      <sz val="14"/>
      <color indexed="10"/>
      <name val="Angsana New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2"/>
      <name val="AngsanaUPC"/>
      <family val="1"/>
    </font>
    <font>
      <sz val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color indexed="12"/>
      <name val="AngsanaUPC"/>
      <family val="1"/>
    </font>
    <font>
      <b/>
      <sz val="18"/>
      <name val="Angsana New"/>
      <family val="1"/>
    </font>
    <font>
      <sz val="18"/>
      <color indexed="54"/>
      <name val="Tahoma"/>
      <family val="2"/>
    </font>
    <font>
      <b/>
      <sz val="15"/>
      <color indexed="54"/>
      <name val="AngsanaUPC"/>
      <family val="2"/>
    </font>
    <font>
      <b/>
      <sz val="13"/>
      <color indexed="54"/>
      <name val="AngsanaUPC"/>
      <family val="2"/>
    </font>
    <font>
      <b/>
      <sz val="11"/>
      <color indexed="54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sz val="18"/>
      <color theme="3"/>
      <name val="Calibri Light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57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sz val="16"/>
      <color theme="0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b/>
      <sz val="8"/>
      <name val="Angsan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2" fontId="5" fillId="0" borderId="1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187" fontId="0" fillId="0" borderId="0" xfId="0" applyNumberFormat="1" applyAlignment="1">
      <alignment horizontal="center"/>
    </xf>
    <xf numFmtId="187" fontId="0" fillId="0" borderId="11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93" fontId="0" fillId="0" borderId="0" xfId="0" applyNumberFormat="1" applyFont="1" applyBorder="1" applyAlignment="1" applyProtection="1">
      <alignment horizontal="center"/>
      <protection/>
    </xf>
    <xf numFmtId="194" fontId="5" fillId="0" borderId="0" xfId="0" applyNumberFormat="1" applyFont="1" applyBorder="1" applyAlignment="1" applyProtection="1">
      <alignment horizontal="center"/>
      <protection locked="0"/>
    </xf>
    <xf numFmtId="19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/>
    </xf>
    <xf numFmtId="195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19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96" fontId="0" fillId="0" borderId="0" xfId="0" applyNumberFormat="1" applyFont="1" applyBorder="1" applyAlignment="1" applyProtection="1">
      <alignment horizontal="center"/>
      <protection locked="0"/>
    </xf>
    <xf numFmtId="196" fontId="0" fillId="0" borderId="0" xfId="0" applyNumberFormat="1" applyFont="1" applyBorder="1" applyAlignment="1" applyProtection="1">
      <alignment horizontal="right"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197" fontId="0" fillId="0" borderId="0" xfId="0" applyNumberFormat="1" applyFont="1" applyBorder="1" applyAlignment="1" applyProtection="1">
      <alignment horizontal="center"/>
      <protection/>
    </xf>
    <xf numFmtId="195" fontId="5" fillId="0" borderId="0" xfId="0" applyNumberFormat="1" applyFont="1" applyBorder="1" applyAlignment="1" applyProtection="1">
      <alignment horizontal="center"/>
      <protection/>
    </xf>
    <xf numFmtId="194" fontId="0" fillId="0" borderId="0" xfId="0" applyNumberFormat="1" applyFont="1" applyBorder="1" applyAlignment="1" applyProtection="1">
      <alignment horizontal="center"/>
      <protection/>
    </xf>
    <xf numFmtId="194" fontId="0" fillId="0" borderId="0" xfId="0" applyNumberFormat="1" applyFont="1" applyFill="1" applyBorder="1" applyAlignment="1" applyProtection="1">
      <alignment horizontal="center"/>
      <protection/>
    </xf>
    <xf numFmtId="195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/>
    </xf>
    <xf numFmtId="19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96" fontId="0" fillId="0" borderId="0" xfId="0" applyNumberFormat="1" applyFont="1" applyAlignment="1">
      <alignment horizontal="left"/>
    </xf>
    <xf numFmtId="196" fontId="0" fillId="0" borderId="0" xfId="0" applyNumberFormat="1" applyAlignment="1">
      <alignment horizontal="right"/>
    </xf>
    <xf numFmtId="19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195" fontId="0" fillId="0" borderId="0" xfId="0" applyNumberFormat="1" applyFont="1" applyBorder="1" applyAlignment="1" applyProtection="1">
      <alignment horizontal="left"/>
      <protection/>
    </xf>
    <xf numFmtId="195" fontId="5" fillId="0" borderId="0" xfId="0" applyNumberFormat="1" applyFont="1" applyBorder="1" applyAlignment="1" applyProtection="1">
      <alignment horizontal="center"/>
      <protection/>
    </xf>
    <xf numFmtId="196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15</xdr:row>
      <xdr:rowOff>123825</xdr:rowOff>
    </xdr:from>
    <xdr:to>
      <xdr:col>5</xdr:col>
      <xdr:colOff>257175</xdr:colOff>
      <xdr:row>18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rcRect l="10502" t="34825" r="37374" b="18739"/>
        <a:stretch>
          <a:fillRect/>
        </a:stretch>
      </xdr:blipFill>
      <xdr:spPr>
        <a:xfrm>
          <a:off x="295275" y="4257675"/>
          <a:ext cx="2828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390525</xdr:colOff>
      <xdr:row>14</xdr:row>
      <xdr:rowOff>19050</xdr:rowOff>
    </xdr:from>
    <xdr:to>
      <xdr:col>3</xdr:col>
      <xdr:colOff>523875</xdr:colOff>
      <xdr:row>15</xdr:row>
      <xdr:rowOff>180975</xdr:rowOff>
    </xdr:to>
    <xdr:sp>
      <xdr:nvSpPr>
        <xdr:cNvPr id="2" name="Line 20"/>
        <xdr:cNvSpPr>
          <a:spLocks/>
        </xdr:cNvSpPr>
      </xdr:nvSpPr>
      <xdr:spPr>
        <a:xfrm flipH="1">
          <a:off x="1657350" y="38862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219075</xdr:colOff>
      <xdr:row>15</xdr:row>
      <xdr:rowOff>228600</xdr:rowOff>
    </xdr:from>
    <xdr:to>
      <xdr:col>3</xdr:col>
      <xdr:colOff>523875</xdr:colOff>
      <xdr:row>20</xdr:row>
      <xdr:rowOff>0</xdr:rowOff>
    </xdr:to>
    <xdr:sp>
      <xdr:nvSpPr>
        <xdr:cNvPr id="3" name="Line 21"/>
        <xdr:cNvSpPr>
          <a:spLocks/>
        </xdr:cNvSpPr>
      </xdr:nvSpPr>
      <xdr:spPr>
        <a:xfrm flipH="1" flipV="1">
          <a:off x="1485900" y="4362450"/>
          <a:ext cx="8382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0</xdr:rowOff>
    </xdr:from>
    <xdr:to>
      <xdr:col>2</xdr:col>
      <xdr:colOff>523875</xdr:colOff>
      <xdr:row>9</xdr:row>
      <xdr:rowOff>180975</xdr:rowOff>
    </xdr:to>
    <xdr:sp>
      <xdr:nvSpPr>
        <xdr:cNvPr id="1" name="Line 3"/>
        <xdr:cNvSpPr>
          <a:spLocks/>
        </xdr:cNvSpPr>
      </xdr:nvSpPr>
      <xdr:spPr>
        <a:xfrm flipH="1">
          <a:off x="1095375" y="1438275"/>
          <a:ext cx="4953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19050</xdr:rowOff>
    </xdr:from>
    <xdr:to>
      <xdr:col>4</xdr:col>
      <xdr:colOff>0</xdr:colOff>
      <xdr:row>10</xdr:row>
      <xdr:rowOff>28575</xdr:rowOff>
    </xdr:to>
    <xdr:sp>
      <xdr:nvSpPr>
        <xdr:cNvPr id="2" name="Line 4"/>
        <xdr:cNvSpPr>
          <a:spLocks/>
        </xdr:cNvSpPr>
      </xdr:nvSpPr>
      <xdr:spPr>
        <a:xfrm flipH="1">
          <a:off x="1838325" y="1990725"/>
          <a:ext cx="2952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0</xdr:rowOff>
    </xdr:from>
    <xdr:to>
      <xdr:col>4</xdr:col>
      <xdr:colOff>228600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 flipH="1">
          <a:off x="2066925" y="1971675"/>
          <a:ext cx="2952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15</xdr:row>
      <xdr:rowOff>9525</xdr:rowOff>
    </xdr:from>
    <xdr:to>
      <xdr:col>4</xdr:col>
      <xdr:colOff>19050</xdr:colOff>
      <xdr:row>18</xdr:row>
      <xdr:rowOff>238125</xdr:rowOff>
    </xdr:to>
    <xdr:sp>
      <xdr:nvSpPr>
        <xdr:cNvPr id="1" name="Line 10"/>
        <xdr:cNvSpPr>
          <a:spLocks/>
        </xdr:cNvSpPr>
      </xdr:nvSpPr>
      <xdr:spPr>
        <a:xfrm flipH="1">
          <a:off x="1343025" y="4219575"/>
          <a:ext cx="9239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514350</xdr:colOff>
      <xdr:row>16</xdr:row>
      <xdr:rowOff>0</xdr:rowOff>
    </xdr:from>
    <xdr:to>
      <xdr:col>5</xdr:col>
      <xdr:colOff>9525</xdr:colOff>
      <xdr:row>18</xdr:row>
      <xdr:rowOff>257175</xdr:rowOff>
    </xdr:to>
    <xdr:sp>
      <xdr:nvSpPr>
        <xdr:cNvPr id="2" name="Line 11"/>
        <xdr:cNvSpPr>
          <a:spLocks/>
        </xdr:cNvSpPr>
      </xdr:nvSpPr>
      <xdr:spPr>
        <a:xfrm flipH="1">
          <a:off x="2190750" y="4476750"/>
          <a:ext cx="600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20</xdr:row>
      <xdr:rowOff>19050</xdr:rowOff>
    </xdr:from>
    <xdr:to>
      <xdr:col>3</xdr:col>
      <xdr:colOff>9525</xdr:colOff>
      <xdr:row>23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381125" y="5457825"/>
          <a:ext cx="2667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304800</xdr:colOff>
      <xdr:row>29</xdr:row>
      <xdr:rowOff>28575</xdr:rowOff>
    </xdr:from>
    <xdr:to>
      <xdr:col>5</xdr:col>
      <xdr:colOff>19050</xdr:colOff>
      <xdr:row>30</xdr:row>
      <xdr:rowOff>133350</xdr:rowOff>
    </xdr:to>
    <xdr:sp>
      <xdr:nvSpPr>
        <xdr:cNvPr id="2" name="Line 10"/>
        <xdr:cNvSpPr>
          <a:spLocks/>
        </xdr:cNvSpPr>
      </xdr:nvSpPr>
      <xdr:spPr>
        <a:xfrm flipH="1">
          <a:off x="2476500" y="7867650"/>
          <a:ext cx="247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304800</xdr:colOff>
      <xdr:row>21</xdr:row>
      <xdr:rowOff>0</xdr:rowOff>
    </xdr:from>
    <xdr:to>
      <xdr:col>5</xdr:col>
      <xdr:colOff>9525</xdr:colOff>
      <xdr:row>23</xdr:row>
      <xdr:rowOff>76200</xdr:rowOff>
    </xdr:to>
    <xdr:sp>
      <xdr:nvSpPr>
        <xdr:cNvPr id="3" name="Line 11"/>
        <xdr:cNvSpPr>
          <a:spLocks/>
        </xdr:cNvSpPr>
      </xdr:nvSpPr>
      <xdr:spPr>
        <a:xfrm flipH="1">
          <a:off x="2476500" y="5705475"/>
          <a:ext cx="2381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180975</xdr:colOff>
      <xdr:row>28</xdr:row>
      <xdr:rowOff>0</xdr:rowOff>
    </xdr:from>
    <xdr:to>
      <xdr:col>3</xdr:col>
      <xdr:colOff>0</xdr:colOff>
      <xdr:row>30</xdr:row>
      <xdr:rowOff>47625</xdr:rowOff>
    </xdr:to>
    <xdr:sp>
      <xdr:nvSpPr>
        <xdr:cNvPr id="4" name="Line 12"/>
        <xdr:cNvSpPr>
          <a:spLocks/>
        </xdr:cNvSpPr>
      </xdr:nvSpPr>
      <xdr:spPr>
        <a:xfrm flipH="1">
          <a:off x="1247775" y="7572375"/>
          <a:ext cx="390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26</xdr:row>
      <xdr:rowOff>57150</xdr:rowOff>
    </xdr:from>
    <xdr:to>
      <xdr:col>3</xdr:col>
      <xdr:colOff>504825</xdr:colOff>
      <xdr:row>30</xdr:row>
      <xdr:rowOff>247650</xdr:rowOff>
    </xdr:to>
    <xdr:sp>
      <xdr:nvSpPr>
        <xdr:cNvPr id="1" name="Line 8"/>
        <xdr:cNvSpPr>
          <a:spLocks/>
        </xdr:cNvSpPr>
      </xdr:nvSpPr>
      <xdr:spPr>
        <a:xfrm flipH="1" flipV="1">
          <a:off x="1543050" y="7096125"/>
          <a:ext cx="5619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76200</xdr:colOff>
      <xdr:row>27</xdr:row>
      <xdr:rowOff>57150</xdr:rowOff>
    </xdr:from>
    <xdr:to>
      <xdr:col>3</xdr:col>
      <xdr:colOff>0</xdr:colOff>
      <xdr:row>31</xdr:row>
      <xdr:rowOff>257175</xdr:rowOff>
    </xdr:to>
    <xdr:sp>
      <xdr:nvSpPr>
        <xdr:cNvPr id="2" name="Line 9"/>
        <xdr:cNvSpPr>
          <a:spLocks/>
        </xdr:cNvSpPr>
      </xdr:nvSpPr>
      <xdr:spPr>
        <a:xfrm flipH="1" flipV="1">
          <a:off x="1143000" y="7362825"/>
          <a:ext cx="45720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419100</xdr:colOff>
      <xdr:row>18</xdr:row>
      <xdr:rowOff>0</xdr:rowOff>
    </xdr:from>
    <xdr:to>
      <xdr:col>1</xdr:col>
      <xdr:colOff>523875</xdr:colOff>
      <xdr:row>26</xdr:row>
      <xdr:rowOff>76200</xdr:rowOff>
    </xdr:to>
    <xdr:sp>
      <xdr:nvSpPr>
        <xdr:cNvPr id="3" name="Line 10"/>
        <xdr:cNvSpPr>
          <a:spLocks/>
        </xdr:cNvSpPr>
      </xdr:nvSpPr>
      <xdr:spPr>
        <a:xfrm flipH="1">
          <a:off x="952500" y="4905375"/>
          <a:ext cx="10477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466725</xdr:colOff>
      <xdr:row>19</xdr:row>
      <xdr:rowOff>9525</xdr:rowOff>
    </xdr:from>
    <xdr:to>
      <xdr:col>3</xdr:col>
      <xdr:colOff>523875</xdr:colOff>
      <xdr:row>23</xdr:row>
      <xdr:rowOff>142875</xdr:rowOff>
    </xdr:to>
    <xdr:sp>
      <xdr:nvSpPr>
        <xdr:cNvPr id="4" name="Line 11"/>
        <xdr:cNvSpPr>
          <a:spLocks/>
        </xdr:cNvSpPr>
      </xdr:nvSpPr>
      <xdr:spPr>
        <a:xfrm flipH="1">
          <a:off x="2066925" y="5181600"/>
          <a:ext cx="5715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34;&#3618;&#3585;&#3634;&#3619;&#3629;&#3629;&#3585;&#3649;&#3610;&#3610;&#3627;&#3609;&#3656;&#3623;&#3618;&#3649;&#361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กำหนด"/>
      <sheetName val="พื้นยื่น"/>
      <sheetName val="พื้นวางบนดิน"/>
      <sheetName val="พื้นสำเร็จรูป"/>
      <sheetName val="พื้นทางเดียว"/>
      <sheetName val="พื้นทางสองทาง"/>
      <sheetName val="บันได"/>
      <sheetName val="คานช่วงเดียว"/>
      <sheetName val="คานต่อเนื่อง"/>
      <sheetName val="คานยื่น"/>
      <sheetName val="เสาเหลี่ยม"/>
      <sheetName val="เสากลม"/>
      <sheetName val="ฐานรากแผ่"/>
      <sheetName val="ฐานรากเสาเข็ม"/>
    </sheetNames>
    <sheetDataSet>
      <sheetData sheetId="0">
        <row r="3">
          <cell r="B3">
            <v>180</v>
          </cell>
        </row>
        <row r="9">
          <cell r="B9">
            <v>1500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oleObject" Target="../embeddings/oleObject_9_0.bin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oleObject" Target="../embeddings/oleObject_5_0.bin" /><Relationship Id="rId3" Type="http://schemas.openxmlformats.org/officeDocument/2006/relationships/oleObject" Target="../embeddings/oleObject_5_1.bin" /><Relationship Id="rId4" Type="http://schemas.openxmlformats.org/officeDocument/2006/relationships/vmlDrawing" Target="../drawings/vmlDrawing5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oleObject" Target="../embeddings/oleObject_7_0.bin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oleObject" Target="../embeddings/oleObject_8_0.bin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G19" sqref="G19"/>
    </sheetView>
  </sheetViews>
  <sheetFormatPr defaultColWidth="9.33203125" defaultRowHeight="21"/>
  <cols>
    <col min="1" max="1" width="46.5" style="0" customWidth="1"/>
  </cols>
  <sheetData>
    <row r="1" spans="1:7" ht="21">
      <c r="A1" s="79" t="s">
        <v>0</v>
      </c>
      <c r="B1" s="79"/>
      <c r="C1" s="79"/>
      <c r="D1" s="79"/>
      <c r="E1" s="79"/>
      <c r="F1" s="79"/>
      <c r="G1" s="79"/>
    </row>
    <row r="2" spans="1:6" ht="21">
      <c r="A2" s="79" t="s">
        <v>1</v>
      </c>
      <c r="B2" s="79"/>
      <c r="C2" s="79"/>
      <c r="D2" s="79"/>
      <c r="E2" s="79"/>
      <c r="F2" s="79"/>
    </row>
    <row r="3" spans="1:3" ht="21">
      <c r="A3" t="s">
        <v>2</v>
      </c>
      <c r="B3">
        <v>180</v>
      </c>
      <c r="C3" s="1" t="s">
        <v>4</v>
      </c>
    </row>
    <row r="4" spans="1:3" ht="21">
      <c r="A4" t="s">
        <v>3</v>
      </c>
      <c r="B4" s="11">
        <f>B3*0.375</f>
        <v>67.5</v>
      </c>
      <c r="C4" s="1" t="s">
        <v>4</v>
      </c>
    </row>
    <row r="5" spans="1:3" ht="21">
      <c r="A5" t="s">
        <v>28</v>
      </c>
      <c r="B5">
        <v>2400</v>
      </c>
      <c r="C5" s="1" t="s">
        <v>4</v>
      </c>
    </row>
    <row r="6" spans="1:3" ht="21">
      <c r="A6" t="s">
        <v>29</v>
      </c>
      <c r="B6">
        <f>B5*0.5</f>
        <v>1200</v>
      </c>
      <c r="C6" s="1" t="s">
        <v>4</v>
      </c>
    </row>
    <row r="7" spans="1:3" ht="21">
      <c r="A7" t="s">
        <v>32</v>
      </c>
      <c r="B7">
        <v>11</v>
      </c>
      <c r="C7" s="1" t="s">
        <v>4</v>
      </c>
    </row>
    <row r="8" spans="1:3" ht="21">
      <c r="A8" t="s">
        <v>31</v>
      </c>
      <c r="B8">
        <v>3000</v>
      </c>
      <c r="C8" s="1" t="s">
        <v>4</v>
      </c>
    </row>
    <row r="9" spans="1:3" ht="21">
      <c r="A9" t="s">
        <v>30</v>
      </c>
      <c r="B9">
        <f>B8*0.5</f>
        <v>1500</v>
      </c>
      <c r="C9" s="1" t="s">
        <v>4</v>
      </c>
    </row>
    <row r="10" spans="1:5" ht="21">
      <c r="A10" t="s">
        <v>33</v>
      </c>
      <c r="B10" s="8">
        <v>25</v>
      </c>
      <c r="C10" s="1" t="s">
        <v>4</v>
      </c>
      <c r="D10" s="8"/>
      <c r="E10" s="8"/>
    </row>
    <row r="11" spans="2:5" ht="21">
      <c r="B11" s="80" t="s">
        <v>26</v>
      </c>
      <c r="C11" s="80"/>
      <c r="D11" s="80"/>
      <c r="E11" s="80"/>
    </row>
    <row r="12" spans="2:5" ht="21">
      <c r="B12" s="80" t="s">
        <v>27</v>
      </c>
      <c r="C12" s="80"/>
      <c r="D12" s="5" t="s">
        <v>21</v>
      </c>
      <c r="E12" s="5"/>
    </row>
    <row r="13" spans="2:5" ht="21">
      <c r="B13" s="6" t="s">
        <v>17</v>
      </c>
      <c r="C13" s="12">
        <f>2040000/(15210*B3^0.5)</f>
        <v>9.996885106507936</v>
      </c>
      <c r="D13" s="7" t="s">
        <v>22</v>
      </c>
      <c r="E13" s="12">
        <f>2040000/(15210*B3^0.5)</f>
        <v>9.996885106507936</v>
      </c>
    </row>
    <row r="14" spans="2:5" ht="21">
      <c r="B14" s="6" t="s">
        <v>18</v>
      </c>
      <c r="C14" s="13">
        <f>(1)/(1+((B6/(C13*B4))))</f>
        <v>0.3599282248053477</v>
      </c>
      <c r="D14" s="7" t="s">
        <v>23</v>
      </c>
      <c r="E14" s="13">
        <f>(1)/(1+((B9/(E13*B4))))</f>
        <v>0.31027815279021076</v>
      </c>
    </row>
    <row r="15" spans="2:5" ht="21">
      <c r="B15" s="6" t="s">
        <v>19</v>
      </c>
      <c r="C15" s="13">
        <f>1-(C14/3)</f>
        <v>0.8800239250648841</v>
      </c>
      <c r="D15" s="7" t="s">
        <v>24</v>
      </c>
      <c r="E15" s="13">
        <f>1-(E14/3)</f>
        <v>0.8965739490699297</v>
      </c>
    </row>
    <row r="16" spans="2:5" ht="21">
      <c r="B16" s="6" t="s">
        <v>20</v>
      </c>
      <c r="C16" s="13">
        <f>0.5*B4*C14*C15</f>
        <v>10.690158908300786</v>
      </c>
      <c r="D16" s="7" t="s">
        <v>25</v>
      </c>
      <c r="E16" s="13">
        <f>0.5*B4*E14*E15</f>
        <v>9.388821670556927</v>
      </c>
    </row>
    <row r="17" spans="1:3" ht="21">
      <c r="A17" t="s">
        <v>5</v>
      </c>
      <c r="B17" s="1">
        <v>150</v>
      </c>
      <c r="C17" t="s">
        <v>34</v>
      </c>
    </row>
    <row r="18" spans="1:3" ht="21">
      <c r="A18" t="s">
        <v>6</v>
      </c>
      <c r="B18" s="1">
        <v>180</v>
      </c>
      <c r="C18" t="s">
        <v>34</v>
      </c>
    </row>
    <row r="19" spans="1:3" ht="21">
      <c r="A19" t="s">
        <v>7</v>
      </c>
      <c r="B19" s="1">
        <v>120</v>
      </c>
      <c r="C19" t="s">
        <v>34</v>
      </c>
    </row>
    <row r="20" spans="1:3" ht="21">
      <c r="A20" t="s">
        <v>35</v>
      </c>
      <c r="B20" s="1">
        <v>100</v>
      </c>
      <c r="C20" t="s">
        <v>34</v>
      </c>
    </row>
    <row r="21" spans="1:3" ht="21">
      <c r="A21" t="s">
        <v>8</v>
      </c>
      <c r="B21" s="1">
        <v>100</v>
      </c>
      <c r="C21" t="s">
        <v>34</v>
      </c>
    </row>
    <row r="22" spans="1:3" ht="21">
      <c r="A22" t="s">
        <v>9</v>
      </c>
      <c r="B22" s="1">
        <v>2400</v>
      </c>
      <c r="C22" t="s">
        <v>34</v>
      </c>
    </row>
    <row r="23" spans="1:3" ht="21">
      <c r="A23" t="s">
        <v>10</v>
      </c>
      <c r="B23" s="1">
        <v>2500</v>
      </c>
      <c r="C23" t="s">
        <v>34</v>
      </c>
    </row>
    <row r="24" spans="1:3" ht="21">
      <c r="A24" t="s">
        <v>11</v>
      </c>
      <c r="B24" s="1">
        <v>1300</v>
      </c>
      <c r="C24" t="s">
        <v>34</v>
      </c>
    </row>
    <row r="25" spans="1:3" ht="21">
      <c r="A25" t="s">
        <v>12</v>
      </c>
      <c r="B25" s="1">
        <v>900</v>
      </c>
      <c r="C25" t="s">
        <v>34</v>
      </c>
    </row>
    <row r="26" spans="1:3" ht="21">
      <c r="A26" t="s">
        <v>13</v>
      </c>
      <c r="B26" s="1">
        <v>2040000</v>
      </c>
      <c r="C26" t="s">
        <v>34</v>
      </c>
    </row>
    <row r="27" spans="1:3" ht="21">
      <c r="A27" t="s">
        <v>14</v>
      </c>
      <c r="B27" s="1">
        <v>1200</v>
      </c>
      <c r="C27" t="s">
        <v>34</v>
      </c>
    </row>
    <row r="28" spans="1:3" ht="21">
      <c r="A28" t="s">
        <v>15</v>
      </c>
      <c r="B28" s="1">
        <v>700</v>
      </c>
      <c r="C28" t="s">
        <v>34</v>
      </c>
    </row>
    <row r="29" spans="1:3" ht="21">
      <c r="A29" t="s">
        <v>16</v>
      </c>
      <c r="B29" s="1">
        <v>980</v>
      </c>
      <c r="C29" t="s">
        <v>34</v>
      </c>
    </row>
  </sheetData>
  <sheetProtection/>
  <mergeCells count="4">
    <mergeCell ref="A1:G1"/>
    <mergeCell ref="A2:F2"/>
    <mergeCell ref="B11:E11"/>
    <mergeCell ref="B12:C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F8" sqref="F8"/>
    </sheetView>
  </sheetViews>
  <sheetFormatPr defaultColWidth="9.33203125" defaultRowHeight="21"/>
  <cols>
    <col min="1" max="1" width="5.33203125" style="0" customWidth="1"/>
  </cols>
  <sheetData>
    <row r="1" spans="1:12" ht="26.25">
      <c r="A1" s="81" t="s">
        <v>137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4" ht="21">
      <c r="B2" t="s">
        <v>75</v>
      </c>
      <c r="C2" s="15">
        <v>1</v>
      </c>
      <c r="D2" t="s">
        <v>36</v>
      </c>
      <c r="G2" s="8"/>
      <c r="H2" s="8"/>
      <c r="I2" s="8"/>
      <c r="N2" s="1" t="s">
        <v>136</v>
      </c>
    </row>
    <row r="3" spans="2:21" ht="21">
      <c r="B3" t="s">
        <v>103</v>
      </c>
      <c r="C3" s="15">
        <v>0.15</v>
      </c>
      <c r="D3" t="s">
        <v>36</v>
      </c>
      <c r="G3" s="8"/>
      <c r="H3" s="8"/>
      <c r="I3" s="8"/>
      <c r="N3">
        <f>ข้อกำหนด!B20*2.8</f>
        <v>280</v>
      </c>
      <c r="S3" s="80" t="s">
        <v>107</v>
      </c>
      <c r="T3" s="80"/>
      <c r="U3" s="80"/>
    </row>
    <row r="4" spans="2:21" ht="21">
      <c r="B4" t="s">
        <v>100</v>
      </c>
      <c r="C4" s="15">
        <v>0.35</v>
      </c>
      <c r="D4" t="s">
        <v>36</v>
      </c>
      <c r="G4" s="38"/>
      <c r="H4" s="9"/>
      <c r="I4" s="9"/>
      <c r="N4" s="9"/>
      <c r="S4" s="5" t="s">
        <v>109</v>
      </c>
      <c r="T4" s="7">
        <f>0.1*2400</f>
        <v>240</v>
      </c>
      <c r="U4" s="7" t="s">
        <v>34</v>
      </c>
    </row>
    <row r="5" spans="2:21" ht="21">
      <c r="B5" t="s">
        <v>105</v>
      </c>
      <c r="C5">
        <f>C3*C4*2400</f>
        <v>126</v>
      </c>
      <c r="D5" s="9" t="s">
        <v>106</v>
      </c>
      <c r="G5" s="38"/>
      <c r="H5" s="9"/>
      <c r="I5" s="9"/>
      <c r="N5" s="9"/>
      <c r="S5" s="5" t="s">
        <v>108</v>
      </c>
      <c r="T5" s="7">
        <v>150</v>
      </c>
      <c r="U5" s="7" t="s">
        <v>34</v>
      </c>
    </row>
    <row r="6" spans="2:21" ht="21">
      <c r="B6" t="s">
        <v>104</v>
      </c>
      <c r="C6" s="14">
        <f>((T6*T7)/3)*((3-(T7/T8)^2)/2)</f>
        <v>178.75</v>
      </c>
      <c r="D6" s="9" t="s">
        <v>106</v>
      </c>
      <c r="I6" s="9"/>
      <c r="N6" s="9"/>
      <c r="S6" s="7"/>
      <c r="T6" s="7">
        <f>SUM(T4:T5)</f>
        <v>390</v>
      </c>
      <c r="U6" s="7"/>
    </row>
    <row r="7" spans="2:21" ht="21">
      <c r="B7" t="s">
        <v>43</v>
      </c>
      <c r="C7">
        <v>0</v>
      </c>
      <c r="D7" s="9" t="s">
        <v>106</v>
      </c>
      <c r="N7" s="9"/>
      <c r="S7" s="5" t="s">
        <v>110</v>
      </c>
      <c r="T7" s="46">
        <v>1</v>
      </c>
      <c r="U7" s="5" t="s">
        <v>112</v>
      </c>
    </row>
    <row r="8" spans="2:21" ht="21">
      <c r="B8" t="s">
        <v>78</v>
      </c>
      <c r="C8" s="49">
        <f>SUM(C5:C7)</f>
        <v>304.75</v>
      </c>
      <c r="D8" s="9" t="s">
        <v>106</v>
      </c>
      <c r="S8" s="5" t="s">
        <v>111</v>
      </c>
      <c r="T8" s="46">
        <v>2</v>
      </c>
      <c r="U8" s="5" t="s">
        <v>112</v>
      </c>
    </row>
    <row r="9" spans="2:21" ht="21">
      <c r="B9" t="s">
        <v>118</v>
      </c>
      <c r="C9" s="14">
        <f>((C8*C2)/2)+((T9*T11)/C2)</f>
        <v>402.375</v>
      </c>
      <c r="D9" s="9" t="s">
        <v>114</v>
      </c>
      <c r="S9" s="45" t="s">
        <v>115</v>
      </c>
      <c r="T9" s="46">
        <v>250</v>
      </c>
      <c r="U9" s="45" t="s">
        <v>113</v>
      </c>
    </row>
    <row r="10" spans="2:21" ht="21">
      <c r="B10" t="s">
        <v>119</v>
      </c>
      <c r="C10" s="14">
        <f>ข้อกำหนด!$E$16*C3*C4^2*10000</f>
        <v>1725.1959819648353</v>
      </c>
      <c r="D10" s="9" t="s">
        <v>91</v>
      </c>
      <c r="E10" s="23"/>
      <c r="S10" s="45" t="s">
        <v>116</v>
      </c>
      <c r="T10" s="46">
        <v>0</v>
      </c>
      <c r="U10" s="45" t="s">
        <v>112</v>
      </c>
    </row>
    <row r="11" spans="2:21" ht="21">
      <c r="B11" t="s">
        <v>123</v>
      </c>
      <c r="C11" s="14">
        <f>(C10*100)/(ข้อกำหนด!$B$9*C4*100*ข้อกำหนด!$E$15)</f>
        <v>3.6651606798343646</v>
      </c>
      <c r="D11" s="22" t="s">
        <v>50</v>
      </c>
      <c r="E11" s="22" t="s">
        <v>50</v>
      </c>
      <c r="F11" s="79" t="s">
        <v>124</v>
      </c>
      <c r="G11" s="79"/>
      <c r="H11" s="1">
        <v>2</v>
      </c>
      <c r="I11" t="s">
        <v>125</v>
      </c>
      <c r="J11" s="1">
        <v>16</v>
      </c>
      <c r="K11" t="s">
        <v>126</v>
      </c>
      <c r="L11" s="14">
        <f>((3.14*(J11/10)^2)/4)*H11</f>
        <v>4.0192000000000005</v>
      </c>
      <c r="M11" s="1" t="s">
        <v>127</v>
      </c>
      <c r="S11" s="45" t="s">
        <v>117</v>
      </c>
      <c r="T11" s="47">
        <f>C2-T10</f>
        <v>1</v>
      </c>
      <c r="U11" s="45" t="s">
        <v>112</v>
      </c>
    </row>
    <row r="12" spans="2:4" ht="21">
      <c r="B12" t="s">
        <v>129</v>
      </c>
      <c r="C12" s="14">
        <f>C9/(10000*C4*C3)</f>
        <v>0.7664285714285715</v>
      </c>
      <c r="D12" s="22" t="s">
        <v>130</v>
      </c>
    </row>
    <row r="13" spans="2:7" ht="21">
      <c r="B13" t="s">
        <v>131</v>
      </c>
      <c r="C13" s="14">
        <f>0.29*ข้อกำหนด!$B$3^0.5</f>
        <v>3.890758280849634</v>
      </c>
      <c r="D13" s="22" t="s">
        <v>130</v>
      </c>
      <c r="E13" s="91" t="str">
        <f>IF(C12&lt;=0,"Not provided punching shear",IF(C13&gt;C12,"ok","No ออกแบบเหล็กปลอก"))</f>
        <v>ok</v>
      </c>
      <c r="F13" s="91"/>
      <c r="G13" s="91"/>
    </row>
    <row r="14" spans="2:8" ht="21">
      <c r="B14" s="79" t="s">
        <v>133</v>
      </c>
      <c r="C14" s="79"/>
      <c r="D14" s="1" t="s">
        <v>134</v>
      </c>
      <c r="E14" s="1">
        <v>6</v>
      </c>
      <c r="F14" t="s">
        <v>135</v>
      </c>
      <c r="G14" s="21">
        <v>20</v>
      </c>
      <c r="H14" t="s">
        <v>39</v>
      </c>
    </row>
    <row r="18" spans="4:11" ht="21">
      <c r="D18" s="1">
        <f>H11</f>
        <v>2</v>
      </c>
      <c r="E18" s="1" t="str">
        <f>I11</f>
        <v>DB</v>
      </c>
      <c r="F18" s="1">
        <f>J11</f>
        <v>16</v>
      </c>
      <c r="G18" t="s">
        <v>127</v>
      </c>
      <c r="I18" s="1"/>
      <c r="J18" s="1"/>
      <c r="K18" s="1"/>
    </row>
    <row r="19" spans="4:11" ht="21">
      <c r="D19" s="1" t="str">
        <f>D14</f>
        <v>RB </v>
      </c>
      <c r="E19" s="1">
        <f>E14</f>
        <v>6</v>
      </c>
      <c r="F19" t="s">
        <v>135</v>
      </c>
      <c r="G19" s="21">
        <f>G14</f>
        <v>20</v>
      </c>
      <c r="H19" t="str">
        <f>H14</f>
        <v>cm.</v>
      </c>
      <c r="J19" s="1"/>
      <c r="K19" s="1"/>
    </row>
    <row r="20" spans="4:11" ht="21">
      <c r="D20" s="1">
        <v>2</v>
      </c>
      <c r="E20" s="1" t="str">
        <f>I11</f>
        <v>DB</v>
      </c>
      <c r="F20" s="1">
        <v>12</v>
      </c>
      <c r="G20" t="s">
        <v>127</v>
      </c>
      <c r="I20" s="1"/>
      <c r="J20" s="1"/>
      <c r="K20" s="1"/>
    </row>
    <row r="22" spans="2:3" ht="21">
      <c r="B22" s="79"/>
      <c r="C22" s="79"/>
    </row>
    <row r="26" spans="4:6" ht="21">
      <c r="D26" s="1"/>
      <c r="E26" s="1"/>
      <c r="F26" s="1"/>
    </row>
    <row r="27" spans="4:7" ht="21">
      <c r="D27" s="1"/>
      <c r="E27" s="1"/>
      <c r="G27" s="21"/>
    </row>
    <row r="28" spans="4:6" ht="21">
      <c r="D28" s="1"/>
      <c r="E28" s="1"/>
      <c r="F28" s="1"/>
    </row>
    <row r="31" spans="2:3" ht="21">
      <c r="B31" s="79"/>
      <c r="C31" s="79"/>
    </row>
  </sheetData>
  <sheetProtection/>
  <mergeCells count="7">
    <mergeCell ref="B22:C22"/>
    <mergeCell ref="B31:C31"/>
    <mergeCell ref="A1:L1"/>
    <mergeCell ref="S3:U3"/>
    <mergeCell ref="F11:G11"/>
    <mergeCell ref="E13:G13"/>
    <mergeCell ref="B14:C14"/>
  </mergeCells>
  <printOptions/>
  <pageMargins left="0.7480314960629921" right="0" top="0.984251968503937" bottom="0.984251968503937" header="0.5118110236220472" footer="0.5118110236220472"/>
  <pageSetup horizontalDpi="300" verticalDpi="300" orientation="portrait" paperSize="9" r:id="rId4"/>
  <legacyDrawing r:id="rId3"/>
  <oleObjects>
    <oleObject progId="AutoCAD.Drawing.17" shapeId="2464632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4">
      <selection activeCell="J19" sqref="J19"/>
    </sheetView>
  </sheetViews>
  <sheetFormatPr defaultColWidth="9.33203125" defaultRowHeight="21"/>
  <cols>
    <col min="1" max="1" width="6.16015625" style="0" customWidth="1"/>
    <col min="3" max="3" width="14" style="0" customWidth="1"/>
  </cols>
  <sheetData>
    <row r="1" spans="1:11" ht="26.25">
      <c r="A1" s="98" t="s">
        <v>138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1">
      <c r="A2" s="50"/>
      <c r="B2" s="92" t="s">
        <v>139</v>
      </c>
      <c r="C2" s="92"/>
      <c r="D2" s="92"/>
      <c r="E2" s="92"/>
      <c r="F2" s="51" t="s">
        <v>140</v>
      </c>
      <c r="G2" s="52">
        <v>2500</v>
      </c>
      <c r="H2" s="53" t="s">
        <v>113</v>
      </c>
      <c r="I2" s="50"/>
      <c r="J2" s="54"/>
      <c r="K2" s="54"/>
    </row>
    <row r="3" spans="1:11" ht="21">
      <c r="A3" s="50"/>
      <c r="B3" s="92" t="s">
        <v>141</v>
      </c>
      <c r="C3" s="92"/>
      <c r="D3" s="55" t="s">
        <v>142</v>
      </c>
      <c r="E3" s="50"/>
      <c r="F3" s="55" t="s">
        <v>140</v>
      </c>
      <c r="G3" s="56">
        <v>15</v>
      </c>
      <c r="H3" s="57" t="s">
        <v>143</v>
      </c>
      <c r="I3" s="50"/>
      <c r="J3" s="54"/>
      <c r="K3" s="54"/>
    </row>
    <row r="4" spans="1:11" ht="21">
      <c r="A4" s="50"/>
      <c r="B4" s="96"/>
      <c r="C4" s="96"/>
      <c r="D4" s="55" t="s">
        <v>144</v>
      </c>
      <c r="E4" s="50"/>
      <c r="F4" s="55" t="s">
        <v>140</v>
      </c>
      <c r="G4" s="56">
        <v>15</v>
      </c>
      <c r="H4" s="57" t="s">
        <v>143</v>
      </c>
      <c r="I4" s="50"/>
      <c r="J4" s="54"/>
      <c r="K4" s="54"/>
    </row>
    <row r="5" spans="1:11" ht="21">
      <c r="A5" s="50"/>
      <c r="B5" s="92" t="s">
        <v>145</v>
      </c>
      <c r="C5" s="92"/>
      <c r="D5" s="92"/>
      <c r="E5" s="58"/>
      <c r="F5" s="59" t="s">
        <v>140</v>
      </c>
      <c r="G5" s="55">
        <f>G3*G4</f>
        <v>225</v>
      </c>
      <c r="H5" s="60" t="s">
        <v>50</v>
      </c>
      <c r="I5" s="59"/>
      <c r="J5" s="54"/>
      <c r="K5" s="54"/>
    </row>
    <row r="6" spans="1:11" ht="21">
      <c r="A6" s="97" t="s">
        <v>146</v>
      </c>
      <c r="B6" s="97"/>
      <c r="C6" s="97"/>
      <c r="D6" s="97"/>
      <c r="E6" s="97"/>
      <c r="F6" s="97"/>
      <c r="G6" s="97"/>
      <c r="H6" s="97"/>
      <c r="I6" s="97"/>
      <c r="J6" s="61"/>
      <c r="K6" s="61"/>
    </row>
    <row r="7" spans="1:11" ht="21">
      <c r="A7" s="97" t="s">
        <v>147</v>
      </c>
      <c r="B7" s="97"/>
      <c r="C7" s="97"/>
      <c r="D7" s="97" t="s">
        <v>148</v>
      </c>
      <c r="E7" s="97"/>
      <c r="F7" s="97" t="s">
        <v>149</v>
      </c>
      <c r="G7" s="97"/>
      <c r="H7" s="97"/>
      <c r="I7" s="50"/>
      <c r="J7" s="61"/>
      <c r="K7" s="61"/>
    </row>
    <row r="8" spans="1:11" ht="21">
      <c r="A8" s="62" t="s">
        <v>59</v>
      </c>
      <c r="B8" s="95">
        <v>9</v>
      </c>
      <c r="C8" s="95"/>
      <c r="D8" s="95">
        <v>4</v>
      </c>
      <c r="E8" s="95"/>
      <c r="F8" s="50"/>
      <c r="G8" s="51">
        <f>PI()*B8^2/400*D8</f>
        <v>2.5446900494077322</v>
      </c>
      <c r="H8" s="50"/>
      <c r="I8" s="59"/>
      <c r="J8" s="61"/>
      <c r="K8" s="61"/>
    </row>
    <row r="9" spans="1:11" ht="21">
      <c r="A9" s="64" t="s">
        <v>59</v>
      </c>
      <c r="B9" s="95" t="s">
        <v>150</v>
      </c>
      <c r="C9" s="95"/>
      <c r="D9" s="95">
        <v>6</v>
      </c>
      <c r="E9" s="95"/>
      <c r="F9" s="96" t="s">
        <v>151</v>
      </c>
      <c r="G9" s="96"/>
      <c r="H9" s="63">
        <v>15</v>
      </c>
      <c r="I9" s="65" t="s">
        <v>143</v>
      </c>
      <c r="J9" s="61"/>
      <c r="K9" s="61"/>
    </row>
    <row r="10" spans="1:11" ht="21">
      <c r="A10" s="60"/>
      <c r="B10" s="96" t="s">
        <v>152</v>
      </c>
      <c r="C10" s="96"/>
      <c r="D10" s="60"/>
      <c r="E10" s="60"/>
      <c r="F10" s="60"/>
      <c r="G10" s="60"/>
      <c r="H10" s="60"/>
      <c r="I10" s="60"/>
      <c r="J10" s="61"/>
      <c r="K10" s="61"/>
    </row>
    <row r="11" spans="1:11" ht="21">
      <c r="A11" s="60"/>
      <c r="B11" s="60">
        <v>16</v>
      </c>
      <c r="C11" s="60" t="s">
        <v>153</v>
      </c>
      <c r="D11" s="60"/>
      <c r="E11" s="60"/>
      <c r="F11" s="50" t="s">
        <v>140</v>
      </c>
      <c r="G11" s="50">
        <f>16*B8/10</f>
        <v>14.4</v>
      </c>
      <c r="H11" s="50" t="s">
        <v>143</v>
      </c>
      <c r="I11" s="60"/>
      <c r="J11" s="61"/>
      <c r="K11" s="61"/>
    </row>
    <row r="12" spans="1:11" ht="21">
      <c r="A12" s="60"/>
      <c r="B12" s="60">
        <v>48</v>
      </c>
      <c r="C12" s="60" t="s">
        <v>154</v>
      </c>
      <c r="D12" s="60"/>
      <c r="E12" s="60"/>
      <c r="F12" s="50" t="s">
        <v>140</v>
      </c>
      <c r="G12" s="50">
        <f>48*D9/10</f>
        <v>28.8</v>
      </c>
      <c r="H12" s="50" t="s">
        <v>143</v>
      </c>
      <c r="I12" s="60"/>
      <c r="J12" s="61"/>
      <c r="K12" s="61"/>
    </row>
    <row r="13" spans="1:11" ht="21">
      <c r="A13" s="60"/>
      <c r="B13" s="60"/>
      <c r="C13" s="60" t="s">
        <v>155</v>
      </c>
      <c r="D13" s="60"/>
      <c r="E13" s="60"/>
      <c r="F13" s="50" t="s">
        <v>140</v>
      </c>
      <c r="G13" s="50">
        <f>MIN(G3:G4)</f>
        <v>15</v>
      </c>
      <c r="H13" s="50" t="s">
        <v>143</v>
      </c>
      <c r="I13" s="60"/>
      <c r="J13" s="61"/>
      <c r="K13" s="61"/>
    </row>
    <row r="14" spans="1:11" ht="21">
      <c r="A14" s="50"/>
      <c r="B14" s="92" t="s">
        <v>156</v>
      </c>
      <c r="C14" s="92"/>
      <c r="D14" s="92"/>
      <c r="E14" s="92"/>
      <c r="F14" s="55" t="s">
        <v>140</v>
      </c>
      <c r="G14" s="51">
        <f>SUM(G8:G8)</f>
        <v>2.5446900494077322</v>
      </c>
      <c r="H14" s="50" t="s">
        <v>157</v>
      </c>
      <c r="I14" s="59"/>
      <c r="J14" s="61"/>
      <c r="K14" s="61"/>
    </row>
    <row r="15" spans="1:11" ht="21">
      <c r="A15" s="50"/>
      <c r="B15" s="92" t="s">
        <v>158</v>
      </c>
      <c r="C15" s="92"/>
      <c r="D15" s="92"/>
      <c r="E15" s="92"/>
      <c r="F15" s="55" t="s">
        <v>140</v>
      </c>
      <c r="G15" s="66">
        <f>G14/G5</f>
        <v>0.011309733552923255</v>
      </c>
      <c r="H15" s="50" t="s">
        <v>159</v>
      </c>
      <c r="I15" s="59"/>
      <c r="J15" s="61"/>
      <c r="K15" s="61"/>
    </row>
    <row r="16" spans="1:11" ht="21">
      <c r="A16" s="60"/>
      <c r="B16" s="93" t="s">
        <v>160</v>
      </c>
      <c r="C16" s="93"/>
      <c r="D16" s="93"/>
      <c r="E16" s="93"/>
      <c r="F16" s="59"/>
      <c r="G16" s="67">
        <f>IF(G15&lt;0.01,"Pg น้อยกว่า 1 %","")</f>
      </c>
      <c r="H16" s="94">
        <f>IF(G15&gt;0.08,"Pg มากกว่า 8 %","")</f>
      </c>
      <c r="I16" s="94"/>
      <c r="J16" s="61"/>
      <c r="K16" s="61"/>
    </row>
    <row r="17" spans="1:10" ht="21">
      <c r="A17" s="60"/>
      <c r="B17" s="92" t="s">
        <v>161</v>
      </c>
      <c r="C17" s="92"/>
      <c r="D17" s="92"/>
      <c r="E17" s="92"/>
      <c r="F17" s="50" t="s">
        <v>140</v>
      </c>
      <c r="G17" s="68">
        <f>0.85*G5*0.25*'[1]ข้อกำหนด'!B3</f>
        <v>8606.25</v>
      </c>
      <c r="H17" s="59" t="s">
        <v>162</v>
      </c>
      <c r="I17" s="61"/>
      <c r="J17" s="61"/>
    </row>
    <row r="18" spans="1:10" ht="21">
      <c r="A18" s="60"/>
      <c r="B18" s="92" t="s">
        <v>163</v>
      </c>
      <c r="C18" s="92"/>
      <c r="D18" s="92"/>
      <c r="E18" s="92"/>
      <c r="F18" s="50" t="s">
        <v>140</v>
      </c>
      <c r="G18" s="68">
        <f>0.85*G5*'[1]ข้อกำหนด'!B9*G15</f>
        <v>3244.4798129948585</v>
      </c>
      <c r="H18" s="55" t="s">
        <v>162</v>
      </c>
      <c r="I18" s="61"/>
      <c r="J18" s="61"/>
    </row>
    <row r="19" spans="1:10" ht="21">
      <c r="A19" s="50"/>
      <c r="B19" s="92" t="s">
        <v>164</v>
      </c>
      <c r="C19" s="92"/>
      <c r="D19" s="92"/>
      <c r="E19" s="92"/>
      <c r="F19" s="55" t="s">
        <v>140</v>
      </c>
      <c r="G19" s="69">
        <f>G17+G18</f>
        <v>11850.729812994858</v>
      </c>
      <c r="H19" s="59" t="s">
        <v>162</v>
      </c>
      <c r="I19" s="70" t="str">
        <f>IF(G19&gt;G2,"OK","NO")</f>
        <v>OK</v>
      </c>
      <c r="J19" s="71">
        <f>IF(G2&gt;G19,"ออกแบบใหม่","")</f>
      </c>
    </row>
    <row r="20" spans="1:11" ht="21">
      <c r="A20" s="50"/>
      <c r="B20" s="60"/>
      <c r="C20" s="60"/>
      <c r="D20" s="60"/>
      <c r="E20" s="60"/>
      <c r="F20" s="60"/>
      <c r="G20" s="60"/>
      <c r="H20" s="71"/>
      <c r="I20" s="60"/>
      <c r="J20" s="70"/>
      <c r="K20" s="54"/>
    </row>
    <row r="21" spans="1:11" ht="21">
      <c r="A21" s="72"/>
      <c r="B21" s="73"/>
      <c r="C21" s="73"/>
      <c r="D21" s="73"/>
      <c r="E21" s="73"/>
      <c r="F21" s="73"/>
      <c r="G21" s="73"/>
      <c r="H21" s="73"/>
      <c r="I21" s="73"/>
      <c r="J21" s="61"/>
      <c r="K21" s="61"/>
    </row>
    <row r="22" spans="1:11" ht="2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</row>
    <row r="23" spans="1:11" ht="21">
      <c r="A23" s="73"/>
      <c r="B23" s="73"/>
      <c r="C23" s="73"/>
      <c r="D23" s="73"/>
      <c r="E23" s="74">
        <f>D8</f>
        <v>4</v>
      </c>
      <c r="F23" s="75" t="str">
        <f>A8</f>
        <v>RB</v>
      </c>
      <c r="G23" s="76">
        <f>B8</f>
        <v>9</v>
      </c>
      <c r="H23" s="73" t="s">
        <v>127</v>
      </c>
      <c r="I23" s="73"/>
      <c r="J23" s="73"/>
      <c r="K23" s="73"/>
    </row>
    <row r="24" spans="1:11" ht="21">
      <c r="A24" s="73"/>
      <c r="E24" s="77" t="str">
        <f>A9</f>
        <v>RB</v>
      </c>
      <c r="F24" s="78">
        <f>D9</f>
        <v>6</v>
      </c>
      <c r="G24" t="s">
        <v>165</v>
      </c>
      <c r="H24" s="78">
        <f>H9</f>
        <v>15</v>
      </c>
      <c r="I24" t="s">
        <v>39</v>
      </c>
      <c r="J24" s="73"/>
      <c r="K24" s="73"/>
    </row>
  </sheetData>
  <sheetProtection/>
  <mergeCells count="22">
    <mergeCell ref="B5:D5"/>
    <mergeCell ref="A6:I6"/>
    <mergeCell ref="A1:K1"/>
    <mergeCell ref="B2:E2"/>
    <mergeCell ref="B3:C3"/>
    <mergeCell ref="B4:C4"/>
    <mergeCell ref="H16:I16"/>
    <mergeCell ref="B9:C9"/>
    <mergeCell ref="D9:E9"/>
    <mergeCell ref="F9:G9"/>
    <mergeCell ref="B10:C10"/>
    <mergeCell ref="A7:C7"/>
    <mergeCell ref="D7:E7"/>
    <mergeCell ref="F7:H7"/>
    <mergeCell ref="B8:C8"/>
    <mergeCell ref="D8:E8"/>
    <mergeCell ref="B17:E17"/>
    <mergeCell ref="B18:E18"/>
    <mergeCell ref="B19:E19"/>
    <mergeCell ref="B14:E14"/>
    <mergeCell ref="B15:E15"/>
    <mergeCell ref="B16:E16"/>
  </mergeCells>
  <printOptions/>
  <pageMargins left="0.7480314960629921" right="0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AutoCAD.Drawing.17" shapeId="178057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2" sqref="D12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U14" sqref="U14"/>
    </sheetView>
  </sheetViews>
  <sheetFormatPr defaultColWidth="9.33203125" defaultRowHeight="21"/>
  <cols>
    <col min="2" max="2" width="12.83203125" style="0" customWidth="1"/>
  </cols>
  <sheetData>
    <row r="1" spans="1:15" ht="29.2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6"/>
      <c r="N1" s="26"/>
      <c r="O1" s="26"/>
    </row>
    <row r="2" spans="1:9" ht="21">
      <c r="A2" s="24"/>
      <c r="B2" s="24"/>
      <c r="C2" s="24"/>
      <c r="D2" s="24"/>
      <c r="E2" s="24"/>
      <c r="F2" s="24"/>
      <c r="G2" s="24"/>
      <c r="H2" s="24"/>
      <c r="I2" s="24"/>
    </row>
    <row r="3" spans="1:9" ht="21">
      <c r="A3" s="82" t="s">
        <v>45</v>
      </c>
      <c r="B3" s="82"/>
      <c r="C3" s="15">
        <v>1.5</v>
      </c>
      <c r="D3" t="s">
        <v>36</v>
      </c>
      <c r="F3" s="83" t="s">
        <v>40</v>
      </c>
      <c r="G3" s="83"/>
      <c r="H3" s="83"/>
      <c r="I3" s="4"/>
    </row>
    <row r="4" spans="1:8" ht="21">
      <c r="A4" s="82" t="s">
        <v>46</v>
      </c>
      <c r="B4" s="82"/>
      <c r="C4" s="15">
        <v>6</v>
      </c>
      <c r="D4" t="s">
        <v>36</v>
      </c>
      <c r="F4" s="7" t="s">
        <v>41</v>
      </c>
      <c r="G4" s="12">
        <f>C5*ข้อกำหนด!$B$22</f>
        <v>240</v>
      </c>
      <c r="H4" s="7" t="s">
        <v>34</v>
      </c>
    </row>
    <row r="5" spans="1:8" ht="21">
      <c r="A5" s="82" t="s">
        <v>37</v>
      </c>
      <c r="B5" s="82"/>
      <c r="C5" s="14">
        <v>0.1</v>
      </c>
      <c r="D5" t="s">
        <v>36</v>
      </c>
      <c r="F5" s="7" t="s">
        <v>42</v>
      </c>
      <c r="G5" s="27">
        <v>100</v>
      </c>
      <c r="H5" s="7" t="s">
        <v>34</v>
      </c>
    </row>
    <row r="6" spans="1:8" ht="21">
      <c r="A6" s="82" t="s">
        <v>38</v>
      </c>
      <c r="B6" s="82"/>
      <c r="C6" s="16">
        <v>2.5</v>
      </c>
      <c r="D6" t="s">
        <v>39</v>
      </c>
      <c r="F6" s="7" t="s">
        <v>43</v>
      </c>
      <c r="G6" s="27">
        <v>50</v>
      </c>
      <c r="H6" s="7" t="s">
        <v>34</v>
      </c>
    </row>
    <row r="7" spans="1:8" ht="21">
      <c r="A7" s="79" t="s">
        <v>168</v>
      </c>
      <c r="B7" s="79"/>
      <c r="C7">
        <f>(100*C5)-C6</f>
        <v>7.5</v>
      </c>
      <c r="D7" t="s">
        <v>39</v>
      </c>
      <c r="F7" s="19" t="s">
        <v>169</v>
      </c>
      <c r="G7" s="12">
        <f>SUM(G4:G6)</f>
        <v>390</v>
      </c>
      <c r="H7" s="7" t="s">
        <v>34</v>
      </c>
    </row>
    <row r="8" spans="1:4" ht="21">
      <c r="A8" s="79" t="s">
        <v>44</v>
      </c>
      <c r="B8" s="79"/>
      <c r="C8" s="20">
        <f>(G7*C3^2)/2</f>
        <v>438.75</v>
      </c>
      <c r="D8" s="22" t="s">
        <v>91</v>
      </c>
    </row>
    <row r="9" spans="1:5" ht="21">
      <c r="A9" s="79" t="s">
        <v>47</v>
      </c>
      <c r="B9" s="79"/>
      <c r="C9" s="14">
        <f>((C8*100)/(ข้อกำหนด!$C$16*100))^0.5</f>
        <v>6.406435886576651</v>
      </c>
      <c r="D9" t="s">
        <v>39</v>
      </c>
      <c r="E9" s="23" t="str">
        <f>IF(C7&lt;=0,"Not provided punching shear",IF(C9&lt;C7,"OK.","NO OK.    เพิ่มความหนา "))</f>
        <v>OK.</v>
      </c>
    </row>
    <row r="10" spans="1:12" ht="21">
      <c r="A10" s="79" t="s">
        <v>48</v>
      </c>
      <c r="B10" s="79"/>
      <c r="C10" s="14">
        <f>(G7*100)/(ข้อกำหนด!$B$6*ข้อกำหนด!$C$15*C7)</f>
        <v>4.924108549678166</v>
      </c>
      <c r="D10" s="2" t="s">
        <v>55</v>
      </c>
      <c r="E10" s="79" t="s">
        <v>49</v>
      </c>
      <c r="F10" s="79"/>
      <c r="G10" s="32">
        <v>9</v>
      </c>
      <c r="H10" s="22" t="s">
        <v>53</v>
      </c>
      <c r="I10" s="14">
        <f>(3.14*(G10/10)^2)/4</f>
        <v>0.63585</v>
      </c>
      <c r="J10" s="2" t="s">
        <v>52</v>
      </c>
      <c r="K10" s="21">
        <f>(100/(C10/I10))</f>
        <v>12.912997217365538</v>
      </c>
      <c r="L10" t="s">
        <v>39</v>
      </c>
    </row>
    <row r="11" spans="1:12" ht="21">
      <c r="A11" s="79" t="s">
        <v>54</v>
      </c>
      <c r="B11" s="79"/>
      <c r="C11" s="3">
        <f>0.0025*100*C5*100</f>
        <v>2.5</v>
      </c>
      <c r="D11" s="2" t="s">
        <v>55</v>
      </c>
      <c r="E11" s="79" t="s">
        <v>49</v>
      </c>
      <c r="F11" s="79"/>
      <c r="G11" s="32">
        <v>9</v>
      </c>
      <c r="H11" s="22" t="s">
        <v>53</v>
      </c>
      <c r="I11" s="14">
        <f>(3.14*(G11/10)^2)/4</f>
        <v>0.63585</v>
      </c>
      <c r="J11" s="2" t="s">
        <v>52</v>
      </c>
      <c r="K11" s="21">
        <f>(100/(C11/I11))</f>
        <v>25.434</v>
      </c>
      <c r="L11" t="s">
        <v>39</v>
      </c>
    </row>
    <row r="12" spans="1:4" ht="23.25" customHeight="1">
      <c r="A12" s="79" t="s">
        <v>56</v>
      </c>
      <c r="B12" s="79"/>
      <c r="C12" s="14">
        <f>(1.615*ข้อกำหนด!$B$3^0.5)/(C5*10)</f>
        <v>21.667498701972963</v>
      </c>
      <c r="D12" t="s">
        <v>4</v>
      </c>
    </row>
    <row r="13" spans="1:5" ht="21">
      <c r="A13" s="79" t="s">
        <v>57</v>
      </c>
      <c r="B13" s="79"/>
      <c r="C13" s="14">
        <f>(C5*10*ข้อกำหนด!$B$6)/(4*11)</f>
        <v>27.272727272727273</v>
      </c>
      <c r="D13" t="s">
        <v>39</v>
      </c>
      <c r="E13" s="23" t="str">
        <f>IF(C13&lt;=0,"Not provided punching shear",IF(C13&lt;60,"OK.","NO OK.    เพิ่มความหนา "))</f>
        <v>OK.</v>
      </c>
    </row>
    <row r="14" spans="1:9" ht="21">
      <c r="A14" s="1"/>
      <c r="B14" s="1"/>
      <c r="C14" s="14"/>
      <c r="E14" s="28" t="s">
        <v>59</v>
      </c>
      <c r="F14" s="29">
        <f>G10</f>
        <v>9</v>
      </c>
      <c r="G14" s="30" t="s">
        <v>60</v>
      </c>
      <c r="H14" s="31">
        <f>K10</f>
        <v>12.912997217365538</v>
      </c>
      <c r="I14" s="30" t="str">
        <f>L11</f>
        <v>cm.</v>
      </c>
    </row>
    <row r="15" spans="1:5" ht="21">
      <c r="A15" s="1"/>
      <c r="B15" s="1"/>
      <c r="C15" s="14"/>
      <c r="E15" s="23"/>
    </row>
    <row r="20" spans="5:9" ht="21">
      <c r="E20" s="29" t="str">
        <f>E14</f>
        <v>RB</v>
      </c>
      <c r="F20" s="29">
        <f>G11</f>
        <v>9</v>
      </c>
      <c r="G20" s="30" t="str">
        <f>G14</f>
        <v>mm  @</v>
      </c>
      <c r="H20" s="37">
        <f>K11</f>
        <v>25.434</v>
      </c>
      <c r="I20" s="30" t="str">
        <f>I14</f>
        <v>cm.</v>
      </c>
    </row>
  </sheetData>
  <sheetProtection/>
  <mergeCells count="15">
    <mergeCell ref="A9:B9"/>
    <mergeCell ref="A3:B3"/>
    <mergeCell ref="A4:B4"/>
    <mergeCell ref="A5:B5"/>
    <mergeCell ref="A7:B7"/>
    <mergeCell ref="A12:B12"/>
    <mergeCell ref="A13:B13"/>
    <mergeCell ref="A1:L1"/>
    <mergeCell ref="A10:B10"/>
    <mergeCell ref="A11:B11"/>
    <mergeCell ref="E10:F10"/>
    <mergeCell ref="E11:F11"/>
    <mergeCell ref="A6:B6"/>
    <mergeCell ref="F3:H3"/>
    <mergeCell ref="A8:B8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4"/>
  <headerFooter alignWithMargins="0">
    <oddFooter xml:space="preserve">&amp;C               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E15" sqref="AE15"/>
    </sheetView>
  </sheetViews>
  <sheetFormatPr defaultColWidth="9.33203125" defaultRowHeight="21"/>
  <sheetData>
    <row r="1" spans="1:11" ht="29.2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3" ht="21">
      <c r="A2" t="s">
        <v>61</v>
      </c>
      <c r="B2" s="15">
        <v>0.1</v>
      </c>
      <c r="C2" t="s">
        <v>36</v>
      </c>
    </row>
    <row r="3" spans="1:11" ht="21">
      <c r="A3" s="4" t="s">
        <v>54</v>
      </c>
      <c r="B3" s="3">
        <f>0.0025*100*B2*100</f>
        <v>2.5</v>
      </c>
      <c r="C3" s="2" t="s">
        <v>55</v>
      </c>
      <c r="D3" s="79" t="s">
        <v>49</v>
      </c>
      <c r="E3" s="79"/>
      <c r="F3" s="32">
        <v>9</v>
      </c>
      <c r="G3" s="22" t="s">
        <v>53</v>
      </c>
      <c r="H3" s="14">
        <f>(3.14*(F3/10)^2)/4</f>
        <v>0.63585</v>
      </c>
      <c r="I3" s="2" t="s">
        <v>52</v>
      </c>
      <c r="J3" s="21">
        <f>(100/(B3/H3))</f>
        <v>25.434</v>
      </c>
      <c r="K3" t="s">
        <v>39</v>
      </c>
    </row>
    <row r="5" spans="4:8" ht="21">
      <c r="D5" s="30" t="s">
        <v>62</v>
      </c>
      <c r="E5" s="30"/>
      <c r="F5" s="30"/>
      <c r="G5" s="9"/>
      <c r="H5" s="9"/>
    </row>
    <row r="7" spans="5:9" ht="21">
      <c r="E7" s="28" t="s">
        <v>59</v>
      </c>
      <c r="F7" s="29">
        <f>F3</f>
        <v>9</v>
      </c>
      <c r="G7" s="30" t="s">
        <v>60</v>
      </c>
      <c r="H7" s="31">
        <f>J3</f>
        <v>25.434</v>
      </c>
      <c r="I7" s="30" t="str">
        <f>K3</f>
        <v>cm.</v>
      </c>
    </row>
  </sheetData>
  <sheetProtection/>
  <mergeCells count="2">
    <mergeCell ref="D3:E3"/>
    <mergeCell ref="A1:K1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AutoCAD.Drawing.17" shapeId="9638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M20" sqref="M20"/>
    </sheetView>
  </sheetViews>
  <sheetFormatPr defaultColWidth="9.33203125" defaultRowHeight="21"/>
  <sheetData>
    <row r="1" spans="1:12" ht="29.25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9.25">
      <c r="A2" s="25"/>
      <c r="B2" s="83" t="s">
        <v>40</v>
      </c>
      <c r="C2" s="83"/>
      <c r="D2" s="83"/>
      <c r="E2" s="25"/>
      <c r="F2" s="25"/>
      <c r="G2" s="25"/>
      <c r="H2" s="25"/>
      <c r="I2" s="25"/>
      <c r="J2" s="25"/>
      <c r="K2" s="25"/>
      <c r="L2" s="25"/>
    </row>
    <row r="3" spans="2:4" ht="21">
      <c r="B3" s="7" t="s">
        <v>65</v>
      </c>
      <c r="C3" s="33">
        <v>4</v>
      </c>
      <c r="D3" s="7" t="s">
        <v>66</v>
      </c>
    </row>
    <row r="4" spans="2:4" ht="21">
      <c r="B4" s="7" t="s">
        <v>42</v>
      </c>
      <c r="C4" s="18">
        <f>ข้อกำหนด!B17</f>
        <v>150</v>
      </c>
      <c r="D4" s="7" t="s">
        <v>34</v>
      </c>
    </row>
    <row r="5" spans="2:4" ht="21">
      <c r="B5" s="7" t="s">
        <v>43</v>
      </c>
      <c r="C5" s="18">
        <v>50</v>
      </c>
      <c r="D5" s="7" t="s">
        <v>34</v>
      </c>
    </row>
    <row r="6" spans="2:4" ht="21">
      <c r="B6" s="7" t="s">
        <v>67</v>
      </c>
      <c r="C6" s="17">
        <f>SUM(C4:C5)</f>
        <v>200</v>
      </c>
      <c r="D6" s="7" t="s">
        <v>34</v>
      </c>
    </row>
    <row r="7" spans="1:11" ht="21">
      <c r="A7" s="9"/>
      <c r="B7" s="9"/>
      <c r="C7" s="34"/>
      <c r="D7" s="9"/>
      <c r="E7" s="9"/>
      <c r="F7" s="9"/>
      <c r="G7" s="9"/>
      <c r="H7" s="9"/>
      <c r="I7" s="9"/>
      <c r="J7" s="9"/>
      <c r="K7" s="9"/>
    </row>
    <row r="8" spans="1:11" ht="21">
      <c r="A8" s="9"/>
      <c r="B8" s="22" t="s">
        <v>68</v>
      </c>
      <c r="C8" s="9"/>
      <c r="D8" s="9"/>
      <c r="E8" s="9"/>
      <c r="F8" s="9"/>
      <c r="G8" s="9"/>
      <c r="H8" s="9"/>
      <c r="I8" s="9"/>
      <c r="J8" s="9"/>
      <c r="K8" s="9"/>
    </row>
    <row r="9" spans="2:6" ht="21">
      <c r="B9" s="22" t="s">
        <v>69</v>
      </c>
      <c r="E9" s="32">
        <v>200</v>
      </c>
      <c r="F9" s="9" t="s">
        <v>34</v>
      </c>
    </row>
    <row r="10" spans="2:4" ht="21">
      <c r="B10" s="22" t="s">
        <v>71</v>
      </c>
      <c r="C10" s="16">
        <v>5</v>
      </c>
      <c r="D10" t="s">
        <v>39</v>
      </c>
    </row>
    <row r="11" spans="2:12" ht="21">
      <c r="B11" s="22" t="s">
        <v>70</v>
      </c>
      <c r="C11">
        <f>0.0025*100*C10</f>
        <v>1.25</v>
      </c>
      <c r="D11" t="s">
        <v>50</v>
      </c>
      <c r="E11" s="79" t="s">
        <v>49</v>
      </c>
      <c r="F11" s="79"/>
      <c r="G11" s="32">
        <v>6</v>
      </c>
      <c r="H11" s="22" t="s">
        <v>72</v>
      </c>
      <c r="I11" s="14">
        <f>(3.14*(G11/10)^2)/4</f>
        <v>0.2826</v>
      </c>
      <c r="J11" s="2" t="s">
        <v>52</v>
      </c>
      <c r="K11" s="21">
        <v>25</v>
      </c>
      <c r="L11" t="s">
        <v>39</v>
      </c>
    </row>
    <row r="12" spans="2:11" ht="21">
      <c r="B12" s="35" t="s">
        <v>73</v>
      </c>
      <c r="C12" s="3"/>
      <c r="D12" s="2"/>
      <c r="E12" s="4"/>
      <c r="F12" s="4"/>
      <c r="G12" s="32"/>
      <c r="H12" s="22"/>
      <c r="I12" s="14"/>
      <c r="J12" s="2"/>
      <c r="K12" s="21"/>
    </row>
  </sheetData>
  <sheetProtection/>
  <mergeCells count="3">
    <mergeCell ref="A1:L1"/>
    <mergeCell ref="B2:D2"/>
    <mergeCell ref="E11:F11"/>
  </mergeCells>
  <printOptions/>
  <pageMargins left="0.7480314960629921" right="0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AutoCAD.Drawing.17" shapeId="11047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4" sqref="L14"/>
    </sheetView>
  </sheetViews>
  <sheetFormatPr defaultColWidth="9.33203125" defaultRowHeight="21"/>
  <cols>
    <col min="3" max="3" width="10.66015625" style="0" bestFit="1" customWidth="1"/>
    <col min="4" max="4" width="10" style="0" bestFit="1" customWidth="1"/>
  </cols>
  <sheetData>
    <row r="1" spans="1:12" ht="29.25">
      <c r="A1" s="84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9.25">
      <c r="A2" s="25"/>
      <c r="B2" s="25"/>
      <c r="C2" s="25"/>
      <c r="D2" s="25"/>
      <c r="E2" s="25"/>
      <c r="F2" s="25"/>
      <c r="G2" s="25"/>
      <c r="H2" s="36"/>
      <c r="I2" s="25"/>
      <c r="J2" s="25"/>
      <c r="K2" s="25"/>
      <c r="L2" s="25"/>
    </row>
    <row r="3" spans="1:8" ht="21">
      <c r="A3" s="36"/>
      <c r="B3" s="36" t="s">
        <v>74</v>
      </c>
      <c r="C3">
        <v>1.65</v>
      </c>
      <c r="D3" t="s">
        <v>76</v>
      </c>
      <c r="H3" s="36"/>
    </row>
    <row r="4" spans="1:8" ht="21">
      <c r="A4" s="4"/>
      <c r="B4" s="4" t="s">
        <v>75</v>
      </c>
      <c r="C4">
        <v>2</v>
      </c>
      <c r="D4" t="s">
        <v>36</v>
      </c>
      <c r="H4" s="4"/>
    </row>
    <row r="5" spans="2:6" ht="21">
      <c r="B5" t="s">
        <v>77</v>
      </c>
      <c r="C5" s="14">
        <f>C3/20</f>
        <v>0.08249999999999999</v>
      </c>
      <c r="D5" t="s">
        <v>36</v>
      </c>
      <c r="E5" s="1" t="s">
        <v>170</v>
      </c>
      <c r="F5" s="14">
        <v>0.1</v>
      </c>
    </row>
    <row r="6" spans="2:4" ht="21">
      <c r="B6" t="s">
        <v>78</v>
      </c>
      <c r="C6">
        <f>(F5*2400)+(ข้อกำหนด!B17)+(0.05*2400)</f>
        <v>510</v>
      </c>
      <c r="D6" s="9" t="s">
        <v>34</v>
      </c>
    </row>
    <row r="7" spans="2:4" ht="21">
      <c r="B7" t="s">
        <v>79</v>
      </c>
      <c r="C7" s="10">
        <f>(C6*C3^2)/8</f>
        <v>173.559375</v>
      </c>
      <c r="D7" s="9" t="s">
        <v>91</v>
      </c>
    </row>
    <row r="8" spans="2:5" ht="21">
      <c r="B8" s="4" t="s">
        <v>47</v>
      </c>
      <c r="C8" s="14">
        <f>((C7*100)/(ข้อกำหนด!C16*100))^0.5</f>
        <v>4.029321844101944</v>
      </c>
      <c r="D8" t="s">
        <v>39</v>
      </c>
      <c r="E8" s="23" t="str">
        <f>IF(D6&lt;=0,"Not provided punching shear",IF(C8&lt;D6,"OK.","NO OK.    เพิ่มความหนา "))</f>
        <v>OK.</v>
      </c>
    </row>
    <row r="9" spans="2:12" ht="21">
      <c r="B9" s="4" t="s">
        <v>48</v>
      </c>
      <c r="C9" s="14">
        <f>(C7*100)/(ข้อกำหนด!B6*ข้อกำหนด!C15*(C5-0.025)*100)</f>
        <v>2.8582782686096957</v>
      </c>
      <c r="D9" s="2" t="s">
        <v>55</v>
      </c>
      <c r="E9" s="79" t="s">
        <v>49</v>
      </c>
      <c r="F9" s="79"/>
      <c r="G9" s="32">
        <v>6</v>
      </c>
      <c r="H9" s="22" t="s">
        <v>53</v>
      </c>
      <c r="I9" s="14">
        <f>(3.14*(G9/10)^2)/4</f>
        <v>0.2826</v>
      </c>
      <c r="J9" s="2" t="s">
        <v>52</v>
      </c>
      <c r="K9" s="21">
        <f>(100/(C9/I9))</f>
        <v>9.88707093719956</v>
      </c>
      <c r="L9" t="s">
        <v>39</v>
      </c>
    </row>
    <row r="10" spans="2:12" ht="21">
      <c r="B10" s="4" t="s">
        <v>54</v>
      </c>
      <c r="C10" s="3">
        <f>0.0025*100*C5*100</f>
        <v>2.0624999999999996</v>
      </c>
      <c r="D10" s="2" t="s">
        <v>55</v>
      </c>
      <c r="E10" s="79" t="s">
        <v>49</v>
      </c>
      <c r="F10" s="79"/>
      <c r="G10" s="32">
        <v>6</v>
      </c>
      <c r="H10" s="22" t="s">
        <v>53</v>
      </c>
      <c r="I10" s="14">
        <f>(3.14*(G10/10)^2)/4</f>
        <v>0.2826</v>
      </c>
      <c r="J10" s="2" t="s">
        <v>52</v>
      </c>
      <c r="K10" s="21">
        <f>(100/(C10/I10))</f>
        <v>13.701818181818185</v>
      </c>
      <c r="L10" t="s">
        <v>39</v>
      </c>
    </row>
    <row r="15" spans="5:9" ht="21">
      <c r="E15" s="29" t="s">
        <v>59</v>
      </c>
      <c r="F15" s="29">
        <f>G9</f>
        <v>6</v>
      </c>
      <c r="G15" s="39" t="s">
        <v>80</v>
      </c>
      <c r="H15" s="37">
        <f>K9</f>
        <v>9.88707093719956</v>
      </c>
      <c r="I15" s="30" t="str">
        <f>L9</f>
        <v>cm.</v>
      </c>
    </row>
    <row r="16" spans="6:10" ht="21">
      <c r="F16" s="29" t="s">
        <v>59</v>
      </c>
      <c r="G16" s="29">
        <f>G10</f>
        <v>6</v>
      </c>
      <c r="H16" s="39" t="s">
        <v>80</v>
      </c>
      <c r="I16" s="37">
        <f>K10</f>
        <v>13.701818181818185</v>
      </c>
      <c r="J16" s="30" t="str">
        <f>L10</f>
        <v>cm.</v>
      </c>
    </row>
  </sheetData>
  <sheetProtection/>
  <mergeCells count="3">
    <mergeCell ref="E10:F10"/>
    <mergeCell ref="A1:L1"/>
    <mergeCell ref="E9:F9"/>
  </mergeCells>
  <printOptions/>
  <pageMargins left="0.7480314960629921" right="0" top="0.984251968503937" bottom="0.984251968503937" header="0.5118110236220472" footer="0.5118110236220472"/>
  <pageSetup horizontalDpi="300" verticalDpi="300" orientation="portrait" paperSize="9" r:id="rId5"/>
  <drawing r:id="rId4"/>
  <legacyDrawing r:id="rId3"/>
  <oleObjects>
    <oleObject progId="AutoCAD.Drawing.17" shapeId="121024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M31" sqref="M31"/>
    </sheetView>
  </sheetViews>
  <sheetFormatPr defaultColWidth="9.33203125" defaultRowHeight="21"/>
  <cols>
    <col min="3" max="3" width="10" style="0" bestFit="1" customWidth="1"/>
  </cols>
  <sheetData>
    <row r="1" spans="1:12" ht="29.25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2:4" ht="21">
      <c r="B2" t="s">
        <v>74</v>
      </c>
      <c r="C2" s="15">
        <v>3</v>
      </c>
      <c r="D2" t="s">
        <v>36</v>
      </c>
    </row>
    <row r="3" spans="2:4" ht="21">
      <c r="B3" t="s">
        <v>75</v>
      </c>
      <c r="C3" s="15">
        <v>4</v>
      </c>
      <c r="D3" t="s">
        <v>36</v>
      </c>
    </row>
    <row r="4" spans="2:8" ht="21">
      <c r="B4" t="s">
        <v>83</v>
      </c>
      <c r="C4" s="40">
        <f>(1/180)*((2*C2)+(2*C3))</f>
        <v>0.07777777777777778</v>
      </c>
      <c r="D4" t="s">
        <v>36</v>
      </c>
      <c r="E4" s="79" t="s">
        <v>85</v>
      </c>
      <c r="F4" s="79"/>
      <c r="G4" s="32">
        <v>10</v>
      </c>
      <c r="H4" t="s">
        <v>39</v>
      </c>
    </row>
    <row r="5" spans="2:4" ht="21">
      <c r="B5" t="s">
        <v>84</v>
      </c>
      <c r="C5">
        <f>G4-2.5</f>
        <v>7.5</v>
      </c>
      <c r="D5" t="s">
        <v>39</v>
      </c>
    </row>
    <row r="6" spans="2:4" ht="21">
      <c r="B6" t="s">
        <v>42</v>
      </c>
      <c r="C6">
        <v>50</v>
      </c>
      <c r="D6" s="9" t="s">
        <v>34</v>
      </c>
    </row>
    <row r="7" spans="2:11" ht="21">
      <c r="B7" t="s">
        <v>43</v>
      </c>
      <c r="C7" s="16">
        <v>50</v>
      </c>
      <c r="D7" s="9" t="s">
        <v>34</v>
      </c>
      <c r="G7" s="41"/>
      <c r="H7" s="41"/>
      <c r="I7" s="41"/>
      <c r="J7" s="41"/>
      <c r="K7" s="41"/>
    </row>
    <row r="8" spans="2:11" ht="21">
      <c r="B8" t="s">
        <v>41</v>
      </c>
      <c r="C8">
        <f>G4*2400/100</f>
        <v>240</v>
      </c>
      <c r="D8" s="9" t="s">
        <v>34</v>
      </c>
      <c r="G8" s="85" t="s">
        <v>97</v>
      </c>
      <c r="H8" s="86"/>
      <c r="I8" s="87"/>
      <c r="J8" s="7" t="s">
        <v>87</v>
      </c>
      <c r="K8" s="18">
        <v>0.033</v>
      </c>
    </row>
    <row r="9" spans="2:11" ht="21">
      <c r="B9" t="s">
        <v>78</v>
      </c>
      <c r="C9">
        <f>SUM(C6:C8)</f>
        <v>340</v>
      </c>
      <c r="D9" s="9" t="s">
        <v>34</v>
      </c>
      <c r="G9" s="88"/>
      <c r="H9" s="89"/>
      <c r="I9" s="90"/>
      <c r="J9" s="7" t="s">
        <v>88</v>
      </c>
      <c r="K9" s="18">
        <v>0.025</v>
      </c>
    </row>
    <row r="10" spans="2:14" ht="21">
      <c r="B10" t="s">
        <v>86</v>
      </c>
      <c r="C10" s="42">
        <f>C2/C3</f>
        <v>0.75</v>
      </c>
      <c r="D10" s="35" t="s">
        <v>98</v>
      </c>
      <c r="E10" s="35"/>
      <c r="F10" s="35"/>
      <c r="G10" s="85" t="s">
        <v>96</v>
      </c>
      <c r="H10" s="86"/>
      <c r="I10" s="87"/>
      <c r="J10" s="7" t="s">
        <v>87</v>
      </c>
      <c r="K10" s="18">
        <v>0.033</v>
      </c>
      <c r="N10" s="44"/>
    </row>
    <row r="11" spans="2:14" ht="21">
      <c r="B11" t="s">
        <v>86</v>
      </c>
      <c r="C11" s="42">
        <f>C3/C3</f>
        <v>1</v>
      </c>
      <c r="D11" s="35" t="s">
        <v>99</v>
      </c>
      <c r="E11" s="35"/>
      <c r="F11" s="35"/>
      <c r="G11" s="88"/>
      <c r="H11" s="89"/>
      <c r="I11" s="90"/>
      <c r="J11" s="7" t="s">
        <v>88</v>
      </c>
      <c r="K11" s="18">
        <v>0.025</v>
      </c>
      <c r="N11" s="44"/>
    </row>
    <row r="12" spans="2:8" ht="21">
      <c r="B12" t="s">
        <v>89</v>
      </c>
      <c r="C12" s="10">
        <f>K8*C9*C2^2</f>
        <v>100.98</v>
      </c>
      <c r="D12" s="9" t="s">
        <v>91</v>
      </c>
      <c r="F12" t="s">
        <v>89</v>
      </c>
      <c r="G12" s="10">
        <f>K10*C8*C2^2</f>
        <v>71.28</v>
      </c>
      <c r="H12" s="9" t="s">
        <v>91</v>
      </c>
    </row>
    <row r="13" spans="2:8" ht="21">
      <c r="B13" t="s">
        <v>90</v>
      </c>
      <c r="C13" s="10">
        <f>C9*K9*C2^2</f>
        <v>76.5</v>
      </c>
      <c r="D13" s="9" t="s">
        <v>91</v>
      </c>
      <c r="F13" t="s">
        <v>90</v>
      </c>
      <c r="G13" s="10">
        <f>K11*C9*C2^2</f>
        <v>76.5</v>
      </c>
      <c r="H13" s="9" t="s">
        <v>91</v>
      </c>
    </row>
    <row r="14" spans="2:5" ht="21">
      <c r="B14" t="s">
        <v>92</v>
      </c>
      <c r="C14" s="14">
        <f>((C12*100)/(ข้อกำหนด!C16*100))^0.5</f>
        <v>3.073446110705012</v>
      </c>
      <c r="D14" t="s">
        <v>39</v>
      </c>
      <c r="E14" s="23" t="str">
        <f>IF(G4&lt;=0,"Not provided punching shear",IF(C14&lt;G4,"OK.","NO OK.    เพิ่มความหนา "))</f>
        <v>OK.</v>
      </c>
    </row>
    <row r="15" spans="1:12" ht="21">
      <c r="A15" t="s">
        <v>98</v>
      </c>
      <c r="B15" t="s">
        <v>93</v>
      </c>
      <c r="C15" s="14">
        <f>(G12*100)/(C5*ข้อกำหนด!C15*ข้อกำหนด!B6)</f>
        <v>0.8999755318488709</v>
      </c>
      <c r="D15" t="s">
        <v>94</v>
      </c>
      <c r="E15" s="79" t="s">
        <v>49</v>
      </c>
      <c r="F15" s="79"/>
      <c r="G15" s="32">
        <v>6</v>
      </c>
      <c r="H15" s="22" t="s">
        <v>53</v>
      </c>
      <c r="I15" s="14">
        <f>(3.14*(G15/10)^2)/4</f>
        <v>0.2826</v>
      </c>
      <c r="J15" s="2" t="s">
        <v>52</v>
      </c>
      <c r="K15" s="42">
        <f>(100/(C15/I15))</f>
        <v>31.400853689815186</v>
      </c>
      <c r="L15" t="s">
        <v>39</v>
      </c>
    </row>
    <row r="16" spans="2:12" ht="21">
      <c r="B16" t="s">
        <v>95</v>
      </c>
      <c r="C16" s="14">
        <f>(G13*100)/(C5*ข้อกำหนด!C15*ข้อกำหนด!B6)</f>
        <v>0.9658828308984094</v>
      </c>
      <c r="D16" t="s">
        <v>94</v>
      </c>
      <c r="E16" s="79" t="s">
        <v>49</v>
      </c>
      <c r="F16" s="79"/>
      <c r="G16" s="32">
        <v>6</v>
      </c>
      <c r="H16" s="22" t="s">
        <v>53</v>
      </c>
      <c r="I16" s="14">
        <f>(3.14*(G16/10)^2)/4</f>
        <v>0.2826</v>
      </c>
      <c r="J16" s="2" t="s">
        <v>52</v>
      </c>
      <c r="K16" s="42">
        <f>(100/(C16/I16))</f>
        <v>29.258207202745446</v>
      </c>
      <c r="L16" t="s">
        <v>39</v>
      </c>
    </row>
    <row r="17" spans="1:12" ht="21">
      <c r="A17" t="s">
        <v>99</v>
      </c>
      <c r="B17" t="s">
        <v>93</v>
      </c>
      <c r="C17" s="14">
        <f>(C12*100)/(C5*ข้อกำหนด!C15*ข้อกำหนด!B6)</f>
        <v>1.2749653367859004</v>
      </c>
      <c r="D17" t="s">
        <v>94</v>
      </c>
      <c r="E17" s="79" t="s">
        <v>49</v>
      </c>
      <c r="F17" s="79"/>
      <c r="G17" s="32">
        <v>6</v>
      </c>
      <c r="H17" s="22" t="s">
        <v>53</v>
      </c>
      <c r="I17" s="14">
        <f>(3.14*(G17/10)^2)/4</f>
        <v>0.2826</v>
      </c>
      <c r="J17" s="2" t="s">
        <v>52</v>
      </c>
      <c r="K17" s="42">
        <f>(100/(C17/I17))</f>
        <v>22.165308486928367</v>
      </c>
      <c r="L17" t="s">
        <v>39</v>
      </c>
    </row>
    <row r="18" spans="2:12" ht="21">
      <c r="B18" t="s">
        <v>95</v>
      </c>
      <c r="C18" s="14">
        <f>(C13*100)/(C5*ข้อกำหนด!C15*ข้อกำหนด!B6)</f>
        <v>0.9658828308984094</v>
      </c>
      <c r="D18" t="s">
        <v>94</v>
      </c>
      <c r="E18" s="79" t="s">
        <v>49</v>
      </c>
      <c r="F18" s="79"/>
      <c r="G18" s="32">
        <v>6</v>
      </c>
      <c r="H18" s="22" t="s">
        <v>53</v>
      </c>
      <c r="I18" s="14">
        <f>(3.14*(G18/10)^2)/4</f>
        <v>0.2826</v>
      </c>
      <c r="J18" s="2" t="s">
        <v>52</v>
      </c>
      <c r="K18" s="42">
        <f>(100/(C18/I18))</f>
        <v>29.258207202745446</v>
      </c>
      <c r="L18" t="s">
        <v>39</v>
      </c>
    </row>
    <row r="20" spans="4:9" ht="21">
      <c r="D20" s="29" t="s">
        <v>59</v>
      </c>
      <c r="E20" s="29">
        <f>G15</f>
        <v>6</v>
      </c>
      <c r="F20" s="39" t="s">
        <v>80</v>
      </c>
      <c r="G20" s="43">
        <f>K15</f>
        <v>31.400853689815186</v>
      </c>
      <c r="H20" s="30" t="str">
        <f>L15</f>
        <v>cm.</v>
      </c>
      <c r="I20" s="9"/>
    </row>
    <row r="21" spans="6:11" ht="21">
      <c r="F21" s="29" t="s">
        <v>59</v>
      </c>
      <c r="G21" s="29">
        <f>G16</f>
        <v>6</v>
      </c>
      <c r="H21" s="39" t="s">
        <v>80</v>
      </c>
      <c r="I21" s="43">
        <f>K16</f>
        <v>29.258207202745446</v>
      </c>
      <c r="J21" s="30" t="str">
        <f>L16</f>
        <v>cm.</v>
      </c>
      <c r="K21" s="9"/>
    </row>
    <row r="28" spans="4:8" ht="21">
      <c r="D28" s="29" t="s">
        <v>59</v>
      </c>
      <c r="E28" s="29">
        <f>G17</f>
        <v>6</v>
      </c>
      <c r="F28" s="39" t="s">
        <v>80</v>
      </c>
      <c r="G28" s="43">
        <f>K17</f>
        <v>22.165308486928367</v>
      </c>
      <c r="H28" s="30" t="str">
        <f>L17</f>
        <v>cm.</v>
      </c>
    </row>
    <row r="29" spans="6:10" ht="21">
      <c r="F29" s="29" t="s">
        <v>59</v>
      </c>
      <c r="G29" s="29">
        <f>G18</f>
        <v>6</v>
      </c>
      <c r="H29" s="39" t="s">
        <v>80</v>
      </c>
      <c r="I29" s="43">
        <f>K18</f>
        <v>29.258207202745446</v>
      </c>
      <c r="J29" s="30" t="str">
        <f>L18</f>
        <v>cm.</v>
      </c>
    </row>
  </sheetData>
  <sheetProtection/>
  <mergeCells count="8">
    <mergeCell ref="E17:F17"/>
    <mergeCell ref="E18:F18"/>
    <mergeCell ref="A1:L1"/>
    <mergeCell ref="G8:I9"/>
    <mergeCell ref="E15:F15"/>
    <mergeCell ref="E16:F16"/>
    <mergeCell ref="G10:I11"/>
    <mergeCell ref="E4:F4"/>
  </mergeCells>
  <printOptions/>
  <pageMargins left="0.7480314960629921" right="0" top="0.984251968503937" bottom="0.984251968503937" header="0.5118110236220472" footer="0.5118110236220472"/>
  <pageSetup horizontalDpi="300" verticalDpi="300" orientation="portrait" paperSize="9" r:id="rId6"/>
  <drawing r:id="rId5"/>
  <legacyDrawing r:id="rId4"/>
  <oleObjects>
    <oleObject progId="AutoCAD.Drawing.17" shapeId="1403810" r:id="rId2"/>
    <oleObject progId="AutoCAD.Drawing.17" shapeId="1407942" r:id="rId3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2" sqref="A2"/>
    </sheetView>
  </sheetViews>
  <sheetFormatPr defaultColWidth="9.33203125" defaultRowHeight="21"/>
  <sheetData>
    <row r="1" spans="1:12" ht="29.25">
      <c r="A1" s="84" t="s">
        <v>171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3" spans="2:4" ht="21">
      <c r="B3" t="s">
        <v>75</v>
      </c>
      <c r="C3" s="15">
        <v>1.8</v>
      </c>
      <c r="D3" t="s">
        <v>36</v>
      </c>
    </row>
    <row r="4" spans="2:4" ht="21">
      <c r="B4" t="s">
        <v>100</v>
      </c>
      <c r="C4" s="15">
        <v>0.18</v>
      </c>
      <c r="D4" t="s">
        <v>36</v>
      </c>
    </row>
    <row r="5" spans="2:4" ht="21">
      <c r="B5" t="s">
        <v>101</v>
      </c>
      <c r="C5" s="15">
        <v>0.25</v>
      </c>
      <c r="D5" t="s">
        <v>36</v>
      </c>
    </row>
    <row r="6" spans="2:8" ht="21">
      <c r="B6" t="s">
        <v>83</v>
      </c>
      <c r="C6" s="40">
        <v>0.1</v>
      </c>
      <c r="D6" t="s">
        <v>36</v>
      </c>
      <c r="E6" s="79" t="s">
        <v>85</v>
      </c>
      <c r="F6" s="79"/>
      <c r="G6" s="32">
        <v>10</v>
      </c>
      <c r="H6" t="s">
        <v>39</v>
      </c>
    </row>
    <row r="7" spans="2:4" ht="21">
      <c r="B7" t="s">
        <v>84</v>
      </c>
      <c r="C7">
        <f>G6-2.5</f>
        <v>7.5</v>
      </c>
      <c r="D7" t="s">
        <v>39</v>
      </c>
    </row>
    <row r="8" spans="2:4" ht="21">
      <c r="B8" t="s">
        <v>42</v>
      </c>
      <c r="C8">
        <f>ข้อกำหนด!B17</f>
        <v>150</v>
      </c>
      <c r="D8" s="9" t="s">
        <v>34</v>
      </c>
    </row>
    <row r="9" spans="2:4" ht="21">
      <c r="B9" t="s">
        <v>43</v>
      </c>
      <c r="C9" s="16">
        <v>120</v>
      </c>
      <c r="D9" s="9" t="s">
        <v>34</v>
      </c>
    </row>
    <row r="10" spans="2:4" ht="21">
      <c r="B10" t="s">
        <v>41</v>
      </c>
      <c r="C10">
        <f>(G6*2400/100)+(4*0.5*C4*C5*2400)</f>
        <v>456</v>
      </c>
      <c r="D10" s="9" t="s">
        <v>34</v>
      </c>
    </row>
    <row r="11" spans="2:4" ht="21">
      <c r="B11" t="s">
        <v>78</v>
      </c>
      <c r="C11">
        <f>SUM(C8:C10)</f>
        <v>726</v>
      </c>
      <c r="D11" s="9" t="s">
        <v>34</v>
      </c>
    </row>
    <row r="12" spans="2:4" ht="21">
      <c r="B12" t="s">
        <v>79</v>
      </c>
      <c r="C12">
        <f>(C11*C3^2)/8</f>
        <v>294.03000000000003</v>
      </c>
      <c r="D12" s="9" t="s">
        <v>91</v>
      </c>
    </row>
    <row r="13" spans="2:5" ht="21">
      <c r="B13" s="4" t="s">
        <v>47</v>
      </c>
      <c r="C13" s="14">
        <f>((C12*100)/(ข้อกำหนด!C16*100))^0.5</f>
        <v>5.244495794038481</v>
      </c>
      <c r="D13" t="s">
        <v>39</v>
      </c>
      <c r="E13" s="23" t="str">
        <f>IF(D11&lt;=0,"Not provided punching shear",IF(C13&lt;D11,"OK.","NO OK.    เพิ่มความหนา "))</f>
        <v>OK.</v>
      </c>
    </row>
    <row r="14" spans="2:12" ht="21">
      <c r="B14" s="4" t="s">
        <v>48</v>
      </c>
      <c r="C14" s="14">
        <f>(C12*100)/(ข้อกำหนด!B6*ข้อกำหนด!C15*(C7))</f>
        <v>3.712399068876593</v>
      </c>
      <c r="D14" s="2" t="s">
        <v>55</v>
      </c>
      <c r="E14" s="79" t="s">
        <v>49</v>
      </c>
      <c r="F14" s="79"/>
      <c r="G14" s="32">
        <v>9</v>
      </c>
      <c r="H14" s="22" t="s">
        <v>53</v>
      </c>
      <c r="I14" s="14">
        <f>(3.14*(G14/10)^2)/4</f>
        <v>0.63585</v>
      </c>
      <c r="J14" s="2" t="s">
        <v>52</v>
      </c>
      <c r="K14" s="42">
        <f>(100/(C14/I14))</f>
        <v>17.127738376262826</v>
      </c>
      <c r="L14" t="s">
        <v>39</v>
      </c>
    </row>
    <row r="15" spans="2:12" ht="21">
      <c r="B15" s="4" t="s">
        <v>54</v>
      </c>
      <c r="C15" s="3">
        <f>0.0025*100*G6</f>
        <v>2.5</v>
      </c>
      <c r="D15" s="2" t="s">
        <v>55</v>
      </c>
      <c r="E15" s="79" t="s">
        <v>49</v>
      </c>
      <c r="F15" s="79"/>
      <c r="G15" s="32">
        <v>9</v>
      </c>
      <c r="H15" s="22" t="s">
        <v>53</v>
      </c>
      <c r="I15" s="14">
        <f>(3.14*(G15/10)^2)/4</f>
        <v>0.63585</v>
      </c>
      <c r="J15" s="2" t="s">
        <v>52</v>
      </c>
      <c r="K15" s="21">
        <f>(100/(C15/I15))</f>
        <v>25.434</v>
      </c>
      <c r="L15" t="s">
        <v>39</v>
      </c>
    </row>
    <row r="18" spans="3:7" ht="21">
      <c r="C18" s="29" t="s">
        <v>59</v>
      </c>
      <c r="D18" s="29">
        <v>9</v>
      </c>
      <c r="E18" s="39" t="s">
        <v>51</v>
      </c>
      <c r="F18" s="43" t="s">
        <v>102</v>
      </c>
      <c r="G18" s="9"/>
    </row>
    <row r="19" spans="5:9" ht="21">
      <c r="E19" s="29" t="s">
        <v>59</v>
      </c>
      <c r="F19" s="29">
        <f>G14</f>
        <v>9</v>
      </c>
      <c r="G19" s="39" t="s">
        <v>80</v>
      </c>
      <c r="H19" s="37">
        <f>K14</f>
        <v>17.127738376262826</v>
      </c>
      <c r="I19" s="30" t="str">
        <f>L15</f>
        <v>cm.</v>
      </c>
    </row>
    <row r="31" spans="5:9" ht="21">
      <c r="E31" s="29" t="s">
        <v>59</v>
      </c>
      <c r="F31" s="29">
        <f>G14</f>
        <v>9</v>
      </c>
      <c r="G31" s="39" t="s">
        <v>80</v>
      </c>
      <c r="H31" s="37">
        <f>K14</f>
        <v>17.127738376262826</v>
      </c>
      <c r="I31" s="30" t="str">
        <f>L15</f>
        <v>cm.</v>
      </c>
    </row>
    <row r="32" spans="4:8" ht="21">
      <c r="D32" s="29" t="s">
        <v>59</v>
      </c>
      <c r="E32" s="29">
        <f>G15</f>
        <v>9</v>
      </c>
      <c r="F32" s="39" t="s">
        <v>80</v>
      </c>
      <c r="G32" s="37">
        <f>K15</f>
        <v>25.434</v>
      </c>
      <c r="H32" s="29" t="str">
        <f>L15</f>
        <v>cm.</v>
      </c>
    </row>
  </sheetData>
  <sheetProtection/>
  <mergeCells count="4">
    <mergeCell ref="A1:L1"/>
    <mergeCell ref="E6:F6"/>
    <mergeCell ref="E14:F14"/>
    <mergeCell ref="E15:F15"/>
  </mergeCells>
  <printOptions/>
  <pageMargins left="0.7480314960629921" right="0" top="0.984251968503937" bottom="0.984251968503937" header="0.5118110236220472" footer="0.5118110236220472"/>
  <pageSetup horizontalDpi="300" verticalDpi="300" orientation="portrait" paperSize="9" r:id="rId5"/>
  <drawing r:id="rId4"/>
  <legacyDrawing r:id="rId3"/>
  <oleObjects>
    <oleObject progId="AutoCAD.Drawing.17" shapeId="155629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M14" sqref="M14"/>
    </sheetView>
  </sheetViews>
  <sheetFormatPr defaultColWidth="9.33203125" defaultRowHeight="21"/>
  <cols>
    <col min="1" max="1" width="10.33203125" style="0" customWidth="1"/>
    <col min="2" max="2" width="11.66015625" style="0" customWidth="1"/>
    <col min="3" max="3" width="10" style="0" bestFit="1" customWidth="1"/>
  </cols>
  <sheetData>
    <row r="1" spans="1:12" ht="26.25">
      <c r="A1" s="81" t="s">
        <v>166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3" ht="21">
      <c r="A2" t="s">
        <v>75</v>
      </c>
      <c r="B2" s="15">
        <v>4</v>
      </c>
      <c r="C2" t="s">
        <v>36</v>
      </c>
      <c r="F2" s="8"/>
      <c r="G2" s="8"/>
      <c r="H2" s="8"/>
      <c r="M2" s="1" t="s">
        <v>136</v>
      </c>
    </row>
    <row r="3" spans="1:20" ht="21">
      <c r="A3" t="s">
        <v>103</v>
      </c>
      <c r="B3" s="15">
        <v>0.15</v>
      </c>
      <c r="C3" t="s">
        <v>36</v>
      </c>
      <c r="F3" s="8"/>
      <c r="G3" s="8"/>
      <c r="H3" s="8"/>
      <c r="M3">
        <f>ข้อกำหนด!B20*2.8</f>
        <v>280</v>
      </c>
      <c r="R3" s="80" t="s">
        <v>107</v>
      </c>
      <c r="S3" s="80"/>
      <c r="T3" s="80"/>
    </row>
    <row r="4" spans="1:20" ht="21">
      <c r="A4" t="s">
        <v>100</v>
      </c>
      <c r="B4" s="15">
        <v>0.3</v>
      </c>
      <c r="C4" t="s">
        <v>36</v>
      </c>
      <c r="F4" s="38"/>
      <c r="G4" s="9"/>
      <c r="H4" s="9"/>
      <c r="M4" s="9"/>
      <c r="R4" s="5" t="s">
        <v>109</v>
      </c>
      <c r="S4" s="7">
        <v>0</v>
      </c>
      <c r="T4" s="7" t="s">
        <v>34</v>
      </c>
    </row>
    <row r="5" spans="1:20" ht="21">
      <c r="A5" t="s">
        <v>105</v>
      </c>
      <c r="B5">
        <f>B3*B4*2400</f>
        <v>108</v>
      </c>
      <c r="C5" s="9" t="s">
        <v>106</v>
      </c>
      <c r="F5" s="38"/>
      <c r="G5" s="9"/>
      <c r="H5" s="9"/>
      <c r="M5" s="9"/>
      <c r="R5" s="5" t="s">
        <v>108</v>
      </c>
      <c r="S5" s="7">
        <v>100</v>
      </c>
      <c r="T5" s="7" t="s">
        <v>34</v>
      </c>
    </row>
    <row r="6" spans="1:20" ht="21">
      <c r="A6" t="s">
        <v>43</v>
      </c>
      <c r="B6" s="14">
        <f>((S6*S8)/3)*((3-(S7/S8)^2)/2)*1.5</f>
        <v>300</v>
      </c>
      <c r="C6" s="9" t="s">
        <v>106</v>
      </c>
      <c r="H6" s="9"/>
      <c r="M6" s="9"/>
      <c r="R6" s="7"/>
      <c r="S6" s="7">
        <f>SUM(S4:S5)</f>
        <v>100</v>
      </c>
      <c r="T6" s="7"/>
    </row>
    <row r="7" spans="1:20" ht="21">
      <c r="A7" t="s">
        <v>104</v>
      </c>
      <c r="B7">
        <v>0</v>
      </c>
      <c r="C7" s="9" t="s">
        <v>106</v>
      </c>
      <c r="M7" s="9"/>
      <c r="R7" s="5" t="s">
        <v>110</v>
      </c>
      <c r="S7" s="46">
        <v>0</v>
      </c>
      <c r="T7" s="5" t="s">
        <v>112</v>
      </c>
    </row>
    <row r="8" spans="1:20" ht="21">
      <c r="A8" t="s">
        <v>78</v>
      </c>
      <c r="B8" s="49">
        <f>SUM(B5:B7)</f>
        <v>408</v>
      </c>
      <c r="C8" s="9" t="s">
        <v>106</v>
      </c>
      <c r="R8" s="5" t="s">
        <v>111</v>
      </c>
      <c r="S8" s="46">
        <v>4</v>
      </c>
      <c r="T8" s="5" t="s">
        <v>112</v>
      </c>
    </row>
    <row r="9" spans="1:20" ht="21">
      <c r="A9" t="s">
        <v>79</v>
      </c>
      <c r="B9" s="14">
        <f>((B8*B2^2)/8)+((S9*S10*S11)/(S10+S11))</f>
        <v>816</v>
      </c>
      <c r="C9" s="9" t="s">
        <v>91</v>
      </c>
      <c r="R9" s="45" t="s">
        <v>115</v>
      </c>
      <c r="S9" s="46">
        <v>0</v>
      </c>
      <c r="T9" s="45" t="s">
        <v>113</v>
      </c>
    </row>
    <row r="10" spans="1:20" ht="21">
      <c r="A10" t="s">
        <v>118</v>
      </c>
      <c r="B10" s="14">
        <f>((B8*B2)/2)+((S9*S11)/B2)</f>
        <v>816</v>
      </c>
      <c r="C10" s="9" t="s">
        <v>114</v>
      </c>
      <c r="R10" s="45" t="s">
        <v>116</v>
      </c>
      <c r="S10" s="46">
        <v>1.65</v>
      </c>
      <c r="T10" s="45" t="s">
        <v>112</v>
      </c>
    </row>
    <row r="11" spans="1:20" ht="21">
      <c r="A11" t="s">
        <v>119</v>
      </c>
      <c r="B11" s="14">
        <f>ข้อกำหนด!$E$16*B3*B4^2*10000</f>
        <v>1267.490925525185</v>
      </c>
      <c r="C11" s="9" t="s">
        <v>91</v>
      </c>
      <c r="D11" s="23" t="str">
        <f>IF(B9&lt;=0,"Not provided punching shear",IF(B11&gt;B9,"ไม่ต้องออกแบบเหล็กรับแรงดึง","ออกแบบเหล็กรับแรงดึง"))</f>
        <v>ไม่ต้องออกแบบเหล็กรับแรงดึง</v>
      </c>
      <c r="R11" s="45" t="s">
        <v>117</v>
      </c>
      <c r="S11" s="47">
        <f>B2-S10</f>
        <v>2.35</v>
      </c>
      <c r="T11" s="45" t="s">
        <v>112</v>
      </c>
    </row>
    <row r="12" spans="1:11" ht="21">
      <c r="A12" t="s">
        <v>123</v>
      </c>
      <c r="B12" s="14">
        <f>(B9*100)/(ข้อกำหนด!$B$9*B4*100*ข้อกำหนด!$E$15)</f>
        <v>2.022513965763129</v>
      </c>
      <c r="C12" s="22" t="s">
        <v>50</v>
      </c>
      <c r="D12" s="79" t="s">
        <v>124</v>
      </c>
      <c r="E12" s="79"/>
      <c r="F12" s="1">
        <v>2</v>
      </c>
      <c r="G12" t="s">
        <v>125</v>
      </c>
      <c r="H12" s="1">
        <v>12</v>
      </c>
      <c r="I12" t="s">
        <v>126</v>
      </c>
      <c r="J12" s="14">
        <f>((3.14*(H12/10)^2)/4)*F12</f>
        <v>2.2608</v>
      </c>
      <c r="K12" s="1" t="s">
        <v>127</v>
      </c>
    </row>
    <row r="13" spans="1:3" ht="21">
      <c r="A13" t="s">
        <v>129</v>
      </c>
      <c r="B13" s="14">
        <f>B10/(10000*B4*B3)</f>
        <v>1.8133333333333332</v>
      </c>
      <c r="C13" s="22" t="s">
        <v>130</v>
      </c>
    </row>
    <row r="14" spans="1:6" ht="21">
      <c r="A14" t="s">
        <v>131</v>
      </c>
      <c r="B14" s="14">
        <f>0.29*ข้อกำหนด!$B$3^0.5</f>
        <v>3.890758280849634</v>
      </c>
      <c r="C14" s="22" t="s">
        <v>130</v>
      </c>
      <c r="D14" s="91" t="str">
        <f>IF(B13&lt;=0,"Not provided punching shear",IF(B14&gt;B13,"ok","No ออกแบบเหล็กปลอก"))</f>
        <v>ok</v>
      </c>
      <c r="E14" s="91"/>
      <c r="F14" s="91"/>
    </row>
    <row r="15" spans="1:7" ht="21">
      <c r="A15" s="79" t="s">
        <v>133</v>
      </c>
      <c r="B15" s="79"/>
      <c r="C15" s="1" t="s">
        <v>134</v>
      </c>
      <c r="D15" s="1">
        <v>6</v>
      </c>
      <c r="E15" t="s">
        <v>135</v>
      </c>
      <c r="F15" s="11">
        <v>15</v>
      </c>
      <c r="G15" t="s">
        <v>39</v>
      </c>
    </row>
    <row r="19" spans="3:10" ht="21">
      <c r="C19" s="1">
        <f>F12</f>
        <v>2</v>
      </c>
      <c r="D19" s="1" t="str">
        <f>G12</f>
        <v>DB</v>
      </c>
      <c r="E19" s="1">
        <f>H12</f>
        <v>12</v>
      </c>
      <c r="F19" t="s">
        <v>127</v>
      </c>
      <c r="H19" s="1"/>
      <c r="I19" s="1"/>
      <c r="J19" s="1"/>
    </row>
    <row r="20" spans="3:10" ht="21">
      <c r="C20" s="1" t="str">
        <f>C15</f>
        <v>RB </v>
      </c>
      <c r="D20" s="1">
        <f>D15</f>
        <v>6</v>
      </c>
      <c r="E20" t="s">
        <v>135</v>
      </c>
      <c r="F20" s="21">
        <f>F15</f>
        <v>15</v>
      </c>
      <c r="G20" t="str">
        <f>G15</f>
        <v>cm.</v>
      </c>
      <c r="I20" s="1"/>
      <c r="J20" s="1"/>
    </row>
    <row r="21" spans="3:10" ht="21">
      <c r="C21" s="1">
        <v>2</v>
      </c>
      <c r="D21" s="1" t="str">
        <f>G12</f>
        <v>DB</v>
      </c>
      <c r="E21" s="1">
        <v>12</v>
      </c>
      <c r="F21" t="s">
        <v>127</v>
      </c>
      <c r="H21" s="1"/>
      <c r="I21" s="1"/>
      <c r="J21" s="1"/>
    </row>
    <row r="23" spans="1:2" ht="21">
      <c r="A23" s="79"/>
      <c r="B23" s="79"/>
    </row>
    <row r="27" spans="3:5" ht="21">
      <c r="C27" s="1"/>
      <c r="D27" s="1"/>
      <c r="E27" s="1"/>
    </row>
    <row r="28" spans="3:6" ht="21">
      <c r="C28" s="1"/>
      <c r="D28" s="1"/>
      <c r="F28" s="21"/>
    </row>
    <row r="29" spans="3:5" ht="21">
      <c r="C29" s="1"/>
      <c r="D29" s="1"/>
      <c r="E29" s="1"/>
    </row>
    <row r="32" spans="1:2" ht="21">
      <c r="A32" s="79"/>
      <c r="B32" s="79"/>
    </row>
    <row r="34" spans="1:2" ht="21">
      <c r="A34" s="79"/>
      <c r="B34" s="79"/>
    </row>
  </sheetData>
  <sheetProtection/>
  <mergeCells count="8">
    <mergeCell ref="A23:B23"/>
    <mergeCell ref="A34:B34"/>
    <mergeCell ref="A32:B32"/>
    <mergeCell ref="A1:L1"/>
    <mergeCell ref="R3:T3"/>
    <mergeCell ref="D12:E12"/>
    <mergeCell ref="A15:B15"/>
    <mergeCell ref="D14:F14"/>
  </mergeCells>
  <printOptions/>
  <pageMargins left="0.7480314960629921" right="0" top="0.35433070866141736" bottom="0.31496062992125984" header="0.2755905511811024" footer="0.2362204724409449"/>
  <pageSetup horizontalDpi="300" verticalDpi="300" orientation="portrait" paperSize="9" r:id="rId4"/>
  <legacyDrawing r:id="rId3"/>
  <oleObjects>
    <oleObject progId="AutoCAD.Drawing.17" shapeId="242955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C6" sqref="C6"/>
    </sheetView>
  </sheetViews>
  <sheetFormatPr defaultColWidth="9.33203125" defaultRowHeight="21"/>
  <cols>
    <col min="1" max="1" width="10.33203125" style="0" customWidth="1"/>
    <col min="2" max="2" width="11.66015625" style="0" customWidth="1"/>
    <col min="3" max="3" width="10" style="0" bestFit="1" customWidth="1"/>
  </cols>
  <sheetData>
    <row r="1" spans="1:12" ht="26.25">
      <c r="A1" s="81" t="s">
        <v>167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4" ht="21">
      <c r="B2" t="s">
        <v>75</v>
      </c>
      <c r="C2" s="15">
        <v>4</v>
      </c>
      <c r="D2" t="s">
        <v>36</v>
      </c>
      <c r="G2" s="8"/>
      <c r="H2" s="8"/>
      <c r="I2" s="8"/>
      <c r="N2" s="1" t="s">
        <v>136</v>
      </c>
    </row>
    <row r="3" spans="2:21" ht="21">
      <c r="B3" t="s">
        <v>103</v>
      </c>
      <c r="C3" s="15">
        <v>0.2</v>
      </c>
      <c r="D3" t="s">
        <v>36</v>
      </c>
      <c r="G3" s="8"/>
      <c r="H3" s="8"/>
      <c r="I3" s="8"/>
      <c r="N3">
        <f>ข้อกำหนด!$B$20*2.8</f>
        <v>280</v>
      </c>
      <c r="S3" s="80" t="s">
        <v>107</v>
      </c>
      <c r="T3" s="80"/>
      <c r="U3" s="80"/>
    </row>
    <row r="4" spans="2:21" ht="21">
      <c r="B4" t="s">
        <v>100</v>
      </c>
      <c r="C4" s="15">
        <v>0.4</v>
      </c>
      <c r="D4" t="s">
        <v>36</v>
      </c>
      <c r="G4" s="38"/>
      <c r="H4" s="9"/>
      <c r="I4" s="9"/>
      <c r="N4" s="9"/>
      <c r="S4" s="5" t="s">
        <v>109</v>
      </c>
      <c r="T4" s="7">
        <v>0</v>
      </c>
      <c r="U4" s="7" t="s">
        <v>34</v>
      </c>
    </row>
    <row r="5" spans="2:21" ht="21">
      <c r="B5" t="s">
        <v>105</v>
      </c>
      <c r="C5">
        <f>C3*C4*2400</f>
        <v>192.00000000000003</v>
      </c>
      <c r="D5" s="9" t="s">
        <v>106</v>
      </c>
      <c r="G5" s="38"/>
      <c r="H5" s="9"/>
      <c r="I5" s="9"/>
      <c r="N5" s="9"/>
      <c r="S5" s="5" t="s">
        <v>108</v>
      </c>
      <c r="T5" s="7">
        <v>350</v>
      </c>
      <c r="U5" s="7" t="s">
        <v>34</v>
      </c>
    </row>
    <row r="6" spans="2:21" ht="21">
      <c r="B6" t="s">
        <v>43</v>
      </c>
      <c r="C6" s="14">
        <f>((T6*T8)/3)*((3-(T7/T8)^2)/2)*1.4</f>
        <v>979.9999999999999</v>
      </c>
      <c r="D6" s="9" t="s">
        <v>106</v>
      </c>
      <c r="I6" s="9"/>
      <c r="N6" s="9"/>
      <c r="S6" s="7"/>
      <c r="T6" s="7">
        <f>SUM(T4:T5)</f>
        <v>350</v>
      </c>
      <c r="U6" s="7"/>
    </row>
    <row r="7" spans="2:21" ht="21">
      <c r="B7" t="s">
        <v>104</v>
      </c>
      <c r="C7">
        <f>ข้อกำหนด!$B$20*1.5</f>
        <v>150</v>
      </c>
      <c r="D7" s="9" t="s">
        <v>106</v>
      </c>
      <c r="N7" s="9"/>
      <c r="S7" s="5" t="s">
        <v>110</v>
      </c>
      <c r="T7" s="46">
        <v>0</v>
      </c>
      <c r="U7" s="5" t="s">
        <v>112</v>
      </c>
    </row>
    <row r="8" spans="2:21" ht="21">
      <c r="B8" t="s">
        <v>78</v>
      </c>
      <c r="C8" s="49">
        <f>SUM(C5:C7)</f>
        <v>1322</v>
      </c>
      <c r="D8" s="9" t="s">
        <v>106</v>
      </c>
      <c r="S8" s="5" t="s">
        <v>111</v>
      </c>
      <c r="T8" s="46">
        <v>4</v>
      </c>
      <c r="U8" s="5" t="s">
        <v>112</v>
      </c>
    </row>
    <row r="9" spans="2:21" ht="21">
      <c r="B9" t="s">
        <v>79</v>
      </c>
      <c r="C9" s="14">
        <f>((C8*C2^2)/8)+((T9*T10*T11)/(T10+T11))</f>
        <v>2644</v>
      </c>
      <c r="D9" s="9" t="s">
        <v>91</v>
      </c>
      <c r="S9" s="45" t="s">
        <v>115</v>
      </c>
      <c r="T9" s="46">
        <v>0</v>
      </c>
      <c r="U9" s="45" t="s">
        <v>113</v>
      </c>
    </row>
    <row r="10" spans="2:21" ht="21">
      <c r="B10" t="s">
        <v>118</v>
      </c>
      <c r="C10" s="14">
        <f>((C8*C2)/2)+((T9*T11)/C2)</f>
        <v>2644</v>
      </c>
      <c r="D10" s="9" t="s">
        <v>114</v>
      </c>
      <c r="S10" s="45" t="s">
        <v>116</v>
      </c>
      <c r="T10" s="46">
        <v>1</v>
      </c>
      <c r="U10" s="45" t="s">
        <v>112</v>
      </c>
    </row>
    <row r="11" spans="2:21" ht="21">
      <c r="B11" t="s">
        <v>119</v>
      </c>
      <c r="C11" s="14">
        <f>ข้อกำหนด!$E$16*C3*C4^2*10000</f>
        <v>3004.4229345782173</v>
      </c>
      <c r="D11" s="9" t="s">
        <v>91</v>
      </c>
      <c r="E11" s="23" t="str">
        <f>IF(C9&lt;=0,"Not provided punching shear",IF(C11&gt;C9,"ไม่ต้องออกแบบเหล็กรับแรงดึง","ออกแบบเหล็กรับแรงดึง"))</f>
        <v>ไม่ต้องออกแบบเหล็กรับแรงดึง</v>
      </c>
      <c r="S11" s="45" t="s">
        <v>117</v>
      </c>
      <c r="T11" s="47">
        <f>C2-T10</f>
        <v>3</v>
      </c>
      <c r="U11" s="45" t="s">
        <v>112</v>
      </c>
    </row>
    <row r="12" spans="2:4" ht="21">
      <c r="B12" t="s">
        <v>120</v>
      </c>
      <c r="C12" s="14">
        <f>C9-C11</f>
        <v>-360.42293457821734</v>
      </c>
      <c r="D12" s="9" t="s">
        <v>91</v>
      </c>
    </row>
    <row r="13" spans="2:4" ht="21">
      <c r="B13" t="s">
        <v>121</v>
      </c>
      <c r="C13" s="14">
        <f>(C11*100)/(ข้อกำหนด!$B$9*C4*100*ข้อกำหนด!$E$15)</f>
        <v>5.585006750223794</v>
      </c>
      <c r="D13" s="22" t="s">
        <v>50</v>
      </c>
    </row>
    <row r="14" spans="2:4" ht="21">
      <c r="B14" t="s">
        <v>122</v>
      </c>
      <c r="C14" s="14">
        <f>(C12*100)/(ข้อกำหนด!$B$9*(C4-0.05)*100)</f>
        <v>-0.6865198753870806</v>
      </c>
      <c r="D14" s="22" t="s">
        <v>50</v>
      </c>
    </row>
    <row r="15" spans="2:12" ht="21">
      <c r="B15" t="s">
        <v>123</v>
      </c>
      <c r="C15" s="48">
        <f>SUM(C13:C14)</f>
        <v>4.898486874836713</v>
      </c>
      <c r="D15" s="22" t="s">
        <v>50</v>
      </c>
      <c r="E15" s="79" t="s">
        <v>124</v>
      </c>
      <c r="F15" s="79"/>
      <c r="G15" s="1">
        <v>4</v>
      </c>
      <c r="H15" t="s">
        <v>125</v>
      </c>
      <c r="I15" s="1">
        <v>12</v>
      </c>
      <c r="J15" t="s">
        <v>126</v>
      </c>
      <c r="K15" s="14">
        <f>((3.14*(I15/10)^2)/4)*G15</f>
        <v>4.5216</v>
      </c>
      <c r="L15" s="1" t="s">
        <v>127</v>
      </c>
    </row>
    <row r="16" spans="1:12" ht="21">
      <c r="A16" s="2"/>
      <c r="B16" t="s">
        <v>123</v>
      </c>
      <c r="C16" s="14">
        <f>(0.5*C14*((1-ข้อกำหนด!$E$14)/(ข้อกำหนด!$E$14-(5/((C4-0.05)*100)))))</f>
        <v>-1.4141228654262448</v>
      </c>
      <c r="D16" s="22" t="s">
        <v>50</v>
      </c>
      <c r="E16" s="79" t="s">
        <v>128</v>
      </c>
      <c r="F16" s="79"/>
      <c r="G16" s="1">
        <v>2</v>
      </c>
      <c r="H16" t="s">
        <v>125</v>
      </c>
      <c r="I16" s="1">
        <v>12</v>
      </c>
      <c r="J16" t="s">
        <v>126</v>
      </c>
      <c r="K16" s="14">
        <f>((3.14*(I16/10)^2)/4)*G16</f>
        <v>2.2608</v>
      </c>
      <c r="L16" s="1" t="s">
        <v>127</v>
      </c>
    </row>
    <row r="17" spans="2:4" ht="21">
      <c r="B17" t="s">
        <v>129</v>
      </c>
      <c r="C17" s="14">
        <f>C10/(10000*C4*C3)</f>
        <v>3.305</v>
      </c>
      <c r="D17" s="22" t="s">
        <v>130</v>
      </c>
    </row>
    <row r="18" spans="2:7" ht="21">
      <c r="B18" t="s">
        <v>131</v>
      </c>
      <c r="C18" s="14">
        <f>0.29*ข้อกำหนด!$B$3^0.5</f>
        <v>3.890758280849634</v>
      </c>
      <c r="D18" s="22" t="s">
        <v>130</v>
      </c>
      <c r="E18" s="91" t="str">
        <f>IF(C16&lt;=0,"Not provided punching shear",IF(C18&gt;C16,"ok","No ออกแบบเหล็กปลอก"))</f>
        <v>Not provided punching shear</v>
      </c>
      <c r="F18" s="91"/>
      <c r="G18" s="91"/>
    </row>
    <row r="19" spans="2:11" ht="21">
      <c r="B19" t="s">
        <v>132</v>
      </c>
      <c r="C19" s="10">
        <f>(((2*3.14*(H19/10)^2)/4)*ข้อกำหนด!$B$6*คานรับแรงดึง!$C$4*100)/(C3*C4*C18*10000)</f>
        <v>19.611087220596428</v>
      </c>
      <c r="D19" s="22" t="s">
        <v>39</v>
      </c>
      <c r="E19" s="79" t="s">
        <v>133</v>
      </c>
      <c r="F19" s="79"/>
      <c r="G19" s="1" t="s">
        <v>134</v>
      </c>
      <c r="H19" s="1">
        <v>9</v>
      </c>
      <c r="I19" t="s">
        <v>135</v>
      </c>
      <c r="J19" s="21">
        <v>15</v>
      </c>
      <c r="K19" t="s">
        <v>39</v>
      </c>
    </row>
    <row r="23" spans="4:11" ht="21">
      <c r="D23" s="1">
        <f>G15</f>
        <v>4</v>
      </c>
      <c r="E23" s="1" t="str">
        <f>H15</f>
        <v>DB</v>
      </c>
      <c r="F23" s="1">
        <f>I15</f>
        <v>12</v>
      </c>
      <c r="G23" t="s">
        <v>127</v>
      </c>
      <c r="I23" s="1"/>
      <c r="J23" s="1"/>
      <c r="K23" s="1"/>
    </row>
    <row r="24" spans="4:11" ht="21">
      <c r="D24" s="1" t="str">
        <f>G19</f>
        <v>RB </v>
      </c>
      <c r="E24" s="1">
        <f>H19</f>
        <v>9</v>
      </c>
      <c r="F24" t="s">
        <v>135</v>
      </c>
      <c r="G24" s="21">
        <f>J19</f>
        <v>15</v>
      </c>
      <c r="H24" t="str">
        <f>K19</f>
        <v>cm.</v>
      </c>
      <c r="J24" s="1"/>
      <c r="K24" s="1"/>
    </row>
    <row r="25" spans="4:11" ht="21">
      <c r="D25" s="1">
        <f>G16</f>
        <v>2</v>
      </c>
      <c r="E25" s="1" t="str">
        <f>H16</f>
        <v>DB</v>
      </c>
      <c r="F25" s="1">
        <f>I16</f>
        <v>12</v>
      </c>
      <c r="G25" t="s">
        <v>127</v>
      </c>
      <c r="I25" s="1"/>
      <c r="J25" s="1"/>
      <c r="K25" s="1"/>
    </row>
    <row r="27" spans="2:3" ht="21">
      <c r="B27" s="79"/>
      <c r="C27" s="79"/>
    </row>
    <row r="31" spans="4:6" ht="21">
      <c r="D31" s="1"/>
      <c r="E31" s="1"/>
      <c r="F31" s="1"/>
    </row>
    <row r="32" spans="4:7" ht="21">
      <c r="D32" s="1"/>
      <c r="E32" s="1"/>
      <c r="G32" s="21"/>
    </row>
    <row r="33" spans="4:6" ht="21">
      <c r="D33" s="1"/>
      <c r="E33" s="1"/>
      <c r="F33" s="1"/>
    </row>
    <row r="36" spans="2:3" ht="21">
      <c r="B36" s="79"/>
      <c r="C36" s="79"/>
    </row>
    <row r="38" spans="2:3" ht="21">
      <c r="B38" s="79"/>
      <c r="C38" s="79"/>
    </row>
  </sheetData>
  <sheetProtection/>
  <mergeCells count="9">
    <mergeCell ref="B27:C27"/>
    <mergeCell ref="B38:C38"/>
    <mergeCell ref="B36:C36"/>
    <mergeCell ref="A1:L1"/>
    <mergeCell ref="S3:U3"/>
    <mergeCell ref="E15:F15"/>
    <mergeCell ref="E16:F16"/>
    <mergeCell ref="E19:F19"/>
    <mergeCell ref="E18:G18"/>
  </mergeCells>
  <printOptions/>
  <pageMargins left="0.7480314960629921" right="0" top="0.35" bottom="0.31" header="0.26" footer="0.22"/>
  <pageSetup horizontalDpi="300" verticalDpi="300" orientation="portrait" paperSize="9" r:id="rId4"/>
  <legacyDrawing r:id="rId3"/>
  <oleObjects>
    <oleObject progId="AutoCAD.Drawing.17" shapeId="226757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2008-12-21T12:40:40Z</cp:lastPrinted>
  <dcterms:created xsi:type="dcterms:W3CDTF">2008-12-21T02:41:04Z</dcterms:created>
  <dcterms:modified xsi:type="dcterms:W3CDTF">2021-04-23T10:38:00Z</dcterms:modified>
  <cp:category/>
  <cp:version/>
  <cp:contentType/>
  <cp:contentStatus/>
</cp:coreProperties>
</file>