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116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1" l="1"/>
  <c r="B75" i="1" s="1"/>
  <c r="B72" i="1"/>
  <c r="B70" i="1"/>
  <c r="B69" i="1"/>
  <c r="P64" i="1" l="1"/>
  <c r="O64" i="1"/>
  <c r="N64" i="1" l="1"/>
  <c r="B73" i="1" s="1"/>
  <c r="C12" i="1"/>
  <c r="D12" i="1"/>
  <c r="D13" i="1" s="1"/>
  <c r="D14" i="1" s="1"/>
  <c r="E12" i="1"/>
  <c r="F12" i="1"/>
  <c r="G12" i="1"/>
  <c r="G13" i="1" s="1"/>
  <c r="H12" i="1"/>
  <c r="H13" i="1" s="1"/>
  <c r="I12" i="1"/>
  <c r="I13" i="1" s="1"/>
  <c r="J12" i="1"/>
  <c r="J13" i="1" s="1"/>
  <c r="J14" i="1" s="1"/>
  <c r="K12" i="1"/>
  <c r="K13" i="1" s="1"/>
  <c r="L12" i="1"/>
  <c r="L13" i="1" s="1"/>
  <c r="E13" i="1"/>
  <c r="F13" i="1"/>
  <c r="B12" i="1"/>
  <c r="M52" i="1"/>
  <c r="L52" i="1"/>
  <c r="J52" i="1"/>
  <c r="I52" i="1"/>
  <c r="H52" i="1"/>
  <c r="G52" i="1"/>
  <c r="D52" i="1"/>
  <c r="C52" i="1"/>
  <c r="B52" i="1"/>
  <c r="M51" i="1"/>
  <c r="L51" i="1"/>
  <c r="J51" i="1"/>
  <c r="I51" i="1"/>
  <c r="H51" i="1"/>
  <c r="G51" i="1"/>
  <c r="D51" i="1"/>
  <c r="C51" i="1"/>
  <c r="B51" i="1"/>
  <c r="K52" i="1"/>
  <c r="K51" i="1"/>
  <c r="F52" i="1"/>
  <c r="M12" i="1"/>
  <c r="M13" i="1" s="1"/>
  <c r="N12" i="1" l="1"/>
  <c r="B13" i="1"/>
  <c r="I14" i="1"/>
  <c r="I53" i="1" s="1"/>
  <c r="K14" i="1"/>
  <c r="K53" i="1" s="1"/>
  <c r="C13" i="1"/>
  <c r="J58" i="1"/>
  <c r="L58" i="1"/>
  <c r="J53" i="1"/>
  <c r="F51" i="1"/>
  <c r="H58" i="1" s="1"/>
  <c r="D53" i="1"/>
  <c r="E52" i="1"/>
  <c r="N52" i="1" s="1"/>
  <c r="F14" i="1"/>
  <c r="F53" i="1" s="1"/>
  <c r="N58" i="1"/>
  <c r="G14" i="1"/>
  <c r="G53" i="1" s="1"/>
  <c r="E51" i="1"/>
  <c r="F58" i="1" s="1"/>
  <c r="E14" i="1"/>
  <c r="M14" i="1"/>
  <c r="M53" i="1" s="1"/>
  <c r="H14" i="1"/>
  <c r="H53" i="1" s="1"/>
  <c r="D58" i="1" l="1"/>
  <c r="N51" i="1"/>
  <c r="N13" i="1"/>
  <c r="B14" i="1"/>
  <c r="C14" i="1"/>
  <c r="C53" i="1" s="1"/>
  <c r="E53" i="1"/>
  <c r="L14" i="1"/>
  <c r="L53" i="1" s="1"/>
  <c r="N14" i="1" l="1"/>
  <c r="B53" i="1"/>
  <c r="N53" i="1" l="1"/>
  <c r="N63" i="1"/>
  <c r="O63" i="1" s="1"/>
  <c r="B68" i="1" s="1"/>
  <c r="B71" i="1" l="1"/>
  <c r="B77" i="1" l="1"/>
  <c r="B78" i="1" s="1"/>
  <c r="B79" i="1" l="1"/>
  <c r="B80" i="1" s="1"/>
  <c r="B76" i="1"/>
</calcChain>
</file>

<file path=xl/sharedStrings.xml><?xml version="1.0" encoding="utf-8"?>
<sst xmlns="http://schemas.openxmlformats.org/spreadsheetml/2006/main" count="112" uniqueCount="97">
  <si>
    <t>חודש</t>
  </si>
  <si>
    <t>ינואר</t>
  </si>
  <si>
    <t>פברואר</t>
  </si>
  <si>
    <t>מרץ</t>
  </si>
  <si>
    <t xml:space="preserve">אפריל 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</si>
  <si>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</si>
  <si>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</si>
  <si>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</si>
  <si>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</si>
  <si>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</si>
  <si>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</si>
  <si>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</si>
  <si>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</si>
  <si>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ינואר (שנה הבאה)</t>
  </si>
  <si>
    <t>שכר ממוצע במשק</t>
  </si>
  <si>
    <t>הכנסות</t>
  </si>
  <si>
    <t>סכום מצטבר</t>
  </si>
  <si>
    <t>אחוז מס</t>
  </si>
  <si>
    <t>שכר מקס</t>
  </si>
  <si>
    <t>שכר מינ</t>
  </si>
  <si>
    <t>הכנסות חייבות במע"מ</t>
  </si>
  <si>
    <t>פרסום בפייסבוק</t>
  </si>
  <si>
    <t>הכנסות לא חייבות במע"מ ( חו"ל)</t>
  </si>
  <si>
    <t>סיכום הכנסות</t>
  </si>
  <si>
    <t>סה"כ הכנסה חייבת במע"מ</t>
  </si>
  <si>
    <t>סה"כ מע"מ הכנסות</t>
  </si>
  <si>
    <t>סה"כ הכנסה ללא מע"מ</t>
  </si>
  <si>
    <t>הוצאות</t>
  </si>
  <si>
    <t>הוצאות תפעוליות</t>
  </si>
  <si>
    <t>חשמל בית</t>
  </si>
  <si>
    <t xml:space="preserve">ארנונה </t>
  </si>
  <si>
    <t>טלפון קוי</t>
  </si>
  <si>
    <t>טלפון נייד</t>
  </si>
  <si>
    <t>אינטרנט</t>
  </si>
  <si>
    <t>ציוד משרדי</t>
  </si>
  <si>
    <t>הוצאות רכב</t>
  </si>
  <si>
    <t>מוסך/חלפים</t>
  </si>
  <si>
    <t>דלק</t>
  </si>
  <si>
    <t>רישיון רכב</t>
  </si>
  <si>
    <t>ביטוח</t>
  </si>
  <si>
    <t>נסיעות/חניה</t>
  </si>
  <si>
    <t>הוצאות כלליות</t>
  </si>
  <si>
    <t>השתלמויות/קורסים</t>
  </si>
  <si>
    <t>סליקה</t>
  </si>
  <si>
    <t>ייעוץ עסקי/שיווקי</t>
  </si>
  <si>
    <t>הנהלת חשבונות</t>
  </si>
  <si>
    <t>שיווק ופרסום</t>
  </si>
  <si>
    <t>קבלני משנה</t>
  </si>
  <si>
    <t>הוצאות ללא מע"מ (עסקאות חו"ל)</t>
  </si>
  <si>
    <t>פרסום בגוגל</t>
  </si>
  <si>
    <t>סיכום הוצאות</t>
  </si>
  <si>
    <t>סה"כ מע"מ הוצאות</t>
  </si>
  <si>
    <t>סה"כ הוצאות ללא מע"מ</t>
  </si>
  <si>
    <t>רווח (הכנסה חייבת במס)</t>
  </si>
  <si>
    <t>תשלום לרשויות המס</t>
  </si>
  <si>
    <t>מקדמות ביטוח לאומי</t>
  </si>
  <si>
    <t>מקדמות מס הכנסה</t>
  </si>
  <si>
    <t xml:space="preserve">מע"מ </t>
  </si>
  <si>
    <t>הערה: החל מינואר 2017, עצמאים חייבים בחוק להפריש כסף לקרן הפנסיה</t>
  </si>
  <si>
    <t>חסכונות מוכרים להטבות מס</t>
  </si>
  <si>
    <t>קרן השתלמות</t>
  </si>
  <si>
    <t>קרן פנסיה</t>
  </si>
  <si>
    <t>מקור הכנסה 1</t>
  </si>
  <si>
    <t>מקור הכנסה 2</t>
  </si>
  <si>
    <t>מקור הכנסה 3</t>
  </si>
  <si>
    <t>אחזקת אתר ישראלי (דומיין, אחסון)</t>
  </si>
  <si>
    <t>ספרים באמזון</t>
  </si>
  <si>
    <t>מיילצ'ימפ</t>
  </si>
  <si>
    <t>פוטושופ</t>
  </si>
  <si>
    <t>קבלני משנה (עוסק פטור)</t>
  </si>
  <si>
    <t>סיכום רווח וחובות לרשויות לשנה</t>
  </si>
  <si>
    <t>רווח לחודש ממוצע (בניכוי פנסיה וקרן השתלמות)</t>
  </si>
  <si>
    <t>ביטוח לאומי ממוצע לחודש</t>
  </si>
  <si>
    <t>ביטוח בריאות ממוצע לחודש</t>
  </si>
  <si>
    <t>רווח נטו חודשי</t>
  </si>
  <si>
    <t>ביטוח לאומי שנתי</t>
  </si>
  <si>
    <t>חוב ביטוח לאומי</t>
  </si>
  <si>
    <t>מס הכנסה שנתי</t>
  </si>
  <si>
    <t>חוב מס הכנסה</t>
  </si>
  <si>
    <t xml:space="preserve">מים בית </t>
  </si>
  <si>
    <t>תוכנות מחשב/ענן ישראליות</t>
  </si>
  <si>
    <t>קורסים דיגיטליים בחו"ל</t>
  </si>
  <si>
    <t>מוצרים/שירותים מחו"ל</t>
  </si>
  <si>
    <t>סה"כ לשנה</t>
  </si>
  <si>
    <t xml:space="preserve">תקרת הפקדה חודשית מוכרת למס </t>
  </si>
  <si>
    <t>תקרת הפקדה חודשית מקסימלית המוכרת למס</t>
  </si>
  <si>
    <t>הפקדה חודשית מינימלית חובה</t>
  </si>
  <si>
    <t>זיכוי מס מביטוח לאומי</t>
  </si>
  <si>
    <t>זיכוי מס מקרן פנסיה</t>
  </si>
  <si>
    <t xml:space="preserve">מס הכנסה לחודש ממוצע </t>
  </si>
  <si>
    <t>מקדמת מס מומלצת</t>
  </si>
  <si>
    <t>סה"כ תשלום חודשי לביטוח לאומי (מקדמה מומלצת)</t>
  </si>
  <si>
    <t>אחוז מוכר למס הכנסה</t>
  </si>
  <si>
    <t>אחוז מוכר למע"מ</t>
  </si>
  <si>
    <t>לא יודעים כמה נקודות זיכוי מגיעות לכם? בדקו כאן (זה חשוב): https://taxes.gov.il/Pages/TestNekudotZicuiCalculator2017.aspx</t>
  </si>
  <si>
    <t>נקודות זיכוי מס שלכם</t>
  </si>
  <si>
    <t>הוכן באהבה ב: www.עצמאות-כלכלית.com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</si>
</sst>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</font>
    <font>
      <sz val="14"/>
      <color theme="0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65" fontId="1" fillId="0" borderId="1" xfId="1" applyNumberFormat="1" applyFont="1" applyBorder="1" applyAlignment="1">
      <alignment horizontal="right" vertical="center"/>
    </xf>
    <xf numFmtId="164" fontId="0" fillId="0" borderId="1" xfId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164" fontId="0" fillId="0" borderId="8" xfId="1" applyFont="1" applyBorder="1" applyAlignment="1">
      <alignment horizontal="center" vertical="center"/>
    </xf>
    <xf numFmtId="0" fontId="3" fillId="6" borderId="11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right"/>
    </xf>
    <xf numFmtId="0" fontId="3" fillId="6" borderId="13" xfId="0" applyFont="1" applyFill="1" applyBorder="1" applyAlignment="1">
      <alignment horizontal="right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2" fontId="0" fillId="0" borderId="14" xfId="0" applyNumberFormat="1" applyBorder="1" applyAlignment="1">
      <alignment horizontal="center" vertical="center"/>
    </xf>
    <xf numFmtId="0" fontId="2" fillId="6" borderId="9" xfId="0" applyFont="1" applyFill="1" applyBorder="1" applyAlignment="1">
      <alignment horizontal="right" vertical="center"/>
    </xf>
    <xf numFmtId="0" fontId="0" fillId="6" borderId="1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/>
    <xf numFmtId="0" fontId="0" fillId="2" borderId="7" xfId="0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0" fontId="3" fillId="10" borderId="4" xfId="0" applyFont="1" applyFill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0" fillId="0" borderId="7" xfId="0" applyBorder="1"/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8" borderId="1" xfId="0" applyFill="1" applyBorder="1"/>
    <xf numFmtId="166" fontId="0" fillId="8" borderId="1" xfId="0" applyNumberFormat="1" applyFill="1" applyBorder="1"/>
    <xf numFmtId="0" fontId="0" fillId="6" borderId="1" xfId="0" applyFill="1" applyBorder="1"/>
    <xf numFmtId="166" fontId="0" fillId="6" borderId="1" xfId="0" applyNumberFormat="1" applyFill="1" applyBorder="1"/>
    <xf numFmtId="2" fontId="0" fillId="0" borderId="16" xfId="0" applyNumberForma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164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right" vertical="center"/>
    </xf>
    <xf numFmtId="164" fontId="0" fillId="5" borderId="10" xfId="1" applyFont="1" applyFill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17" xfId="0" applyNumberFormat="1" applyFill="1" applyBorder="1" applyAlignment="1">
      <alignment horizontal="center" vertical="center"/>
    </xf>
    <xf numFmtId="164" fontId="0" fillId="0" borderId="8" xfId="0" applyNumberFormat="1" applyBorder="1"/>
    <xf numFmtId="164" fontId="0" fillId="5" borderId="15" xfId="0" applyNumberFormat="1" applyFill="1" applyBorder="1"/>
    <xf numFmtId="164" fontId="0" fillId="6" borderId="15" xfId="0" applyNumberFormat="1" applyFill="1" applyBorder="1"/>
    <xf numFmtId="0" fontId="2" fillId="11" borderId="9" xfId="0" applyFont="1" applyFill="1" applyBorder="1" applyAlignment="1">
      <alignment horizontal="right" vertical="center"/>
    </xf>
    <xf numFmtId="2" fontId="0" fillId="11" borderId="10" xfId="0" applyNumberForma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64" fontId="0" fillId="11" borderId="10" xfId="0" applyNumberFormat="1" applyFill="1" applyBorder="1" applyAlignment="1">
      <alignment horizontal="center" vertical="center"/>
    </xf>
    <xf numFmtId="164" fontId="0" fillId="11" borderId="15" xfId="0" applyNumberFormat="1" applyFill="1" applyBorder="1"/>
    <xf numFmtId="165" fontId="1" fillId="0" borderId="8" xfId="1" applyNumberFormat="1" applyFont="1" applyBorder="1" applyAlignment="1">
      <alignment horizontal="right" vertical="center"/>
    </xf>
    <xf numFmtId="165" fontId="1" fillId="0" borderId="7" xfId="1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3" fillId="5" borderId="2" xfId="0" applyFont="1" applyFill="1" applyBorder="1" applyAlignment="1"/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0" fillId="12" borderId="0" xfId="0" applyFill="1"/>
    <xf numFmtId="0" fontId="5" fillId="12" borderId="0" xfId="0" applyFont="1" applyFill="1"/>
    <xf numFmtId="0" fontId="2" fillId="5" borderId="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0" fillId="9" borderId="16" xfId="0" applyFill="1" applyBorder="1" applyAlignment="1">
      <alignment horizontal="center"/>
    </xf>
    <xf numFmtId="0" fontId="0" fillId="9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rightToLeft="1" tabSelected="1" workbookViewId="0">
      <pane ySplit="2" topLeftCell="A60" activePane="bottomLeft" state="frozen"/>
      <selection pane="bottomLeft" activeCell="C69" sqref="C69"/>
    </sheetView>
  </sheetViews>
  <sheetFormatPr defaultRowHeight="14.25" x14ac:dyDescent="0.2"/>
  <cols>
    <col min="1" max="1" width="41.875" customWidth="1"/>
    <col min="2" max="2" width="11.75" customWidth="1"/>
    <col min="3" max="3" width="13" customWidth="1"/>
    <col min="4" max="4" width="22.375" customWidth="1"/>
    <col min="5" max="12" width="12" bestFit="1" customWidth="1"/>
    <col min="13" max="13" width="13.875" customWidth="1"/>
    <col min="14" max="14" width="24.625" customWidth="1"/>
    <col min="15" max="15" width="20.75" customWidth="1"/>
    <col min="16" max="16" width="21" customWidth="1"/>
    <col min="18" max="18" width="10.875" bestFit="1" customWidth="1"/>
    <col min="19" max="19" width="7.375" bestFit="1" customWidth="1"/>
    <col min="20" max="20" width="8.625" bestFit="1" customWidth="1"/>
    <col min="21" max="21" width="7.25" bestFit="1" customWidth="1"/>
    <col min="23" max="23" width="19" customWidth="1"/>
  </cols>
  <sheetData>
    <row r="1" spans="1:23" s="84" customFormat="1" ht="18" x14ac:dyDescent="0.25">
      <c r="A1" s="85" t="s">
        <v>96</v>
      </c>
    </row>
    <row r="2" spans="1:23" ht="26.25" customHeight="1" x14ac:dyDescent="0.2">
      <c r="A2" s="77" t="s">
        <v>0</v>
      </c>
      <c r="B2" s="77" t="s">
        <v>1</v>
      </c>
      <c r="C2" s="77" t="s">
        <v>2</v>
      </c>
      <c r="D2" s="77" t="s">
        <v>3</v>
      </c>
      <c r="E2" s="77" t="s">
        <v>4</v>
      </c>
      <c r="F2" s="77" t="s">
        <v>5</v>
      </c>
      <c r="G2" s="77" t="s">
        <v>6</v>
      </c>
      <c r="H2" s="77" t="s">
        <v>7</v>
      </c>
      <c r="I2" s="77" t="s">
        <v>8</v>
      </c>
      <c r="J2" s="77" t="s">
        <v>9</v>
      </c>
      <c r="K2" s="77" t="s">
        <v>10</v>
      </c>
      <c r="L2" s="77" t="s">
        <v>11</v>
      </c>
      <c r="M2" s="77" t="s">
        <v>12</v>
      </c>
      <c r="N2" s="1" t="s">
        <v>13</v>
      </c>
      <c r="R2" s="87"/>
      <c r="S2" s="88"/>
      <c r="T2" s="88"/>
      <c r="U2" s="89"/>
      <c r="W2" s="2" t="s">
        <v>14</v>
      </c>
    </row>
    <row r="3" spans="1:23" ht="18" x14ac:dyDescent="0.25">
      <c r="A3" s="81" t="s">
        <v>15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R3" s="3" t="s">
        <v>16</v>
      </c>
      <c r="S3" s="3" t="s">
        <v>17</v>
      </c>
      <c r="T3" s="3" t="s">
        <v>18</v>
      </c>
      <c r="U3" s="3" t="s">
        <v>19</v>
      </c>
      <c r="W3" s="4">
        <v>9673</v>
      </c>
    </row>
    <row r="4" spans="1:23" ht="15" x14ac:dyDescent="0.2">
      <c r="A4" s="78" t="s">
        <v>20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  <c r="R4" s="8">
        <v>620</v>
      </c>
      <c r="S4" s="8">
        <v>0.1</v>
      </c>
      <c r="T4" s="8">
        <v>6220</v>
      </c>
      <c r="U4" s="8">
        <v>0</v>
      </c>
    </row>
    <row r="5" spans="1:23" x14ac:dyDescent="0.2">
      <c r="A5" s="9" t="s">
        <v>62</v>
      </c>
      <c r="B5" s="10">
        <v>5000</v>
      </c>
      <c r="C5" s="10">
        <v>5000</v>
      </c>
      <c r="D5" s="10">
        <v>5000</v>
      </c>
      <c r="E5" s="10">
        <v>5000</v>
      </c>
      <c r="F5" s="10">
        <v>5000</v>
      </c>
      <c r="G5" s="10">
        <v>5000</v>
      </c>
      <c r="H5" s="10">
        <v>5000</v>
      </c>
      <c r="I5" s="10">
        <v>5000</v>
      </c>
      <c r="J5" s="10">
        <v>5000</v>
      </c>
      <c r="K5" s="10">
        <v>5000</v>
      </c>
      <c r="L5" s="10">
        <v>5000</v>
      </c>
      <c r="M5" s="10">
        <v>5000</v>
      </c>
      <c r="R5" s="8">
        <v>1000</v>
      </c>
      <c r="S5" s="8">
        <v>0.14000000000000001</v>
      </c>
      <c r="T5" s="8">
        <v>8920</v>
      </c>
      <c r="U5" s="8">
        <v>6221</v>
      </c>
    </row>
    <row r="6" spans="1:23" x14ac:dyDescent="0.2">
      <c r="A6" s="9" t="s">
        <v>63</v>
      </c>
      <c r="B6" s="10">
        <v>5000</v>
      </c>
      <c r="C6" s="10">
        <v>5000</v>
      </c>
      <c r="D6" s="10">
        <v>5000</v>
      </c>
      <c r="E6" s="10">
        <v>5000</v>
      </c>
      <c r="F6" s="10">
        <v>5000</v>
      </c>
      <c r="G6" s="10">
        <v>5000</v>
      </c>
      <c r="H6" s="10">
        <v>5000</v>
      </c>
      <c r="I6" s="10">
        <v>5000</v>
      </c>
      <c r="J6" s="10">
        <v>5000</v>
      </c>
      <c r="K6" s="10">
        <v>5000</v>
      </c>
      <c r="L6" s="10">
        <v>5000</v>
      </c>
      <c r="M6" s="10">
        <v>5000</v>
      </c>
      <c r="R6" s="8">
        <v>2080</v>
      </c>
      <c r="S6" s="8">
        <v>0.2</v>
      </c>
      <c r="T6" s="8">
        <v>14320</v>
      </c>
      <c r="U6" s="8">
        <v>8921</v>
      </c>
    </row>
    <row r="7" spans="1:23" x14ac:dyDescent="0.2">
      <c r="A7" s="16" t="s">
        <v>64</v>
      </c>
      <c r="B7" s="75">
        <v>5000</v>
      </c>
      <c r="C7" s="75">
        <v>5000</v>
      </c>
      <c r="D7" s="75">
        <v>5000</v>
      </c>
      <c r="E7" s="75">
        <v>5000</v>
      </c>
      <c r="F7" s="75">
        <v>5000</v>
      </c>
      <c r="G7" s="75">
        <v>5000</v>
      </c>
      <c r="H7" s="75">
        <v>5000</v>
      </c>
      <c r="I7" s="75">
        <v>5000</v>
      </c>
      <c r="J7" s="75">
        <v>5000</v>
      </c>
      <c r="K7" s="75">
        <v>5000</v>
      </c>
      <c r="L7" s="75">
        <v>5000</v>
      </c>
      <c r="M7" s="75">
        <v>5000</v>
      </c>
      <c r="R7" s="8">
        <v>3810</v>
      </c>
      <c r="S7" s="8">
        <v>0.31</v>
      </c>
      <c r="T7" s="8">
        <v>19900</v>
      </c>
      <c r="U7" s="8">
        <v>14321</v>
      </c>
    </row>
    <row r="8" spans="1:23" ht="15" x14ac:dyDescent="0.2">
      <c r="A8" s="5" t="s">
        <v>22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R8" s="8">
        <v>11335</v>
      </c>
      <c r="S8" s="8">
        <v>0.35</v>
      </c>
      <c r="T8" s="8">
        <v>41410</v>
      </c>
      <c r="U8" s="8">
        <v>19901</v>
      </c>
    </row>
    <row r="9" spans="1:23" x14ac:dyDescent="0.2">
      <c r="A9" s="21" t="s">
        <v>62</v>
      </c>
      <c r="B9" s="76">
        <v>5000</v>
      </c>
      <c r="C9" s="76">
        <v>5000</v>
      </c>
      <c r="D9" s="76">
        <v>5000</v>
      </c>
      <c r="E9" s="76">
        <v>5000</v>
      </c>
      <c r="F9" s="76">
        <v>5000</v>
      </c>
      <c r="G9" s="76">
        <v>5000</v>
      </c>
      <c r="H9" s="76">
        <v>5000</v>
      </c>
      <c r="I9" s="76">
        <v>5000</v>
      </c>
      <c r="J9" s="76">
        <v>5000</v>
      </c>
      <c r="K9" s="76">
        <v>5000</v>
      </c>
      <c r="L9" s="76">
        <v>5000</v>
      </c>
      <c r="M9" s="76">
        <v>5000</v>
      </c>
      <c r="R9" s="12"/>
      <c r="S9" s="13">
        <v>0.47</v>
      </c>
      <c r="T9" s="12"/>
      <c r="U9" s="13">
        <v>41411</v>
      </c>
    </row>
    <row r="10" spans="1:23" x14ac:dyDescent="0.2">
      <c r="A10" s="9" t="s">
        <v>63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23" ht="15" x14ac:dyDescent="0.2">
      <c r="A11" s="5" t="s">
        <v>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62" t="s">
        <v>83</v>
      </c>
    </row>
    <row r="12" spans="1:23" x14ac:dyDescent="0.2">
      <c r="A12" s="9" t="s">
        <v>24</v>
      </c>
      <c r="B12" s="11">
        <f>SUM(B5:B7)</f>
        <v>15000</v>
      </c>
      <c r="C12" s="11">
        <f t="shared" ref="C12:L12" si="0">SUM(C5:C7)</f>
        <v>15000</v>
      </c>
      <c r="D12" s="11">
        <f t="shared" si="0"/>
        <v>15000</v>
      </c>
      <c r="E12" s="11">
        <f t="shared" si="0"/>
        <v>15000</v>
      </c>
      <c r="F12" s="11">
        <f t="shared" si="0"/>
        <v>15000</v>
      </c>
      <c r="G12" s="11">
        <f t="shared" si="0"/>
        <v>15000</v>
      </c>
      <c r="H12" s="11">
        <f t="shared" si="0"/>
        <v>15000</v>
      </c>
      <c r="I12" s="11">
        <f t="shared" si="0"/>
        <v>15000</v>
      </c>
      <c r="J12" s="11">
        <f t="shared" si="0"/>
        <v>15000</v>
      </c>
      <c r="K12" s="11">
        <f t="shared" si="0"/>
        <v>15000</v>
      </c>
      <c r="L12" s="11">
        <f t="shared" si="0"/>
        <v>15000</v>
      </c>
      <c r="M12" s="11">
        <f>SUM(M5:M7)</f>
        <v>15000</v>
      </c>
      <c r="N12" s="61">
        <f>SUM(B12:M12)</f>
        <v>180000</v>
      </c>
    </row>
    <row r="13" spans="1:23" ht="15" thickBot="1" x14ac:dyDescent="0.25">
      <c r="A13" s="16" t="s">
        <v>25</v>
      </c>
      <c r="B13" s="17">
        <f>B12-B12/1.17</f>
        <v>2179.4871794871779</v>
      </c>
      <c r="C13" s="17">
        <f t="shared" ref="C13:L13" si="1">C12-C12/1.17</f>
        <v>2179.4871794871779</v>
      </c>
      <c r="D13" s="17">
        <f t="shared" si="1"/>
        <v>2179.4871794871779</v>
      </c>
      <c r="E13" s="17">
        <f t="shared" si="1"/>
        <v>2179.4871794871779</v>
      </c>
      <c r="F13" s="17">
        <f t="shared" si="1"/>
        <v>2179.4871794871779</v>
      </c>
      <c r="G13" s="17">
        <f t="shared" si="1"/>
        <v>2179.4871794871779</v>
      </c>
      <c r="H13" s="17">
        <f t="shared" si="1"/>
        <v>2179.4871794871779</v>
      </c>
      <c r="I13" s="17">
        <f t="shared" si="1"/>
        <v>2179.4871794871779</v>
      </c>
      <c r="J13" s="17">
        <f t="shared" si="1"/>
        <v>2179.4871794871779</v>
      </c>
      <c r="K13" s="17">
        <f t="shared" si="1"/>
        <v>2179.4871794871779</v>
      </c>
      <c r="L13" s="17">
        <f t="shared" si="1"/>
        <v>2179.4871794871779</v>
      </c>
      <c r="M13" s="17">
        <f>M12-M12/1.17</f>
        <v>2179.4871794871779</v>
      </c>
      <c r="N13" s="67">
        <f t="shared" ref="N13:N14" si="2">SUM(B13:M13)</f>
        <v>26153.846153846142</v>
      </c>
    </row>
    <row r="14" spans="1:23" ht="15.75" thickBot="1" x14ac:dyDescent="0.25">
      <c r="A14" s="70" t="s">
        <v>26</v>
      </c>
      <c r="B14" s="71">
        <f>B12-B13+SUM(B9:B10)</f>
        <v>17820.51282051282</v>
      </c>
      <c r="C14" s="72">
        <f t="shared" ref="C14:L14" si="3">C12-C13+SUM(C9:C10)</f>
        <v>17820.51282051282</v>
      </c>
      <c r="D14" s="72">
        <f t="shared" si="3"/>
        <v>17820.51282051282</v>
      </c>
      <c r="E14" s="72">
        <f t="shared" si="3"/>
        <v>17820.51282051282</v>
      </c>
      <c r="F14" s="72">
        <f t="shared" si="3"/>
        <v>17820.51282051282</v>
      </c>
      <c r="G14" s="72">
        <f t="shared" si="3"/>
        <v>17820.51282051282</v>
      </c>
      <c r="H14" s="72">
        <f t="shared" si="3"/>
        <v>17820.51282051282</v>
      </c>
      <c r="I14" s="72">
        <f t="shared" si="3"/>
        <v>17820.51282051282</v>
      </c>
      <c r="J14" s="72">
        <f t="shared" si="3"/>
        <v>17820.51282051282</v>
      </c>
      <c r="K14" s="72">
        <f t="shared" si="3"/>
        <v>17820.51282051282</v>
      </c>
      <c r="L14" s="72">
        <f t="shared" si="3"/>
        <v>17820.51282051282</v>
      </c>
      <c r="M14" s="73">
        <f>M12-M13+SUM(M9:M10)</f>
        <v>17820.51282051282</v>
      </c>
      <c r="N14" s="74">
        <f t="shared" si="2"/>
        <v>213846.15384615379</v>
      </c>
    </row>
    <row r="17" spans="1:15" ht="18" x14ac:dyDescent="0.25">
      <c r="A17" s="18" t="s">
        <v>27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15" x14ac:dyDescent="0.2">
      <c r="A18" s="5" t="s">
        <v>28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2" t="s">
        <v>92</v>
      </c>
      <c r="O18" s="62" t="s">
        <v>93</v>
      </c>
    </row>
    <row r="19" spans="1:15" x14ac:dyDescent="0.2">
      <c r="A19" s="21" t="s">
        <v>29</v>
      </c>
      <c r="B19" s="22">
        <v>300</v>
      </c>
      <c r="C19" s="22"/>
      <c r="D19" s="22">
        <v>300</v>
      </c>
      <c r="E19" s="22"/>
      <c r="F19" s="22">
        <v>300</v>
      </c>
      <c r="G19" s="22"/>
      <c r="H19" s="22">
        <v>300</v>
      </c>
      <c r="I19" s="22"/>
      <c r="J19" s="22">
        <v>300</v>
      </c>
      <c r="K19" s="22"/>
      <c r="L19" s="22">
        <v>300</v>
      </c>
      <c r="M19" s="22"/>
      <c r="N19" s="23">
        <v>0.25</v>
      </c>
      <c r="O19" s="23">
        <v>0.25</v>
      </c>
    </row>
    <row r="20" spans="1:15" x14ac:dyDescent="0.2">
      <c r="A20" s="9" t="s">
        <v>30</v>
      </c>
      <c r="B20" s="8"/>
      <c r="C20" s="8">
        <v>600</v>
      </c>
      <c r="D20" s="8"/>
      <c r="E20" s="8">
        <v>600</v>
      </c>
      <c r="F20" s="8"/>
      <c r="G20" s="8">
        <v>600</v>
      </c>
      <c r="H20" s="8"/>
      <c r="I20" s="8">
        <v>600</v>
      </c>
      <c r="J20" s="8"/>
      <c r="K20" s="8">
        <v>600</v>
      </c>
      <c r="L20" s="8"/>
      <c r="M20" s="8">
        <v>600</v>
      </c>
      <c r="N20" s="24">
        <v>0.25</v>
      </c>
      <c r="O20" s="24">
        <v>0.25</v>
      </c>
    </row>
    <row r="21" spans="1:15" x14ac:dyDescent="0.2">
      <c r="A21" s="9" t="s">
        <v>79</v>
      </c>
      <c r="B21" s="25"/>
      <c r="C21" s="25">
        <v>150</v>
      </c>
      <c r="D21" s="25"/>
      <c r="E21" s="25">
        <v>150</v>
      </c>
      <c r="F21" s="25"/>
      <c r="G21" s="25">
        <v>150</v>
      </c>
      <c r="H21" s="25"/>
      <c r="I21" s="25">
        <v>150</v>
      </c>
      <c r="J21" s="25"/>
      <c r="K21" s="25">
        <v>150</v>
      </c>
      <c r="L21" s="25"/>
      <c r="M21" s="25">
        <v>150</v>
      </c>
      <c r="N21" s="24">
        <v>0.25</v>
      </c>
      <c r="O21" s="24">
        <v>0.25</v>
      </c>
    </row>
    <row r="22" spans="1:15" x14ac:dyDescent="0.2">
      <c r="A22" s="9" t="s">
        <v>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4">
        <v>1</v>
      </c>
      <c r="O22" s="24">
        <v>1</v>
      </c>
    </row>
    <row r="23" spans="1:15" x14ac:dyDescent="0.2">
      <c r="A23" s="9" t="s">
        <v>32</v>
      </c>
      <c r="B23" s="8">
        <v>50</v>
      </c>
      <c r="C23" s="8">
        <v>50</v>
      </c>
      <c r="D23" s="8">
        <v>50</v>
      </c>
      <c r="E23" s="8">
        <v>50</v>
      </c>
      <c r="F23" s="8">
        <v>50</v>
      </c>
      <c r="G23" s="8">
        <v>50</v>
      </c>
      <c r="H23" s="8">
        <v>50</v>
      </c>
      <c r="I23" s="8">
        <v>50</v>
      </c>
      <c r="J23" s="8">
        <v>50</v>
      </c>
      <c r="K23" s="8">
        <v>50</v>
      </c>
      <c r="L23" s="8">
        <v>50</v>
      </c>
      <c r="M23" s="8">
        <v>50</v>
      </c>
      <c r="N23" s="24">
        <v>1</v>
      </c>
      <c r="O23" s="24">
        <v>0.67</v>
      </c>
    </row>
    <row r="24" spans="1:15" x14ac:dyDescent="0.2">
      <c r="A24" s="9" t="s">
        <v>33</v>
      </c>
      <c r="B24" s="13">
        <v>80</v>
      </c>
      <c r="C24" s="13">
        <v>80</v>
      </c>
      <c r="D24" s="13">
        <v>80</v>
      </c>
      <c r="E24" s="13">
        <v>80</v>
      </c>
      <c r="F24" s="13">
        <v>80</v>
      </c>
      <c r="G24" s="13">
        <v>80</v>
      </c>
      <c r="H24" s="13">
        <v>80</v>
      </c>
      <c r="I24" s="13">
        <v>80</v>
      </c>
      <c r="J24" s="13">
        <v>80</v>
      </c>
      <c r="K24" s="13">
        <v>80</v>
      </c>
      <c r="L24" s="13">
        <v>80</v>
      </c>
      <c r="M24" s="13">
        <v>80</v>
      </c>
      <c r="N24" s="24">
        <v>1</v>
      </c>
      <c r="O24" s="24">
        <v>1</v>
      </c>
    </row>
    <row r="25" spans="1:15" x14ac:dyDescent="0.2">
      <c r="A25" s="9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4">
        <v>1</v>
      </c>
      <c r="O25" s="24">
        <v>1</v>
      </c>
    </row>
    <row r="26" spans="1:15" x14ac:dyDescent="0.2">
      <c r="A26" s="9" t="s">
        <v>65</v>
      </c>
      <c r="B26" s="8">
        <v>50</v>
      </c>
      <c r="C26" s="8">
        <v>50</v>
      </c>
      <c r="D26" s="8">
        <v>50</v>
      </c>
      <c r="E26" s="8">
        <v>50</v>
      </c>
      <c r="F26" s="8">
        <v>50</v>
      </c>
      <c r="G26" s="8">
        <v>50</v>
      </c>
      <c r="H26" s="8">
        <v>50</v>
      </c>
      <c r="I26" s="8">
        <v>50</v>
      </c>
      <c r="J26" s="8">
        <v>50</v>
      </c>
      <c r="K26" s="8">
        <v>50</v>
      </c>
      <c r="L26" s="8">
        <v>50</v>
      </c>
      <c r="M26" s="8">
        <v>50</v>
      </c>
      <c r="N26" s="24">
        <v>1</v>
      </c>
      <c r="O26" s="24">
        <v>1</v>
      </c>
    </row>
    <row r="27" spans="1:15" x14ac:dyDescent="0.2">
      <c r="A27" s="16" t="s">
        <v>80</v>
      </c>
      <c r="B27" s="26">
        <v>50</v>
      </c>
      <c r="C27" s="26">
        <v>50</v>
      </c>
      <c r="D27" s="26">
        <v>50</v>
      </c>
      <c r="E27" s="26">
        <v>50</v>
      </c>
      <c r="F27" s="26">
        <v>50</v>
      </c>
      <c r="G27" s="26">
        <v>50</v>
      </c>
      <c r="H27" s="26">
        <v>50</v>
      </c>
      <c r="I27" s="26">
        <v>50</v>
      </c>
      <c r="J27" s="26">
        <v>50</v>
      </c>
      <c r="K27" s="26">
        <v>50</v>
      </c>
      <c r="L27" s="26">
        <v>50</v>
      </c>
      <c r="M27" s="26">
        <v>50</v>
      </c>
      <c r="N27" s="27">
        <v>1</v>
      </c>
      <c r="O27" s="27">
        <v>1</v>
      </c>
    </row>
    <row r="28" spans="1:15" ht="15" x14ac:dyDescent="0.2">
      <c r="A28" s="5" t="s">
        <v>35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6"/>
      <c r="O28" s="7"/>
    </row>
    <row r="29" spans="1:15" x14ac:dyDescent="0.2">
      <c r="A29" s="21" t="s">
        <v>36</v>
      </c>
      <c r="B29" s="22"/>
      <c r="C29" s="22"/>
      <c r="D29" s="22"/>
      <c r="E29" s="22"/>
      <c r="F29" s="22"/>
      <c r="G29" s="22"/>
      <c r="H29" s="8"/>
      <c r="I29" s="22"/>
      <c r="J29" s="22"/>
      <c r="K29" s="22"/>
      <c r="L29" s="22"/>
      <c r="M29" s="22"/>
      <c r="N29" s="23">
        <v>0.45</v>
      </c>
      <c r="O29" s="23">
        <v>0.67</v>
      </c>
    </row>
    <row r="30" spans="1:15" x14ac:dyDescent="0.2">
      <c r="A30" s="9" t="s">
        <v>37</v>
      </c>
      <c r="B30" s="29">
        <v>700</v>
      </c>
      <c r="C30" s="29">
        <v>700</v>
      </c>
      <c r="D30" s="29">
        <v>700</v>
      </c>
      <c r="E30" s="29">
        <v>700</v>
      </c>
      <c r="F30" s="29">
        <v>700</v>
      </c>
      <c r="G30" s="29">
        <v>700</v>
      </c>
      <c r="H30" s="29">
        <v>700</v>
      </c>
      <c r="I30" s="29">
        <v>700</v>
      </c>
      <c r="J30" s="29">
        <v>700</v>
      </c>
      <c r="K30" s="29">
        <v>700</v>
      </c>
      <c r="L30" s="29">
        <v>700</v>
      </c>
      <c r="M30" s="29">
        <v>700</v>
      </c>
      <c r="N30" s="24">
        <v>0.45</v>
      </c>
      <c r="O30" s="24">
        <v>0.67</v>
      </c>
    </row>
    <row r="31" spans="1:15" x14ac:dyDescent="0.2">
      <c r="A31" s="9" t="s">
        <v>38</v>
      </c>
      <c r="B31" s="25">
        <v>1400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4">
        <v>0.45</v>
      </c>
      <c r="O31" s="24">
        <v>0</v>
      </c>
    </row>
    <row r="32" spans="1:15" x14ac:dyDescent="0.2">
      <c r="A32" s="9" t="s">
        <v>39</v>
      </c>
      <c r="B32" s="25">
        <v>4500</v>
      </c>
      <c r="C32" s="25"/>
      <c r="D32" s="25"/>
      <c r="E32" s="25"/>
      <c r="F32" s="25"/>
      <c r="G32" s="25"/>
      <c r="H32" s="25"/>
      <c r="I32" s="25"/>
      <c r="J32" s="8"/>
      <c r="K32" s="25"/>
      <c r="L32" s="25"/>
      <c r="M32" s="25"/>
      <c r="N32" s="24">
        <v>0.45</v>
      </c>
      <c r="O32" s="24">
        <v>0</v>
      </c>
    </row>
    <row r="33" spans="1:15" x14ac:dyDescent="0.2">
      <c r="A33" s="16" t="s">
        <v>40</v>
      </c>
      <c r="B33" s="30"/>
      <c r="C33" s="30">
        <v>100</v>
      </c>
      <c r="D33" s="30"/>
      <c r="E33" s="30">
        <v>100</v>
      </c>
      <c r="F33" s="30"/>
      <c r="G33" s="30">
        <v>100</v>
      </c>
      <c r="H33" s="30"/>
      <c r="I33" s="30">
        <v>100</v>
      </c>
      <c r="J33" s="30"/>
      <c r="K33" s="30">
        <v>100</v>
      </c>
      <c r="L33" s="30"/>
      <c r="M33" s="30">
        <v>100</v>
      </c>
      <c r="N33" s="27">
        <v>1</v>
      </c>
      <c r="O33" s="27">
        <v>1</v>
      </c>
    </row>
    <row r="34" spans="1:15" ht="15" x14ac:dyDescent="0.2">
      <c r="A34" s="5" t="s">
        <v>41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6"/>
      <c r="O34" s="7"/>
    </row>
    <row r="35" spans="1:15" x14ac:dyDescent="0.2">
      <c r="A35" s="21" t="s">
        <v>42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>
        <v>1</v>
      </c>
      <c r="O35" s="23">
        <v>1</v>
      </c>
    </row>
    <row r="36" spans="1:15" x14ac:dyDescent="0.2">
      <c r="A36" s="21" t="s">
        <v>43</v>
      </c>
      <c r="B36" s="8">
        <v>100</v>
      </c>
      <c r="C36" s="8">
        <v>100</v>
      </c>
      <c r="D36" s="8">
        <v>100</v>
      </c>
      <c r="E36" s="8">
        <v>100</v>
      </c>
      <c r="F36" s="8">
        <v>100</v>
      </c>
      <c r="G36" s="8">
        <v>100</v>
      </c>
      <c r="H36" s="8">
        <v>100</v>
      </c>
      <c r="I36" s="8">
        <v>100</v>
      </c>
      <c r="J36" s="8">
        <v>100</v>
      </c>
      <c r="K36" s="8">
        <v>100</v>
      </c>
      <c r="L36" s="8">
        <v>100</v>
      </c>
      <c r="M36" s="8">
        <v>100</v>
      </c>
      <c r="N36" s="23">
        <v>1</v>
      </c>
      <c r="O36" s="23">
        <v>1</v>
      </c>
    </row>
    <row r="37" spans="1:15" x14ac:dyDescent="0.2">
      <c r="A37" s="9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4">
        <v>1</v>
      </c>
      <c r="O37" s="24">
        <v>1</v>
      </c>
    </row>
    <row r="38" spans="1:15" x14ac:dyDescent="0.2">
      <c r="A38" s="9" t="s">
        <v>45</v>
      </c>
      <c r="B38" s="13"/>
      <c r="C38" s="13"/>
      <c r="D38" s="8"/>
      <c r="E38" s="13"/>
      <c r="F38" s="8"/>
      <c r="G38" s="13"/>
      <c r="H38" s="13"/>
      <c r="I38" s="13"/>
      <c r="J38" s="13"/>
      <c r="K38" s="13"/>
      <c r="L38" s="13"/>
      <c r="M38" s="13"/>
      <c r="N38" s="24">
        <v>1</v>
      </c>
      <c r="O38" s="24">
        <v>1</v>
      </c>
    </row>
    <row r="39" spans="1:15" x14ac:dyDescent="0.2">
      <c r="A39" s="9" t="s">
        <v>46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4">
        <v>1</v>
      </c>
      <c r="O39" s="24">
        <v>1</v>
      </c>
    </row>
    <row r="40" spans="1:15" x14ac:dyDescent="0.2">
      <c r="A40" s="16" t="s">
        <v>47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7">
        <v>1</v>
      </c>
      <c r="O40" s="27">
        <v>1</v>
      </c>
    </row>
    <row r="41" spans="1:15" ht="15" x14ac:dyDescent="0.2">
      <c r="A41" s="5" t="s">
        <v>48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6"/>
      <c r="O41" s="7"/>
    </row>
    <row r="42" spans="1:15" x14ac:dyDescent="0.2">
      <c r="A42" s="31" t="s">
        <v>21</v>
      </c>
      <c r="B42" s="13">
        <v>200</v>
      </c>
      <c r="C42" s="13">
        <v>200</v>
      </c>
      <c r="D42" s="13">
        <v>200</v>
      </c>
      <c r="E42" s="13">
        <v>200</v>
      </c>
      <c r="F42" s="13">
        <v>200</v>
      </c>
      <c r="G42" s="13">
        <v>200</v>
      </c>
      <c r="H42" s="13">
        <v>200</v>
      </c>
      <c r="I42" s="13">
        <v>200</v>
      </c>
      <c r="J42" s="13">
        <v>200</v>
      </c>
      <c r="K42" s="13">
        <v>200</v>
      </c>
      <c r="L42" s="13">
        <v>200</v>
      </c>
      <c r="M42" s="13">
        <v>200</v>
      </c>
      <c r="N42" s="23">
        <v>1</v>
      </c>
      <c r="O42" s="23">
        <v>0</v>
      </c>
    </row>
    <row r="43" spans="1:15" x14ac:dyDescent="0.2">
      <c r="A43" s="32" t="s">
        <v>49</v>
      </c>
      <c r="B43" s="25">
        <v>100</v>
      </c>
      <c r="C43" s="25">
        <v>100</v>
      </c>
      <c r="D43" s="25">
        <v>100</v>
      </c>
      <c r="E43" s="25">
        <v>100</v>
      </c>
      <c r="F43" s="25">
        <v>100</v>
      </c>
      <c r="G43" s="25">
        <v>100</v>
      </c>
      <c r="H43" s="25">
        <v>100</v>
      </c>
      <c r="I43" s="25">
        <v>100</v>
      </c>
      <c r="J43" s="25">
        <v>100</v>
      </c>
      <c r="K43" s="25">
        <v>100</v>
      </c>
      <c r="L43" s="25">
        <v>100</v>
      </c>
      <c r="M43" s="25">
        <v>100</v>
      </c>
      <c r="N43" s="24">
        <v>1</v>
      </c>
      <c r="O43" s="24">
        <v>0</v>
      </c>
    </row>
    <row r="44" spans="1:15" x14ac:dyDescent="0.2">
      <c r="A44" s="33" t="s">
        <v>66</v>
      </c>
      <c r="B44" s="30"/>
      <c r="C44" s="30"/>
      <c r="D44" s="30"/>
      <c r="E44" s="30"/>
      <c r="F44" s="30"/>
      <c r="G44" s="30"/>
      <c r="H44" s="30"/>
      <c r="I44" s="30"/>
      <c r="J44" s="30"/>
      <c r="K44" s="25"/>
      <c r="L44" s="30"/>
      <c r="M44" s="30"/>
      <c r="N44" s="27">
        <v>1</v>
      </c>
      <c r="O44" s="24">
        <v>0</v>
      </c>
    </row>
    <row r="45" spans="1:15" x14ac:dyDescent="0.2">
      <c r="A45" s="33" t="s">
        <v>67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7">
        <v>1</v>
      </c>
      <c r="O45" s="24">
        <v>0</v>
      </c>
    </row>
    <row r="46" spans="1:15" x14ac:dyDescent="0.2">
      <c r="A46" s="33" t="s">
        <v>68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7">
        <v>1</v>
      </c>
      <c r="O46" s="24">
        <v>0</v>
      </c>
    </row>
    <row r="47" spans="1:15" x14ac:dyDescent="0.2">
      <c r="A47" s="33" t="s">
        <v>69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7">
        <v>1</v>
      </c>
      <c r="O47" s="24">
        <v>0</v>
      </c>
    </row>
    <row r="48" spans="1:15" x14ac:dyDescent="0.2">
      <c r="A48" s="33" t="s">
        <v>81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27">
        <v>1</v>
      </c>
      <c r="O48" s="24">
        <v>0</v>
      </c>
    </row>
    <row r="49" spans="1:16" x14ac:dyDescent="0.2">
      <c r="A49" s="33" t="s">
        <v>82</v>
      </c>
      <c r="B49" s="30">
        <v>100</v>
      </c>
      <c r="C49" s="30">
        <v>100</v>
      </c>
      <c r="D49" s="30">
        <v>100</v>
      </c>
      <c r="E49" s="30">
        <v>100</v>
      </c>
      <c r="F49" s="30">
        <v>100</v>
      </c>
      <c r="G49" s="30">
        <v>100</v>
      </c>
      <c r="H49" s="30">
        <v>100</v>
      </c>
      <c r="I49" s="30">
        <v>100</v>
      </c>
      <c r="J49" s="30">
        <v>100</v>
      </c>
      <c r="K49" s="30">
        <v>100</v>
      </c>
      <c r="L49" s="30">
        <v>100</v>
      </c>
      <c r="M49" s="30">
        <v>100</v>
      </c>
      <c r="N49" s="24">
        <v>1</v>
      </c>
      <c r="O49" s="24">
        <v>0</v>
      </c>
    </row>
    <row r="50" spans="1:16" ht="15" x14ac:dyDescent="0.2">
      <c r="A50" s="5" t="s">
        <v>50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62" t="s">
        <v>83</v>
      </c>
    </row>
    <row r="51" spans="1:16" ht="15" thickBot="1" x14ac:dyDescent="0.25">
      <c r="A51" s="34" t="s">
        <v>51</v>
      </c>
      <c r="B51" s="35">
        <f t="shared" ref="B51:M51" si="4">SUMPRODUCT(((B19:B49)-(B19:B49)/1.17),$O$19:$O$49)</f>
        <v>124.59401709401702</v>
      </c>
      <c r="C51" s="35">
        <f t="shared" si="4"/>
        <v>155.47008547008539</v>
      </c>
      <c r="D51" s="35">
        <f t="shared" si="4"/>
        <v>124.59401709401702</v>
      </c>
      <c r="E51" s="35">
        <f t="shared" si="4"/>
        <v>155.47008547008539</v>
      </c>
      <c r="F51" s="35">
        <f t="shared" si="4"/>
        <v>124.59401709401702</v>
      </c>
      <c r="G51" s="35">
        <f t="shared" si="4"/>
        <v>155.47008547008539</v>
      </c>
      <c r="H51" s="35">
        <f t="shared" si="4"/>
        <v>124.59401709401702</v>
      </c>
      <c r="I51" s="35">
        <f t="shared" si="4"/>
        <v>155.47008547008539</v>
      </c>
      <c r="J51" s="35">
        <f t="shared" si="4"/>
        <v>124.59401709401702</v>
      </c>
      <c r="K51" s="35">
        <f t="shared" si="4"/>
        <v>155.47008547008539</v>
      </c>
      <c r="L51" s="35">
        <f t="shared" si="4"/>
        <v>124.59401709401702</v>
      </c>
      <c r="M51" s="59">
        <f t="shared" si="4"/>
        <v>155.47008547008539</v>
      </c>
      <c r="N51" s="67">
        <f t="shared" ref="N51:N52" si="5">SUM(B51:M51)</f>
        <v>1680.3846153846146</v>
      </c>
    </row>
    <row r="52" spans="1:16" ht="15.75" thickBot="1" x14ac:dyDescent="0.25">
      <c r="A52" s="36" t="s">
        <v>52</v>
      </c>
      <c r="B52" s="37">
        <f t="shared" ref="B52:M52" si="6">SUMPRODUCT(B19:B49,$N$19:$N$49)</f>
        <v>3775</v>
      </c>
      <c r="C52" s="37">
        <f t="shared" si="6"/>
        <v>1332.5</v>
      </c>
      <c r="D52" s="37">
        <f t="shared" si="6"/>
        <v>1120</v>
      </c>
      <c r="E52" s="37">
        <f t="shared" si="6"/>
        <v>1332.5</v>
      </c>
      <c r="F52" s="37">
        <f t="shared" si="6"/>
        <v>1120</v>
      </c>
      <c r="G52" s="37">
        <f t="shared" si="6"/>
        <v>1332.5</v>
      </c>
      <c r="H52" s="37">
        <f t="shared" si="6"/>
        <v>1120</v>
      </c>
      <c r="I52" s="37">
        <f t="shared" si="6"/>
        <v>1332.5</v>
      </c>
      <c r="J52" s="37">
        <f t="shared" si="6"/>
        <v>1120</v>
      </c>
      <c r="K52" s="37">
        <f t="shared" si="6"/>
        <v>1332.5</v>
      </c>
      <c r="L52" s="37">
        <f t="shared" si="6"/>
        <v>1120</v>
      </c>
      <c r="M52" s="60">
        <f t="shared" si="6"/>
        <v>1332.5</v>
      </c>
      <c r="N52" s="69">
        <f t="shared" si="5"/>
        <v>17370</v>
      </c>
    </row>
    <row r="53" spans="1:16" ht="15.75" thickBot="1" x14ac:dyDescent="0.25">
      <c r="A53" s="63" t="s">
        <v>53</v>
      </c>
      <c r="B53" s="64">
        <f t="shared" ref="B53:M53" si="7">B14-B52</f>
        <v>14045.51282051282</v>
      </c>
      <c r="C53" s="65">
        <f t="shared" si="7"/>
        <v>16488.01282051282</v>
      </c>
      <c r="D53" s="65">
        <f t="shared" si="7"/>
        <v>16700.51282051282</v>
      </c>
      <c r="E53" s="65">
        <f t="shared" si="7"/>
        <v>16488.01282051282</v>
      </c>
      <c r="F53" s="65">
        <f t="shared" si="7"/>
        <v>16700.51282051282</v>
      </c>
      <c r="G53" s="65">
        <f t="shared" si="7"/>
        <v>16488.01282051282</v>
      </c>
      <c r="H53" s="65">
        <f t="shared" si="7"/>
        <v>16700.51282051282</v>
      </c>
      <c r="I53" s="65">
        <f t="shared" si="7"/>
        <v>16488.01282051282</v>
      </c>
      <c r="J53" s="65">
        <f t="shared" si="7"/>
        <v>16700.51282051282</v>
      </c>
      <c r="K53" s="65">
        <f t="shared" si="7"/>
        <v>16488.01282051282</v>
      </c>
      <c r="L53" s="65">
        <f t="shared" si="7"/>
        <v>16700.51282051282</v>
      </c>
      <c r="M53" s="66">
        <f t="shared" si="7"/>
        <v>16488.01282051282</v>
      </c>
      <c r="N53" s="68">
        <f>SUM(B53:M53)</f>
        <v>196476.15384615379</v>
      </c>
    </row>
    <row r="54" spans="1:16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6" ht="18" x14ac:dyDescent="0.25">
      <c r="A55" s="47" t="s">
        <v>54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</row>
    <row r="56" spans="1:16" x14ac:dyDescent="0.2">
      <c r="A56" s="21" t="s">
        <v>55</v>
      </c>
      <c r="B56" s="50"/>
      <c r="C56" s="50">
        <v>1500</v>
      </c>
      <c r="D56" s="50">
        <v>1500</v>
      </c>
      <c r="E56" s="50">
        <v>1500</v>
      </c>
      <c r="F56" s="50">
        <v>1500</v>
      </c>
      <c r="G56" s="50">
        <v>1500</v>
      </c>
      <c r="H56" s="50">
        <v>1500</v>
      </c>
      <c r="I56" s="50">
        <v>1500</v>
      </c>
      <c r="J56" s="50">
        <v>1500</v>
      </c>
      <c r="K56" s="50">
        <v>1500</v>
      </c>
      <c r="L56" s="50">
        <v>1500</v>
      </c>
      <c r="M56" s="50">
        <v>1500</v>
      </c>
      <c r="N56" s="51"/>
    </row>
    <row r="57" spans="1:16" x14ac:dyDescent="0.2">
      <c r="A57" s="9" t="s">
        <v>56</v>
      </c>
      <c r="B57" s="12"/>
      <c r="C57" s="12"/>
      <c r="D57" s="8">
        <v>1400</v>
      </c>
      <c r="E57" s="12"/>
      <c r="F57" s="8">
        <v>1400</v>
      </c>
      <c r="G57" s="8"/>
      <c r="H57" s="8">
        <v>1400</v>
      </c>
      <c r="I57" s="8"/>
      <c r="J57" s="8">
        <v>1400</v>
      </c>
      <c r="K57" s="8"/>
      <c r="L57" s="8">
        <v>1400</v>
      </c>
      <c r="M57" s="8"/>
      <c r="N57" s="8">
        <v>1400</v>
      </c>
    </row>
    <row r="58" spans="1:16" x14ac:dyDescent="0.2">
      <c r="A58" s="9" t="s">
        <v>57</v>
      </c>
      <c r="B58" s="41"/>
      <c r="C58" s="41"/>
      <c r="D58" s="41">
        <f>(B13+C13-B51-C51)</f>
        <v>4078.9102564102536</v>
      </c>
      <c r="E58" s="41"/>
      <c r="F58" s="41">
        <f>(D13+E13-D51-E51)</f>
        <v>4078.9102564102536</v>
      </c>
      <c r="G58" s="41"/>
      <c r="H58" s="41">
        <f>(F13+G13-F51-G51)</f>
        <v>4078.9102564102536</v>
      </c>
      <c r="I58" s="41"/>
      <c r="J58" s="41">
        <f>(H13+I13-H51-I51)</f>
        <v>4078.9102564102536</v>
      </c>
      <c r="K58" s="41"/>
      <c r="L58" s="41">
        <f>(J13+K13-J51-K51)</f>
        <v>4078.9102564102536</v>
      </c>
      <c r="M58" s="41"/>
      <c r="N58" s="41">
        <f>(L13+M13-L51-M51)</f>
        <v>4078.9102564102536</v>
      </c>
    </row>
    <row r="60" spans="1:16" x14ac:dyDescent="0.2">
      <c r="A60" s="42" t="s">
        <v>58</v>
      </c>
      <c r="B60" s="43"/>
      <c r="C60" s="43"/>
      <c r="D60" s="43"/>
    </row>
    <row r="61" spans="1:16" ht="18" x14ac:dyDescent="0.25">
      <c r="A61" s="90" t="s">
        <v>59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2"/>
    </row>
    <row r="62" spans="1:16" ht="30" x14ac:dyDescent="0.2">
      <c r="A62" s="44"/>
      <c r="B62" s="45" t="s">
        <v>1</v>
      </c>
      <c r="C62" s="45" t="s">
        <v>2</v>
      </c>
      <c r="D62" s="45" t="s">
        <v>3</v>
      </c>
      <c r="E62" s="45" t="s">
        <v>4</v>
      </c>
      <c r="F62" s="45" t="s">
        <v>5</v>
      </c>
      <c r="G62" s="45" t="s">
        <v>6</v>
      </c>
      <c r="H62" s="45" t="s">
        <v>7</v>
      </c>
      <c r="I62" s="45" t="s">
        <v>8</v>
      </c>
      <c r="J62" s="45" t="s">
        <v>9</v>
      </c>
      <c r="K62" s="45" t="s">
        <v>10</v>
      </c>
      <c r="L62" s="45" t="s">
        <v>11</v>
      </c>
      <c r="M62" s="45" t="s">
        <v>12</v>
      </c>
      <c r="N62" s="46" t="s">
        <v>85</v>
      </c>
      <c r="O62" s="46" t="s">
        <v>84</v>
      </c>
      <c r="P62" s="46" t="s">
        <v>86</v>
      </c>
    </row>
    <row r="63" spans="1:16" x14ac:dyDescent="0.2">
      <c r="A63" s="9" t="s">
        <v>60</v>
      </c>
      <c r="B63" s="41">
        <v>500</v>
      </c>
      <c r="C63" s="41">
        <v>500</v>
      </c>
      <c r="D63" s="41">
        <v>500</v>
      </c>
      <c r="E63" s="41">
        <v>500</v>
      </c>
      <c r="F63" s="41">
        <v>500</v>
      </c>
      <c r="G63" s="41">
        <v>500</v>
      </c>
      <c r="H63" s="41">
        <v>500</v>
      </c>
      <c r="I63" s="41">
        <v>500</v>
      </c>
      <c r="J63" s="41">
        <v>500</v>
      </c>
      <c r="K63" s="41">
        <v>500</v>
      </c>
      <c r="L63" s="41">
        <v>500</v>
      </c>
      <c r="M63" s="41">
        <v>500</v>
      </c>
      <c r="N63" s="25">
        <f>IF((SUM(B53:M53)&lt;=260000),SUM(B53:M53)*0.045,260000*0.045)/12</f>
        <v>736.78557692307675</v>
      </c>
      <c r="O63" s="25">
        <f>IF(((SUM(B63:M63)/12)&lt;=N63),SUM(B63:M63)/12,N63)</f>
        <v>500</v>
      </c>
      <c r="P63" s="25">
        <v>0</v>
      </c>
    </row>
    <row r="64" spans="1:16" x14ac:dyDescent="0.2">
      <c r="A64" s="40" t="s">
        <v>61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>
        <f>34056/12</f>
        <v>2838</v>
      </c>
      <c r="O64" s="25">
        <f>IF((SUM(B64:M64)/12&lt;=N64),SUM(B64:M64)/12,N64)</f>
        <v>0</v>
      </c>
      <c r="P64" s="25">
        <f>IF((AVERAGE(B53:M53)&lt;=$W$3),(0.5*AVERAGE(B53:M53)*0.0445 + 0.5*(AVERAGE(B53:M53)*0.1255)),(0.5*$W$3*0.0445 + 0.5*$W$3*0.1255))</f>
        <v>822.20500000000004</v>
      </c>
    </row>
    <row r="67" spans="1:13" ht="18" x14ac:dyDescent="0.25">
      <c r="A67" s="93" t="s">
        <v>70</v>
      </c>
      <c r="B67" s="93"/>
      <c r="D67" s="86" t="s">
        <v>95</v>
      </c>
      <c r="E67" s="94" t="s">
        <v>94</v>
      </c>
      <c r="F67" s="95"/>
      <c r="G67" s="95"/>
      <c r="H67" s="95"/>
      <c r="I67" s="95"/>
      <c r="J67" s="95"/>
      <c r="K67" s="95"/>
      <c r="L67" s="95"/>
      <c r="M67" s="95"/>
    </row>
    <row r="68" spans="1:13" ht="18.75" customHeight="1" x14ac:dyDescent="0.2">
      <c r="A68" s="52" t="s">
        <v>71</v>
      </c>
      <c r="B68" s="53">
        <f>AVERAGE(B53:M53)-O63-O64</f>
        <v>15873.012820512815</v>
      </c>
      <c r="D68" s="25">
        <v>2.5</v>
      </c>
    </row>
    <row r="69" spans="1:13" x14ac:dyDescent="0.2">
      <c r="A69" s="52" t="s">
        <v>72</v>
      </c>
      <c r="B69" s="54">
        <f>0.6*$W$3*0.0287+(B68-0.6*$W$3)*0.1283</f>
        <v>1458.449064871794</v>
      </c>
    </row>
    <row r="70" spans="1:13" x14ac:dyDescent="0.2">
      <c r="A70" s="52" t="s">
        <v>73</v>
      </c>
      <c r="B70" s="54">
        <f>0.6*$W$3*0.031 + (B68-0.6*$W$3)*0.05</f>
        <v>683.37844102564077</v>
      </c>
    </row>
    <row r="71" spans="1:13" ht="18.75" customHeight="1" x14ac:dyDescent="0.2">
      <c r="A71" s="52" t="s">
        <v>91</v>
      </c>
      <c r="B71" s="54">
        <f>SUM(B69:B70)</f>
        <v>2141.827505897435</v>
      </c>
    </row>
    <row r="72" spans="1:13" x14ac:dyDescent="0.2">
      <c r="A72" s="52" t="s">
        <v>87</v>
      </c>
      <c r="B72" s="54">
        <f>B69*0.52</f>
        <v>758.39351373333295</v>
      </c>
    </row>
    <row r="73" spans="1:13" x14ac:dyDescent="0.2">
      <c r="A73" s="52" t="s">
        <v>88</v>
      </c>
      <c r="B73" s="54">
        <f>O64*0.055</f>
        <v>0</v>
      </c>
    </row>
    <row r="74" spans="1:13" x14ac:dyDescent="0.2">
      <c r="A74" s="52" t="s">
        <v>89</v>
      </c>
      <c r="B74" s="54">
        <f>IF(B68&lt;=$T$4,(B68*$S$4 ),IF(B68&lt;=$T$5,($R$4+(B68-$U$5)*$S$5),IF(B68&lt;=$T$6,($R$5+(B68-$U$6)*$S$6),IF(B68&lt;=$T$7,($R$6+(B68-$U$7)*$S$7),IF(B68&lt;=$T$8,($R$7+(B68-$U$8)*$S$8),$R$8+(B68-$U$9)*$S$9)))))-SUM(B72:B73)-D68*215</f>
        <v>1265.2304606256398</v>
      </c>
    </row>
    <row r="75" spans="1:13" x14ac:dyDescent="0.2">
      <c r="A75" s="52" t="s">
        <v>90</v>
      </c>
      <c r="B75" s="54">
        <f>B74*2</f>
        <v>2530.4609212512796</v>
      </c>
    </row>
    <row r="76" spans="1:13" x14ac:dyDescent="0.2">
      <c r="A76" s="55" t="s">
        <v>74</v>
      </c>
      <c r="B76" s="56">
        <f>B68-B71-B74+O63</f>
        <v>12965.954853989741</v>
      </c>
    </row>
    <row r="77" spans="1:13" x14ac:dyDescent="0.2">
      <c r="A77" s="40" t="s">
        <v>75</v>
      </c>
      <c r="B77" s="54">
        <f>B71*12</f>
        <v>25701.93007076922</v>
      </c>
    </row>
    <row r="78" spans="1:13" x14ac:dyDescent="0.2">
      <c r="A78" s="57" t="s">
        <v>76</v>
      </c>
      <c r="B78" s="58">
        <f>B77-SUM(B56:M56)</f>
        <v>9201.93007076922</v>
      </c>
    </row>
    <row r="79" spans="1:13" x14ac:dyDescent="0.2">
      <c r="A79" s="40" t="s">
        <v>77</v>
      </c>
      <c r="B79" s="54">
        <f>B74*12</f>
        <v>15182.765527507678</v>
      </c>
    </row>
    <row r="80" spans="1:13" x14ac:dyDescent="0.2">
      <c r="A80" s="57" t="s">
        <v>78</v>
      </c>
      <c r="B80" s="58">
        <f>B79-SUM(B57:N57)</f>
        <v>6782.7655275076777</v>
      </c>
    </row>
  </sheetData>
  <mergeCells count="4">
    <mergeCell ref="R2:U2"/>
    <mergeCell ref="A61:P61"/>
    <mergeCell ref="A67:B67"/>
    <mergeCell ref="E67:M6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dcterms:created xsi:type="dcterms:W3CDTF">2017-11-10T14:42:58Z</dcterms:created>
  <dcterms:modified xsi:type="dcterms:W3CDTF">2018-02-18T14:44:08Z</dcterms:modified>
</cp:coreProperties>
</file>