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65" activeTab="1"/>
  </bookViews>
  <sheets>
    <sheet name="1 pile" sheetId="1" r:id="rId1"/>
    <sheet name="2 pile" sheetId="2" r:id="rId2"/>
    <sheet name="ชื่อโครงการ" sheetId="3" r:id="rId3"/>
    <sheet name="DATA" sheetId="4" r:id="rId4"/>
  </sheets>
  <definedNames>
    <definedName name="bar">'DATA'!$C$6:$C$17</definedName>
    <definedName name="factor">'DATA'!$D$6:$D$7</definedName>
    <definedName name="_xlnm.Print_Area" localSheetId="0">'1 pile'!$A$1:$M$57</definedName>
    <definedName name="_xlnm.Print_Area" localSheetId="1">'2 pile'!$A$1:$M$58</definedName>
    <definedName name="type">'DATA'!$B$6:$B$7</definedName>
  </definedNames>
  <calcPr fullCalcOnLoad="1"/>
</workbook>
</file>

<file path=xl/comments1.xml><?xml version="1.0" encoding="utf-8"?>
<comments xmlns="http://schemas.openxmlformats.org/spreadsheetml/2006/main">
  <authors>
    <author>AOY</author>
  </authors>
  <commentList>
    <comment ref="D20" authorId="0">
      <text>
        <r>
          <rPr>
            <b/>
            <sz val="8"/>
            <rFont val="Tahoma"/>
            <family val="0"/>
          </rPr>
          <t>ความหนาของฐานรากควรมีไม่น้อยกว่า 20 cm.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ไม่น้อยกว่า 1.5Dp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ไม่น้อยกว่า 1.5 Dp
</t>
        </r>
      </text>
    </comment>
    <comment ref="D24" authorId="0">
      <text>
        <r>
          <rPr>
            <b/>
            <sz val="8"/>
            <rFont val="Tahoma"/>
            <family val="0"/>
          </rPr>
          <t>ไม่ควรเกิน 10 %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AOY</author>
  </authors>
  <commentList>
    <comment ref="D17" authorId="0">
      <text>
        <r>
          <rPr>
            <b/>
            <sz val="8"/>
            <rFont val="Tahoma"/>
            <family val="0"/>
          </rPr>
          <t>ไม่น้อยกว่า 1.5Dp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ไม่น้อยกว่า 3Dp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ความหนาของฐานรากควรมีไม่น้อยกว่า 20 cm.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<sst xmlns="http://schemas.openxmlformats.org/spreadsheetml/2006/main" count="212" uniqueCount="74">
  <si>
    <t>type</t>
  </si>
  <si>
    <t>RB</t>
  </si>
  <si>
    <t>DB</t>
  </si>
  <si>
    <t>bar</t>
  </si>
  <si>
    <t>Covering</t>
  </si>
  <si>
    <t xml:space="preserve">Fy </t>
  </si>
  <si>
    <t xml:space="preserve">Fc' </t>
  </si>
  <si>
    <t xml:space="preserve">factor </t>
  </si>
  <si>
    <t xml:space="preserve">Width </t>
  </si>
  <si>
    <t xml:space="preserve">Long </t>
  </si>
  <si>
    <t xml:space="preserve">Thickness </t>
  </si>
  <si>
    <t xml:space="preserve">Bottom of footing </t>
  </si>
  <si>
    <t>Pile safe load</t>
  </si>
  <si>
    <t>Axial load</t>
  </si>
  <si>
    <t>% weigth of footing</t>
  </si>
  <si>
    <t>=</t>
  </si>
  <si>
    <t>ksc</t>
  </si>
  <si>
    <t>m.</t>
  </si>
  <si>
    <t>kg.</t>
  </si>
  <si>
    <t>Design for main bar</t>
  </si>
  <si>
    <r>
      <t xml:space="preserve">As </t>
    </r>
    <r>
      <rPr>
        <vertAlign val="subscript"/>
        <sz val="10"/>
        <rFont val="Arial"/>
        <family val="2"/>
      </rPr>
      <t>req</t>
    </r>
  </si>
  <si>
    <t>Fs</t>
  </si>
  <si>
    <t>n</t>
  </si>
  <si>
    <t>k</t>
  </si>
  <si>
    <t>j</t>
  </si>
  <si>
    <t>R</t>
  </si>
  <si>
    <t>Ec</t>
  </si>
  <si>
    <t>factor</t>
  </si>
  <si>
    <r>
      <t xml:space="preserve">As </t>
    </r>
    <r>
      <rPr>
        <vertAlign val="subscript"/>
        <sz val="10"/>
        <rFont val="Arial"/>
        <family val="2"/>
      </rPr>
      <t>real</t>
    </r>
  </si>
  <si>
    <t>Total load ( Pn )</t>
  </si>
  <si>
    <t>Ps = Pn - Pc</t>
  </si>
  <si>
    <t>Ag</t>
  </si>
  <si>
    <t>Fc</t>
  </si>
  <si>
    <r>
      <t>cm.</t>
    </r>
    <r>
      <rPr>
        <vertAlign val="superscript"/>
        <sz val="10"/>
        <rFont val="Arial"/>
        <family val="2"/>
      </rPr>
      <t>2</t>
    </r>
  </si>
  <si>
    <t>USE BAR</t>
  </si>
  <si>
    <t>Paramiter</t>
  </si>
  <si>
    <t>Input Data</t>
  </si>
  <si>
    <t>Pc =( 0.2125xAgxFc' )</t>
  </si>
  <si>
    <t>%</t>
  </si>
  <si>
    <t>โครงการ :</t>
  </si>
  <si>
    <t>เจ้าของ :</t>
  </si>
  <si>
    <t>Dia. Of pile ( Dp )</t>
  </si>
  <si>
    <t>Constant</t>
  </si>
  <si>
    <t>D1</t>
  </si>
  <si>
    <t>D2</t>
  </si>
  <si>
    <t>D3</t>
  </si>
  <si>
    <t>cm.</t>
  </si>
  <si>
    <t>Load to pile</t>
  </si>
  <si>
    <t>Wide beam shear</t>
  </si>
  <si>
    <t>Vb</t>
  </si>
  <si>
    <t>Vp</t>
  </si>
  <si>
    <t>Moment ( Long )</t>
  </si>
  <si>
    <t>kg-m</t>
  </si>
  <si>
    <r>
      <t>As</t>
    </r>
    <r>
      <rPr>
        <vertAlign val="subscript"/>
        <sz val="10"/>
        <rFont val="Arial"/>
        <family val="2"/>
      </rPr>
      <t xml:space="preserve">Sreq </t>
    </r>
    <r>
      <rPr>
        <sz val="10"/>
        <rFont val="Arial"/>
        <family val="2"/>
      </rPr>
      <t>( เหล็กสั้น )</t>
    </r>
  </si>
  <si>
    <r>
      <t>As</t>
    </r>
    <r>
      <rPr>
        <vertAlign val="subscript"/>
        <sz val="10"/>
        <rFont val="Arial"/>
        <family val="2"/>
      </rPr>
      <t xml:space="preserve">Lreq </t>
    </r>
    <r>
      <rPr>
        <sz val="10"/>
        <rFont val="Arial"/>
        <family val="2"/>
      </rPr>
      <t>( เหล็กยาว )</t>
    </r>
  </si>
  <si>
    <r>
      <t>As</t>
    </r>
    <r>
      <rPr>
        <vertAlign val="subscript"/>
        <sz val="10"/>
        <rFont val="Arial"/>
        <family val="2"/>
      </rPr>
      <t xml:space="preserve">Lreal </t>
    </r>
    <r>
      <rPr>
        <sz val="10"/>
        <rFont val="Arial"/>
        <family val="2"/>
      </rPr>
      <t>( เหล็กยาว )</t>
    </r>
  </si>
  <si>
    <r>
      <t>As</t>
    </r>
    <r>
      <rPr>
        <vertAlign val="subscript"/>
        <sz val="10"/>
        <rFont val="Arial"/>
        <family val="2"/>
      </rPr>
      <t xml:space="preserve">Sreal </t>
    </r>
    <r>
      <rPr>
        <sz val="10"/>
        <rFont val="Arial"/>
        <family val="2"/>
      </rPr>
      <t>( เหล็กสั้น )</t>
    </r>
  </si>
  <si>
    <t>load footing design =</t>
  </si>
  <si>
    <t>load footing real =</t>
  </si>
  <si>
    <t>kg</t>
  </si>
  <si>
    <t xml:space="preserve">L </t>
  </si>
  <si>
    <t xml:space="preserve">S </t>
  </si>
  <si>
    <t xml:space="preserve">d </t>
  </si>
  <si>
    <t xml:space="preserve">L/S </t>
  </si>
  <si>
    <t xml:space="preserve">load footing design </t>
  </si>
  <si>
    <t xml:space="preserve">load footing real </t>
  </si>
  <si>
    <t>F-1</t>
  </si>
  <si>
    <t>F-2</t>
  </si>
  <si>
    <t>บ้านพักอาศัย ค.ส.ล. 2 ชั้น</t>
  </si>
  <si>
    <t>ที่ตั้ง :</t>
  </si>
  <si>
    <t>จ.อยุธยา</t>
  </si>
  <si>
    <t xml:space="preserve">Punching shear </t>
  </si>
  <si>
    <t>Col. Section ( b x h )</t>
  </si>
  <si>
    <t>คุณสุนันทา  พลายวงศ์ทอง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</si>
</sst>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00"/>
    <numFmt numFmtId="169" formatCode="0.0000"/>
    <numFmt numFmtId="170" formatCode="0.000"/>
    <numFmt numFmtId="171" formatCode="0.0"/>
    <numFmt numFmtId="172" formatCode="0.00000000"/>
    <numFmt numFmtId="173" formatCode="0.0000000"/>
    <numFmt numFmtId="174" formatCode="0.000000"/>
  </numFmts>
  <fonts count="50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6"/>
      <name val="Arial"/>
      <family val="2"/>
    </font>
    <font>
      <b/>
      <sz val="10"/>
      <name val="AngsanaUPC"/>
      <family val="1"/>
    </font>
    <font>
      <sz val="10"/>
      <color indexed="16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170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5" fillId="3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37" borderId="1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1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17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12" xfId="0" applyBorder="1" applyAlignment="1">
      <alignment/>
    </xf>
    <xf numFmtId="1" fontId="1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5" fillId="36" borderId="11" xfId="0" applyFont="1" applyFill="1" applyBorder="1" applyAlignment="1">
      <alignment horizontal="center" vertical="center"/>
    </xf>
    <xf numFmtId="2" fontId="10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2" fontId="5" fillId="0" borderId="0" xfId="0" applyNumberFormat="1" applyFont="1" applyAlignment="1">
      <alignment vertical="center"/>
    </xf>
    <xf numFmtId="170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8" borderId="11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36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5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4" fillId="39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" fontId="7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38" borderId="11" xfId="0" applyFill="1" applyBorder="1" applyAlignment="1">
      <alignment horizontal="left"/>
    </xf>
    <xf numFmtId="0" fontId="0" fillId="38" borderId="1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21</xdr:row>
      <xdr:rowOff>0</xdr:rowOff>
    </xdr:from>
    <xdr:to>
      <xdr:col>4</xdr:col>
      <xdr:colOff>76200</xdr:colOff>
      <xdr:row>21</xdr:row>
      <xdr:rowOff>142875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295525" y="333375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3">
      <selection activeCell="P15" sqref="P15"/>
    </sheetView>
  </sheetViews>
  <sheetFormatPr defaultColWidth="9.140625" defaultRowHeight="12.75"/>
  <cols>
    <col min="1" max="1" width="9.00390625" style="0" customWidth="1"/>
    <col min="2" max="2" width="19.28125" style="0" customWidth="1"/>
    <col min="3" max="3" width="4.421875" style="0" customWidth="1"/>
    <col min="4" max="4" width="9.140625" style="48" customWidth="1"/>
    <col min="5" max="5" width="4.57421875" style="0" customWidth="1"/>
    <col min="6" max="6" width="4.7109375" style="0" customWidth="1"/>
    <col min="7" max="7" width="3.7109375" style="0" customWidth="1"/>
    <col min="8" max="8" width="5.8515625" style="0" customWidth="1"/>
    <col min="9" max="9" width="4.00390625" style="0" customWidth="1"/>
    <col min="10" max="10" width="4.28125" style="0" customWidth="1"/>
    <col min="11" max="11" width="6.421875" style="0" customWidth="1"/>
    <col min="12" max="12" width="3.28125" style="0" customWidth="1"/>
    <col min="13" max="13" width="9.00390625" style="0" customWidth="1"/>
  </cols>
  <sheetData>
    <row r="1" spans="1:13" ht="13.5" customHeight="1">
      <c r="A1" s="59" t="s">
        <v>39</v>
      </c>
      <c r="B1" s="64" t="str">
        <f>(""&amp;ชื่อโครงการ!C5&amp;"")</f>
        <v>บ้านพักอาศัย ค.ส.ล. 2 ชั้น</v>
      </c>
      <c r="C1" s="64"/>
      <c r="D1" s="64"/>
      <c r="E1" s="58"/>
      <c r="F1" s="63" t="str">
        <f>(""&amp;ชื่อโครงการ!B7&amp;" "&amp;ชื่อโครงการ!C7&amp;"")</f>
        <v>เจ้าของ : คุณสุนันทา  พลายวงศ์ทอง</v>
      </c>
      <c r="G1" s="63"/>
      <c r="H1" s="63"/>
      <c r="I1" s="63"/>
      <c r="J1" s="63"/>
      <c r="K1" s="63"/>
      <c r="L1" s="63"/>
      <c r="M1" s="63"/>
    </row>
    <row r="2" spans="1:14" ht="13.5" customHeight="1" thickBot="1">
      <c r="A2" s="60" t="s">
        <v>69</v>
      </c>
      <c r="B2" s="65" t="str">
        <f>(""&amp;ชื่อโครงการ!C6&amp;"")</f>
        <v>จ.อยุธยา</v>
      </c>
      <c r="C2" s="65"/>
      <c r="D2" s="65"/>
      <c r="E2" s="39"/>
      <c r="F2" s="39"/>
      <c r="G2" s="56"/>
      <c r="H2" s="56"/>
      <c r="I2" s="56"/>
      <c r="J2" s="56"/>
      <c r="K2" s="56"/>
      <c r="L2" s="56"/>
      <c r="M2" s="56"/>
      <c r="N2" s="13"/>
    </row>
    <row r="3" spans="1:14" ht="7.5" customHeight="1">
      <c r="A3" s="13"/>
      <c r="B3" s="13"/>
      <c r="C3" s="13"/>
      <c r="D3" s="14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3" ht="20.25">
      <c r="B4" s="69" t="s">
        <v>67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38"/>
    </row>
    <row r="5" spans="2:13" ht="7.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2:16" ht="12.75">
      <c r="B6" s="19" t="s">
        <v>42</v>
      </c>
      <c r="C6" s="15"/>
      <c r="E6" s="15"/>
      <c r="I6" s="67" t="s">
        <v>35</v>
      </c>
      <c r="J6" s="67"/>
      <c r="K6" s="67"/>
      <c r="L6" s="35"/>
      <c r="P6" s="6" t="s">
        <v>22</v>
      </c>
    </row>
    <row r="7" spans="2:16" ht="12.75">
      <c r="B7" t="s">
        <v>6</v>
      </c>
      <c r="C7" s="4" t="s">
        <v>15</v>
      </c>
      <c r="D7" s="49">
        <v>240</v>
      </c>
      <c r="E7" s="42" t="s">
        <v>16</v>
      </c>
      <c r="I7" s="8" t="s">
        <v>22</v>
      </c>
      <c r="J7" s="8" t="s">
        <v>15</v>
      </c>
      <c r="K7" s="7">
        <f>IF(P7&lt;6,6,P7)</f>
        <v>9</v>
      </c>
      <c r="L7" s="13"/>
      <c r="P7" s="6">
        <f>CEILING((2.04*10^6/D12),1)</f>
        <v>9</v>
      </c>
    </row>
    <row r="8" spans="2:12" ht="12.75">
      <c r="B8" t="s">
        <v>5</v>
      </c>
      <c r="C8" s="4" t="s">
        <v>15</v>
      </c>
      <c r="D8" s="50">
        <v>3000</v>
      </c>
      <c r="E8" s="42" t="s">
        <v>16</v>
      </c>
      <c r="I8" s="8" t="s">
        <v>23</v>
      </c>
      <c r="J8" s="8" t="s">
        <v>15</v>
      </c>
      <c r="K8" s="11">
        <f>1/(1+D10/(P7*D9))</f>
        <v>0.3932038834951457</v>
      </c>
      <c r="L8" s="31"/>
    </row>
    <row r="9" spans="2:12" ht="12.75">
      <c r="B9" t="s">
        <v>32</v>
      </c>
      <c r="C9" s="4" t="s">
        <v>15</v>
      </c>
      <c r="D9" s="48">
        <f>D11*D7</f>
        <v>108</v>
      </c>
      <c r="E9" s="42" t="s">
        <v>16</v>
      </c>
      <c r="I9" s="8" t="s">
        <v>24</v>
      </c>
      <c r="J9" s="8" t="s">
        <v>15</v>
      </c>
      <c r="K9" s="11">
        <f>1-(K8/3)</f>
        <v>0.8689320388349514</v>
      </c>
      <c r="L9" s="31"/>
    </row>
    <row r="10" spans="2:12" ht="12.75">
      <c r="B10" t="s">
        <v>21</v>
      </c>
      <c r="C10" s="4" t="s">
        <v>15</v>
      </c>
      <c r="D10" s="51">
        <f>0.5*D8</f>
        <v>1500</v>
      </c>
      <c r="E10" s="42" t="s">
        <v>16</v>
      </c>
      <c r="I10" s="8" t="s">
        <v>25</v>
      </c>
      <c r="J10" s="8" t="s">
        <v>15</v>
      </c>
      <c r="K10" s="12">
        <f>0.5*D9*K8*K9</f>
        <v>18.45004241681591</v>
      </c>
      <c r="L10" s="32"/>
    </row>
    <row r="11" spans="2:5" ht="12.75">
      <c r="B11" t="s">
        <v>7</v>
      </c>
      <c r="C11" s="4" t="s">
        <v>15</v>
      </c>
      <c r="D11" s="49">
        <v>0.45</v>
      </c>
      <c r="E11" s="42"/>
    </row>
    <row r="12" spans="2:5" ht="12.75">
      <c r="B12" t="s">
        <v>26</v>
      </c>
      <c r="C12" s="4" t="s">
        <v>15</v>
      </c>
      <c r="D12" s="51">
        <f>((4270*2.4^1.5)*(D7^0.5))</f>
        <v>245951.99999999997</v>
      </c>
      <c r="E12" s="42" t="s">
        <v>16</v>
      </c>
    </row>
    <row r="13" spans="3:5" ht="12.75">
      <c r="C13" s="4"/>
      <c r="E13" s="42"/>
    </row>
    <row r="14" spans="3:5" ht="12.75">
      <c r="C14" s="4"/>
      <c r="E14" s="42"/>
    </row>
    <row r="15" spans="2:5" ht="12.75">
      <c r="B15" s="10" t="s">
        <v>36</v>
      </c>
      <c r="C15" s="4"/>
      <c r="E15" s="42"/>
    </row>
    <row r="16" spans="2:5" ht="12.75">
      <c r="B16" t="s">
        <v>41</v>
      </c>
      <c r="C16" s="4" t="s">
        <v>15</v>
      </c>
      <c r="D16" s="52">
        <v>0.22</v>
      </c>
      <c r="E16" s="42" t="s">
        <v>17</v>
      </c>
    </row>
    <row r="17" spans="2:5" ht="12.75">
      <c r="B17" t="s">
        <v>12</v>
      </c>
      <c r="C17" s="4" t="s">
        <v>15</v>
      </c>
      <c r="D17" s="50">
        <v>22000</v>
      </c>
      <c r="E17" s="42" t="s">
        <v>18</v>
      </c>
    </row>
    <row r="18" spans="2:16" ht="12.75">
      <c r="B18" t="s">
        <v>8</v>
      </c>
      <c r="C18" s="4" t="s">
        <v>15</v>
      </c>
      <c r="D18" s="52">
        <v>0.35</v>
      </c>
      <c r="E18" s="42" t="s">
        <v>17</v>
      </c>
      <c r="F18" s="16" t="str">
        <f>IF(D18&gt;(1.5*D16),"OK","Check width")</f>
        <v>OK</v>
      </c>
      <c r="G18" s="16"/>
      <c r="H18" s="16"/>
      <c r="P18" s="4" t="s">
        <v>31</v>
      </c>
    </row>
    <row r="19" spans="2:16" ht="12.75">
      <c r="B19" t="s">
        <v>9</v>
      </c>
      <c r="C19" s="4" t="s">
        <v>15</v>
      </c>
      <c r="D19" s="52">
        <v>0.35</v>
      </c>
      <c r="E19" s="42" t="s">
        <v>17</v>
      </c>
      <c r="F19" s="16" t="str">
        <f>IF(D19&gt;(1.5*D16),"OK","Check long")</f>
        <v>OK</v>
      </c>
      <c r="G19" s="16"/>
      <c r="H19" s="16"/>
      <c r="P19" s="4">
        <f>D18*D19*10000</f>
        <v>1224.9999999999998</v>
      </c>
    </row>
    <row r="20" spans="2:13" ht="12.75">
      <c r="B20" t="s">
        <v>10</v>
      </c>
      <c r="C20" s="4" t="s">
        <v>15</v>
      </c>
      <c r="D20" s="52">
        <v>0.3</v>
      </c>
      <c r="E20" s="42" t="s">
        <v>17</v>
      </c>
      <c r="M20" s="17"/>
    </row>
    <row r="21" spans="2:5" ht="12.75">
      <c r="B21" t="s">
        <v>11</v>
      </c>
      <c r="C21" s="4" t="s">
        <v>15</v>
      </c>
      <c r="D21" s="52">
        <v>1.2</v>
      </c>
      <c r="E21" s="42" t="s">
        <v>17</v>
      </c>
    </row>
    <row r="22" spans="2:12" ht="12.75">
      <c r="B22" t="s">
        <v>4</v>
      </c>
      <c r="C22" s="4" t="s">
        <v>15</v>
      </c>
      <c r="D22" s="53">
        <v>0.075</v>
      </c>
      <c r="E22" s="42" t="s">
        <v>17</v>
      </c>
      <c r="G22" s="68" t="s">
        <v>57</v>
      </c>
      <c r="H22" s="68"/>
      <c r="I22" s="68"/>
      <c r="J22" s="68"/>
      <c r="K22" s="40">
        <f>CEILING(D23*D24/100,1)</f>
        <v>778</v>
      </c>
      <c r="L22" t="s">
        <v>59</v>
      </c>
    </row>
    <row r="23" spans="2:13" ht="12.75">
      <c r="B23" t="s">
        <v>13</v>
      </c>
      <c r="C23" s="4" t="s">
        <v>15</v>
      </c>
      <c r="D23" s="50">
        <v>15543</v>
      </c>
      <c r="E23" s="42" t="s">
        <v>18</v>
      </c>
      <c r="G23" s="68" t="s">
        <v>58</v>
      </c>
      <c r="H23" s="68"/>
      <c r="I23" s="68"/>
      <c r="J23" s="68"/>
      <c r="K23" s="41">
        <f>CEILING(2400*D18*D19*D20,1)</f>
        <v>89</v>
      </c>
      <c r="L23" t="s">
        <v>59</v>
      </c>
      <c r="M23" s="16" t="str">
        <f>IF(K23&lt;K22,"OK","Fail")</f>
        <v>OK</v>
      </c>
    </row>
    <row r="24" spans="2:5" ht="14.25">
      <c r="B24" s="3" t="s">
        <v>14</v>
      </c>
      <c r="C24" s="4" t="s">
        <v>15</v>
      </c>
      <c r="D24" s="49">
        <v>5</v>
      </c>
      <c r="E24" s="43" t="s">
        <v>38</v>
      </c>
    </row>
    <row r="25" spans="2:8" ht="12.75">
      <c r="B25" t="s">
        <v>29</v>
      </c>
      <c r="C25" s="4" t="s">
        <v>15</v>
      </c>
      <c r="D25" s="54">
        <f>D23*(1+D24/100)</f>
        <v>16320.150000000001</v>
      </c>
      <c r="E25" s="42" t="s">
        <v>18</v>
      </c>
      <c r="F25" s="16" t="str">
        <f>IF(D25&lt;D17,"Can use Footing 1 Plie","Fail")</f>
        <v>Can use Footing 1 Plie</v>
      </c>
      <c r="G25" s="16"/>
      <c r="H25" s="16"/>
    </row>
    <row r="26" ht="12.75">
      <c r="E26" s="42"/>
    </row>
    <row r="27" spans="2:5" ht="12.75">
      <c r="B27" s="10" t="s">
        <v>19</v>
      </c>
      <c r="C27" s="4"/>
      <c r="E27" s="42"/>
    </row>
    <row r="28" spans="3:5" ht="12.75">
      <c r="C28" s="4"/>
      <c r="E28" s="42"/>
    </row>
    <row r="29" spans="2:12" ht="12.75">
      <c r="B29" t="s">
        <v>37</v>
      </c>
      <c r="C29" s="4" t="s">
        <v>15</v>
      </c>
      <c r="D29" s="54">
        <f>(0.85*P19*0.25*D7)</f>
        <v>62474.999999999985</v>
      </c>
      <c r="E29" s="42" t="s">
        <v>18</v>
      </c>
      <c r="I29" s="66" t="s">
        <v>34</v>
      </c>
      <c r="J29" s="66"/>
      <c r="K29" s="66"/>
      <c r="L29" s="36"/>
    </row>
    <row r="30" spans="2:16" ht="12.75">
      <c r="B30" t="s">
        <v>30</v>
      </c>
      <c r="C30" s="4" t="s">
        <v>15</v>
      </c>
      <c r="D30" s="54">
        <f>IF(P30&lt;0,0,P30)</f>
        <v>0</v>
      </c>
      <c r="E30" s="42" t="s">
        <v>18</v>
      </c>
      <c r="I30" s="66"/>
      <c r="J30" s="66"/>
      <c r="K30" s="66"/>
      <c r="L30" s="36"/>
      <c r="P30">
        <f>D25-D29</f>
        <v>-46154.849999999984</v>
      </c>
    </row>
    <row r="31" spans="2:12" ht="19.5" customHeight="1">
      <c r="B31" t="s">
        <v>20</v>
      </c>
      <c r="C31" s="4" t="s">
        <v>15</v>
      </c>
      <c r="D31" s="45">
        <f>IF(D30=0,((14/D8)*P19),(D30/(0.85*D10)))</f>
        <v>5.716666666666666</v>
      </c>
      <c r="E31" s="42" t="s">
        <v>33</v>
      </c>
      <c r="I31" s="44">
        <v>4</v>
      </c>
      <c r="J31" s="44" t="s">
        <v>2</v>
      </c>
      <c r="K31" s="44">
        <v>16</v>
      </c>
      <c r="L31" s="34"/>
    </row>
    <row r="32" spans="3:12" ht="11.25" customHeight="1">
      <c r="C32" s="4"/>
      <c r="D32" s="46"/>
      <c r="E32" s="42"/>
      <c r="I32" s="9"/>
      <c r="J32" s="9"/>
      <c r="K32" s="9"/>
      <c r="L32" s="9"/>
    </row>
    <row r="33" spans="2:8" ht="19.5" customHeight="1">
      <c r="B33" t="s">
        <v>28</v>
      </c>
      <c r="C33" s="4" t="s">
        <v>15</v>
      </c>
      <c r="D33" s="47">
        <f>(PI()*I31*(K31/10)^2)/4</f>
        <v>8.042477193189871</v>
      </c>
      <c r="E33" s="42" t="s">
        <v>33</v>
      </c>
      <c r="F33" s="16" t="str">
        <f>IF(D33&gt;D31,"OK","Fail")</f>
        <v>OK</v>
      </c>
      <c r="G33" s="16"/>
      <c r="H33" s="16"/>
    </row>
    <row r="35" spans="1:14" ht="12.75">
      <c r="A35" s="13"/>
      <c r="B35" s="13"/>
      <c r="C35" s="13"/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13"/>
      <c r="B36" s="13"/>
      <c r="C36" s="13"/>
      <c r="D36" s="14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>
      <c r="A37" s="13"/>
      <c r="B37" s="13"/>
      <c r="C37" s="13"/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2.75">
      <c r="A38" s="13"/>
      <c r="B38" s="13"/>
      <c r="C38" s="13"/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2.75">
      <c r="A39" s="13"/>
      <c r="B39" s="13"/>
      <c r="C39" s="13"/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2.75">
      <c r="A40" s="13"/>
      <c r="B40" s="13"/>
      <c r="C40" s="13"/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2.75">
      <c r="A41" s="13"/>
      <c r="B41" s="13"/>
      <c r="C41" s="13"/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2.75">
      <c r="A42" s="13"/>
      <c r="B42" s="13"/>
      <c r="C42" s="13"/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2.75">
      <c r="A43" s="13"/>
      <c r="B43" s="13"/>
      <c r="C43" s="13"/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2.75">
      <c r="A44" s="13"/>
      <c r="B44" s="13"/>
      <c r="C44" s="13"/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2.75">
      <c r="A45" s="13"/>
      <c r="B45" s="13"/>
      <c r="C45" s="13"/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75">
      <c r="A46" s="13"/>
      <c r="B46" s="13"/>
      <c r="C46" s="13"/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2.75">
      <c r="A47" s="13"/>
      <c r="B47" s="13"/>
      <c r="C47" s="13"/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2.75">
      <c r="A48" s="13"/>
      <c r="B48" s="13"/>
      <c r="C48" s="13"/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>
      <c r="A49" s="13"/>
      <c r="B49" s="13"/>
      <c r="C49" s="13"/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>
      <c r="A50" s="13"/>
      <c r="B50" s="13"/>
      <c r="C50" s="13"/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>
      <c r="A51" s="13"/>
      <c r="B51" s="13"/>
      <c r="C51" s="13"/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>
      <c r="A52" s="13"/>
      <c r="B52" s="13"/>
      <c r="C52" s="13"/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>
      <c r="A53" s="13"/>
      <c r="B53" s="13"/>
      <c r="C53" s="13"/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>
      <c r="A54" s="13"/>
      <c r="B54" s="13"/>
      <c r="C54" s="13"/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2.75">
      <c r="A55" s="13"/>
      <c r="B55" s="13"/>
      <c r="C55" s="13"/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2.75">
      <c r="A56" s="13"/>
      <c r="B56" s="13"/>
      <c r="C56" s="13"/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ht="12.75">
      <c r="A57" s="13"/>
      <c r="B57" s="13"/>
      <c r="C57" s="13"/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</row>
  </sheetData>
  <sheetProtection/>
  <mergeCells count="8">
    <mergeCell ref="F1:M1"/>
    <mergeCell ref="B1:D1"/>
    <mergeCell ref="B2:D2"/>
    <mergeCell ref="I29:K30"/>
    <mergeCell ref="I6:K6"/>
    <mergeCell ref="G22:J22"/>
    <mergeCell ref="G23:J23"/>
    <mergeCell ref="B4:L4"/>
  </mergeCells>
  <dataValidations count="3">
    <dataValidation type="list" allowBlank="1" showInputMessage="1" showErrorMessage="1" sqref="J31:J32">
      <formula1>type</formula1>
    </dataValidation>
    <dataValidation type="list" allowBlank="1" showInputMessage="1" showErrorMessage="1" sqref="K31:L32">
      <formula1>bar</formula1>
    </dataValidation>
    <dataValidation type="list" allowBlank="1" showInputMessage="1" showErrorMessage="1" sqref="D11">
      <formula1>factor</formula1>
    </dataValidation>
  </dataValidation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D11" sqref="D11:E11"/>
    </sheetView>
  </sheetViews>
  <sheetFormatPr defaultColWidth="9.140625" defaultRowHeight="12.75"/>
  <cols>
    <col min="1" max="1" width="9.00390625" style="0" customWidth="1"/>
    <col min="2" max="2" width="18.7109375" style="0" customWidth="1"/>
    <col min="3" max="3" width="4.140625" style="4" customWidth="1"/>
    <col min="4" max="5" width="4.00390625" style="0" customWidth="1"/>
    <col min="6" max="6" width="5.140625" style="0" customWidth="1"/>
    <col min="7" max="7" width="9.57421875" style="0" customWidth="1"/>
    <col min="8" max="8" width="7.140625" style="0" customWidth="1"/>
    <col min="9" max="9" width="2.140625" style="0" customWidth="1"/>
    <col min="10" max="10" width="6.7109375" style="0" customWidth="1"/>
    <col min="11" max="11" width="4.7109375" style="0" customWidth="1"/>
    <col min="12" max="12" width="6.421875" style="0" customWidth="1"/>
    <col min="13" max="13" width="5.7109375" style="0" customWidth="1"/>
  </cols>
  <sheetData>
    <row r="1" spans="1:13" ht="13.5" customHeight="1">
      <c r="A1" s="59" t="s">
        <v>39</v>
      </c>
      <c r="B1" s="64" t="str">
        <f>(""&amp;ชื่อโครงการ!C5&amp;"")</f>
        <v>บ้านพักอาศัย ค.ส.ล. 2 ชั้น</v>
      </c>
      <c r="C1" s="64"/>
      <c r="D1" s="64"/>
      <c r="E1" s="58"/>
      <c r="F1" s="13"/>
      <c r="G1" s="63" t="str">
        <f>(""&amp;ชื่อโครงการ!B7&amp;" "&amp;ชื่อโครงการ!C7&amp;"")</f>
        <v>เจ้าของ : คุณสุนันทา  พลายวงศ์ทอง</v>
      </c>
      <c r="H1" s="63"/>
      <c r="I1" s="63"/>
      <c r="J1" s="63"/>
      <c r="K1" s="63"/>
      <c r="L1" s="63"/>
      <c r="M1" s="63"/>
    </row>
    <row r="2" spans="1:14" ht="13.5" customHeight="1" thickBot="1">
      <c r="A2" s="60" t="s">
        <v>69</v>
      </c>
      <c r="B2" s="65" t="str">
        <f>(""&amp;ชื่อโครงการ!C6&amp;"")</f>
        <v>จ.อยุธยา</v>
      </c>
      <c r="C2" s="65"/>
      <c r="D2" s="65"/>
      <c r="E2" s="39"/>
      <c r="F2" s="39"/>
      <c r="G2" s="56"/>
      <c r="H2" s="56"/>
      <c r="I2" s="56"/>
      <c r="J2" s="56"/>
      <c r="K2" s="56"/>
      <c r="L2" s="56"/>
      <c r="M2" s="56"/>
      <c r="N2" s="13"/>
    </row>
    <row r="3" spans="1:14" ht="7.5" customHeight="1">
      <c r="A3" s="61"/>
      <c r="B3" s="57"/>
      <c r="C3" s="57"/>
      <c r="D3" s="57"/>
      <c r="E3" s="13"/>
      <c r="F3" s="13"/>
      <c r="G3" s="58"/>
      <c r="H3" s="58"/>
      <c r="I3" s="58"/>
      <c r="J3" s="58"/>
      <c r="K3" s="58"/>
      <c r="L3" s="58"/>
      <c r="M3" s="58"/>
      <c r="N3" s="13"/>
    </row>
    <row r="4" spans="1:14" ht="20.25">
      <c r="A4" s="13"/>
      <c r="B4" s="69" t="s">
        <v>66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13"/>
      <c r="N4" s="13"/>
    </row>
    <row r="5" spans="8:11" ht="7.5" customHeight="1">
      <c r="H5" s="13"/>
      <c r="I5" s="13"/>
      <c r="J5" s="14"/>
      <c r="K5" s="14"/>
    </row>
    <row r="6" spans="2:16" ht="12.75">
      <c r="B6" s="19" t="s">
        <v>42</v>
      </c>
      <c r="D6" s="15"/>
      <c r="E6" s="15"/>
      <c r="F6" s="15"/>
      <c r="J6" s="88" t="s">
        <v>35</v>
      </c>
      <c r="K6" s="89"/>
      <c r="L6" s="90"/>
      <c r="M6" s="30"/>
      <c r="P6" s="6" t="s">
        <v>22</v>
      </c>
    </row>
    <row r="7" spans="2:16" ht="12.75">
      <c r="B7" t="s">
        <v>6</v>
      </c>
      <c r="C7" s="4" t="s">
        <v>15</v>
      </c>
      <c r="D7" s="79">
        <v>240</v>
      </c>
      <c r="E7" s="79"/>
      <c r="F7" t="s">
        <v>16</v>
      </c>
      <c r="J7" s="8" t="s">
        <v>22</v>
      </c>
      <c r="K7" s="8" t="s">
        <v>15</v>
      </c>
      <c r="L7" s="7">
        <f>IF(P7&lt;6,6,P7)</f>
        <v>9</v>
      </c>
      <c r="M7" s="13"/>
      <c r="P7" s="6">
        <f>CEILING((2.04*10^6/D12),1)</f>
        <v>9</v>
      </c>
    </row>
    <row r="8" spans="2:13" ht="12.75">
      <c r="B8" t="s">
        <v>5</v>
      </c>
      <c r="C8" s="4" t="s">
        <v>15</v>
      </c>
      <c r="D8" s="73">
        <v>3000</v>
      </c>
      <c r="E8" s="73"/>
      <c r="F8" t="s">
        <v>16</v>
      </c>
      <c r="J8" s="8" t="s">
        <v>23</v>
      </c>
      <c r="K8" s="8" t="s">
        <v>15</v>
      </c>
      <c r="L8" s="11">
        <f>1/(1+D10/(P7*D9))</f>
        <v>0.3932038834951457</v>
      </c>
      <c r="M8" s="31"/>
    </row>
    <row r="9" spans="2:13" ht="12.75">
      <c r="B9" t="s">
        <v>32</v>
      </c>
      <c r="C9" s="4" t="s">
        <v>15</v>
      </c>
      <c r="D9" s="72">
        <f>D11*D7</f>
        <v>108</v>
      </c>
      <c r="E9" s="72"/>
      <c r="F9" t="s">
        <v>16</v>
      </c>
      <c r="J9" s="8" t="s">
        <v>24</v>
      </c>
      <c r="K9" s="8" t="s">
        <v>15</v>
      </c>
      <c r="L9" s="11">
        <f>1-(L8/3)</f>
        <v>0.8689320388349514</v>
      </c>
      <c r="M9" s="31"/>
    </row>
    <row r="10" spans="2:13" ht="12.75">
      <c r="B10" t="s">
        <v>21</v>
      </c>
      <c r="C10" s="4" t="s">
        <v>15</v>
      </c>
      <c r="D10" s="75">
        <f>0.5*D8</f>
        <v>1500</v>
      </c>
      <c r="E10" s="75"/>
      <c r="F10" t="s">
        <v>16</v>
      </c>
      <c r="J10" s="8" t="s">
        <v>25</v>
      </c>
      <c r="K10" s="8" t="s">
        <v>15</v>
      </c>
      <c r="L10" s="12">
        <f>0.5*D9*L8*L9</f>
        <v>18.45004241681591</v>
      </c>
      <c r="M10" s="32"/>
    </row>
    <row r="11" spans="2:5" ht="12.75">
      <c r="B11" t="s">
        <v>7</v>
      </c>
      <c r="C11" s="4" t="s">
        <v>15</v>
      </c>
      <c r="D11" s="79">
        <v>0.45</v>
      </c>
      <c r="E11" s="79"/>
    </row>
    <row r="12" spans="2:6" ht="12.75">
      <c r="B12" t="s">
        <v>26</v>
      </c>
      <c r="C12" s="4" t="s">
        <v>15</v>
      </c>
      <c r="D12" s="75">
        <f>((4270*2.4^1.5)*(D7^0.5))</f>
        <v>245951.99999999997</v>
      </c>
      <c r="E12" s="75"/>
      <c r="F12" t="s">
        <v>16</v>
      </c>
    </row>
    <row r="13" ht="9" customHeight="1">
      <c r="D13" s="4"/>
    </row>
    <row r="14" spans="2:4" ht="12.75">
      <c r="B14" s="10" t="s">
        <v>36</v>
      </c>
      <c r="D14" s="4"/>
    </row>
    <row r="15" spans="2:6" ht="12.75">
      <c r="B15" t="s">
        <v>41</v>
      </c>
      <c r="C15" s="4" t="s">
        <v>15</v>
      </c>
      <c r="D15" s="70">
        <v>0.22</v>
      </c>
      <c r="E15" s="70"/>
      <c r="F15" t="s">
        <v>17</v>
      </c>
    </row>
    <row r="16" spans="2:6" ht="12.75">
      <c r="B16" t="s">
        <v>12</v>
      </c>
      <c r="C16" s="4" t="s">
        <v>15</v>
      </c>
      <c r="D16" s="73">
        <v>22000</v>
      </c>
      <c r="E16" s="73"/>
      <c r="F16" t="s">
        <v>18</v>
      </c>
    </row>
    <row r="17" spans="2:16" ht="12.75">
      <c r="B17" t="s">
        <v>43</v>
      </c>
      <c r="C17" s="4" t="s">
        <v>15</v>
      </c>
      <c r="D17" s="70">
        <v>0.35</v>
      </c>
      <c r="E17" s="70"/>
      <c r="F17" t="s">
        <v>17</v>
      </c>
      <c r="G17" s="16" t="str">
        <f>IF(D17&gt;(1.5*D15),"OK","Fail")</f>
        <v>OK</v>
      </c>
      <c r="H17" s="77" t="s">
        <v>60</v>
      </c>
      <c r="I17" s="85" t="s">
        <v>15</v>
      </c>
      <c r="J17" s="76">
        <f>D17*2+D18</f>
        <v>1.4</v>
      </c>
      <c r="K17" s="86" t="s">
        <v>17</v>
      </c>
      <c r="P17" s="4"/>
    </row>
    <row r="18" spans="2:16" ht="12.75">
      <c r="B18" t="s">
        <v>44</v>
      </c>
      <c r="C18" s="4" t="s">
        <v>15</v>
      </c>
      <c r="D18" s="70">
        <v>0.7</v>
      </c>
      <c r="E18" s="70"/>
      <c r="F18" t="s">
        <v>17</v>
      </c>
      <c r="G18" s="16" t="str">
        <f>IF(D18&gt;(1.5*D15),"OK","Fail")</f>
        <v>OK</v>
      </c>
      <c r="H18" s="77"/>
      <c r="I18" s="85"/>
      <c r="J18" s="76"/>
      <c r="K18" s="86"/>
      <c r="P18" s="4"/>
    </row>
    <row r="19" spans="2:16" ht="12.75">
      <c r="B19" t="s">
        <v>45</v>
      </c>
      <c r="C19" s="4" t="s">
        <v>15</v>
      </c>
      <c r="D19" s="71">
        <f>2*D17</f>
        <v>0.7</v>
      </c>
      <c r="E19" s="71"/>
      <c r="F19" t="s">
        <v>17</v>
      </c>
      <c r="G19" s="16"/>
      <c r="H19" s="24" t="s">
        <v>61</v>
      </c>
      <c r="I19" s="24" t="s">
        <v>15</v>
      </c>
      <c r="J19" s="25">
        <f>D19</f>
        <v>0.7</v>
      </c>
      <c r="K19" s="23" t="s">
        <v>17</v>
      </c>
      <c r="P19" s="4"/>
    </row>
    <row r="20" spans="2:11" ht="12.75">
      <c r="B20" t="s">
        <v>11</v>
      </c>
      <c r="C20" s="4" t="s">
        <v>15</v>
      </c>
      <c r="D20" s="70">
        <v>1.2</v>
      </c>
      <c r="E20" s="70"/>
      <c r="F20" t="s">
        <v>17</v>
      </c>
      <c r="H20" s="24" t="s">
        <v>62</v>
      </c>
      <c r="I20" s="24" t="s">
        <v>15</v>
      </c>
      <c r="J20" s="26">
        <f>D21-D23</f>
        <v>0.325</v>
      </c>
      <c r="K20" s="23" t="s">
        <v>17</v>
      </c>
    </row>
    <row r="21" spans="2:13" ht="12.75">
      <c r="B21" t="s">
        <v>10</v>
      </c>
      <c r="C21" s="4" t="s">
        <v>15</v>
      </c>
      <c r="D21" s="70">
        <v>0.4</v>
      </c>
      <c r="E21" s="70"/>
      <c r="F21" t="s">
        <v>17</v>
      </c>
      <c r="H21" s="24" t="s">
        <v>63</v>
      </c>
      <c r="I21" s="24" t="s">
        <v>15</v>
      </c>
      <c r="J21" s="25">
        <f>J17/J19</f>
        <v>2</v>
      </c>
      <c r="L21" s="17"/>
      <c r="M21" s="17"/>
    </row>
    <row r="22" spans="2:13" ht="12.75">
      <c r="B22" t="s">
        <v>72</v>
      </c>
      <c r="C22" s="4" t="s">
        <v>15</v>
      </c>
      <c r="D22" s="21">
        <v>25</v>
      </c>
      <c r="E22" s="20">
        <v>25</v>
      </c>
      <c r="F22" t="s">
        <v>46</v>
      </c>
      <c r="L22" s="17"/>
      <c r="M22" s="17"/>
    </row>
    <row r="23" spans="2:11" ht="12.75">
      <c r="B23" t="s">
        <v>4</v>
      </c>
      <c r="C23" s="4" t="s">
        <v>15</v>
      </c>
      <c r="D23" s="80">
        <v>0.075</v>
      </c>
      <c r="E23" s="80"/>
      <c r="F23" t="s">
        <v>17</v>
      </c>
      <c r="G23" s="68" t="s">
        <v>64</v>
      </c>
      <c r="H23" s="68"/>
      <c r="I23" s="27" t="s">
        <v>15</v>
      </c>
      <c r="J23" s="28">
        <f>D24*D25/100</f>
        <v>1838.6</v>
      </c>
      <c r="K23" t="s">
        <v>59</v>
      </c>
    </row>
    <row r="24" spans="2:13" ht="12.75">
      <c r="B24" t="s">
        <v>13</v>
      </c>
      <c r="C24" s="4" t="s">
        <v>15</v>
      </c>
      <c r="D24" s="73">
        <v>36772</v>
      </c>
      <c r="E24" s="73"/>
      <c r="F24" t="s">
        <v>18</v>
      </c>
      <c r="G24" s="68" t="s">
        <v>65</v>
      </c>
      <c r="H24" s="68"/>
      <c r="I24" s="27" t="s">
        <v>15</v>
      </c>
      <c r="J24" s="29">
        <f>2400*J17*J19*D21</f>
        <v>940.8000000000001</v>
      </c>
      <c r="K24" t="s">
        <v>59</v>
      </c>
      <c r="L24" s="16" t="str">
        <f>IF(J24&lt;J23,"OK","Fail")</f>
        <v>OK</v>
      </c>
      <c r="M24" s="16"/>
    </row>
    <row r="25" spans="2:6" ht="14.25">
      <c r="B25" s="3" t="s">
        <v>14</v>
      </c>
      <c r="C25" s="4" t="s">
        <v>15</v>
      </c>
      <c r="D25" s="79">
        <v>5</v>
      </c>
      <c r="E25" s="79"/>
      <c r="F25" s="55" t="s">
        <v>38</v>
      </c>
    </row>
    <row r="26" spans="2:7" ht="12.75">
      <c r="B26" t="s">
        <v>29</v>
      </c>
      <c r="C26" s="4" t="s">
        <v>15</v>
      </c>
      <c r="D26" s="78">
        <f>D24*(1+D25/100)</f>
        <v>38610.6</v>
      </c>
      <c r="E26" s="78"/>
      <c r="F26" t="s">
        <v>18</v>
      </c>
      <c r="G26" s="16" t="str">
        <f>IF(D26&lt;(2*D16),"Can use Footing 2 Plie","Fail")</f>
        <v>Can use Footing 2 Plie</v>
      </c>
    </row>
    <row r="27" ht="9" customHeight="1"/>
    <row r="28" ht="12.75">
      <c r="B28" s="10" t="s">
        <v>19</v>
      </c>
    </row>
    <row r="29" spans="2:7" ht="12.75">
      <c r="B29" t="s">
        <v>47</v>
      </c>
      <c r="C29" s="4" t="s">
        <v>15</v>
      </c>
      <c r="D29" s="83">
        <f>D26/2</f>
        <v>19305.3</v>
      </c>
      <c r="E29" s="83"/>
      <c r="F29" t="s">
        <v>18</v>
      </c>
      <c r="G29" s="16" t="str">
        <f>IF(D29&lt;D16,"OK","Fail")</f>
        <v>OK</v>
      </c>
    </row>
    <row r="30" spans="2:6" ht="12.75">
      <c r="B30" t="s">
        <v>48</v>
      </c>
      <c r="C30" s="4" t="s">
        <v>15</v>
      </c>
      <c r="D30" s="82">
        <f>0.29*(D7)^0.5</f>
        <v>4.492660681600603</v>
      </c>
      <c r="E30" s="82"/>
      <c r="F30" t="s">
        <v>16</v>
      </c>
    </row>
    <row r="31" spans="2:7" ht="12.75">
      <c r="B31" t="s">
        <v>49</v>
      </c>
      <c r="C31" s="4" t="s">
        <v>15</v>
      </c>
      <c r="D31" s="82">
        <f>(D29/((J17*100)*(J20*100)))</f>
        <v>4.242923076923077</v>
      </c>
      <c r="E31" s="82"/>
      <c r="F31" t="s">
        <v>16</v>
      </c>
      <c r="G31" s="16" t="str">
        <f>IF(D31&lt;D30,"OK","ขยายฐานราก")</f>
        <v>OK</v>
      </c>
    </row>
    <row r="32" spans="2:6" ht="12.75">
      <c r="B32" t="s">
        <v>71</v>
      </c>
      <c r="C32" s="4" t="s">
        <v>15</v>
      </c>
      <c r="D32" s="82">
        <f>0.53*(D7)^0.5</f>
        <v>8.210724693959724</v>
      </c>
      <c r="E32" s="82"/>
      <c r="F32" t="s">
        <v>16</v>
      </c>
    </row>
    <row r="33" spans="2:13" ht="12.75">
      <c r="B33" t="s">
        <v>50</v>
      </c>
      <c r="C33" s="4" t="s">
        <v>15</v>
      </c>
      <c r="D33" s="72">
        <v>0</v>
      </c>
      <c r="E33" s="72"/>
      <c r="F33" t="s">
        <v>16</v>
      </c>
      <c r="G33" s="16" t="str">
        <f>IF(D33&lt;D32,"OK","Fail")</f>
        <v>OK</v>
      </c>
      <c r="J33" s="84" t="s">
        <v>34</v>
      </c>
      <c r="K33" s="84"/>
      <c r="L33" s="84"/>
      <c r="M33" s="33"/>
    </row>
    <row r="34" spans="2:13" ht="12.75">
      <c r="B34" t="s">
        <v>51</v>
      </c>
      <c r="C34" s="4" t="s">
        <v>15</v>
      </c>
      <c r="D34" s="87">
        <f>D29*(D18*0.5-(D22*0.5/100))</f>
        <v>4343.692499999999</v>
      </c>
      <c r="E34" s="87"/>
      <c r="F34" t="s">
        <v>52</v>
      </c>
      <c r="J34" s="84"/>
      <c r="K34" s="84"/>
      <c r="L34" s="84"/>
      <c r="M34" s="33"/>
    </row>
    <row r="35" spans="2:13" ht="15.75">
      <c r="B35" t="s">
        <v>54</v>
      </c>
      <c r="C35" s="4" t="s">
        <v>15</v>
      </c>
      <c r="D35" s="74">
        <f>D34/(D10*L9*J20)</f>
        <v>10.254125827245378</v>
      </c>
      <c r="E35" s="74"/>
      <c r="F35" t="s">
        <v>33</v>
      </c>
      <c r="J35" s="18">
        <v>6</v>
      </c>
      <c r="K35" s="18" t="s">
        <v>2</v>
      </c>
      <c r="L35" s="18">
        <v>16</v>
      </c>
      <c r="M35" s="34"/>
    </row>
    <row r="36" spans="2:13" ht="15.75">
      <c r="B36" t="s">
        <v>53</v>
      </c>
      <c r="C36" s="4" t="s">
        <v>15</v>
      </c>
      <c r="D36" s="74">
        <f>2*D35/(J21+1)</f>
        <v>6.836083884830252</v>
      </c>
      <c r="E36" s="74"/>
      <c r="F36" t="s">
        <v>33</v>
      </c>
      <c r="J36" s="22">
        <v>7</v>
      </c>
      <c r="K36" s="22" t="s">
        <v>2</v>
      </c>
      <c r="L36" s="22">
        <v>12</v>
      </c>
      <c r="M36" s="34"/>
    </row>
    <row r="37" ht="8.25" customHeight="1"/>
    <row r="38" spans="2:7" ht="15.75">
      <c r="B38" t="s">
        <v>55</v>
      </c>
      <c r="C38" s="4" t="s">
        <v>15</v>
      </c>
      <c r="D38" s="81">
        <f>J35*PI()*(L35/10)^2/4</f>
        <v>12.063715789784808</v>
      </c>
      <c r="E38" s="81"/>
      <c r="F38" t="s">
        <v>33</v>
      </c>
      <c r="G38" s="16" t="str">
        <f>IF(D38&gt;D35,"OK","Change bar")</f>
        <v>OK</v>
      </c>
    </row>
    <row r="39" spans="2:7" ht="15.75">
      <c r="B39" t="s">
        <v>56</v>
      </c>
      <c r="C39" s="4" t="s">
        <v>15</v>
      </c>
      <c r="D39" s="81">
        <f>J36*PI()*(L36/10)^2/4</f>
        <v>7.916813487046278</v>
      </c>
      <c r="E39" s="81"/>
      <c r="F39" t="s">
        <v>33</v>
      </c>
      <c r="G39" s="16" t="str">
        <f>IF(D39&gt;D36,"OK","Change bar")</f>
        <v>OK</v>
      </c>
    </row>
  </sheetData>
  <sheetProtection/>
  <mergeCells count="39">
    <mergeCell ref="J33:L34"/>
    <mergeCell ref="I17:I18"/>
    <mergeCell ref="B1:D1"/>
    <mergeCell ref="B2:D2"/>
    <mergeCell ref="K17:K18"/>
    <mergeCell ref="G24:H24"/>
    <mergeCell ref="D11:E11"/>
    <mergeCell ref="D10:E10"/>
    <mergeCell ref="D34:E34"/>
    <mergeCell ref="J6:L6"/>
    <mergeCell ref="D39:E39"/>
    <mergeCell ref="D38:E38"/>
    <mergeCell ref="D36:E36"/>
    <mergeCell ref="B4:L4"/>
    <mergeCell ref="D31:E31"/>
    <mergeCell ref="D30:E30"/>
    <mergeCell ref="D32:E32"/>
    <mergeCell ref="D33:E33"/>
    <mergeCell ref="D7:E7"/>
    <mergeCell ref="D29:E29"/>
    <mergeCell ref="D35:E35"/>
    <mergeCell ref="D15:E15"/>
    <mergeCell ref="D12:E12"/>
    <mergeCell ref="J17:J18"/>
    <mergeCell ref="H17:H18"/>
    <mergeCell ref="D26:E26"/>
    <mergeCell ref="D25:E25"/>
    <mergeCell ref="D24:E24"/>
    <mergeCell ref="D23:E23"/>
    <mergeCell ref="G23:H23"/>
    <mergeCell ref="G1:M1"/>
    <mergeCell ref="D20:E20"/>
    <mergeCell ref="D21:E21"/>
    <mergeCell ref="D19:E19"/>
    <mergeCell ref="D18:E18"/>
    <mergeCell ref="D9:E9"/>
    <mergeCell ref="D8:E8"/>
    <mergeCell ref="D17:E17"/>
    <mergeCell ref="D16:E16"/>
  </mergeCells>
  <dataValidations count="3">
    <dataValidation type="list" allowBlank="1" showInputMessage="1" showErrorMessage="1" sqref="L35:M36">
      <formula1>bar</formula1>
    </dataValidation>
    <dataValidation type="list" allowBlank="1" showInputMessage="1" showErrorMessage="1" sqref="K35:K36">
      <formula1>type</formula1>
    </dataValidation>
    <dataValidation type="list" allowBlank="1" showInputMessage="1" showErrorMessage="1" sqref="D11">
      <formula1>factor</formula1>
    </dataValidation>
  </dataValidation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5:F7"/>
  <sheetViews>
    <sheetView zoomScalePageLayoutView="0" workbookViewId="0" topLeftCell="A1">
      <selection activeCell="E27" sqref="E27"/>
    </sheetView>
  </sheetViews>
  <sheetFormatPr defaultColWidth="9.140625" defaultRowHeight="12.75"/>
  <sheetData>
    <row r="5" spans="2:6" ht="12.75">
      <c r="B5" s="62" t="s">
        <v>39</v>
      </c>
      <c r="C5" s="91" t="s">
        <v>68</v>
      </c>
      <c r="D5" s="91"/>
      <c r="E5" s="91"/>
      <c r="F5" s="91"/>
    </row>
    <row r="6" spans="2:6" ht="12.75">
      <c r="B6" s="62" t="s">
        <v>69</v>
      </c>
      <c r="C6" s="91" t="s">
        <v>70</v>
      </c>
      <c r="D6" s="91"/>
      <c r="E6" s="91"/>
      <c r="F6" s="91"/>
    </row>
    <row r="7" spans="2:6" ht="12.75">
      <c r="B7" s="62" t="s">
        <v>40</v>
      </c>
      <c r="C7" s="92" t="s">
        <v>73</v>
      </c>
      <c r="D7" s="92"/>
      <c r="E7" s="92"/>
      <c r="F7" s="92"/>
    </row>
  </sheetData>
  <sheetProtection/>
  <mergeCells count="3">
    <mergeCell ref="C5:F5"/>
    <mergeCell ref="C6:F6"/>
    <mergeCell ref="C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D17"/>
  <sheetViews>
    <sheetView zoomScalePageLayoutView="0" workbookViewId="0" topLeftCell="A1">
      <selection activeCell="F6" sqref="F6"/>
    </sheetView>
  </sheetViews>
  <sheetFormatPr defaultColWidth="9.140625" defaultRowHeight="12.75"/>
  <sheetData>
    <row r="5" spans="2:4" ht="12.75">
      <c r="B5" s="1" t="s">
        <v>0</v>
      </c>
      <c r="C5" s="2" t="s">
        <v>3</v>
      </c>
      <c r="D5" s="5" t="s">
        <v>27</v>
      </c>
    </row>
    <row r="6" spans="2:4" ht="12.75">
      <c r="B6" s="1" t="s">
        <v>1</v>
      </c>
      <c r="C6" s="2">
        <v>6</v>
      </c>
      <c r="D6" s="5">
        <v>0.375</v>
      </c>
    </row>
    <row r="7" spans="2:4" ht="12.75">
      <c r="B7" s="1" t="s">
        <v>2</v>
      </c>
      <c r="C7" s="2">
        <v>9</v>
      </c>
      <c r="D7" s="5">
        <v>0.45</v>
      </c>
    </row>
    <row r="8" ht="12.75">
      <c r="C8" s="2">
        <v>10</v>
      </c>
    </row>
    <row r="9" ht="12.75">
      <c r="C9" s="2">
        <v>12</v>
      </c>
    </row>
    <row r="10" ht="12.75">
      <c r="C10" s="2">
        <v>15</v>
      </c>
    </row>
    <row r="11" ht="12.75">
      <c r="C11" s="2">
        <v>16</v>
      </c>
    </row>
    <row r="12" ht="12.75">
      <c r="C12" s="2">
        <v>18</v>
      </c>
    </row>
    <row r="13" ht="12.75">
      <c r="C13" s="2">
        <v>20</v>
      </c>
    </row>
    <row r="14" ht="12.75">
      <c r="C14" s="2">
        <v>25</v>
      </c>
    </row>
    <row r="15" ht="12.75">
      <c r="C15" s="2">
        <v>28</v>
      </c>
    </row>
    <row r="16" ht="12.75">
      <c r="C16" s="2">
        <v>32</v>
      </c>
    </row>
    <row r="17" ht="12.75">
      <c r="C17" s="2">
        <v>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AOY</dc:creator>
  <cp:keywords/>
  <dc:description/>
  <cp:lastModifiedBy>hp</cp:lastModifiedBy>
  <cp:lastPrinted>2008-12-04T23:59:43Z</cp:lastPrinted>
  <dcterms:created xsi:type="dcterms:W3CDTF">2008-12-02T03:02:23Z</dcterms:created>
  <dcterms:modified xsi:type="dcterms:W3CDTF">2009-02-01T06:48:55Z</dcterms:modified>
  <cp:category/>
  <cp:version/>
  <cp:contentType/>
  <cp:contentStatus/>
</cp:coreProperties>
</file>